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P:\Docs - Bloomer\Budget Model\Website\FY2019 Docs\"/>
    </mc:Choice>
  </mc:AlternateContent>
  <bookViews>
    <workbookView xWindow="-32385" yWindow="120" windowWidth="31140" windowHeight="18915" tabRatio="950"/>
  </bookViews>
  <sheets>
    <sheet name="Dashboard-Academic Allocation" sheetId="36" r:id="rId1"/>
    <sheet name="Service and Support Allocation" sheetId="57" r:id="rId2"/>
    <sheet name="Distribution Pools" sheetId="33" r:id="rId3"/>
    <sheet name="Allocation by Category" sheetId="27" r:id="rId4"/>
    <sheet name="Pools, Rates, Reference" sheetId="34" r:id="rId5"/>
    <sheet name="Step 0 FY18 Revenue" sheetId="8" r:id="rId6"/>
    <sheet name="Step 1 Dedicated Funds" sheetId="21" r:id="rId7"/>
    <sheet name="Step 2 Productivity Split" sheetId="46" r:id="rId8"/>
    <sheet name="Step 3 Acad Product &amp; Pools" sheetId="71" r:id="rId9"/>
    <sheet name="Step 4a IM Summary" sheetId="9" r:id="rId10"/>
    <sheet name="Step 4 Contract and Reserves" sheetId="19" r:id="rId11"/>
    <sheet name="Step 5 Exec and Strategic" sheetId="20" r:id="rId12"/>
    <sheet name="Step 6a Service-Support Detail" sheetId="69" r:id="rId13"/>
    <sheet name="Step 6 Service-Support" sheetId="22" r:id="rId14"/>
    <sheet name="Step 7 Final Adjustments" sheetId="23" r:id="rId15"/>
    <sheet name="Summary Academic Detail" sheetId="72" r:id="rId16"/>
    <sheet name="Summary FY18 to FY19 Change" sheetId="24" r:id="rId17"/>
    <sheet name="Compile Productivity $" sheetId="55" r:id="rId18"/>
    <sheet name="Foundation SCH" sheetId="3" r:id="rId19"/>
    <sheet name="Honors College Incentive" sheetId="49" r:id="rId20"/>
    <sheet name="Undergrad Completions" sheetId="48" r:id="rId21"/>
    <sheet name="Graduate Completions" sheetId="50" r:id="rId22"/>
    <sheet name="Interdisciplinary Graduate" sheetId="54" r:id="rId23"/>
    <sheet name="Ecampus And Summer" sheetId="51" r:id="rId24"/>
    <sheet name="Strategic Populations" sheetId="53" r:id="rId25"/>
    <sheet name="Cascades Incentive" sheetId="56" r:id="rId26"/>
    <sheet name="Grant Data" sheetId="47" r:id="rId27"/>
    <sheet name="Pharmacy Vet Med" sheetId="63" r:id="rId28"/>
    <sheet name="FY19 Floor Calculations" sheetId="59" r:id="rId29"/>
    <sheet name="Community Support Funds" sheetId="65" r:id="rId30"/>
    <sheet name="What If Tool" sheetId="67" r:id="rId31"/>
    <sheet name="What If Data" sheetId="68" r:id="rId32"/>
    <sheet name="Overhead Assessment" sheetId="38" r:id="rId33"/>
    <sheet name="OSU Strategic Fund Detail" sheetId="60" r:id="rId34"/>
    <sheet name="State Targeted Funding" sheetId="44" r:id="rId35"/>
    <sheet name="Differential Tuition Allocation" sheetId="45" r:id="rId36"/>
    <sheet name="Differential Tuition History" sheetId="70" r:id="rId37"/>
    <sheet name="Buildings" sheetId="29" r:id="rId38"/>
    <sheet name="Weights" sheetId="30" r:id="rId39"/>
    <sheet name="Space Assigned" sheetId="58" r:id="rId40"/>
    <sheet name="F&amp;A Recovery" sheetId="62" r:id="rId41"/>
    <sheet name="FY19 SSCM Allocation" sheetId="61" r:id="rId42"/>
  </sheets>
  <externalReferences>
    <externalReference r:id="rId43"/>
  </externalReferences>
  <definedNames>
    <definedName name="_xlnm.Print_Area" localSheetId="0">'Dashboard-Academic Allocation'!$A$1:$X$60</definedName>
    <definedName name="_xlnm.Print_Area" localSheetId="9">'Step 4a IM Summary'!$A$4:$H$31</definedName>
    <definedName name="_xlnm.Print_Area" localSheetId="14">'Step 7 Final Adjustments'!$A$1:$X$56</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27" i="60" l="1"/>
  <c r="F26" i="60"/>
  <c r="F25" i="60"/>
  <c r="F18" i="60"/>
  <c r="F45" i="60"/>
  <c r="E56" i="60"/>
  <c r="E55" i="60"/>
  <c r="E51" i="60"/>
  <c r="E50" i="60"/>
  <c r="E48" i="60"/>
  <c r="E47" i="60"/>
  <c r="E44" i="60"/>
  <c r="E42" i="60"/>
  <c r="E11" i="60"/>
  <c r="E10" i="60"/>
  <c r="E8" i="60"/>
  <c r="E7" i="60"/>
  <c r="C25" i="44"/>
  <c r="C8" i="44"/>
  <c r="C27" i="44" s="1"/>
  <c r="C15" i="44"/>
  <c r="I27" i="61"/>
  <c r="A1" i="61"/>
  <c r="B41" i="3" l="1"/>
  <c r="I19" i="3"/>
  <c r="C61" i="20" l="1"/>
  <c r="V4" i="23" l="1"/>
  <c r="B17" i="9"/>
  <c r="L53" i="8" l="1"/>
  <c r="S71" i="69"/>
  <c r="W18" i="20"/>
  <c r="S38" i="69"/>
  <c r="W28" i="20"/>
  <c r="D39" i="20"/>
  <c r="L36" i="8"/>
  <c r="N23" i="21"/>
  <c r="O58" i="8"/>
  <c r="AZ51" i="47"/>
  <c r="AZ44" i="47"/>
  <c r="AZ43" i="47"/>
  <c r="AZ37" i="47"/>
  <c r="AZ30" i="47"/>
  <c r="AZ13" i="47"/>
  <c r="AZ12" i="47"/>
  <c r="AX51" i="47"/>
  <c r="AX50" i="47"/>
  <c r="AX49" i="47"/>
  <c r="AX48" i="47"/>
  <c r="AX46" i="47"/>
  <c r="AX44" i="47"/>
  <c r="AX43" i="47"/>
  <c r="AX42" i="47"/>
  <c r="AX41" i="47"/>
  <c r="AX40" i="47"/>
  <c r="AX39" i="47"/>
  <c r="AX37" i="47"/>
  <c r="AX35" i="47"/>
  <c r="AX30" i="47"/>
  <c r="AX19" i="47"/>
  <c r="AX12" i="47"/>
  <c r="AV43" i="47"/>
  <c r="AV12" i="47"/>
  <c r="AG15" i="47"/>
  <c r="AZ40" i="47"/>
  <c r="AK39" i="47"/>
  <c r="AK12" i="47"/>
  <c r="U39" i="47"/>
  <c r="U19" i="47"/>
  <c r="U12" i="47"/>
  <c r="I34" i="56"/>
  <c r="I33" i="56"/>
  <c r="I32" i="56"/>
  <c r="I31" i="56"/>
  <c r="I30" i="56"/>
  <c r="I28" i="56"/>
  <c r="I27" i="56"/>
  <c r="I26" i="56"/>
  <c r="I25" i="56"/>
  <c r="I24" i="56"/>
  <c r="I23" i="56"/>
  <c r="I22" i="56"/>
  <c r="I21" i="56"/>
  <c r="I20" i="56"/>
  <c r="I19" i="56"/>
  <c r="I18" i="56"/>
  <c r="I17" i="56"/>
  <c r="H17" i="56"/>
  <c r="M74" i="53"/>
  <c r="M66" i="53"/>
  <c r="M52" i="53"/>
  <c r="M42" i="53"/>
  <c r="M26" i="53"/>
  <c r="M17" i="53"/>
  <c r="L17" i="53"/>
  <c r="M97" i="50"/>
  <c r="M99" i="50"/>
  <c r="M98" i="50"/>
  <c r="M96" i="50"/>
  <c r="M95" i="50"/>
  <c r="M94" i="50"/>
  <c r="M93" i="50"/>
  <c r="M92" i="50"/>
  <c r="M91" i="50"/>
  <c r="M90" i="50"/>
  <c r="M89" i="50"/>
  <c r="M88" i="50"/>
  <c r="M76" i="50"/>
  <c r="M75" i="50"/>
  <c r="M74" i="50"/>
  <c r="M73" i="50"/>
  <c r="M72" i="50"/>
  <c r="M71" i="50"/>
  <c r="M70" i="50"/>
  <c r="M69" i="50"/>
  <c r="M68" i="50"/>
  <c r="M67" i="50"/>
  <c r="M66" i="50"/>
  <c r="M65" i="50"/>
  <c r="M53" i="50"/>
  <c r="M52" i="50"/>
  <c r="M51" i="50"/>
  <c r="M50" i="50"/>
  <c r="M49" i="50"/>
  <c r="M47" i="50"/>
  <c r="M46" i="50"/>
  <c r="M45" i="50"/>
  <c r="M44" i="50"/>
  <c r="M43" i="50"/>
  <c r="M42" i="50"/>
  <c r="M28" i="50"/>
  <c r="M27" i="50"/>
  <c r="M26" i="50"/>
  <c r="M25" i="50"/>
  <c r="M24" i="50"/>
  <c r="M22" i="50"/>
  <c r="M21" i="50"/>
  <c r="M20" i="50"/>
  <c r="M19" i="50"/>
  <c r="M18" i="50"/>
  <c r="M17" i="50"/>
  <c r="M57" i="48"/>
  <c r="M42" i="48"/>
  <c r="M24" i="48"/>
  <c r="M26" i="48"/>
  <c r="M17" i="48"/>
  <c r="L17" i="48"/>
  <c r="H29" i="49"/>
  <c r="H28" i="49"/>
  <c r="H27" i="49"/>
  <c r="H26" i="49"/>
  <c r="H25" i="49"/>
  <c r="H23" i="49"/>
  <c r="H22" i="49"/>
  <c r="H21" i="49"/>
  <c r="H20" i="49"/>
  <c r="H19" i="49"/>
  <c r="H18" i="49"/>
  <c r="H17" i="49"/>
  <c r="H16" i="49"/>
  <c r="H15" i="49"/>
  <c r="H14" i="49"/>
  <c r="H13" i="49"/>
  <c r="H30" i="49"/>
  <c r="H12" i="49"/>
  <c r="F12" i="49"/>
  <c r="G12" i="49"/>
  <c r="M73" i="3"/>
  <c r="L75" i="3"/>
  <c r="K75" i="3"/>
  <c r="K64" i="3"/>
  <c r="D89" i="3"/>
  <c r="K41" i="3"/>
  <c r="M77" i="3"/>
  <c r="L77" i="3"/>
  <c r="K77" i="3"/>
  <c r="M75" i="3"/>
  <c r="M74" i="3"/>
  <c r="L74" i="3"/>
  <c r="K74" i="3"/>
  <c r="L73" i="3"/>
  <c r="K73" i="3"/>
  <c r="M72" i="3"/>
  <c r="L72" i="3"/>
  <c r="K72" i="3"/>
  <c r="M71" i="3"/>
  <c r="L71" i="3"/>
  <c r="K71" i="3"/>
  <c r="M70" i="3"/>
  <c r="L70" i="3"/>
  <c r="K70" i="3"/>
  <c r="M69" i="3"/>
  <c r="L69" i="3"/>
  <c r="K69" i="3"/>
  <c r="M68" i="3"/>
  <c r="L68" i="3"/>
  <c r="K68" i="3"/>
  <c r="M67" i="3"/>
  <c r="L67" i="3"/>
  <c r="K67" i="3"/>
  <c r="M66" i="3"/>
  <c r="L66" i="3"/>
  <c r="K66" i="3"/>
  <c r="M65" i="3"/>
  <c r="L65" i="3"/>
  <c r="K65" i="3"/>
  <c r="M64" i="3"/>
  <c r="L64" i="3"/>
  <c r="AZ41" i="47"/>
  <c r="AV41" i="47"/>
  <c r="AV48" i="47"/>
  <c r="AV51" i="47"/>
  <c r="AZ50" i="47"/>
  <c r="AV50" i="47"/>
  <c r="AZ49" i="47"/>
  <c r="AV49" i="47"/>
  <c r="AV44" i="47"/>
  <c r="AV37" i="47"/>
  <c r="AZ35" i="47"/>
  <c r="AV35" i="47"/>
  <c r="AV30" i="47"/>
  <c r="AZ29" i="47"/>
  <c r="AX29" i="47"/>
  <c r="AV29" i="47"/>
  <c r="AZ25" i="47"/>
  <c r="AX25" i="47"/>
  <c r="AV25" i="47"/>
  <c r="AZ24" i="47"/>
  <c r="AX24" i="47"/>
  <c r="AV24" i="47"/>
  <c r="AZ21" i="47"/>
  <c r="AX21" i="47"/>
  <c r="AV21" i="47"/>
  <c r="AZ20" i="47"/>
  <c r="AX20" i="47"/>
  <c r="AV20" i="47"/>
  <c r="AZ19" i="47"/>
  <c r="AV19" i="47"/>
  <c r="AZ18" i="47"/>
  <c r="AX18" i="47"/>
  <c r="AV18" i="47"/>
  <c r="AZ17" i="47"/>
  <c r="AX17" i="47"/>
  <c r="AV17" i="47"/>
  <c r="AZ16" i="47"/>
  <c r="AX16" i="47"/>
  <c r="AV16" i="47"/>
  <c r="AZ15" i="47"/>
  <c r="AX15" i="47"/>
  <c r="AV15" i="47"/>
  <c r="AZ14" i="47"/>
  <c r="AX14" i="47"/>
  <c r="AV14" i="47"/>
  <c r="AX13" i="47"/>
  <c r="AV13" i="47"/>
  <c r="Q12" i="47"/>
  <c r="AT53" i="47"/>
  <c r="AT46" i="47"/>
  <c r="AT31" i="47"/>
  <c r="AT54" i="47"/>
  <c r="AT29" i="47"/>
  <c r="AV42" i="47"/>
  <c r="AV40" i="47"/>
  <c r="AV39" i="47"/>
  <c r="AV53" i="47"/>
  <c r="AX22" i="47"/>
  <c r="AV22" i="47"/>
  <c r="AG12" i="47"/>
  <c r="AI12" i="47"/>
  <c r="AG13" i="47"/>
  <c r="AI13" i="47"/>
  <c r="AK13" i="47"/>
  <c r="AG14" i="47"/>
  <c r="AI14" i="47"/>
  <c r="AK14" i="47"/>
  <c r="AI15" i="47"/>
  <c r="AK15" i="47"/>
  <c r="AG16" i="47"/>
  <c r="AI16" i="47"/>
  <c r="AK16" i="47"/>
  <c r="AG17" i="47"/>
  <c r="AI17" i="47"/>
  <c r="AK17" i="47"/>
  <c r="AG18" i="47"/>
  <c r="AI18" i="47"/>
  <c r="AK18" i="47"/>
  <c r="AG19" i="47"/>
  <c r="AI19" i="47"/>
  <c r="AK19" i="47"/>
  <c r="AG20" i="47"/>
  <c r="AI20" i="47"/>
  <c r="AK20" i="47"/>
  <c r="AG21" i="47"/>
  <c r="AI21" i="47"/>
  <c r="AK21" i="47"/>
  <c r="AG22" i="47"/>
  <c r="AI22" i="47"/>
  <c r="AK22" i="47"/>
  <c r="AG24" i="47"/>
  <c r="AI24" i="47"/>
  <c r="AG29" i="47"/>
  <c r="AI29" i="47"/>
  <c r="AK29" i="47"/>
  <c r="AG30" i="47"/>
  <c r="AI30" i="47"/>
  <c r="AK30" i="47"/>
  <c r="AG35" i="47"/>
  <c r="AI35" i="47"/>
  <c r="AK35" i="47"/>
  <c r="AG39" i="47"/>
  <c r="AG40" i="47"/>
  <c r="AI41" i="47"/>
  <c r="AK41" i="47"/>
  <c r="AG42" i="47"/>
  <c r="AG44" i="47"/>
  <c r="AI44" i="47"/>
  <c r="AK44" i="47"/>
  <c r="AI46" i="47"/>
  <c r="AK46" i="47"/>
  <c r="AI48" i="47"/>
  <c r="AK48" i="47"/>
  <c r="AG49" i="47"/>
  <c r="AG50" i="47"/>
  <c r="Y46" i="47"/>
  <c r="AG46" i="47"/>
  <c r="Y43" i="47"/>
  <c r="AE40" i="47"/>
  <c r="AE37" i="47"/>
  <c r="AE53" i="47"/>
  <c r="AE54" i="47"/>
  <c r="AD40" i="47"/>
  <c r="AC40" i="47"/>
  <c r="AC37" i="47"/>
  <c r="AE39" i="47"/>
  <c r="AD39" i="47"/>
  <c r="AC39" i="47"/>
  <c r="AB39" i="47"/>
  <c r="AI39" i="47"/>
  <c r="AE31" i="47"/>
  <c r="AD31" i="47"/>
  <c r="Y30" i="47"/>
  <c r="U49" i="47"/>
  <c r="U46" i="47"/>
  <c r="U44" i="47"/>
  <c r="U42" i="47"/>
  <c r="U41" i="47"/>
  <c r="U40" i="47"/>
  <c r="U35" i="47"/>
  <c r="U30" i="47"/>
  <c r="U29" i="47"/>
  <c r="U22" i="47"/>
  <c r="U21" i="47"/>
  <c r="U20" i="47"/>
  <c r="U18" i="47"/>
  <c r="U17" i="47"/>
  <c r="U16" i="47"/>
  <c r="U15" i="47"/>
  <c r="U14" i="47"/>
  <c r="U13" i="47"/>
  <c r="O54" i="47"/>
  <c r="O57" i="47"/>
  <c r="S12" i="47"/>
  <c r="T36" i="56"/>
  <c r="M65" i="53"/>
  <c r="O42" i="53"/>
  <c r="O65" i="53"/>
  <c r="O66" i="53"/>
  <c r="O67" i="53"/>
  <c r="O43" i="53"/>
  <c r="O44" i="53"/>
  <c r="O45" i="53"/>
  <c r="O46" i="53"/>
  <c r="O47" i="53"/>
  <c r="O48" i="53"/>
  <c r="O49" i="53"/>
  <c r="O50" i="53"/>
  <c r="O51" i="53"/>
  <c r="O52" i="53"/>
  <c r="O53" i="53"/>
  <c r="O55" i="53"/>
  <c r="O56" i="53"/>
  <c r="O57" i="53"/>
  <c r="O58" i="53"/>
  <c r="O59" i="53"/>
  <c r="O32" i="53"/>
  <c r="O33" i="53"/>
  <c r="O34" i="53"/>
  <c r="O31" i="53"/>
  <c r="O23" i="53"/>
  <c r="O30" i="53"/>
  <c r="O19" i="53"/>
  <c r="O20" i="53"/>
  <c r="O21" i="53"/>
  <c r="O22" i="53"/>
  <c r="O24" i="53"/>
  <c r="O25" i="53"/>
  <c r="O26" i="53"/>
  <c r="O27" i="53"/>
  <c r="O28" i="53"/>
  <c r="O18" i="53"/>
  <c r="O17" i="53"/>
  <c r="J6" i="53"/>
  <c r="J4" i="53"/>
  <c r="J5" i="53"/>
  <c r="Z83" i="53"/>
  <c r="Z76" i="53"/>
  <c r="Z75" i="53"/>
  <c r="Z74" i="53"/>
  <c r="Z73" i="53"/>
  <c r="Z72" i="53"/>
  <c r="Z71" i="53"/>
  <c r="Z70" i="53"/>
  <c r="Z69" i="53"/>
  <c r="Z68" i="53"/>
  <c r="Z67" i="53"/>
  <c r="Z66" i="53"/>
  <c r="Z65" i="53"/>
  <c r="Z60" i="53"/>
  <c r="Z35" i="53"/>
  <c r="Z106" i="50"/>
  <c r="Z60" i="50"/>
  <c r="Z83" i="50"/>
  <c r="M59" i="48"/>
  <c r="M58" i="48"/>
  <c r="M56" i="48"/>
  <c r="M55" i="48"/>
  <c r="M53" i="48"/>
  <c r="M52" i="48"/>
  <c r="M51" i="48"/>
  <c r="M50" i="48"/>
  <c r="M49" i="48"/>
  <c r="M48" i="48"/>
  <c r="M47" i="48"/>
  <c r="M46" i="48"/>
  <c r="M45" i="48"/>
  <c r="M44" i="48"/>
  <c r="M43" i="48"/>
  <c r="M28" i="48"/>
  <c r="M27" i="48"/>
  <c r="M25" i="48"/>
  <c r="M23" i="48"/>
  <c r="M22" i="48"/>
  <c r="M21" i="48"/>
  <c r="M20" i="48"/>
  <c r="M19" i="48"/>
  <c r="M18" i="48"/>
  <c r="Z60" i="48"/>
  <c r="Z35" i="48"/>
  <c r="S31" i="49"/>
  <c r="AA14" i="3"/>
  <c r="AA139" i="3"/>
  <c r="AA134" i="3"/>
  <c r="AA152" i="3"/>
  <c r="AA129" i="3"/>
  <c r="AA90" i="3"/>
  <c r="AA85" i="3"/>
  <c r="AA103" i="3"/>
  <c r="AA82" i="3"/>
  <c r="AA46" i="3"/>
  <c r="AA41" i="3"/>
  <c r="AA59" i="3"/>
  <c r="AA37" i="3"/>
  <c r="AG53" i="47"/>
  <c r="AK31" i="47"/>
  <c r="AK40" i="47"/>
  <c r="AD37" i="47"/>
  <c r="AI40" i="47"/>
  <c r="AI31" i="47"/>
  <c r="AG31" i="47"/>
  <c r="AG54" i="47"/>
  <c r="O68" i="53"/>
  <c r="M67" i="53"/>
  <c r="E26" i="71"/>
  <c r="AI37" i="47"/>
  <c r="AI53" i="47"/>
  <c r="AI54" i="47"/>
  <c r="AK37" i="47"/>
  <c r="AK53" i="47"/>
  <c r="AK54" i="47"/>
  <c r="AH12" i="47"/>
  <c r="AH16" i="47"/>
  <c r="AH20" i="47"/>
  <c r="AH29" i="47"/>
  <c r="AG57" i="47"/>
  <c r="AH13" i="47"/>
  <c r="AH17" i="47"/>
  <c r="AH21" i="47"/>
  <c r="AH27" i="47"/>
  <c r="AH30" i="47"/>
  <c r="AH35" i="47"/>
  <c r="AH39" i="47"/>
  <c r="AH44" i="47"/>
  <c r="AH14" i="47"/>
  <c r="AH18" i="47"/>
  <c r="AH22" i="47"/>
  <c r="AH40" i="47"/>
  <c r="AH42" i="47"/>
  <c r="AH48" i="47"/>
  <c r="AH46" i="47"/>
  <c r="AH50" i="47"/>
  <c r="AH15" i="47"/>
  <c r="AH49" i="47"/>
  <c r="AH19" i="47"/>
  <c r="O69" i="53"/>
  <c r="M68" i="53"/>
  <c r="Y9" i="70"/>
  <c r="Y8" i="70"/>
  <c r="Y7" i="70"/>
  <c r="Y18" i="70"/>
  <c r="Y25" i="70"/>
  <c r="Y24" i="70"/>
  <c r="Y33" i="70"/>
  <c r="Y31" i="70"/>
  <c r="E33" i="70"/>
  <c r="E31" i="70"/>
  <c r="E25" i="70"/>
  <c r="E24" i="70"/>
  <c r="D33" i="70"/>
  <c r="C33" i="70"/>
  <c r="D31" i="70"/>
  <c r="C31" i="70"/>
  <c r="D25" i="70"/>
  <c r="C25" i="70"/>
  <c r="D24" i="70"/>
  <c r="C24" i="70"/>
  <c r="B33" i="70"/>
  <c r="B31" i="70"/>
  <c r="B25" i="70"/>
  <c r="B24" i="70"/>
  <c r="E18" i="70"/>
  <c r="E9" i="70"/>
  <c r="E8" i="70"/>
  <c r="E7" i="70"/>
  <c r="D18" i="70"/>
  <c r="C18" i="70"/>
  <c r="D9" i="70"/>
  <c r="C9" i="70"/>
  <c r="D8" i="70"/>
  <c r="C8" i="70"/>
  <c r="D7" i="70"/>
  <c r="C7" i="70"/>
  <c r="B18" i="70"/>
  <c r="B9" i="70"/>
  <c r="B8" i="70"/>
  <c r="B7" i="70"/>
  <c r="W37" i="70"/>
  <c r="V37" i="70"/>
  <c r="U37" i="70"/>
  <c r="T37" i="70"/>
  <c r="W20" i="70"/>
  <c r="V20" i="70"/>
  <c r="U20" i="70"/>
  <c r="T20" i="70"/>
  <c r="AJ17" i="47"/>
  <c r="AJ14" i="47"/>
  <c r="AJ40" i="47"/>
  <c r="AJ15" i="47"/>
  <c r="AJ27" i="47"/>
  <c r="AJ41" i="47"/>
  <c r="AJ20" i="47"/>
  <c r="AJ35" i="47"/>
  <c r="AJ18" i="47"/>
  <c r="AJ46" i="47"/>
  <c r="AJ19" i="47"/>
  <c r="AJ29" i="47"/>
  <c r="AJ13" i="47"/>
  <c r="AJ39" i="47"/>
  <c r="AJ44" i="47"/>
  <c r="AJ42" i="47"/>
  <c r="AJ48" i="47"/>
  <c r="AJ12" i="47"/>
  <c r="AJ30" i="47"/>
  <c r="AJ50" i="47"/>
  <c r="AJ49" i="47"/>
  <c r="AJ21" i="47"/>
  <c r="AJ22" i="47"/>
  <c r="AJ37" i="47"/>
  <c r="AJ54" i="47"/>
  <c r="AJ24" i="47"/>
  <c r="AJ16" i="47"/>
  <c r="AH54" i="47"/>
  <c r="AL18" i="47"/>
  <c r="AL39" i="47"/>
  <c r="AL19" i="47"/>
  <c r="AL40" i="47"/>
  <c r="AL37" i="47"/>
  <c r="AL20" i="47"/>
  <c r="AL12" i="47"/>
  <c r="AL17" i="47"/>
  <c r="AL27" i="47"/>
  <c r="M69" i="53"/>
  <c r="O70" i="53"/>
  <c r="L52" i="9"/>
  <c r="B11" i="9"/>
  <c r="B8" i="9"/>
  <c r="Q63" i="69"/>
  <c r="Q43" i="69"/>
  <c r="Q30" i="69"/>
  <c r="AL49" i="47"/>
  <c r="AL44" i="47"/>
  <c r="AL41" i="47"/>
  <c r="AL42" i="47"/>
  <c r="AL48" i="47"/>
  <c r="AL29" i="47"/>
  <c r="AL21" i="47"/>
  <c r="AL22" i="47"/>
  <c r="AL30" i="47"/>
  <c r="AL14" i="47"/>
  <c r="AL50" i="47"/>
  <c r="AL13" i="47"/>
  <c r="AL46" i="47"/>
  <c r="AL15" i="47"/>
  <c r="AL35" i="47"/>
  <c r="AL16" i="47"/>
  <c r="O71" i="53"/>
  <c r="M70" i="53"/>
  <c r="O74" i="69"/>
  <c r="AL54" i="47"/>
  <c r="O72" i="53"/>
  <c r="M71" i="53"/>
  <c r="Q79" i="69"/>
  <c r="Q50" i="69"/>
  <c r="O73" i="53"/>
  <c r="M72" i="53"/>
  <c r="Q26" i="69"/>
  <c r="Q62" i="69"/>
  <c r="M73" i="53"/>
  <c r="O74" i="53"/>
  <c r="Q11" i="69"/>
  <c r="R51" i="21"/>
  <c r="R45" i="21"/>
  <c r="R31" i="21"/>
  <c r="O75" i="53"/>
  <c r="O53" i="8"/>
  <c r="O76" i="53"/>
  <c r="M75" i="53"/>
  <c r="Q9" i="69"/>
  <c r="D26" i="69"/>
  <c r="O7" i="69"/>
  <c r="D43" i="20"/>
  <c r="D42" i="20"/>
  <c r="W58" i="20"/>
  <c r="W34" i="20"/>
  <c r="L38" i="9"/>
  <c r="O78" i="53"/>
  <c r="O79" i="53"/>
  <c r="O80" i="53"/>
  <c r="O81" i="53"/>
  <c r="O82" i="53"/>
  <c r="M76" i="53"/>
  <c r="L39" i="9"/>
  <c r="L37" i="9"/>
  <c r="L36" i="9"/>
  <c r="O34" i="9"/>
  <c r="O30" i="9"/>
  <c r="X58" i="62"/>
  <c r="X59" i="62"/>
  <c r="X62" i="62"/>
  <c r="X60" i="62"/>
  <c r="X61" i="62"/>
  <c r="N11" i="62"/>
  <c r="U11" i="62"/>
  <c r="P11" i="62"/>
  <c r="R11" i="62"/>
  <c r="R33" i="62"/>
  <c r="N12" i="62"/>
  <c r="P12" i="62"/>
  <c r="R12" i="62"/>
  <c r="U12" i="62"/>
  <c r="X12" i="62"/>
  <c r="W12" i="62"/>
  <c r="W37" i="62"/>
  <c r="N13" i="62"/>
  <c r="N33" i="62"/>
  <c r="P13" i="62"/>
  <c r="R13" i="62"/>
  <c r="N14" i="62"/>
  <c r="U14" i="62"/>
  <c r="P14" i="62"/>
  <c r="R14" i="62"/>
  <c r="N15" i="62"/>
  <c r="U15" i="62"/>
  <c r="P15" i="62"/>
  <c r="R15" i="62"/>
  <c r="N16" i="62"/>
  <c r="P16" i="62"/>
  <c r="R16" i="62"/>
  <c r="U16" i="62"/>
  <c r="X16" i="62"/>
  <c r="W16" i="62"/>
  <c r="W41" i="62"/>
  <c r="N17" i="62"/>
  <c r="U17" i="62"/>
  <c r="P17" i="62"/>
  <c r="R17" i="62"/>
  <c r="N18" i="62"/>
  <c r="U18" i="62"/>
  <c r="P18" i="62"/>
  <c r="R18" i="62"/>
  <c r="N19" i="62"/>
  <c r="U19" i="62"/>
  <c r="P19" i="62"/>
  <c r="R19" i="62"/>
  <c r="N20" i="62"/>
  <c r="P20" i="62"/>
  <c r="R20" i="62"/>
  <c r="U20" i="62"/>
  <c r="X20" i="62"/>
  <c r="W20" i="62"/>
  <c r="W45" i="62"/>
  <c r="N21" i="62"/>
  <c r="U21" i="62"/>
  <c r="P21" i="62"/>
  <c r="R21" i="62"/>
  <c r="N22" i="62"/>
  <c r="U22" i="62"/>
  <c r="P22" i="62"/>
  <c r="R22" i="62"/>
  <c r="N23" i="62"/>
  <c r="U23" i="62"/>
  <c r="P23" i="62"/>
  <c r="R23" i="62"/>
  <c r="N24" i="62"/>
  <c r="P24" i="62"/>
  <c r="R24" i="62"/>
  <c r="U24" i="62"/>
  <c r="X24" i="62"/>
  <c r="W24" i="62"/>
  <c r="W49" i="62"/>
  <c r="N25" i="62"/>
  <c r="U25" i="62"/>
  <c r="P25" i="62"/>
  <c r="R25" i="62"/>
  <c r="N26" i="62"/>
  <c r="U26" i="62"/>
  <c r="P26" i="62"/>
  <c r="R26" i="62"/>
  <c r="N27" i="62"/>
  <c r="U27" i="62"/>
  <c r="P27" i="62"/>
  <c r="R27" i="62"/>
  <c r="N28" i="62"/>
  <c r="P28" i="62"/>
  <c r="R28" i="62"/>
  <c r="U28" i="62"/>
  <c r="X28" i="62"/>
  <c r="W28" i="62"/>
  <c r="W53" i="62"/>
  <c r="N29" i="62"/>
  <c r="U29" i="62"/>
  <c r="P29" i="62"/>
  <c r="R29" i="62"/>
  <c r="N30" i="62"/>
  <c r="U30" i="62"/>
  <c r="P30" i="62"/>
  <c r="R30" i="62"/>
  <c r="N31" i="62"/>
  <c r="U31" i="62"/>
  <c r="P31" i="62"/>
  <c r="R31" i="62"/>
  <c r="N32" i="62"/>
  <c r="P32" i="62"/>
  <c r="R32" i="62"/>
  <c r="U32" i="62"/>
  <c r="X32" i="62"/>
  <c r="W32" i="62"/>
  <c r="W57" i="62"/>
  <c r="U58" i="62"/>
  <c r="R58" i="62"/>
  <c r="R61" i="62"/>
  <c r="Q36" i="62"/>
  <c r="Q61" i="62"/>
  <c r="Q39" i="62"/>
  <c r="Q40" i="62"/>
  <c r="Q41" i="62"/>
  <c r="Q44" i="62"/>
  <c r="Q45" i="62"/>
  <c r="Q58" i="62"/>
  <c r="P58" i="62"/>
  <c r="P61" i="62"/>
  <c r="O36" i="62"/>
  <c r="O61" i="62"/>
  <c r="O44" i="62"/>
  <c r="O58" i="62"/>
  <c r="O62" i="62"/>
  <c r="N58" i="62"/>
  <c r="N62" i="62"/>
  <c r="N61" i="62"/>
  <c r="M36" i="62"/>
  <c r="M44" i="62"/>
  <c r="M57" i="62"/>
  <c r="L58" i="62"/>
  <c r="K36" i="62"/>
  <c r="K37" i="62"/>
  <c r="K38" i="62"/>
  <c r="K39" i="62"/>
  <c r="K40" i="62"/>
  <c r="K41" i="62"/>
  <c r="K42" i="62"/>
  <c r="K43" i="62"/>
  <c r="K44" i="62"/>
  <c r="K45" i="62"/>
  <c r="K57" i="62"/>
  <c r="J58" i="62"/>
  <c r="J61" i="62"/>
  <c r="J62" i="62"/>
  <c r="I36" i="62"/>
  <c r="I37" i="62"/>
  <c r="I38" i="62"/>
  <c r="I39" i="62"/>
  <c r="I40" i="62"/>
  <c r="I41" i="62"/>
  <c r="I42" i="62"/>
  <c r="I57" i="62"/>
  <c r="I58" i="62"/>
  <c r="Y56" i="62"/>
  <c r="Y57" i="62"/>
  <c r="P33" i="62"/>
  <c r="L11" i="62"/>
  <c r="L12" i="62"/>
  <c r="L13" i="62"/>
  <c r="L14" i="62"/>
  <c r="L15" i="62"/>
  <c r="L16" i="62"/>
  <c r="L17" i="62"/>
  <c r="L18" i="62"/>
  <c r="L19" i="62"/>
  <c r="L20" i="62"/>
  <c r="L21" i="62"/>
  <c r="L22" i="62"/>
  <c r="L23" i="62"/>
  <c r="L24" i="62"/>
  <c r="L25" i="62"/>
  <c r="L26" i="62"/>
  <c r="L27" i="62"/>
  <c r="L28" i="62"/>
  <c r="L29" i="62"/>
  <c r="L30" i="62"/>
  <c r="L31" i="62"/>
  <c r="L32" i="62"/>
  <c r="L33" i="62"/>
  <c r="J11" i="62"/>
  <c r="J12" i="62"/>
  <c r="J13" i="62"/>
  <c r="J14" i="62"/>
  <c r="J15" i="62"/>
  <c r="J16" i="62"/>
  <c r="J17" i="62"/>
  <c r="J18" i="62"/>
  <c r="J19" i="62"/>
  <c r="J20" i="62"/>
  <c r="J21" i="62"/>
  <c r="J22" i="62"/>
  <c r="J23" i="62"/>
  <c r="J24" i="62"/>
  <c r="J25" i="62"/>
  <c r="J26" i="62"/>
  <c r="J27" i="62"/>
  <c r="J28" i="62"/>
  <c r="J29" i="62"/>
  <c r="J30" i="62"/>
  <c r="J31" i="62"/>
  <c r="J32" i="62"/>
  <c r="AA12" i="62"/>
  <c r="AA14" i="62"/>
  <c r="W7" i="62"/>
  <c r="T7" i="62"/>
  <c r="D29" i="62"/>
  <c r="D27" i="62"/>
  <c r="D26" i="62"/>
  <c r="D25" i="62"/>
  <c r="D22" i="62"/>
  <c r="D21" i="62"/>
  <c r="D20" i="62"/>
  <c r="D19" i="62"/>
  <c r="D18" i="62"/>
  <c r="D17" i="62"/>
  <c r="D16" i="62"/>
  <c r="D15" i="62"/>
  <c r="D14" i="62"/>
  <c r="D13" i="62"/>
  <c r="D12" i="62"/>
  <c r="D9" i="62"/>
  <c r="D8" i="62"/>
  <c r="D7" i="62"/>
  <c r="C34" i="62"/>
  <c r="B34" i="62"/>
  <c r="C9" i="63"/>
  <c r="D25" i="63"/>
  <c r="I23" i="63"/>
  <c r="I24" i="63"/>
  <c r="D24" i="63"/>
  <c r="D23" i="63"/>
  <c r="D26" i="63"/>
  <c r="D9" i="63"/>
  <c r="C26" i="63"/>
  <c r="B26" i="63"/>
  <c r="B9" i="63"/>
  <c r="D30" i="63"/>
  <c r="H25" i="63"/>
  <c r="H9" i="63"/>
  <c r="H13" i="63"/>
  <c r="H14" i="63"/>
  <c r="G25" i="63"/>
  <c r="G9" i="63"/>
  <c r="G16" i="63"/>
  <c r="C13" i="63"/>
  <c r="B16" i="63"/>
  <c r="C30" i="63"/>
  <c r="B30" i="63"/>
  <c r="V35" i="48"/>
  <c r="L25" i="8"/>
  <c r="L39" i="47"/>
  <c r="AR35" i="47"/>
  <c r="AS35" i="47"/>
  <c r="AQ12" i="47"/>
  <c r="AR12" i="47"/>
  <c r="AS12" i="47"/>
  <c r="AR13" i="47"/>
  <c r="AQ14" i="47"/>
  <c r="AR14" i="47"/>
  <c r="AS14" i="47"/>
  <c r="AR15" i="47"/>
  <c r="AS15" i="47"/>
  <c r="AQ18" i="47"/>
  <c r="AR18" i="47"/>
  <c r="AS18" i="47"/>
  <c r="AQ20" i="47"/>
  <c r="AR20" i="47"/>
  <c r="AQ21" i="47"/>
  <c r="AR21" i="47"/>
  <c r="AS21" i="47"/>
  <c r="AS22" i="47"/>
  <c r="AZ22" i="47"/>
  <c r="AR29" i="47"/>
  <c r="AS29" i="47"/>
  <c r="AQ30" i="47"/>
  <c r="AR30" i="47"/>
  <c r="AS30" i="47"/>
  <c r="AR37" i="47"/>
  <c r="AS37" i="47"/>
  <c r="AQ39" i="47"/>
  <c r="AQ40" i="47"/>
  <c r="AR41" i="47"/>
  <c r="AR44" i="47"/>
  <c r="AS44" i="47"/>
  <c r="AQ46" i="47"/>
  <c r="AZ46" i="47"/>
  <c r="AR46" i="47"/>
  <c r="AS46" i="47"/>
  <c r="AQ48" i="47"/>
  <c r="O48" i="69"/>
  <c r="H29" i="69"/>
  <c r="H27" i="69"/>
  <c r="D40" i="69"/>
  <c r="N1" i="21"/>
  <c r="S3" i="21"/>
  <c r="D4" i="48"/>
  <c r="E4" i="48"/>
  <c r="E5" i="48"/>
  <c r="D5" i="48"/>
  <c r="J8" i="53"/>
  <c r="O88" i="53"/>
  <c r="J7" i="53"/>
  <c r="O110" i="53"/>
  <c r="O90" i="53"/>
  <c r="O98" i="53"/>
  <c r="K98" i="53"/>
  <c r="M59" i="53"/>
  <c r="O13" i="50"/>
  <c r="O50" i="50"/>
  <c r="F45" i="54"/>
  <c r="F68" i="54"/>
  <c r="O46" i="50"/>
  <c r="F41" i="54"/>
  <c r="F64" i="54"/>
  <c r="O69" i="50"/>
  <c r="L69" i="50"/>
  <c r="C4" i="50"/>
  <c r="C5" i="50"/>
  <c r="D4" i="50"/>
  <c r="D5" i="50"/>
  <c r="Q7" i="69"/>
  <c r="D24" i="69"/>
  <c r="D28" i="69"/>
  <c r="Q16" i="69"/>
  <c r="D30" i="69"/>
  <c r="Q23" i="69"/>
  <c r="D37" i="69"/>
  <c r="D41" i="69"/>
  <c r="D43" i="69"/>
  <c r="Q60" i="69"/>
  <c r="D44" i="69"/>
  <c r="Q61" i="69"/>
  <c r="D45" i="69"/>
  <c r="D46" i="69"/>
  <c r="D47" i="69"/>
  <c r="Q78" i="69"/>
  <c r="D48" i="69"/>
  <c r="D49" i="69"/>
  <c r="Q96" i="69"/>
  <c r="D50" i="69"/>
  <c r="Q101" i="69"/>
  <c r="D51" i="69"/>
  <c r="Q102" i="69"/>
  <c r="D52" i="69"/>
  <c r="Q103" i="69"/>
  <c r="D53" i="69"/>
  <c r="C56" i="69"/>
  <c r="H25" i="69"/>
  <c r="W48" i="20"/>
  <c r="W49" i="20"/>
  <c r="T43" i="20"/>
  <c r="T58" i="20"/>
  <c r="Z35" i="72"/>
  <c r="Z43" i="72"/>
  <c r="Z58" i="72"/>
  <c r="Z59" i="72"/>
  <c r="S35" i="23"/>
  <c r="S43" i="23"/>
  <c r="S58" i="23"/>
  <c r="T35" i="22"/>
  <c r="T43" i="22"/>
  <c r="T58" i="22"/>
  <c r="T35" i="20"/>
  <c r="H10" i="46"/>
  <c r="C10" i="46"/>
  <c r="B16" i="19"/>
  <c r="C16" i="19"/>
  <c r="E16" i="19"/>
  <c r="G16" i="19"/>
  <c r="H16" i="19"/>
  <c r="I16" i="19"/>
  <c r="J16" i="19"/>
  <c r="T35" i="19"/>
  <c r="T59" i="19"/>
  <c r="T43" i="19"/>
  <c r="T58" i="19"/>
  <c r="Y35" i="71"/>
  <c r="Y59" i="71"/>
  <c r="Y43" i="71"/>
  <c r="Y58" i="71"/>
  <c r="Y43" i="21"/>
  <c r="X43" i="21"/>
  <c r="AH57" i="57"/>
  <c r="AH56" i="57"/>
  <c r="AH55" i="57"/>
  <c r="AH54" i="57"/>
  <c r="AH53" i="57"/>
  <c r="AH52" i="57"/>
  <c r="AH51" i="57"/>
  <c r="AH50" i="57"/>
  <c r="AH49" i="57"/>
  <c r="AH48" i="57"/>
  <c r="AH47" i="57"/>
  <c r="AH46" i="57"/>
  <c r="AH45" i="57"/>
  <c r="AH44" i="57"/>
  <c r="AH42" i="57"/>
  <c r="AH41" i="57"/>
  <c r="AH39" i="57"/>
  <c r="AH34" i="57"/>
  <c r="AH33" i="57"/>
  <c r="AH32" i="57"/>
  <c r="AC19" i="57"/>
  <c r="AH31" i="57"/>
  <c r="AH30" i="57"/>
  <c r="AH29" i="57"/>
  <c r="AC21" i="57"/>
  <c r="AH28" i="57"/>
  <c r="AC18" i="57"/>
  <c r="AH27" i="57"/>
  <c r="AH26" i="57"/>
  <c r="AH25" i="57"/>
  <c r="AH24" i="57"/>
  <c r="AC15" i="57"/>
  <c r="AH23" i="57"/>
  <c r="AH22" i="57"/>
  <c r="AH21" i="57"/>
  <c r="AH20" i="57"/>
  <c r="AC11" i="57"/>
  <c r="AH19" i="57"/>
  <c r="AH18" i="57"/>
  <c r="AH17" i="57"/>
  <c r="AH16" i="57"/>
  <c r="AH35" i="57"/>
  <c r="AH59" i="57"/>
  <c r="AH15" i="57"/>
  <c r="L7" i="24"/>
  <c r="M7" i="24"/>
  <c r="L17" i="24"/>
  <c r="M17" i="24"/>
  <c r="L18" i="24"/>
  <c r="M18" i="24"/>
  <c r="L19" i="24"/>
  <c r="M19" i="24"/>
  <c r="L20" i="24"/>
  <c r="M20" i="24"/>
  <c r="L21" i="24"/>
  <c r="M21" i="24"/>
  <c r="L22" i="24"/>
  <c r="M22" i="24"/>
  <c r="L23" i="24"/>
  <c r="M23" i="24"/>
  <c r="L24" i="24"/>
  <c r="M24" i="24"/>
  <c r="M36" i="24"/>
  <c r="L25" i="24"/>
  <c r="M25" i="24"/>
  <c r="L26" i="24"/>
  <c r="M26" i="24"/>
  <c r="L27" i="24"/>
  <c r="M27" i="24"/>
  <c r="L28" i="24"/>
  <c r="M28" i="24"/>
  <c r="L29" i="24"/>
  <c r="M29" i="24"/>
  <c r="L30" i="24"/>
  <c r="M30" i="24"/>
  <c r="L31" i="24"/>
  <c r="M31" i="24"/>
  <c r="L32" i="24"/>
  <c r="M32" i="24"/>
  <c r="L33" i="24"/>
  <c r="M33" i="24"/>
  <c r="L34" i="24"/>
  <c r="M34" i="24"/>
  <c r="L35" i="24"/>
  <c r="M35" i="24"/>
  <c r="L40" i="24"/>
  <c r="M40" i="24"/>
  <c r="D41" i="24"/>
  <c r="AH40" i="57"/>
  <c r="L41" i="24"/>
  <c r="M41" i="24"/>
  <c r="L42" i="24"/>
  <c r="M42" i="24"/>
  <c r="L43" i="24"/>
  <c r="M43" i="24"/>
  <c r="D44" i="24"/>
  <c r="AH43" i="57"/>
  <c r="L44" i="24"/>
  <c r="M44" i="24"/>
  <c r="L45" i="24"/>
  <c r="M45" i="24"/>
  <c r="L46" i="24"/>
  <c r="M46" i="24"/>
  <c r="L47" i="24"/>
  <c r="M47" i="24"/>
  <c r="L48" i="24"/>
  <c r="M48" i="24"/>
  <c r="L49" i="24"/>
  <c r="M49" i="24"/>
  <c r="L50" i="24"/>
  <c r="M50" i="24"/>
  <c r="L51" i="24"/>
  <c r="M51" i="24"/>
  <c r="L52" i="24"/>
  <c r="M52" i="24"/>
  <c r="L53" i="24"/>
  <c r="M53" i="24"/>
  <c r="L54" i="24"/>
  <c r="M54" i="24"/>
  <c r="L55" i="24"/>
  <c r="M55" i="24"/>
  <c r="L56" i="24"/>
  <c r="M56" i="24"/>
  <c r="L57" i="24"/>
  <c r="M57" i="24"/>
  <c r="L58" i="24"/>
  <c r="M58" i="24"/>
  <c r="O7" i="24"/>
  <c r="O16" i="24"/>
  <c r="O17" i="24"/>
  <c r="O36" i="24"/>
  <c r="O60" i="24"/>
  <c r="O18" i="24"/>
  <c r="O19" i="24"/>
  <c r="O20" i="24"/>
  <c r="O21" i="24"/>
  <c r="O22" i="24"/>
  <c r="O23" i="24"/>
  <c r="O24" i="24"/>
  <c r="O25" i="24"/>
  <c r="O26" i="24"/>
  <c r="O27" i="24"/>
  <c r="O28" i="24"/>
  <c r="O29" i="24"/>
  <c r="O30" i="24"/>
  <c r="O31" i="24"/>
  <c r="O32" i="24"/>
  <c r="O33" i="24"/>
  <c r="O34" i="24"/>
  <c r="O35" i="24"/>
  <c r="O40" i="24"/>
  <c r="O59" i="24"/>
  <c r="O41" i="24"/>
  <c r="O42" i="24"/>
  <c r="O43" i="24"/>
  <c r="O44" i="24"/>
  <c r="O45" i="24"/>
  <c r="O46" i="24"/>
  <c r="O47" i="24"/>
  <c r="O48" i="24"/>
  <c r="O49" i="24"/>
  <c r="O50" i="24"/>
  <c r="O51" i="24"/>
  <c r="O52" i="24"/>
  <c r="O53" i="24"/>
  <c r="O54" i="24"/>
  <c r="O55" i="24"/>
  <c r="O56" i="24"/>
  <c r="O57" i="24"/>
  <c r="O58" i="24"/>
  <c r="L59" i="24"/>
  <c r="K36" i="24"/>
  <c r="K59" i="24"/>
  <c r="K60" i="24"/>
  <c r="G36" i="24"/>
  <c r="G60" i="24"/>
  <c r="G59" i="24"/>
  <c r="E36" i="24"/>
  <c r="E41" i="24"/>
  <c r="E44" i="24"/>
  <c r="D39" i="22"/>
  <c r="D39" i="23"/>
  <c r="D42" i="22"/>
  <c r="D42" i="23"/>
  <c r="C43" i="20"/>
  <c r="C43" i="22"/>
  <c r="B27" i="19"/>
  <c r="B27" i="20"/>
  <c r="B27" i="22"/>
  <c r="B27" i="23"/>
  <c r="E27" i="19"/>
  <c r="E27" i="20"/>
  <c r="G27" i="19"/>
  <c r="G27" i="20"/>
  <c r="H27" i="19"/>
  <c r="H27" i="20"/>
  <c r="I27" i="19"/>
  <c r="I27" i="20"/>
  <c r="J27" i="19"/>
  <c r="J27" i="20"/>
  <c r="L27" i="71"/>
  <c r="M27" i="71"/>
  <c r="N27" i="71"/>
  <c r="L6" i="8"/>
  <c r="L7" i="8"/>
  <c r="L8" i="8"/>
  <c r="L9" i="8"/>
  <c r="L10" i="8"/>
  <c r="L11" i="8"/>
  <c r="L12" i="8"/>
  <c r="L13" i="8"/>
  <c r="L14" i="8"/>
  <c r="L15" i="8"/>
  <c r="L16" i="8"/>
  <c r="L17" i="8"/>
  <c r="L18" i="8"/>
  <c r="L19" i="8"/>
  <c r="L20" i="8"/>
  <c r="L21" i="8"/>
  <c r="L22" i="8"/>
  <c r="L27" i="8"/>
  <c r="L28" i="8"/>
  <c r="L29" i="8"/>
  <c r="L30" i="8"/>
  <c r="L31" i="8"/>
  <c r="L32" i="8"/>
  <c r="L33" i="8"/>
  <c r="L34" i="8"/>
  <c r="O57" i="8"/>
  <c r="L35" i="8"/>
  <c r="L39" i="8"/>
  <c r="R35" i="8"/>
  <c r="L40" i="8"/>
  <c r="B24" i="68"/>
  <c r="C24" i="68"/>
  <c r="T24" i="68"/>
  <c r="E44" i="68"/>
  <c r="F44" i="68"/>
  <c r="D44" i="68"/>
  <c r="D24" i="68"/>
  <c r="E45" i="68"/>
  <c r="F45" i="68"/>
  <c r="D45" i="68"/>
  <c r="E24" i="68"/>
  <c r="E46" i="68"/>
  <c r="F46" i="68"/>
  <c r="D46" i="68"/>
  <c r="F24" i="68"/>
  <c r="E47" i="68"/>
  <c r="F47" i="68"/>
  <c r="D47" i="68"/>
  <c r="G24" i="68"/>
  <c r="E48" i="68"/>
  <c r="F48" i="68"/>
  <c r="D48" i="68"/>
  <c r="H24" i="68"/>
  <c r="E49" i="68"/>
  <c r="F49" i="68"/>
  <c r="I24" i="68"/>
  <c r="E50" i="68"/>
  <c r="F50" i="68"/>
  <c r="J24" i="68"/>
  <c r="E51" i="68"/>
  <c r="F51" i="68"/>
  <c r="K24" i="68"/>
  <c r="E52" i="68"/>
  <c r="F52" i="68"/>
  <c r="D55" i="68"/>
  <c r="L24" i="68"/>
  <c r="E55" i="68"/>
  <c r="F55" i="68"/>
  <c r="S24" i="68"/>
  <c r="D56" i="68"/>
  <c r="M24" i="68"/>
  <c r="E56" i="68"/>
  <c r="D57" i="68"/>
  <c r="F57" i="68"/>
  <c r="N24" i="68"/>
  <c r="E57" i="68"/>
  <c r="D58" i="68"/>
  <c r="F58" i="68"/>
  <c r="O24" i="68"/>
  <c r="E58" i="68"/>
  <c r="P24" i="68"/>
  <c r="E59" i="68"/>
  <c r="F59" i="68"/>
  <c r="Q24" i="68"/>
  <c r="E60" i="68"/>
  <c r="F60" i="68"/>
  <c r="R24" i="68"/>
  <c r="E61" i="68"/>
  <c r="F61" i="68"/>
  <c r="L45" i="8"/>
  <c r="L47" i="8"/>
  <c r="L48" i="8"/>
  <c r="L49" i="8"/>
  <c r="L51" i="8"/>
  <c r="L52" i="8"/>
  <c r="L54" i="8"/>
  <c r="L55" i="8"/>
  <c r="V6" i="21"/>
  <c r="V8" i="21"/>
  <c r="V9" i="21"/>
  <c r="V10" i="21"/>
  <c r="V11" i="21"/>
  <c r="V12" i="21"/>
  <c r="Q16" i="21"/>
  <c r="B10" i="45"/>
  <c r="C10" i="45"/>
  <c r="G10" i="45"/>
  <c r="B11" i="45"/>
  <c r="C11" i="45"/>
  <c r="B12" i="45"/>
  <c r="E12" i="45"/>
  <c r="C12" i="45"/>
  <c r="D12" i="45"/>
  <c r="B13" i="45"/>
  <c r="C13" i="45"/>
  <c r="Q21" i="21"/>
  <c r="P21" i="20"/>
  <c r="Q22" i="21"/>
  <c r="P22" i="20"/>
  <c r="Q23" i="21"/>
  <c r="P23" i="20"/>
  <c r="B17" i="45"/>
  <c r="E17" i="45"/>
  <c r="C17" i="45"/>
  <c r="Q25" i="21"/>
  <c r="P25" i="20"/>
  <c r="B19" i="45"/>
  <c r="E19" i="45"/>
  <c r="C19" i="45"/>
  <c r="G19" i="45"/>
  <c r="Q27" i="21"/>
  <c r="B21" i="45"/>
  <c r="C21" i="45"/>
  <c r="Q29" i="21"/>
  <c r="V29" i="21"/>
  <c r="Q30" i="21"/>
  <c r="Q31" i="21"/>
  <c r="Q32" i="21"/>
  <c r="Q33" i="21"/>
  <c r="Q34" i="21"/>
  <c r="W8" i="51"/>
  <c r="D7" i="51"/>
  <c r="W9" i="51"/>
  <c r="D8" i="51"/>
  <c r="W11" i="51"/>
  <c r="D9" i="51"/>
  <c r="W13" i="51"/>
  <c r="D10" i="51"/>
  <c r="W15" i="51"/>
  <c r="D11" i="51"/>
  <c r="W17" i="51"/>
  <c r="D12" i="51"/>
  <c r="W19" i="51"/>
  <c r="D13" i="51"/>
  <c r="W14" i="51"/>
  <c r="D14" i="51"/>
  <c r="W18" i="51"/>
  <c r="D15" i="51"/>
  <c r="W12" i="51"/>
  <c r="D16" i="51"/>
  <c r="W16" i="51"/>
  <c r="D17" i="51"/>
  <c r="W10" i="51"/>
  <c r="D18" i="51"/>
  <c r="W24" i="51"/>
  <c r="D23" i="51"/>
  <c r="AR8" i="51"/>
  <c r="AS8" i="51"/>
  <c r="AT8" i="51"/>
  <c r="I7" i="51"/>
  <c r="AR9" i="51"/>
  <c r="AS9" i="51"/>
  <c r="AT9" i="51"/>
  <c r="I8" i="51"/>
  <c r="AT11" i="51"/>
  <c r="I9" i="51"/>
  <c r="AR13" i="51"/>
  <c r="AS13" i="51"/>
  <c r="AT13" i="51"/>
  <c r="I10" i="51"/>
  <c r="AR15" i="51"/>
  <c r="AS15" i="51"/>
  <c r="AT15" i="51"/>
  <c r="I11" i="51"/>
  <c r="AR17" i="51"/>
  <c r="AS17" i="51"/>
  <c r="AT17" i="51"/>
  <c r="I12" i="51"/>
  <c r="AR19" i="51"/>
  <c r="AS19" i="51"/>
  <c r="AT19" i="51"/>
  <c r="I13" i="51"/>
  <c r="AR14" i="51"/>
  <c r="AS14" i="51"/>
  <c r="AT14" i="51"/>
  <c r="I14" i="51"/>
  <c r="AR18" i="51"/>
  <c r="AS18" i="51"/>
  <c r="AT18" i="51"/>
  <c r="I15" i="51"/>
  <c r="AR12" i="51"/>
  <c r="AS12" i="51"/>
  <c r="AT12" i="51"/>
  <c r="I16" i="51"/>
  <c r="AR16" i="51"/>
  <c r="AS16" i="51"/>
  <c r="AT16" i="51"/>
  <c r="I17" i="51"/>
  <c r="AR10" i="51"/>
  <c r="AS10" i="51"/>
  <c r="AT10" i="51"/>
  <c r="I18" i="51"/>
  <c r="H20" i="51"/>
  <c r="I20" i="51"/>
  <c r="AR20" i="51"/>
  <c r="AS20" i="51"/>
  <c r="AT20" i="51"/>
  <c r="I21" i="51"/>
  <c r="AR25" i="51"/>
  <c r="AS25" i="51"/>
  <c r="AT25" i="51"/>
  <c r="I22" i="51"/>
  <c r="AR24" i="51"/>
  <c r="AS24" i="51"/>
  <c r="AT24" i="51"/>
  <c r="I23" i="51"/>
  <c r="AR26" i="51"/>
  <c r="AS26" i="51"/>
  <c r="AT26" i="51"/>
  <c r="I24" i="51"/>
  <c r="N30" i="55"/>
  <c r="D28" i="55"/>
  <c r="N31" i="71"/>
  <c r="B41" i="34"/>
  <c r="B42" i="34"/>
  <c r="E6" i="34"/>
  <c r="E8" i="34"/>
  <c r="B49" i="34"/>
  <c r="B50" i="34"/>
  <c r="B45" i="34"/>
  <c r="B46" i="34"/>
  <c r="E7" i="34"/>
  <c r="B53" i="34"/>
  <c r="B54" i="34"/>
  <c r="P27" i="71"/>
  <c r="Q27" i="71"/>
  <c r="P27" i="20"/>
  <c r="B31" i="19"/>
  <c r="B31" i="20"/>
  <c r="E31" i="19"/>
  <c r="E31" i="20"/>
  <c r="E31" i="22"/>
  <c r="E31" i="23"/>
  <c r="C31" i="72"/>
  <c r="G31" i="19"/>
  <c r="G31" i="20"/>
  <c r="H31" i="19"/>
  <c r="H31" i="20"/>
  <c r="I31" i="19"/>
  <c r="I31" i="20"/>
  <c r="J31" i="19"/>
  <c r="J31" i="20"/>
  <c r="K81" i="3"/>
  <c r="K58" i="3"/>
  <c r="L81" i="3"/>
  <c r="L58" i="3"/>
  <c r="M81" i="3"/>
  <c r="M58" i="3"/>
  <c r="W41" i="3"/>
  <c r="Y41" i="3"/>
  <c r="AL41" i="3"/>
  <c r="Z41" i="3"/>
  <c r="A23" i="68"/>
  <c r="C26" i="68"/>
  <c r="AB20" i="3"/>
  <c r="K42" i="3"/>
  <c r="C25" i="68"/>
  <c r="T25" i="68"/>
  <c r="U12" i="49"/>
  <c r="B25" i="68"/>
  <c r="AB41" i="3"/>
  <c r="T26" i="68"/>
  <c r="U13" i="49"/>
  <c r="B26" i="68"/>
  <c r="AB42" i="3"/>
  <c r="C27" i="68"/>
  <c r="AB21" i="3"/>
  <c r="T27" i="68"/>
  <c r="B27" i="68"/>
  <c r="AB43" i="3"/>
  <c r="K43" i="3"/>
  <c r="W44" i="3"/>
  <c r="Y44" i="3"/>
  <c r="C28" i="68"/>
  <c r="T28" i="68"/>
  <c r="B28" i="68"/>
  <c r="AB44" i="3"/>
  <c r="T29" i="68"/>
  <c r="U16" i="49"/>
  <c r="B29" i="68"/>
  <c r="AB45" i="3"/>
  <c r="AI46" i="3"/>
  <c r="W46" i="3"/>
  <c r="AK46" i="3"/>
  <c r="Y46" i="3"/>
  <c r="AL44" i="3"/>
  <c r="AL46" i="3"/>
  <c r="Z46" i="3"/>
  <c r="C30" i="68"/>
  <c r="T30" i="68"/>
  <c r="U17" i="49"/>
  <c r="AB24" i="3"/>
  <c r="C31" i="68"/>
  <c r="B31" i="68"/>
  <c r="AB47" i="3"/>
  <c r="C32" i="68"/>
  <c r="AB26" i="3"/>
  <c r="T32" i="68"/>
  <c r="U19" i="49"/>
  <c r="C33" i="68"/>
  <c r="B33" i="68"/>
  <c r="AB49" i="3"/>
  <c r="C34" i="68"/>
  <c r="AB28" i="3"/>
  <c r="T34" i="68"/>
  <c r="C35" i="68"/>
  <c r="B35" i="68"/>
  <c r="AB51" i="3"/>
  <c r="C36" i="68"/>
  <c r="T36" i="68"/>
  <c r="AB30" i="3"/>
  <c r="K54" i="3"/>
  <c r="K78" i="3"/>
  <c r="K55" i="3"/>
  <c r="C40" i="68"/>
  <c r="T40" i="68"/>
  <c r="U27" i="49"/>
  <c r="B40" i="68"/>
  <c r="AB56" i="3"/>
  <c r="K80" i="3"/>
  <c r="K57" i="3"/>
  <c r="W85" i="3"/>
  <c r="Y85" i="3"/>
  <c r="AL85" i="3"/>
  <c r="Z85" i="3"/>
  <c r="D25" i="68"/>
  <c r="AB85" i="3"/>
  <c r="D26" i="68"/>
  <c r="AB86" i="3"/>
  <c r="L42" i="3"/>
  <c r="D27" i="68"/>
  <c r="AB87" i="3"/>
  <c r="L43" i="3"/>
  <c r="W88" i="3"/>
  <c r="Y88" i="3"/>
  <c r="AL88" i="3"/>
  <c r="Z88" i="3"/>
  <c r="D28" i="68"/>
  <c r="AB88" i="3"/>
  <c r="AI90" i="3"/>
  <c r="W90" i="3"/>
  <c r="AK90" i="3"/>
  <c r="Y90" i="3"/>
  <c r="AL90" i="3"/>
  <c r="Z90" i="3"/>
  <c r="D30" i="68"/>
  <c r="AB90" i="3"/>
  <c r="D32" i="68"/>
  <c r="AB92" i="3"/>
  <c r="L48" i="3"/>
  <c r="D33" i="68"/>
  <c r="AB93" i="3"/>
  <c r="L49" i="3"/>
  <c r="D34" i="68"/>
  <c r="AB94" i="3"/>
  <c r="L50" i="3"/>
  <c r="D36" i="68"/>
  <c r="AB96" i="3"/>
  <c r="L52" i="3"/>
  <c r="L54" i="3"/>
  <c r="L78" i="3"/>
  <c r="L55" i="3"/>
  <c r="L80" i="3"/>
  <c r="L57" i="3"/>
  <c r="W134" i="3"/>
  <c r="Y134" i="3"/>
  <c r="AL134" i="3"/>
  <c r="Z134" i="3"/>
  <c r="F26" i="68"/>
  <c r="AB135" i="3"/>
  <c r="M42" i="3"/>
  <c r="F27" i="68"/>
  <c r="AB136" i="3"/>
  <c r="M43" i="3"/>
  <c r="Y137" i="3"/>
  <c r="AL137" i="3"/>
  <c r="Z137" i="3"/>
  <c r="F29" i="68"/>
  <c r="AB138" i="3"/>
  <c r="M45" i="3"/>
  <c r="AK139" i="3"/>
  <c r="Y139" i="3"/>
  <c r="F30" i="68"/>
  <c r="AB139" i="3"/>
  <c r="F31" i="68"/>
  <c r="AB140" i="3"/>
  <c r="M47" i="3"/>
  <c r="F33" i="68"/>
  <c r="AB142" i="3"/>
  <c r="M49" i="3"/>
  <c r="F34" i="68"/>
  <c r="AB143" i="3"/>
  <c r="M50" i="3"/>
  <c r="F35" i="68"/>
  <c r="AB144" i="3"/>
  <c r="M51" i="3"/>
  <c r="M54" i="3"/>
  <c r="M78" i="3"/>
  <c r="M55" i="3"/>
  <c r="F40" i="68"/>
  <c r="AB149" i="3"/>
  <c r="M79" i="3"/>
  <c r="M56" i="3"/>
  <c r="M80" i="3"/>
  <c r="M57" i="3"/>
  <c r="Q31" i="49"/>
  <c r="R14" i="49"/>
  <c r="R16" i="49"/>
  <c r="R18" i="49"/>
  <c r="R20" i="49"/>
  <c r="R31" i="49"/>
  <c r="O31" i="49"/>
  <c r="U14" i="49"/>
  <c r="U15" i="49"/>
  <c r="U21" i="49"/>
  <c r="U23" i="49"/>
  <c r="AF34" i="48"/>
  <c r="O59" i="48"/>
  <c r="AF17" i="48"/>
  <c r="O17" i="48"/>
  <c r="O42" i="48"/>
  <c r="AI42" i="48"/>
  <c r="AG42" i="48"/>
  <c r="AH42" i="48"/>
  <c r="L25" i="68"/>
  <c r="AA42" i="48"/>
  <c r="AF18" i="48"/>
  <c r="O18" i="48"/>
  <c r="O43" i="48"/>
  <c r="AI43" i="48"/>
  <c r="AG43" i="48"/>
  <c r="AH43" i="48"/>
  <c r="L26" i="68"/>
  <c r="AA43" i="48"/>
  <c r="AF19" i="48"/>
  <c r="O44" i="48"/>
  <c r="AI44" i="48"/>
  <c r="AG44" i="48"/>
  <c r="AH44" i="48"/>
  <c r="L27" i="68"/>
  <c r="AA44" i="48"/>
  <c r="AF20" i="48"/>
  <c r="O45" i="48"/>
  <c r="AI45" i="48"/>
  <c r="AG45" i="48"/>
  <c r="AH45" i="48"/>
  <c r="L28" i="68"/>
  <c r="AA45" i="48"/>
  <c r="AF21" i="48"/>
  <c r="O46" i="48"/>
  <c r="AI46" i="48"/>
  <c r="AG46" i="48"/>
  <c r="AH46" i="48"/>
  <c r="L29" i="68"/>
  <c r="AA46" i="48"/>
  <c r="AF22" i="48"/>
  <c r="O47" i="48"/>
  <c r="AI47" i="48"/>
  <c r="AG47" i="48"/>
  <c r="AH47" i="48"/>
  <c r="L30" i="68"/>
  <c r="AA47" i="48"/>
  <c r="AF23" i="48"/>
  <c r="O48" i="48"/>
  <c r="AI48" i="48"/>
  <c r="AG48" i="48"/>
  <c r="AH48" i="48"/>
  <c r="L31" i="68"/>
  <c r="AA48" i="48"/>
  <c r="AF24" i="48"/>
  <c r="O49" i="48"/>
  <c r="AI49" i="48"/>
  <c r="AG49" i="48"/>
  <c r="AH49" i="48"/>
  <c r="L32" i="68"/>
  <c r="AA49" i="48"/>
  <c r="AF25" i="48"/>
  <c r="O50" i="48"/>
  <c r="AI50" i="48"/>
  <c r="AG50" i="48"/>
  <c r="AH50" i="48"/>
  <c r="L33" i="68"/>
  <c r="AA50" i="48"/>
  <c r="AF26" i="48"/>
  <c r="O51" i="48"/>
  <c r="AI51" i="48"/>
  <c r="AG51" i="48"/>
  <c r="AH51" i="48"/>
  <c r="L34" i="68"/>
  <c r="AA51" i="48"/>
  <c r="AF27" i="48"/>
  <c r="O52" i="48"/>
  <c r="AI52" i="48"/>
  <c r="AG52" i="48"/>
  <c r="AH52" i="48"/>
  <c r="L35" i="68"/>
  <c r="AA52" i="48"/>
  <c r="AF28" i="48"/>
  <c r="O53" i="48"/>
  <c r="AI53" i="48"/>
  <c r="AG53" i="48"/>
  <c r="AH53" i="48"/>
  <c r="L36" i="68"/>
  <c r="AA53" i="48"/>
  <c r="AF30" i="48"/>
  <c r="O55" i="48"/>
  <c r="AF31" i="48"/>
  <c r="O56" i="48"/>
  <c r="AF32" i="48"/>
  <c r="O57" i="48"/>
  <c r="L40" i="68"/>
  <c r="AA57" i="48"/>
  <c r="AF33" i="48"/>
  <c r="O33" i="48"/>
  <c r="M33" i="48"/>
  <c r="O58" i="48"/>
  <c r="AI58" i="48"/>
  <c r="AG58" i="48"/>
  <c r="AH58" i="48"/>
  <c r="O34" i="48"/>
  <c r="M34" i="48"/>
  <c r="E25" i="68"/>
  <c r="AA17" i="48"/>
  <c r="E26" i="68"/>
  <c r="AA18" i="48"/>
  <c r="O19" i="48"/>
  <c r="E27" i="68"/>
  <c r="AA19" i="48"/>
  <c r="E28" i="68"/>
  <c r="AA20" i="48"/>
  <c r="E29" i="68"/>
  <c r="AA21" i="48"/>
  <c r="E30" i="68"/>
  <c r="AA22" i="48"/>
  <c r="E31" i="68"/>
  <c r="AA23" i="48"/>
  <c r="E32" i="68"/>
  <c r="AA24" i="48"/>
  <c r="E33" i="68"/>
  <c r="AA25" i="48"/>
  <c r="E34" i="68"/>
  <c r="AA26" i="48"/>
  <c r="E35" i="68"/>
  <c r="AA27" i="48"/>
  <c r="E36" i="68"/>
  <c r="AA28" i="48"/>
  <c r="M29" i="48"/>
  <c r="O31" i="48"/>
  <c r="M31" i="48"/>
  <c r="O32" i="48"/>
  <c r="M32" i="48"/>
  <c r="E40" i="68"/>
  <c r="AA32" i="48"/>
  <c r="M34" i="53"/>
  <c r="M82" i="53"/>
  <c r="Q25" i="68"/>
  <c r="AA17" i="53"/>
  <c r="R25" i="68"/>
  <c r="AA42" i="53"/>
  <c r="P25" i="68"/>
  <c r="AA65" i="53"/>
  <c r="U88" i="53"/>
  <c r="M18" i="53"/>
  <c r="Q26" i="68"/>
  <c r="AA18" i="53"/>
  <c r="R26" i="68"/>
  <c r="AA43" i="53"/>
  <c r="P26" i="68"/>
  <c r="AA66" i="53"/>
  <c r="U89" i="53"/>
  <c r="M19" i="53"/>
  <c r="Q27" i="68"/>
  <c r="AA19" i="53"/>
  <c r="R27" i="68"/>
  <c r="AA44" i="53"/>
  <c r="P27" i="68"/>
  <c r="AA67" i="53"/>
  <c r="U90" i="53"/>
  <c r="M20" i="53"/>
  <c r="Q28" i="68"/>
  <c r="AA20" i="53"/>
  <c r="R28" i="68"/>
  <c r="AA45" i="53"/>
  <c r="P28" i="68"/>
  <c r="AA68" i="53"/>
  <c r="U91" i="53"/>
  <c r="M21" i="53"/>
  <c r="Q29" i="68"/>
  <c r="AA21" i="53"/>
  <c r="R29" i="68"/>
  <c r="AA46" i="53"/>
  <c r="P29" i="68"/>
  <c r="AA69" i="53"/>
  <c r="U92" i="53"/>
  <c r="M22" i="53"/>
  <c r="Q30" i="68"/>
  <c r="AA22" i="53"/>
  <c r="R30" i="68"/>
  <c r="AA47" i="53"/>
  <c r="P30" i="68"/>
  <c r="AA70" i="53"/>
  <c r="U93" i="53"/>
  <c r="M23" i="53"/>
  <c r="Q31" i="68"/>
  <c r="AA23" i="53"/>
  <c r="X48" i="53"/>
  <c r="R31" i="68"/>
  <c r="AA48" i="53"/>
  <c r="P31" i="68"/>
  <c r="AA71" i="53"/>
  <c r="U94" i="53"/>
  <c r="M24" i="53"/>
  <c r="Q32" i="68"/>
  <c r="AA24" i="53"/>
  <c r="R32" i="68"/>
  <c r="AA49" i="53"/>
  <c r="P32" i="68"/>
  <c r="AA72" i="53"/>
  <c r="U95" i="53"/>
  <c r="M25" i="53"/>
  <c r="Q33" i="68"/>
  <c r="AA25" i="53"/>
  <c r="R33" i="68"/>
  <c r="AA50" i="53"/>
  <c r="P33" i="68"/>
  <c r="AA73" i="53"/>
  <c r="U96" i="53"/>
  <c r="Q34" i="68"/>
  <c r="AA26" i="53"/>
  <c r="R34" i="68"/>
  <c r="AA51" i="53"/>
  <c r="P34" i="68"/>
  <c r="AA74" i="53"/>
  <c r="U97" i="53"/>
  <c r="M27" i="53"/>
  <c r="Q35" i="68"/>
  <c r="AA27" i="53"/>
  <c r="R35" i="68"/>
  <c r="AA52" i="53"/>
  <c r="P35" i="68"/>
  <c r="AA75" i="53"/>
  <c r="U98" i="53"/>
  <c r="M28" i="53"/>
  <c r="Q36" i="68"/>
  <c r="AA28" i="53"/>
  <c r="R36" i="68"/>
  <c r="AA53" i="53"/>
  <c r="P36" i="68"/>
  <c r="AA76" i="53"/>
  <c r="U99" i="53"/>
  <c r="M30" i="53"/>
  <c r="M78" i="53"/>
  <c r="M31" i="53"/>
  <c r="M79" i="53"/>
  <c r="M32" i="53"/>
  <c r="Q40" i="68"/>
  <c r="AA32" i="53"/>
  <c r="R40" i="68"/>
  <c r="AA57" i="53"/>
  <c r="M80" i="53"/>
  <c r="P40" i="68"/>
  <c r="AA80" i="53"/>
  <c r="M33" i="53"/>
  <c r="M81" i="53"/>
  <c r="S36" i="56"/>
  <c r="O36" i="56"/>
  <c r="R36" i="56"/>
  <c r="G25" i="54"/>
  <c r="G26" i="54"/>
  <c r="G27" i="54"/>
  <c r="G28" i="54"/>
  <c r="P31" i="20"/>
  <c r="B33" i="19"/>
  <c r="B33" i="20"/>
  <c r="E33" i="19"/>
  <c r="E33" i="20"/>
  <c r="E33" i="22"/>
  <c r="E33" i="23"/>
  <c r="C33" i="72"/>
  <c r="G33" i="19"/>
  <c r="G33" i="20"/>
  <c r="H33" i="19"/>
  <c r="H33" i="20"/>
  <c r="I33" i="19"/>
  <c r="I33" i="20"/>
  <c r="J33" i="19"/>
  <c r="J33" i="20"/>
  <c r="L33" i="71"/>
  <c r="M33" i="71"/>
  <c r="N33" i="71"/>
  <c r="P33" i="71"/>
  <c r="Q33" i="71"/>
  <c r="P33" i="20"/>
  <c r="B41" i="20"/>
  <c r="G41" i="71"/>
  <c r="G41" i="20"/>
  <c r="H41" i="71"/>
  <c r="H41" i="20"/>
  <c r="I41" i="71"/>
  <c r="I41" i="20"/>
  <c r="J41" i="71"/>
  <c r="J41" i="20"/>
  <c r="L41" i="71"/>
  <c r="M41" i="71"/>
  <c r="N41" i="71"/>
  <c r="P41" i="71"/>
  <c r="G37" i="55"/>
  <c r="Q41" i="71"/>
  <c r="U41" i="71"/>
  <c r="P41" i="20"/>
  <c r="B44" i="20"/>
  <c r="B44" i="22"/>
  <c r="B44" i="23"/>
  <c r="E44" i="20"/>
  <c r="G44" i="71"/>
  <c r="G44" i="20"/>
  <c r="H44" i="71"/>
  <c r="H44" i="20"/>
  <c r="I44" i="71"/>
  <c r="I44" i="20"/>
  <c r="J44" i="71"/>
  <c r="J44" i="20"/>
  <c r="L44" i="71"/>
  <c r="M44" i="71"/>
  <c r="N44" i="71"/>
  <c r="P44" i="71"/>
  <c r="G40" i="55"/>
  <c r="Q44" i="71"/>
  <c r="U44" i="71"/>
  <c r="P44" i="20"/>
  <c r="B45" i="20"/>
  <c r="B45" i="22"/>
  <c r="B45" i="23"/>
  <c r="E45" i="20"/>
  <c r="G45" i="71"/>
  <c r="G45" i="20"/>
  <c r="H45" i="71"/>
  <c r="H45" i="20"/>
  <c r="I45" i="71"/>
  <c r="I45" i="20"/>
  <c r="J45" i="71"/>
  <c r="J45" i="20"/>
  <c r="N26" i="55"/>
  <c r="D41" i="55"/>
  <c r="N45" i="71"/>
  <c r="D24" i="33"/>
  <c r="N27" i="55"/>
  <c r="N29" i="55"/>
  <c r="B25" i="54"/>
  <c r="K30" i="50"/>
  <c r="B26" i="54"/>
  <c r="K31" i="50"/>
  <c r="U45" i="71"/>
  <c r="P45" i="20"/>
  <c r="B46" i="20"/>
  <c r="B46" i="22"/>
  <c r="B46" i="23"/>
  <c r="E46" i="20"/>
  <c r="G46" i="71"/>
  <c r="G46" i="20"/>
  <c r="I46" i="71"/>
  <c r="I46" i="20"/>
  <c r="J46" i="71"/>
  <c r="J46" i="20"/>
  <c r="L46" i="71"/>
  <c r="M46" i="71"/>
  <c r="N46" i="71"/>
  <c r="P46" i="71"/>
  <c r="G42" i="55"/>
  <c r="Q46" i="71"/>
  <c r="U46" i="71"/>
  <c r="P46" i="20"/>
  <c r="B47" i="20"/>
  <c r="E47" i="20"/>
  <c r="E47" i="22"/>
  <c r="E47" i="23"/>
  <c r="C47" i="72"/>
  <c r="H47" i="71"/>
  <c r="H47" i="20"/>
  <c r="I47" i="71"/>
  <c r="I47" i="20"/>
  <c r="J47" i="71"/>
  <c r="J47" i="20"/>
  <c r="L47" i="71"/>
  <c r="M47" i="71"/>
  <c r="N47" i="71"/>
  <c r="P47" i="71"/>
  <c r="G43" i="55"/>
  <c r="Q47" i="71"/>
  <c r="U47" i="71"/>
  <c r="P47" i="20"/>
  <c r="B48" i="20"/>
  <c r="B48" i="22"/>
  <c r="B48" i="23"/>
  <c r="E48" i="20"/>
  <c r="E48" i="22"/>
  <c r="E48" i="23"/>
  <c r="C48" i="72"/>
  <c r="H48" i="71"/>
  <c r="H48" i="20"/>
  <c r="I48" i="71"/>
  <c r="I48" i="20"/>
  <c r="J48" i="71"/>
  <c r="J48" i="20"/>
  <c r="L48" i="71"/>
  <c r="M48" i="71"/>
  <c r="N48" i="71"/>
  <c r="P48" i="71"/>
  <c r="G44" i="55"/>
  <c r="Q48" i="71"/>
  <c r="U48" i="71"/>
  <c r="P48" i="20"/>
  <c r="B49" i="20"/>
  <c r="B49" i="22"/>
  <c r="B49" i="23"/>
  <c r="E49" i="20"/>
  <c r="E49" i="22"/>
  <c r="E49" i="23"/>
  <c r="C49" i="72"/>
  <c r="G49" i="71"/>
  <c r="G49" i="20"/>
  <c r="H49" i="71"/>
  <c r="H49" i="20"/>
  <c r="I49" i="71"/>
  <c r="I49" i="20"/>
  <c r="J49" i="71"/>
  <c r="J49" i="20"/>
  <c r="L49" i="71"/>
  <c r="M49" i="71"/>
  <c r="N49" i="71"/>
  <c r="P49" i="71"/>
  <c r="G45" i="55"/>
  <c r="Q49" i="71"/>
  <c r="U49" i="71"/>
  <c r="P49" i="20"/>
  <c r="B50" i="20"/>
  <c r="B50" i="22"/>
  <c r="B50" i="23"/>
  <c r="E50" i="20"/>
  <c r="E50" i="22"/>
  <c r="E50" i="23"/>
  <c r="C50" i="72"/>
  <c r="H50" i="71"/>
  <c r="H50" i="20"/>
  <c r="I50" i="71"/>
  <c r="I50" i="20"/>
  <c r="J50" i="71"/>
  <c r="J50" i="20"/>
  <c r="L50" i="71"/>
  <c r="M50" i="71"/>
  <c r="N50" i="71"/>
  <c r="P50" i="71"/>
  <c r="G46" i="55"/>
  <c r="Q50" i="71"/>
  <c r="U50" i="71"/>
  <c r="P50" i="20"/>
  <c r="B51" i="20"/>
  <c r="E51" i="20"/>
  <c r="G51" i="71"/>
  <c r="G51" i="20"/>
  <c r="H51" i="71"/>
  <c r="H51" i="20"/>
  <c r="I51" i="71"/>
  <c r="I51" i="20"/>
  <c r="J51" i="71"/>
  <c r="J51" i="20"/>
  <c r="L51" i="71"/>
  <c r="M51" i="71"/>
  <c r="N51" i="71"/>
  <c r="P51" i="71"/>
  <c r="G47" i="55"/>
  <c r="Q51" i="71"/>
  <c r="U51" i="71"/>
  <c r="P51" i="20"/>
  <c r="B52" i="20"/>
  <c r="B52" i="22"/>
  <c r="B52" i="23"/>
  <c r="E52" i="20"/>
  <c r="E52" i="22"/>
  <c r="E52" i="23"/>
  <c r="C52" i="72"/>
  <c r="G52" i="71"/>
  <c r="G52" i="20"/>
  <c r="H52" i="71"/>
  <c r="H52" i="20"/>
  <c r="I52" i="71"/>
  <c r="I52" i="20"/>
  <c r="L52" i="71"/>
  <c r="M52" i="71"/>
  <c r="N52" i="71"/>
  <c r="P52" i="71"/>
  <c r="G48" i="55"/>
  <c r="Q52" i="71"/>
  <c r="U52" i="71"/>
  <c r="P52" i="20"/>
  <c r="B53" i="20"/>
  <c r="B53" i="22"/>
  <c r="B53" i="23"/>
  <c r="E53" i="20"/>
  <c r="G53" i="71"/>
  <c r="G53" i="20"/>
  <c r="H53" i="71"/>
  <c r="H53" i="20"/>
  <c r="I53" i="71"/>
  <c r="I53" i="20"/>
  <c r="L53" i="71"/>
  <c r="M53" i="71"/>
  <c r="N53" i="71"/>
  <c r="P53" i="71"/>
  <c r="G49" i="55"/>
  <c r="Q53" i="71"/>
  <c r="U53" i="71"/>
  <c r="P53" i="20"/>
  <c r="B54" i="20"/>
  <c r="E54" i="20"/>
  <c r="E54" i="22"/>
  <c r="E54" i="23"/>
  <c r="C54" i="72"/>
  <c r="G54" i="71"/>
  <c r="G54" i="20"/>
  <c r="H54" i="71"/>
  <c r="H54" i="20"/>
  <c r="I54" i="71"/>
  <c r="I54" i="20"/>
  <c r="J54" i="71"/>
  <c r="J54" i="20"/>
  <c r="L54" i="71"/>
  <c r="M54" i="71"/>
  <c r="N54" i="71"/>
  <c r="P54" i="71"/>
  <c r="G50" i="55"/>
  <c r="Q54" i="71"/>
  <c r="U54" i="71"/>
  <c r="P54" i="20"/>
  <c r="B55" i="20"/>
  <c r="E55" i="20"/>
  <c r="G55" i="71"/>
  <c r="G55" i="20"/>
  <c r="H55" i="71"/>
  <c r="H55" i="20"/>
  <c r="I55" i="71"/>
  <c r="I55" i="20"/>
  <c r="J55" i="71"/>
  <c r="J55" i="20"/>
  <c r="L55" i="71"/>
  <c r="M55" i="71"/>
  <c r="N55" i="71"/>
  <c r="P55" i="71"/>
  <c r="G51" i="55"/>
  <c r="Q55" i="71"/>
  <c r="U55" i="71"/>
  <c r="P55" i="20"/>
  <c r="B56" i="20"/>
  <c r="B56" i="22"/>
  <c r="B56" i="23"/>
  <c r="E56" i="20"/>
  <c r="E56" i="22"/>
  <c r="E56" i="23"/>
  <c r="C56" i="72"/>
  <c r="G56" i="71"/>
  <c r="G56" i="20"/>
  <c r="H56" i="71"/>
  <c r="H56" i="20"/>
  <c r="I56" i="71"/>
  <c r="I56" i="20"/>
  <c r="J56" i="71"/>
  <c r="J56" i="20"/>
  <c r="L56" i="71"/>
  <c r="M56" i="71"/>
  <c r="N56" i="71"/>
  <c r="P56" i="71"/>
  <c r="G52" i="55"/>
  <c r="Q56" i="71"/>
  <c r="U56" i="71"/>
  <c r="P56" i="20"/>
  <c r="B57" i="20"/>
  <c r="E57" i="20"/>
  <c r="E57" i="22"/>
  <c r="E57" i="23"/>
  <c r="C57" i="72"/>
  <c r="G57" i="71"/>
  <c r="G57" i="20"/>
  <c r="H57" i="71"/>
  <c r="H57" i="20"/>
  <c r="I57" i="71"/>
  <c r="I57" i="20"/>
  <c r="J57" i="71"/>
  <c r="J57" i="20"/>
  <c r="L57" i="71"/>
  <c r="M57" i="71"/>
  <c r="N57" i="71"/>
  <c r="P57" i="71"/>
  <c r="G53" i="55"/>
  <c r="Q57" i="71"/>
  <c r="U57" i="71"/>
  <c r="P57" i="20"/>
  <c r="AC36" i="57"/>
  <c r="B40" i="22"/>
  <c r="B40" i="23"/>
  <c r="C40" i="22"/>
  <c r="C40" i="23"/>
  <c r="D40" i="22"/>
  <c r="D40" i="23"/>
  <c r="E40" i="22"/>
  <c r="E40" i="23"/>
  <c r="C40" i="72"/>
  <c r="G40" i="23"/>
  <c r="N40" i="71"/>
  <c r="L40" i="22"/>
  <c r="I40" i="23"/>
  <c r="O40" i="22"/>
  <c r="K40" i="23"/>
  <c r="P40" i="22"/>
  <c r="L40" i="23"/>
  <c r="C57" i="22"/>
  <c r="C57" i="23"/>
  <c r="D57" i="22"/>
  <c r="D57" i="23"/>
  <c r="P57" i="22"/>
  <c r="L57" i="23"/>
  <c r="C56" i="22"/>
  <c r="C56" i="23"/>
  <c r="E15" i="33"/>
  <c r="D56" i="22"/>
  <c r="D56" i="23"/>
  <c r="P56" i="22"/>
  <c r="L56" i="23"/>
  <c r="C55" i="22"/>
  <c r="C55" i="23"/>
  <c r="D55" i="22"/>
  <c r="D55" i="23"/>
  <c r="E55" i="22"/>
  <c r="E55" i="23"/>
  <c r="C55" i="72"/>
  <c r="P55" i="22"/>
  <c r="L55" i="23"/>
  <c r="B54" i="22"/>
  <c r="B54" i="23"/>
  <c r="C54" i="22"/>
  <c r="C54" i="23"/>
  <c r="D54" i="22"/>
  <c r="D54" i="23"/>
  <c r="P54" i="22"/>
  <c r="L54" i="23"/>
  <c r="C53" i="22"/>
  <c r="C53" i="23"/>
  <c r="D53" i="22"/>
  <c r="D53" i="23"/>
  <c r="E53" i="22"/>
  <c r="E53" i="23"/>
  <c r="C53" i="72"/>
  <c r="P53" i="22"/>
  <c r="L53" i="23"/>
  <c r="C52" i="22"/>
  <c r="C52" i="23"/>
  <c r="D52" i="22"/>
  <c r="D52" i="23"/>
  <c r="C51" i="22"/>
  <c r="C51" i="23"/>
  <c r="D51" i="22"/>
  <c r="D51" i="23"/>
  <c r="E51" i="22"/>
  <c r="E51" i="23"/>
  <c r="C51" i="72"/>
  <c r="C50" i="22"/>
  <c r="C50" i="23"/>
  <c r="D50" i="22"/>
  <c r="D50" i="23"/>
  <c r="P50" i="22"/>
  <c r="L50" i="23"/>
  <c r="C49" i="22"/>
  <c r="C49" i="23"/>
  <c r="D49" i="22"/>
  <c r="D49" i="23"/>
  <c r="P49" i="22"/>
  <c r="L49" i="23"/>
  <c r="C48" i="22"/>
  <c r="C48" i="23"/>
  <c r="D48" i="22"/>
  <c r="D48" i="23"/>
  <c r="B47" i="22"/>
  <c r="B47" i="23"/>
  <c r="C47" i="22"/>
  <c r="C47" i="23"/>
  <c r="D47" i="22"/>
  <c r="D47" i="23"/>
  <c r="P47" i="22"/>
  <c r="L47" i="23"/>
  <c r="C46" i="22"/>
  <c r="C46" i="23"/>
  <c r="D46" i="22"/>
  <c r="D46" i="23"/>
  <c r="E46" i="22"/>
  <c r="E46" i="23"/>
  <c r="C46" i="72"/>
  <c r="C45" i="22"/>
  <c r="C45" i="23"/>
  <c r="D45" i="22"/>
  <c r="D45" i="23"/>
  <c r="P45" i="22"/>
  <c r="L45" i="23"/>
  <c r="C44" i="22"/>
  <c r="C44" i="23"/>
  <c r="D44" i="22"/>
  <c r="D44" i="23"/>
  <c r="E44" i="22"/>
  <c r="E44" i="23"/>
  <c r="C44" i="72"/>
  <c r="P44" i="22"/>
  <c r="L44" i="23"/>
  <c r="B43" i="20"/>
  <c r="B43" i="22"/>
  <c r="B43" i="23"/>
  <c r="E43" i="22"/>
  <c r="E43" i="23"/>
  <c r="C43" i="72"/>
  <c r="G43" i="23"/>
  <c r="L43" i="71"/>
  <c r="M43" i="71"/>
  <c r="N43" i="71"/>
  <c r="P43" i="71"/>
  <c r="G39" i="55"/>
  <c r="Q43" i="71"/>
  <c r="U43" i="71"/>
  <c r="P43" i="22"/>
  <c r="L43" i="23"/>
  <c r="B42" i="20"/>
  <c r="B42" i="22"/>
  <c r="B42" i="23"/>
  <c r="C42" i="22"/>
  <c r="C42" i="23"/>
  <c r="E42" i="22"/>
  <c r="E42" i="23"/>
  <c r="C42" i="72"/>
  <c r="G42" i="23"/>
  <c r="E42" i="72"/>
  <c r="L42" i="71"/>
  <c r="M42" i="71"/>
  <c r="N42" i="71"/>
  <c r="P42" i="71"/>
  <c r="G38" i="55"/>
  <c r="Q42" i="71"/>
  <c r="U42" i="71"/>
  <c r="P42" i="22"/>
  <c r="L42" i="23"/>
  <c r="C41" i="22"/>
  <c r="C41" i="23"/>
  <c r="D41" i="22"/>
  <c r="D41" i="23"/>
  <c r="E41" i="22"/>
  <c r="E41" i="23"/>
  <c r="C41" i="72"/>
  <c r="P41" i="22"/>
  <c r="L41" i="23"/>
  <c r="B39" i="20"/>
  <c r="B39" i="22"/>
  <c r="B39" i="23"/>
  <c r="C39" i="22"/>
  <c r="C39" i="23"/>
  <c r="E39" i="22"/>
  <c r="E39" i="23"/>
  <c r="C39" i="72"/>
  <c r="G39" i="23"/>
  <c r="E39" i="72"/>
  <c r="L39" i="71"/>
  <c r="M39" i="71"/>
  <c r="N39" i="71"/>
  <c r="P39" i="71"/>
  <c r="G36" i="55"/>
  <c r="Q39" i="71"/>
  <c r="U39" i="71"/>
  <c r="P39" i="22"/>
  <c r="L39" i="23"/>
  <c r="B34" i="19"/>
  <c r="B34" i="20"/>
  <c r="B34" i="22"/>
  <c r="B34" i="23"/>
  <c r="C34" i="22"/>
  <c r="C34" i="23"/>
  <c r="D34" i="22"/>
  <c r="D34" i="23"/>
  <c r="E34" i="19"/>
  <c r="E34" i="20"/>
  <c r="E34" i="22"/>
  <c r="E34" i="23"/>
  <c r="C34" i="72"/>
  <c r="G34" i="23"/>
  <c r="L34" i="71"/>
  <c r="M34" i="71"/>
  <c r="N34" i="71"/>
  <c r="P34" i="71"/>
  <c r="Q34" i="71"/>
  <c r="P34" i="22"/>
  <c r="L34" i="23"/>
  <c r="U2" i="59"/>
  <c r="T34" i="59"/>
  <c r="L35" i="59"/>
  <c r="M35" i="59"/>
  <c r="B33" i="22"/>
  <c r="B33" i="23"/>
  <c r="C33" i="22"/>
  <c r="C33" i="23"/>
  <c r="D33" i="22"/>
  <c r="D33" i="23"/>
  <c r="P33" i="22"/>
  <c r="L33" i="23"/>
  <c r="M34" i="59"/>
  <c r="B32" i="19"/>
  <c r="B32" i="20"/>
  <c r="B32" i="22"/>
  <c r="B32" i="23"/>
  <c r="C32" i="22"/>
  <c r="C32" i="23"/>
  <c r="D32" i="22"/>
  <c r="D32" i="23"/>
  <c r="E32" i="19"/>
  <c r="E32" i="20"/>
  <c r="E32" i="22"/>
  <c r="E32" i="23"/>
  <c r="C32" i="72"/>
  <c r="G32" i="23"/>
  <c r="N19" i="55"/>
  <c r="D29" i="55"/>
  <c r="N32" i="71"/>
  <c r="O23" i="50"/>
  <c r="F18" i="54"/>
  <c r="D4" i="54"/>
  <c r="G66" i="54"/>
  <c r="J6" i="50"/>
  <c r="D6" i="54"/>
  <c r="O52" i="54"/>
  <c r="O53" i="54"/>
  <c r="O54" i="54"/>
  <c r="O55" i="54"/>
  <c r="O56" i="54"/>
  <c r="O57" i="54"/>
  <c r="O58" i="54"/>
  <c r="O59" i="54"/>
  <c r="O60" i="54"/>
  <c r="O61" i="54"/>
  <c r="O62" i="54"/>
  <c r="O63" i="54"/>
  <c r="O48" i="50"/>
  <c r="M31" i="68"/>
  <c r="AA48" i="50"/>
  <c r="O77" i="54"/>
  <c r="O78" i="54"/>
  <c r="O79" i="54"/>
  <c r="O80" i="54"/>
  <c r="O81" i="54"/>
  <c r="O82" i="54"/>
  <c r="O83" i="54"/>
  <c r="O84" i="54"/>
  <c r="O85" i="54"/>
  <c r="O86" i="54"/>
  <c r="O87" i="54"/>
  <c r="O88" i="54"/>
  <c r="F43" i="54"/>
  <c r="O71" i="50"/>
  <c r="O31" i="68"/>
  <c r="AA71" i="50"/>
  <c r="O17" i="50"/>
  <c r="N25" i="68"/>
  <c r="AA17" i="50"/>
  <c r="D5" i="54"/>
  <c r="O18" i="50"/>
  <c r="N26" i="68"/>
  <c r="AA18" i="50"/>
  <c r="O19" i="50"/>
  <c r="N27" i="68"/>
  <c r="AA19" i="50"/>
  <c r="O20" i="50"/>
  <c r="F15" i="54"/>
  <c r="N28" i="68"/>
  <c r="AA20" i="50"/>
  <c r="O21" i="50"/>
  <c r="N29" i="68"/>
  <c r="AA21" i="50"/>
  <c r="F16" i="54"/>
  <c r="O22" i="50"/>
  <c r="N30" i="68"/>
  <c r="AA22" i="50"/>
  <c r="O24" i="50"/>
  <c r="N32" i="68"/>
  <c r="AA24" i="50"/>
  <c r="O25" i="50"/>
  <c r="F20" i="54"/>
  <c r="N33" i="68"/>
  <c r="AA25" i="50"/>
  <c r="O26" i="50"/>
  <c r="N34" i="68"/>
  <c r="AA26" i="50"/>
  <c r="F21" i="54"/>
  <c r="O27" i="50"/>
  <c r="N35" i="68"/>
  <c r="AA27" i="50"/>
  <c r="O28" i="50"/>
  <c r="N36" i="68"/>
  <c r="AA28" i="50"/>
  <c r="D25" i="54"/>
  <c r="M30" i="50"/>
  <c r="D26" i="54"/>
  <c r="M31" i="50"/>
  <c r="D27" i="54"/>
  <c r="M32" i="50"/>
  <c r="D28" i="54"/>
  <c r="M33" i="50"/>
  <c r="O42" i="50"/>
  <c r="M25" i="68"/>
  <c r="AA42" i="50"/>
  <c r="F37" i="54"/>
  <c r="F60" i="54"/>
  <c r="O43" i="50"/>
  <c r="M26" i="68"/>
  <c r="AA43" i="50"/>
  <c r="O44" i="50"/>
  <c r="M27" i="68"/>
  <c r="AA44" i="50"/>
  <c r="O45" i="50"/>
  <c r="F40" i="54"/>
  <c r="M28" i="68"/>
  <c r="AA45" i="50"/>
  <c r="M29" i="68"/>
  <c r="AA46" i="50"/>
  <c r="O47" i="50"/>
  <c r="M30" i="68"/>
  <c r="AA47" i="50"/>
  <c r="O49" i="50"/>
  <c r="M32" i="68"/>
  <c r="AA49" i="50"/>
  <c r="M33" i="68"/>
  <c r="AA50" i="50"/>
  <c r="O51" i="50"/>
  <c r="M34" i="68"/>
  <c r="AA51" i="50"/>
  <c r="F46" i="54"/>
  <c r="O52" i="50"/>
  <c r="M35" i="68"/>
  <c r="AA52" i="50"/>
  <c r="O53" i="50"/>
  <c r="M36" i="68"/>
  <c r="AA53" i="50"/>
  <c r="M54" i="50"/>
  <c r="G50" i="54"/>
  <c r="D50" i="54"/>
  <c r="M55" i="50"/>
  <c r="G51" i="54"/>
  <c r="D51" i="54"/>
  <c r="M56" i="50"/>
  <c r="G52" i="54"/>
  <c r="D52" i="54"/>
  <c r="M57" i="50"/>
  <c r="G53" i="54"/>
  <c r="D53" i="54"/>
  <c r="M58" i="50"/>
  <c r="O65" i="50"/>
  <c r="O25" i="68"/>
  <c r="AA65" i="50"/>
  <c r="O26" i="68"/>
  <c r="AA66" i="50"/>
  <c r="O67" i="50"/>
  <c r="O27" i="68"/>
  <c r="AA67" i="50"/>
  <c r="O68" i="50"/>
  <c r="O28" i="68"/>
  <c r="AA68" i="50"/>
  <c r="O29" i="68"/>
  <c r="AA69" i="50"/>
  <c r="O70" i="50"/>
  <c r="O30" i="68"/>
  <c r="AA70" i="50"/>
  <c r="O72" i="50"/>
  <c r="O32" i="68"/>
  <c r="AA72" i="50"/>
  <c r="O33" i="68"/>
  <c r="AA73" i="50"/>
  <c r="O74" i="50"/>
  <c r="O34" i="68"/>
  <c r="AA74" i="50"/>
  <c r="O35" i="68"/>
  <c r="AA75" i="50"/>
  <c r="O76" i="50"/>
  <c r="O36" i="68"/>
  <c r="AA76" i="50"/>
  <c r="M78" i="50"/>
  <c r="M79" i="50"/>
  <c r="M80" i="50"/>
  <c r="M81" i="50"/>
  <c r="M82" i="50"/>
  <c r="G31" i="68"/>
  <c r="AA94" i="50"/>
  <c r="O88" i="50"/>
  <c r="G25" i="68"/>
  <c r="AA88" i="50"/>
  <c r="G26" i="68"/>
  <c r="AA89" i="50"/>
  <c r="O90" i="50"/>
  <c r="G27" i="68"/>
  <c r="AA90" i="50"/>
  <c r="O91" i="50"/>
  <c r="G28" i="68"/>
  <c r="AA91" i="50"/>
  <c r="G29" i="68"/>
  <c r="AA92" i="50"/>
  <c r="G30" i="68"/>
  <c r="AA93" i="50"/>
  <c r="G32" i="68"/>
  <c r="AA95" i="50"/>
  <c r="G33" i="68"/>
  <c r="AA96" i="50"/>
  <c r="O97" i="50"/>
  <c r="G34" i="68"/>
  <c r="AA97" i="50"/>
  <c r="G35" i="68"/>
  <c r="AA98" i="50"/>
  <c r="O99" i="50"/>
  <c r="G36" i="68"/>
  <c r="AA99" i="50"/>
  <c r="M101" i="50"/>
  <c r="M102" i="50"/>
  <c r="M103" i="50"/>
  <c r="M104" i="50"/>
  <c r="M105" i="50"/>
  <c r="P32" i="22"/>
  <c r="L32" i="23"/>
  <c r="M33" i="59"/>
  <c r="T33" i="59"/>
  <c r="C31" i="22"/>
  <c r="C31" i="23"/>
  <c r="D31" i="22"/>
  <c r="D31" i="23"/>
  <c r="P31" i="22"/>
  <c r="L31" i="23"/>
  <c r="M32" i="59"/>
  <c r="T32" i="59"/>
  <c r="B30" i="19"/>
  <c r="B30" i="20"/>
  <c r="B30" i="22"/>
  <c r="B30" i="23"/>
  <c r="C30" i="22"/>
  <c r="C30" i="23"/>
  <c r="D30" i="22"/>
  <c r="D30" i="23"/>
  <c r="E30" i="19"/>
  <c r="E30" i="20"/>
  <c r="E30" i="22"/>
  <c r="E30" i="23"/>
  <c r="C30" i="72"/>
  <c r="G30" i="23"/>
  <c r="E30" i="72"/>
  <c r="L30" i="71"/>
  <c r="M30" i="71"/>
  <c r="N30" i="71"/>
  <c r="P30" i="71"/>
  <c r="Q30" i="71"/>
  <c r="P30" i="22"/>
  <c r="L30" i="23"/>
  <c r="M31" i="59"/>
  <c r="B29" i="19"/>
  <c r="B29" i="20"/>
  <c r="B29" i="22"/>
  <c r="B29" i="23"/>
  <c r="C29" i="22"/>
  <c r="C29" i="23"/>
  <c r="D29" i="22"/>
  <c r="D29" i="23"/>
  <c r="E29" i="19"/>
  <c r="E29" i="20"/>
  <c r="E29" i="22"/>
  <c r="E29" i="23"/>
  <c r="C29" i="72"/>
  <c r="L29" i="71"/>
  <c r="M29" i="71"/>
  <c r="N29" i="71"/>
  <c r="P29" i="71"/>
  <c r="Q29" i="71"/>
  <c r="O29" i="22"/>
  <c r="K29" i="23"/>
  <c r="P29" i="22"/>
  <c r="L29" i="23"/>
  <c r="M30" i="59"/>
  <c r="T30" i="59"/>
  <c r="B28" i="19"/>
  <c r="B28" i="20"/>
  <c r="B28" i="22"/>
  <c r="B28" i="23"/>
  <c r="C28" i="22"/>
  <c r="C28" i="23"/>
  <c r="D28" i="22"/>
  <c r="D28" i="23"/>
  <c r="E28" i="19"/>
  <c r="E28" i="20"/>
  <c r="E28" i="22"/>
  <c r="E28" i="23"/>
  <c r="C28" i="72"/>
  <c r="G28" i="23"/>
  <c r="E28" i="72"/>
  <c r="N28" i="55"/>
  <c r="D25" i="55"/>
  <c r="N28" i="71"/>
  <c r="B27" i="54"/>
  <c r="K32" i="50"/>
  <c r="M29" i="59"/>
  <c r="C27" i="22"/>
  <c r="C27" i="23"/>
  <c r="D27" i="22"/>
  <c r="D27" i="23"/>
  <c r="E27" i="22"/>
  <c r="E27" i="23"/>
  <c r="C27" i="72"/>
  <c r="P27" i="22"/>
  <c r="L27" i="23"/>
  <c r="M28" i="59"/>
  <c r="B26" i="19"/>
  <c r="B26" i="20"/>
  <c r="B26" i="22"/>
  <c r="B26" i="23"/>
  <c r="C26" i="22"/>
  <c r="C26" i="23"/>
  <c r="D26" i="22"/>
  <c r="D26" i="23"/>
  <c r="E26" i="19"/>
  <c r="E26" i="20"/>
  <c r="E26" i="22"/>
  <c r="E26" i="23"/>
  <c r="C26" i="72"/>
  <c r="G26" i="23"/>
  <c r="N21" i="55"/>
  <c r="D23" i="55"/>
  <c r="N26" i="71"/>
  <c r="I26" i="72"/>
  <c r="M27" i="59"/>
  <c r="B25" i="19"/>
  <c r="B25" i="20"/>
  <c r="B25" i="22"/>
  <c r="B25" i="23"/>
  <c r="C25" i="20"/>
  <c r="C25" i="22"/>
  <c r="C25" i="23"/>
  <c r="D25" i="22"/>
  <c r="D25" i="23"/>
  <c r="E25" i="19"/>
  <c r="E25" i="20"/>
  <c r="E25" i="22"/>
  <c r="E25" i="23"/>
  <c r="C25" i="72"/>
  <c r="G25" i="23"/>
  <c r="E25" i="72"/>
  <c r="N18" i="55"/>
  <c r="D22" i="55"/>
  <c r="N25" i="71"/>
  <c r="I25" i="72"/>
  <c r="P25" i="22"/>
  <c r="L25" i="23"/>
  <c r="M26" i="59"/>
  <c r="B24" i="19"/>
  <c r="B24" i="20"/>
  <c r="B24" i="22"/>
  <c r="B24" i="23"/>
  <c r="C24" i="22"/>
  <c r="C24" i="23"/>
  <c r="D24" i="22"/>
  <c r="D24" i="23"/>
  <c r="E24" i="19"/>
  <c r="E24" i="20"/>
  <c r="E24" i="22"/>
  <c r="E24" i="23"/>
  <c r="C24" i="72"/>
  <c r="G24" i="23"/>
  <c r="N17" i="55"/>
  <c r="D21" i="55"/>
  <c r="N24" i="71"/>
  <c r="M25" i="59"/>
  <c r="B23" i="19"/>
  <c r="B23" i="20"/>
  <c r="B23" i="22"/>
  <c r="B23" i="23"/>
  <c r="C23" i="22"/>
  <c r="C23" i="23"/>
  <c r="D23" i="22"/>
  <c r="D23" i="23"/>
  <c r="E23" i="19"/>
  <c r="E23" i="20"/>
  <c r="E23" i="22"/>
  <c r="E23" i="23"/>
  <c r="C23" i="72"/>
  <c r="G23" i="23"/>
  <c r="E23" i="72"/>
  <c r="N24" i="55"/>
  <c r="D20" i="55"/>
  <c r="N23" i="71"/>
  <c r="P23" i="22"/>
  <c r="L23" i="23"/>
  <c r="M24" i="59"/>
  <c r="B22" i="19"/>
  <c r="B22" i="20"/>
  <c r="B22" i="22"/>
  <c r="B22" i="23"/>
  <c r="C22" i="22"/>
  <c r="C22" i="23"/>
  <c r="D22" i="22"/>
  <c r="D22" i="23"/>
  <c r="E22" i="19"/>
  <c r="E22" i="20"/>
  <c r="E22" i="22"/>
  <c r="E22" i="23"/>
  <c r="C22" i="72"/>
  <c r="G22" i="23"/>
  <c r="N20" i="55"/>
  <c r="D19" i="55"/>
  <c r="N22" i="71"/>
  <c r="I22" i="72"/>
  <c r="P22" i="22"/>
  <c r="L22" i="23"/>
  <c r="M23" i="59"/>
  <c r="B21" i="19"/>
  <c r="B21" i="20"/>
  <c r="B21" i="22"/>
  <c r="B21" i="23"/>
  <c r="C21" i="22"/>
  <c r="C21" i="23"/>
  <c r="D21" i="22"/>
  <c r="D21" i="23"/>
  <c r="E21" i="19"/>
  <c r="E21" i="20"/>
  <c r="E21" i="22"/>
  <c r="E21" i="23"/>
  <c r="C21" i="72"/>
  <c r="G21" i="23"/>
  <c r="N15" i="55"/>
  <c r="D18" i="55"/>
  <c r="N21" i="71"/>
  <c r="I21" i="72"/>
  <c r="P21" i="22"/>
  <c r="L21" i="23"/>
  <c r="M22" i="59"/>
  <c r="B20" i="19"/>
  <c r="B20" i="20"/>
  <c r="B20" i="22"/>
  <c r="B20" i="23"/>
  <c r="C20" i="22"/>
  <c r="C20" i="23"/>
  <c r="D20" i="22"/>
  <c r="D20" i="23"/>
  <c r="E20" i="19"/>
  <c r="E20" i="20"/>
  <c r="E20" i="22"/>
  <c r="E20" i="23"/>
  <c r="C20" i="72"/>
  <c r="G20" i="23"/>
  <c r="E20" i="72"/>
  <c r="N23" i="55"/>
  <c r="D17" i="55"/>
  <c r="N20" i="71"/>
  <c r="M21" i="59"/>
  <c r="U7" i="59"/>
  <c r="B19" i="19"/>
  <c r="B19" i="20"/>
  <c r="B19" i="22"/>
  <c r="B19" i="23"/>
  <c r="C19" i="20"/>
  <c r="C19" i="22"/>
  <c r="C19" i="23"/>
  <c r="D19" i="22"/>
  <c r="D19" i="23"/>
  <c r="E19" i="19"/>
  <c r="E19" i="20"/>
  <c r="G19" i="23"/>
  <c r="E19" i="72"/>
  <c r="N16" i="55"/>
  <c r="D16" i="55"/>
  <c r="N19" i="71"/>
  <c r="M20" i="59"/>
  <c r="B18" i="19"/>
  <c r="B18" i="20"/>
  <c r="C18" i="20"/>
  <c r="C18" i="22"/>
  <c r="C18" i="23"/>
  <c r="D18" i="22"/>
  <c r="D18" i="23"/>
  <c r="E18" i="19"/>
  <c r="E18" i="20"/>
  <c r="E18" i="22"/>
  <c r="E18" i="23"/>
  <c r="C18" i="72"/>
  <c r="G18" i="23"/>
  <c r="N22" i="55"/>
  <c r="D15" i="55"/>
  <c r="N18" i="71"/>
  <c r="I18" i="72"/>
  <c r="M19" i="59"/>
  <c r="B17" i="19"/>
  <c r="B17" i="20"/>
  <c r="B17" i="22"/>
  <c r="B17" i="23"/>
  <c r="C17" i="20"/>
  <c r="C17" i="22"/>
  <c r="C17" i="23"/>
  <c r="D17" i="22"/>
  <c r="D17" i="23"/>
  <c r="E17" i="19"/>
  <c r="E17" i="20"/>
  <c r="E17" i="22"/>
  <c r="E17" i="23"/>
  <c r="C17" i="72"/>
  <c r="G17" i="23"/>
  <c r="N14" i="55"/>
  <c r="D14" i="55"/>
  <c r="N17" i="71"/>
  <c r="I17" i="72"/>
  <c r="M18" i="59"/>
  <c r="B16" i="20"/>
  <c r="B16" i="22"/>
  <c r="B16" i="23"/>
  <c r="C16" i="20"/>
  <c r="C16" i="22"/>
  <c r="D16" i="22"/>
  <c r="D16" i="23"/>
  <c r="E16" i="20"/>
  <c r="E16" i="22"/>
  <c r="E16" i="23"/>
  <c r="C16" i="72"/>
  <c r="G16" i="23"/>
  <c r="E16" i="72"/>
  <c r="N13" i="55"/>
  <c r="D13" i="55"/>
  <c r="N16" i="71"/>
  <c r="P16" i="22"/>
  <c r="L16" i="23"/>
  <c r="M17" i="59"/>
  <c r="B15" i="20"/>
  <c r="B15" i="22"/>
  <c r="B15" i="23"/>
  <c r="C15" i="20"/>
  <c r="C15" i="22"/>
  <c r="C15" i="23"/>
  <c r="D15" i="22"/>
  <c r="D15" i="23"/>
  <c r="E15" i="20"/>
  <c r="E15" i="22"/>
  <c r="E15" i="23"/>
  <c r="C15" i="72"/>
  <c r="G15" i="22"/>
  <c r="H15" i="22"/>
  <c r="I15" i="22"/>
  <c r="J15" i="22"/>
  <c r="L15" i="22"/>
  <c r="I15" i="23"/>
  <c r="K15" i="23"/>
  <c r="L15" i="23"/>
  <c r="L6" i="9"/>
  <c r="L7" i="9"/>
  <c r="L8" i="9"/>
  <c r="L9" i="9"/>
  <c r="L10" i="9"/>
  <c r="L11" i="9"/>
  <c r="L12" i="9"/>
  <c r="L13" i="9"/>
  <c r="L14" i="9"/>
  <c r="C12" i="19"/>
  <c r="C12" i="20"/>
  <c r="C12" i="22"/>
  <c r="C12" i="23"/>
  <c r="D12" i="20"/>
  <c r="D12" i="22"/>
  <c r="D12" i="23"/>
  <c r="E12" i="19"/>
  <c r="E12" i="20"/>
  <c r="E12" i="22"/>
  <c r="E12" i="23"/>
  <c r="C12" i="72"/>
  <c r="G12" i="19"/>
  <c r="G12" i="20"/>
  <c r="G12" i="22"/>
  <c r="H12" i="19"/>
  <c r="H12" i="20"/>
  <c r="H12" i="22"/>
  <c r="I12" i="19"/>
  <c r="I12" i="20"/>
  <c r="I12" i="22"/>
  <c r="J12" i="19"/>
  <c r="J12" i="20"/>
  <c r="J12" i="22"/>
  <c r="T12" i="71"/>
  <c r="O12" i="19"/>
  <c r="O12" i="22"/>
  <c r="K12" i="23"/>
  <c r="U12" i="71"/>
  <c r="P12" i="19"/>
  <c r="P12" i="22"/>
  <c r="L12" i="23"/>
  <c r="L24" i="9"/>
  <c r="L25" i="9"/>
  <c r="C11" i="19"/>
  <c r="C11" i="20"/>
  <c r="C11" i="22"/>
  <c r="C11" i="23"/>
  <c r="D11" i="20"/>
  <c r="D11" i="22"/>
  <c r="D11" i="23"/>
  <c r="E11" i="19"/>
  <c r="E11" i="20"/>
  <c r="E11" i="22"/>
  <c r="E11" i="23"/>
  <c r="C11" i="72"/>
  <c r="G11" i="19"/>
  <c r="G11" i="20"/>
  <c r="G11" i="22"/>
  <c r="H11" i="19"/>
  <c r="H11" i="20"/>
  <c r="H11" i="22"/>
  <c r="I11" i="19"/>
  <c r="I11" i="20"/>
  <c r="I11" i="22"/>
  <c r="J11" i="19"/>
  <c r="J11" i="20"/>
  <c r="J11" i="22"/>
  <c r="T11" i="71"/>
  <c r="O11" i="19"/>
  <c r="U11" i="71"/>
  <c r="P11" i="19"/>
  <c r="P11" i="22"/>
  <c r="L11" i="23"/>
  <c r="B10" i="71"/>
  <c r="B10" i="19"/>
  <c r="B10" i="20"/>
  <c r="B10" i="22"/>
  <c r="B10" i="23"/>
  <c r="B17" i="33"/>
  <c r="C10" i="19"/>
  <c r="C10" i="20"/>
  <c r="C10" i="22"/>
  <c r="C10" i="23"/>
  <c r="D10" i="20"/>
  <c r="D10" i="22"/>
  <c r="D10" i="23"/>
  <c r="E10" i="19"/>
  <c r="E10" i="20"/>
  <c r="E10" i="22"/>
  <c r="E10" i="23"/>
  <c r="C10" i="72"/>
  <c r="T10" i="71"/>
  <c r="O10" i="19"/>
  <c r="O10" i="22"/>
  <c r="K10" i="23"/>
  <c r="U10" i="71"/>
  <c r="P10" i="19"/>
  <c r="P10" i="22"/>
  <c r="L10" i="23"/>
  <c r="B9" i="19"/>
  <c r="B9" i="20"/>
  <c r="B9" i="22"/>
  <c r="B9" i="23"/>
  <c r="C9" i="19"/>
  <c r="C9" i="20"/>
  <c r="C9" i="22"/>
  <c r="C9" i="23"/>
  <c r="D9" i="20"/>
  <c r="D9" i="22"/>
  <c r="D9" i="23"/>
  <c r="E9" i="19"/>
  <c r="E9" i="20"/>
  <c r="E9" i="22"/>
  <c r="E9" i="23"/>
  <c r="C9" i="72"/>
  <c r="T9" i="71"/>
  <c r="O9" i="19"/>
  <c r="O9" i="22"/>
  <c r="K9" i="23"/>
  <c r="U9" i="71"/>
  <c r="P9" i="19"/>
  <c r="P9" i="22"/>
  <c r="L9" i="23"/>
  <c r="J13" i="33"/>
  <c r="K13" i="33"/>
  <c r="B8" i="19"/>
  <c r="B8" i="20"/>
  <c r="B8" i="22"/>
  <c r="B8" i="23"/>
  <c r="L34" i="9"/>
  <c r="L35" i="9"/>
  <c r="D8" i="20"/>
  <c r="D8" i="22"/>
  <c r="D8" i="23"/>
  <c r="B6" i="19"/>
  <c r="B6" i="20"/>
  <c r="L33" i="9"/>
  <c r="C6" i="19"/>
  <c r="C6" i="20"/>
  <c r="D6" i="20"/>
  <c r="D6" i="22"/>
  <c r="D6" i="23"/>
  <c r="D7" i="20"/>
  <c r="D7" i="22"/>
  <c r="D7" i="23"/>
  <c r="D35" i="20"/>
  <c r="E6" i="19"/>
  <c r="E6" i="20"/>
  <c r="E7" i="19"/>
  <c r="E7" i="20"/>
  <c r="E7" i="22"/>
  <c r="E7" i="23"/>
  <c r="C7" i="72"/>
  <c r="G6" i="19"/>
  <c r="G6" i="20"/>
  <c r="G7" i="19"/>
  <c r="G7" i="20"/>
  <c r="G10" i="19"/>
  <c r="G10" i="20"/>
  <c r="G16" i="20"/>
  <c r="G17" i="19"/>
  <c r="G17" i="20"/>
  <c r="G18" i="19"/>
  <c r="G18" i="20"/>
  <c r="G19" i="19"/>
  <c r="G19" i="20"/>
  <c r="G20" i="19"/>
  <c r="G20" i="20"/>
  <c r="G21" i="19"/>
  <c r="G21" i="20"/>
  <c r="G22" i="19"/>
  <c r="G22" i="20"/>
  <c r="G23" i="19"/>
  <c r="G23" i="20"/>
  <c r="G24" i="19"/>
  <c r="G24" i="20"/>
  <c r="G25" i="19"/>
  <c r="G25" i="20"/>
  <c r="G26" i="19"/>
  <c r="G26" i="20"/>
  <c r="G28" i="19"/>
  <c r="G28" i="20"/>
  <c r="G29" i="19"/>
  <c r="G29" i="20"/>
  <c r="G30" i="19"/>
  <c r="G30" i="20"/>
  <c r="G32" i="19"/>
  <c r="G32" i="20"/>
  <c r="G34" i="19"/>
  <c r="G34" i="20"/>
  <c r="G39" i="71"/>
  <c r="G39" i="20"/>
  <c r="G42" i="71"/>
  <c r="G42" i="20"/>
  <c r="G43" i="71"/>
  <c r="G43" i="20"/>
  <c r="H6" i="19"/>
  <c r="H6" i="20"/>
  <c r="H7" i="19"/>
  <c r="H7" i="20"/>
  <c r="H7" i="22"/>
  <c r="H10" i="19"/>
  <c r="H10" i="20"/>
  <c r="H16" i="20"/>
  <c r="H17" i="19"/>
  <c r="H17" i="20"/>
  <c r="H18" i="19"/>
  <c r="H18" i="20"/>
  <c r="H19" i="19"/>
  <c r="H19" i="20"/>
  <c r="H20" i="19"/>
  <c r="H20" i="20"/>
  <c r="H21" i="19"/>
  <c r="H21" i="20"/>
  <c r="H22" i="19"/>
  <c r="H22" i="20"/>
  <c r="H23" i="19"/>
  <c r="H23" i="20"/>
  <c r="H24" i="19"/>
  <c r="H24" i="20"/>
  <c r="H25" i="19"/>
  <c r="H25" i="20"/>
  <c r="H26" i="19"/>
  <c r="H26" i="20"/>
  <c r="H28" i="19"/>
  <c r="H28" i="20"/>
  <c r="H29" i="19"/>
  <c r="H29" i="20"/>
  <c r="H30" i="19"/>
  <c r="H30" i="20"/>
  <c r="H32" i="19"/>
  <c r="H32" i="20"/>
  <c r="H34" i="19"/>
  <c r="H34" i="20"/>
  <c r="H39" i="71"/>
  <c r="H39" i="20"/>
  <c r="H42" i="71"/>
  <c r="H42" i="20"/>
  <c r="H43" i="71"/>
  <c r="H43" i="20"/>
  <c r="I6" i="19"/>
  <c r="I6" i="20"/>
  <c r="I6" i="22"/>
  <c r="I7" i="19"/>
  <c r="I7" i="20"/>
  <c r="I7" i="22"/>
  <c r="I10" i="19"/>
  <c r="I10" i="20"/>
  <c r="I10" i="22"/>
  <c r="I16" i="20"/>
  <c r="I17" i="19"/>
  <c r="I17" i="20"/>
  <c r="I18" i="19"/>
  <c r="I18" i="20"/>
  <c r="I19" i="19"/>
  <c r="I19" i="20"/>
  <c r="I20" i="19"/>
  <c r="I20" i="20"/>
  <c r="I21" i="19"/>
  <c r="I21" i="20"/>
  <c r="I22" i="19"/>
  <c r="I22" i="20"/>
  <c r="I23" i="19"/>
  <c r="I23" i="20"/>
  <c r="I24" i="19"/>
  <c r="I24" i="20"/>
  <c r="I25" i="19"/>
  <c r="I25" i="20"/>
  <c r="I26" i="19"/>
  <c r="I26" i="20"/>
  <c r="I28" i="19"/>
  <c r="I28" i="20"/>
  <c r="I29" i="19"/>
  <c r="I29" i="20"/>
  <c r="I30" i="19"/>
  <c r="I30" i="20"/>
  <c r="I32" i="19"/>
  <c r="I32" i="20"/>
  <c r="I34" i="19"/>
  <c r="I34" i="20"/>
  <c r="I39" i="71"/>
  <c r="I39" i="20"/>
  <c r="I42" i="71"/>
  <c r="I42" i="20"/>
  <c r="I43" i="71"/>
  <c r="I43" i="20"/>
  <c r="J6" i="19"/>
  <c r="J6" i="20"/>
  <c r="J6" i="22"/>
  <c r="J7" i="19"/>
  <c r="J7" i="20"/>
  <c r="J7" i="22"/>
  <c r="J10" i="19"/>
  <c r="J10" i="20"/>
  <c r="J10" i="22"/>
  <c r="J16" i="20"/>
  <c r="J17" i="19"/>
  <c r="J17" i="20"/>
  <c r="J18" i="19"/>
  <c r="J18" i="20"/>
  <c r="J19" i="19"/>
  <c r="J19" i="20"/>
  <c r="J20" i="19"/>
  <c r="J20" i="20"/>
  <c r="J21" i="19"/>
  <c r="J21" i="20"/>
  <c r="J22" i="19"/>
  <c r="J22" i="20"/>
  <c r="J23" i="19"/>
  <c r="J23" i="20"/>
  <c r="J24" i="19"/>
  <c r="J24" i="20"/>
  <c r="J25" i="19"/>
  <c r="J25" i="20"/>
  <c r="J26" i="19"/>
  <c r="J26" i="20"/>
  <c r="J28" i="19"/>
  <c r="J28" i="20"/>
  <c r="J29" i="19"/>
  <c r="J29" i="20"/>
  <c r="J30" i="19"/>
  <c r="J30" i="20"/>
  <c r="J32" i="19"/>
  <c r="J32" i="20"/>
  <c r="J34" i="19"/>
  <c r="J34" i="20"/>
  <c r="J39" i="71"/>
  <c r="J39" i="20"/>
  <c r="J42" i="71"/>
  <c r="J42" i="20"/>
  <c r="J43" i="71"/>
  <c r="J43" i="20"/>
  <c r="L6" i="19"/>
  <c r="L6" i="20"/>
  <c r="L7" i="19"/>
  <c r="L7" i="20"/>
  <c r="L8" i="19"/>
  <c r="L8" i="20"/>
  <c r="L9" i="19"/>
  <c r="L9" i="20"/>
  <c r="L10" i="19"/>
  <c r="L10" i="20"/>
  <c r="L11" i="19"/>
  <c r="L11" i="20"/>
  <c r="L12" i="19"/>
  <c r="L12" i="20"/>
  <c r="M35" i="20"/>
  <c r="M58" i="20"/>
  <c r="T6" i="71"/>
  <c r="O6" i="19"/>
  <c r="O6" i="22"/>
  <c r="K6" i="23"/>
  <c r="O6" i="20"/>
  <c r="T8" i="71"/>
  <c r="O8" i="19"/>
  <c r="O8" i="20"/>
  <c r="O9" i="20"/>
  <c r="O10" i="20"/>
  <c r="O12" i="20"/>
  <c r="O29" i="20"/>
  <c r="U6" i="71"/>
  <c r="P6" i="19"/>
  <c r="P6" i="20"/>
  <c r="U7" i="71"/>
  <c r="P7" i="19"/>
  <c r="U8" i="71"/>
  <c r="P8" i="19"/>
  <c r="P8" i="20"/>
  <c r="P10" i="20"/>
  <c r="P11" i="20"/>
  <c r="P12" i="20"/>
  <c r="P29" i="20"/>
  <c r="P30" i="20"/>
  <c r="P32" i="20"/>
  <c r="P34" i="20"/>
  <c r="P39" i="20"/>
  <c r="P42" i="20"/>
  <c r="P43" i="20"/>
  <c r="H8" i="19"/>
  <c r="H8" i="20"/>
  <c r="H8" i="22"/>
  <c r="I8" i="19"/>
  <c r="I8" i="20"/>
  <c r="I8" i="22"/>
  <c r="J8" i="19"/>
  <c r="J8" i="20"/>
  <c r="J8" i="22"/>
  <c r="O8" i="22"/>
  <c r="K8" i="23"/>
  <c r="O8" i="23"/>
  <c r="P8" i="23"/>
  <c r="P59" i="23"/>
  <c r="E6" i="22"/>
  <c r="E6" i="23"/>
  <c r="C6" i="72"/>
  <c r="P6" i="22"/>
  <c r="L6" i="23"/>
  <c r="K17" i="53"/>
  <c r="K18" i="53"/>
  <c r="K19" i="53"/>
  <c r="K20" i="53"/>
  <c r="K21" i="53"/>
  <c r="K22" i="53"/>
  <c r="K23" i="53"/>
  <c r="K26" i="53"/>
  <c r="K28" i="53"/>
  <c r="K30" i="53"/>
  <c r="K31" i="53"/>
  <c r="K32" i="53"/>
  <c r="K33" i="53"/>
  <c r="K34" i="53"/>
  <c r="K42" i="53"/>
  <c r="K59" i="53"/>
  <c r="K65" i="53"/>
  <c r="K66" i="53"/>
  <c r="K67" i="53"/>
  <c r="K68" i="53"/>
  <c r="K69" i="53"/>
  <c r="K70" i="53"/>
  <c r="K71" i="53"/>
  <c r="K72" i="53"/>
  <c r="K73" i="53"/>
  <c r="K74" i="53"/>
  <c r="K75" i="53"/>
  <c r="K76" i="53"/>
  <c r="K78" i="53"/>
  <c r="K79" i="53"/>
  <c r="K80" i="53"/>
  <c r="K81" i="53"/>
  <c r="K82" i="53"/>
  <c r="K88" i="53"/>
  <c r="K90" i="53"/>
  <c r="E17" i="72"/>
  <c r="E18" i="72"/>
  <c r="E21" i="72"/>
  <c r="E22" i="72"/>
  <c r="E24" i="72"/>
  <c r="E26" i="72"/>
  <c r="E32" i="72"/>
  <c r="E34" i="72"/>
  <c r="E43" i="72"/>
  <c r="E9" i="72"/>
  <c r="E10" i="72"/>
  <c r="G27" i="72"/>
  <c r="G29" i="72"/>
  <c r="G30" i="72"/>
  <c r="G33" i="72"/>
  <c r="G34" i="72"/>
  <c r="G39" i="72"/>
  <c r="G41" i="72"/>
  <c r="G42" i="72"/>
  <c r="G43" i="72"/>
  <c r="G44" i="72"/>
  <c r="G46" i="72"/>
  <c r="G47" i="72"/>
  <c r="G48" i="72"/>
  <c r="G49" i="72"/>
  <c r="G50" i="72"/>
  <c r="G51" i="72"/>
  <c r="G52" i="72"/>
  <c r="G53" i="72"/>
  <c r="G54" i="72"/>
  <c r="G55" i="72"/>
  <c r="G56" i="72"/>
  <c r="G57" i="72"/>
  <c r="G6" i="72"/>
  <c r="G7" i="72"/>
  <c r="G8" i="72"/>
  <c r="G9" i="72"/>
  <c r="G10" i="72"/>
  <c r="G11" i="72"/>
  <c r="G12" i="72"/>
  <c r="H27" i="72"/>
  <c r="H29" i="72"/>
  <c r="H30" i="72"/>
  <c r="H33" i="72"/>
  <c r="H34" i="72"/>
  <c r="H39" i="72"/>
  <c r="H41" i="72"/>
  <c r="H42" i="72"/>
  <c r="H43" i="72"/>
  <c r="H44" i="72"/>
  <c r="H46" i="72"/>
  <c r="H47" i="72"/>
  <c r="H48" i="72"/>
  <c r="H49" i="72"/>
  <c r="H50" i="72"/>
  <c r="H51" i="72"/>
  <c r="H52" i="72"/>
  <c r="H53" i="72"/>
  <c r="H54" i="72"/>
  <c r="H55" i="72"/>
  <c r="H56" i="72"/>
  <c r="H57" i="72"/>
  <c r="H6" i="72"/>
  <c r="H7" i="72"/>
  <c r="H8" i="72"/>
  <c r="H9" i="72"/>
  <c r="H10" i="72"/>
  <c r="H11" i="72"/>
  <c r="H12" i="72"/>
  <c r="J6" i="72"/>
  <c r="J7" i="72"/>
  <c r="J8" i="72"/>
  <c r="J9" i="72"/>
  <c r="J10" i="72"/>
  <c r="J11" i="72"/>
  <c r="J12" i="72"/>
  <c r="K27" i="72"/>
  <c r="K29" i="72"/>
  <c r="K30" i="72"/>
  <c r="K33" i="72"/>
  <c r="K34" i="72"/>
  <c r="K39" i="72"/>
  <c r="K41" i="72"/>
  <c r="K42" i="72"/>
  <c r="K43" i="72"/>
  <c r="K44" i="72"/>
  <c r="K46" i="72"/>
  <c r="K47" i="72"/>
  <c r="K48" i="72"/>
  <c r="K49" i="72"/>
  <c r="K50" i="72"/>
  <c r="K51" i="72"/>
  <c r="K52" i="72"/>
  <c r="K53" i="72"/>
  <c r="K54" i="72"/>
  <c r="K55" i="72"/>
  <c r="K56" i="72"/>
  <c r="K57" i="72"/>
  <c r="K6" i="72"/>
  <c r="K7" i="72"/>
  <c r="K8" i="72"/>
  <c r="K9" i="72"/>
  <c r="K10" i="72"/>
  <c r="K11" i="72"/>
  <c r="K12" i="72"/>
  <c r="L27" i="72"/>
  <c r="L29" i="72"/>
  <c r="L30" i="72"/>
  <c r="L33" i="72"/>
  <c r="L34" i="72"/>
  <c r="L39" i="72"/>
  <c r="L41" i="72"/>
  <c r="L42" i="72"/>
  <c r="L43" i="72"/>
  <c r="L44" i="72"/>
  <c r="L46" i="72"/>
  <c r="L47" i="72"/>
  <c r="L48" i="72"/>
  <c r="L49" i="72"/>
  <c r="L50" i="72"/>
  <c r="L51" i="72"/>
  <c r="L52" i="72"/>
  <c r="L53" i="72"/>
  <c r="L54" i="72"/>
  <c r="L55" i="72"/>
  <c r="L56" i="72"/>
  <c r="L57" i="72"/>
  <c r="L6" i="72"/>
  <c r="L7" i="72"/>
  <c r="L8" i="72"/>
  <c r="L9" i="72"/>
  <c r="L10" i="72"/>
  <c r="L11" i="72"/>
  <c r="L12" i="72"/>
  <c r="N29" i="72"/>
  <c r="N6" i="72"/>
  <c r="N8" i="72"/>
  <c r="N9" i="72"/>
  <c r="N10" i="72"/>
  <c r="N11" i="72"/>
  <c r="N12" i="72"/>
  <c r="V15" i="72"/>
  <c r="V6" i="72"/>
  <c r="V7" i="72"/>
  <c r="V9" i="72"/>
  <c r="V10" i="72"/>
  <c r="V11" i="72"/>
  <c r="V12" i="72"/>
  <c r="V39" i="72"/>
  <c r="V41" i="72"/>
  <c r="V42" i="72"/>
  <c r="V43" i="72"/>
  <c r="V44" i="72"/>
  <c r="V45" i="72"/>
  <c r="V46" i="72"/>
  <c r="V47" i="72"/>
  <c r="V48" i="72"/>
  <c r="V49" i="72"/>
  <c r="V50" i="72"/>
  <c r="V51" i="72"/>
  <c r="V52" i="72"/>
  <c r="V53" i="72"/>
  <c r="V54" i="72"/>
  <c r="V55" i="72"/>
  <c r="V56" i="72"/>
  <c r="V57" i="72"/>
  <c r="F35" i="72"/>
  <c r="F58" i="72"/>
  <c r="F59" i="72"/>
  <c r="I6" i="72"/>
  <c r="I7" i="72"/>
  <c r="I8" i="72"/>
  <c r="I9" i="72"/>
  <c r="I10" i="72"/>
  <c r="I11" i="72"/>
  <c r="I12" i="72"/>
  <c r="I19" i="72"/>
  <c r="I20" i="72"/>
  <c r="I23" i="72"/>
  <c r="I24" i="72"/>
  <c r="I27" i="72"/>
  <c r="I28" i="72"/>
  <c r="I29" i="72"/>
  <c r="I30" i="72"/>
  <c r="I31" i="72"/>
  <c r="I33" i="72"/>
  <c r="I34" i="72"/>
  <c r="I39" i="72"/>
  <c r="I41" i="72"/>
  <c r="I42" i="72"/>
  <c r="I43" i="72"/>
  <c r="I44" i="72"/>
  <c r="I45" i="72"/>
  <c r="I46" i="72"/>
  <c r="I47" i="72"/>
  <c r="I48" i="72"/>
  <c r="I49" i="72"/>
  <c r="I50" i="72"/>
  <c r="I51" i="72"/>
  <c r="I52" i="72"/>
  <c r="I53" i="72"/>
  <c r="I54" i="72"/>
  <c r="I55" i="72"/>
  <c r="I56" i="72"/>
  <c r="I57" i="72"/>
  <c r="O6" i="72"/>
  <c r="O7" i="72"/>
  <c r="O8" i="72"/>
  <c r="O9" i="72"/>
  <c r="O10" i="72"/>
  <c r="O11" i="72"/>
  <c r="O12" i="72"/>
  <c r="O16" i="72"/>
  <c r="O17" i="72"/>
  <c r="O18" i="72"/>
  <c r="O19" i="72"/>
  <c r="O20" i="72"/>
  <c r="O21" i="72"/>
  <c r="O22" i="72"/>
  <c r="O23" i="72"/>
  <c r="O24" i="72"/>
  <c r="O25" i="72"/>
  <c r="O26" i="72"/>
  <c r="O27" i="72"/>
  <c r="O28" i="72"/>
  <c r="O29" i="72"/>
  <c r="O30" i="72"/>
  <c r="O31" i="72"/>
  <c r="O32" i="72"/>
  <c r="O33" i="72"/>
  <c r="O34" i="72"/>
  <c r="O39" i="72"/>
  <c r="O41" i="72"/>
  <c r="O58" i="72"/>
  <c r="O42" i="72"/>
  <c r="O43" i="72"/>
  <c r="O44" i="72"/>
  <c r="O45" i="72"/>
  <c r="O46" i="72"/>
  <c r="O47" i="72"/>
  <c r="O48" i="72"/>
  <c r="O49" i="72"/>
  <c r="O50" i="72"/>
  <c r="O51" i="72"/>
  <c r="O52" i="72"/>
  <c r="O53" i="72"/>
  <c r="O54" i="72"/>
  <c r="O55" i="72"/>
  <c r="O56" i="72"/>
  <c r="O57" i="72"/>
  <c r="P6" i="72"/>
  <c r="P7" i="72"/>
  <c r="P8" i="72"/>
  <c r="P9" i="72"/>
  <c r="P10" i="72"/>
  <c r="P11" i="72"/>
  <c r="P12" i="72"/>
  <c r="P16" i="72"/>
  <c r="P17" i="72"/>
  <c r="P18" i="72"/>
  <c r="P35" i="72"/>
  <c r="P19" i="72"/>
  <c r="P20" i="72"/>
  <c r="P21" i="72"/>
  <c r="P22" i="72"/>
  <c r="P23" i="72"/>
  <c r="P24" i="72"/>
  <c r="P25" i="72"/>
  <c r="P26" i="72"/>
  <c r="P27" i="72"/>
  <c r="P28" i="72"/>
  <c r="P29" i="72"/>
  <c r="P30" i="72"/>
  <c r="P31" i="72"/>
  <c r="P32" i="72"/>
  <c r="P33" i="72"/>
  <c r="P34" i="72"/>
  <c r="P39" i="72"/>
  <c r="P41" i="72"/>
  <c r="P42" i="72"/>
  <c r="P43" i="72"/>
  <c r="P44" i="72"/>
  <c r="P45" i="72"/>
  <c r="P46" i="72"/>
  <c r="P47" i="72"/>
  <c r="P48" i="72"/>
  <c r="P49" i="72"/>
  <c r="P50" i="72"/>
  <c r="P51" i="72"/>
  <c r="P52" i="72"/>
  <c r="P53" i="72"/>
  <c r="P54" i="72"/>
  <c r="P55" i="72"/>
  <c r="P56" i="72"/>
  <c r="P57" i="72"/>
  <c r="P58" i="72"/>
  <c r="Q6" i="72"/>
  <c r="Q7" i="72"/>
  <c r="Q8" i="72"/>
  <c r="Q9" i="72"/>
  <c r="Q10" i="72"/>
  <c r="Q11" i="72"/>
  <c r="Q12" i="72"/>
  <c r="Q16" i="72"/>
  <c r="Q21" i="72"/>
  <c r="Q22" i="72"/>
  <c r="Q23" i="72"/>
  <c r="Q25" i="72"/>
  <c r="Q27" i="72"/>
  <c r="Q29" i="72"/>
  <c r="Q30" i="72"/>
  <c r="Q31" i="72"/>
  <c r="Q32" i="72"/>
  <c r="Q33" i="72"/>
  <c r="Q34" i="72"/>
  <c r="Q39" i="72"/>
  <c r="Q58" i="72"/>
  <c r="Q41" i="72"/>
  <c r="Q42" i="72"/>
  <c r="Q43" i="72"/>
  <c r="Q44" i="72"/>
  <c r="Q45" i="72"/>
  <c r="Q46" i="72"/>
  <c r="Q47" i="72"/>
  <c r="Q48" i="72"/>
  <c r="Q49" i="72"/>
  <c r="Q50" i="72"/>
  <c r="Q51" i="72"/>
  <c r="Q52" i="72"/>
  <c r="Q53" i="72"/>
  <c r="Q54" i="72"/>
  <c r="Q55" i="72"/>
  <c r="Q56" i="72"/>
  <c r="Q57" i="72"/>
  <c r="R6" i="72"/>
  <c r="R7" i="72"/>
  <c r="R8" i="72"/>
  <c r="R9" i="72"/>
  <c r="R10" i="72"/>
  <c r="R11" i="72"/>
  <c r="R12" i="72"/>
  <c r="R16" i="72"/>
  <c r="R17" i="72"/>
  <c r="R18" i="72"/>
  <c r="R19" i="72"/>
  <c r="R20" i="72"/>
  <c r="R21" i="72"/>
  <c r="R22" i="72"/>
  <c r="R23" i="72"/>
  <c r="R24" i="72"/>
  <c r="R25" i="72"/>
  <c r="R26" i="72"/>
  <c r="R27" i="72"/>
  <c r="R28" i="72"/>
  <c r="R29" i="72"/>
  <c r="R30" i="72"/>
  <c r="R31" i="72"/>
  <c r="R32" i="72"/>
  <c r="R33" i="72"/>
  <c r="R34" i="72"/>
  <c r="R39" i="72"/>
  <c r="R58" i="72"/>
  <c r="R41" i="72"/>
  <c r="R42" i="72"/>
  <c r="R43" i="72"/>
  <c r="R44" i="72"/>
  <c r="R45" i="72"/>
  <c r="R46" i="72"/>
  <c r="R47" i="72"/>
  <c r="R48" i="72"/>
  <c r="R49" i="72"/>
  <c r="R50" i="72"/>
  <c r="R51" i="72"/>
  <c r="R52" i="72"/>
  <c r="R53" i="72"/>
  <c r="R54" i="72"/>
  <c r="R55" i="72"/>
  <c r="R56" i="72"/>
  <c r="R57" i="72"/>
  <c r="S6" i="72"/>
  <c r="S59" i="72"/>
  <c r="S7" i="72"/>
  <c r="S8" i="72"/>
  <c r="S9" i="72"/>
  <c r="S10" i="72"/>
  <c r="S11" i="72"/>
  <c r="S12" i="72"/>
  <c r="S16" i="72"/>
  <c r="S35" i="72"/>
  <c r="S17" i="72"/>
  <c r="S18" i="72"/>
  <c r="S19" i="72"/>
  <c r="S20" i="72"/>
  <c r="S21" i="72"/>
  <c r="S22" i="72"/>
  <c r="S23" i="72"/>
  <c r="S24" i="72"/>
  <c r="S25" i="72"/>
  <c r="S26" i="72"/>
  <c r="S27" i="72"/>
  <c r="S28" i="72"/>
  <c r="S29" i="72"/>
  <c r="S30" i="72"/>
  <c r="S31" i="72"/>
  <c r="S32" i="72"/>
  <c r="S33" i="72"/>
  <c r="S34" i="72"/>
  <c r="S39" i="72"/>
  <c r="S41" i="72"/>
  <c r="S58" i="72"/>
  <c r="S42" i="72"/>
  <c r="S43" i="72"/>
  <c r="S44" i="72"/>
  <c r="S45" i="72"/>
  <c r="S46" i="72"/>
  <c r="S47" i="72"/>
  <c r="S48" i="72"/>
  <c r="S49" i="72"/>
  <c r="S50" i="72"/>
  <c r="S51" i="72"/>
  <c r="S52" i="72"/>
  <c r="S53" i="72"/>
  <c r="S54" i="72"/>
  <c r="S55" i="72"/>
  <c r="S56" i="72"/>
  <c r="S57" i="72"/>
  <c r="T6" i="72"/>
  <c r="T7" i="72"/>
  <c r="T8" i="72"/>
  <c r="T9" i="72"/>
  <c r="T10" i="72"/>
  <c r="T11" i="72"/>
  <c r="T12" i="72"/>
  <c r="T16" i="72"/>
  <c r="T17" i="72"/>
  <c r="T18" i="72"/>
  <c r="T35" i="72"/>
  <c r="T19" i="72"/>
  <c r="T20" i="72"/>
  <c r="T21" i="72"/>
  <c r="T22" i="72"/>
  <c r="T23" i="72"/>
  <c r="T24" i="72"/>
  <c r="T25" i="72"/>
  <c r="T26" i="72"/>
  <c r="T27" i="72"/>
  <c r="T28" i="72"/>
  <c r="T29" i="72"/>
  <c r="T30" i="72"/>
  <c r="T31" i="72"/>
  <c r="T32" i="72"/>
  <c r="T33" i="72"/>
  <c r="T34" i="72"/>
  <c r="T39" i="72"/>
  <c r="T41" i="72"/>
  <c r="T42" i="72"/>
  <c r="T43" i="72"/>
  <c r="T44" i="72"/>
  <c r="T45" i="72"/>
  <c r="T46" i="72"/>
  <c r="T47" i="72"/>
  <c r="T48" i="72"/>
  <c r="T49" i="72"/>
  <c r="T50" i="72"/>
  <c r="T51" i="72"/>
  <c r="T52" i="72"/>
  <c r="T53" i="72"/>
  <c r="T54" i="72"/>
  <c r="T55" i="72"/>
  <c r="T56" i="72"/>
  <c r="T57" i="72"/>
  <c r="T58" i="72"/>
  <c r="G15" i="72"/>
  <c r="H15" i="72"/>
  <c r="I15" i="72"/>
  <c r="J15" i="72"/>
  <c r="K15" i="72"/>
  <c r="L15" i="72"/>
  <c r="N15" i="72"/>
  <c r="O15" i="72"/>
  <c r="P15" i="72"/>
  <c r="Q15" i="72"/>
  <c r="R15" i="72"/>
  <c r="S15" i="72"/>
  <c r="T15" i="72"/>
  <c r="B18" i="46"/>
  <c r="D15" i="33"/>
  <c r="H22" i="46"/>
  <c r="G9" i="19"/>
  <c r="G9" i="20"/>
  <c r="G10" i="22"/>
  <c r="H9" i="19"/>
  <c r="H9" i="20"/>
  <c r="H9" i="22"/>
  <c r="H10" i="22"/>
  <c r="H35" i="22"/>
  <c r="I9" i="19"/>
  <c r="I9" i="20"/>
  <c r="I9" i="22"/>
  <c r="I35" i="22"/>
  <c r="J9" i="19"/>
  <c r="J9" i="20"/>
  <c r="J9" i="22"/>
  <c r="J35" i="22"/>
  <c r="L6" i="22"/>
  <c r="L7" i="22"/>
  <c r="L8" i="22"/>
  <c r="L9" i="22"/>
  <c r="L10" i="22"/>
  <c r="L11" i="22"/>
  <c r="L12" i="22"/>
  <c r="M35" i="22"/>
  <c r="M58" i="22"/>
  <c r="R40" i="20"/>
  <c r="G8" i="19"/>
  <c r="G8" i="20"/>
  <c r="V6" i="9"/>
  <c r="W6" i="9"/>
  <c r="W9" i="9"/>
  <c r="V12" i="9"/>
  <c r="W12" i="9"/>
  <c r="V13" i="9"/>
  <c r="W13" i="9"/>
  <c r="W14" i="9"/>
  <c r="AA14" i="9"/>
  <c r="W15" i="9"/>
  <c r="W16" i="9"/>
  <c r="AA16" i="9"/>
  <c r="W17" i="9"/>
  <c r="W18" i="9"/>
  <c r="W19" i="9"/>
  <c r="AA21" i="9"/>
  <c r="W20" i="9"/>
  <c r="W21" i="9"/>
  <c r="W22" i="9"/>
  <c r="W23" i="9"/>
  <c r="W26" i="9"/>
  <c r="W27" i="9"/>
  <c r="W28" i="9"/>
  <c r="W29" i="9"/>
  <c r="W30" i="9"/>
  <c r="W31" i="9"/>
  <c r="W32" i="9"/>
  <c r="W33" i="9"/>
  <c r="V36" i="9"/>
  <c r="W36" i="9"/>
  <c r="W37" i="9"/>
  <c r="W38" i="9"/>
  <c r="W39" i="9"/>
  <c r="W40" i="9"/>
  <c r="W41" i="9"/>
  <c r="W42" i="9"/>
  <c r="W43" i="9"/>
  <c r="W44" i="9"/>
  <c r="V45" i="9"/>
  <c r="W45" i="9"/>
  <c r="W46" i="9"/>
  <c r="W47" i="9"/>
  <c r="W48" i="9"/>
  <c r="W51" i="9"/>
  <c r="W52" i="9"/>
  <c r="W53" i="9"/>
  <c r="V54" i="9"/>
  <c r="W54" i="9"/>
  <c r="V57" i="9"/>
  <c r="W57" i="9"/>
  <c r="W58" i="9"/>
  <c r="W67" i="9"/>
  <c r="W68" i="9"/>
  <c r="V69" i="9"/>
  <c r="W69" i="9"/>
  <c r="V70" i="9"/>
  <c r="W70" i="9"/>
  <c r="V71" i="9"/>
  <c r="W71" i="9"/>
  <c r="W76" i="9"/>
  <c r="Y12" i="9"/>
  <c r="I58" i="71"/>
  <c r="I59" i="71"/>
  <c r="J35" i="71"/>
  <c r="T29" i="71"/>
  <c r="U16" i="71"/>
  <c r="U21" i="71"/>
  <c r="U22" i="71"/>
  <c r="U23" i="71"/>
  <c r="U25" i="71"/>
  <c r="U27" i="71"/>
  <c r="U29" i="71"/>
  <c r="U30" i="71"/>
  <c r="U31" i="71"/>
  <c r="U32" i="71"/>
  <c r="U33" i="71"/>
  <c r="U34" i="71"/>
  <c r="U58" i="71"/>
  <c r="B58" i="71"/>
  <c r="B35" i="71"/>
  <c r="B59" i="71"/>
  <c r="N58" i="71"/>
  <c r="C58" i="71"/>
  <c r="C35" i="71"/>
  <c r="C59" i="71"/>
  <c r="E58" i="71"/>
  <c r="E35" i="71"/>
  <c r="E59" i="71"/>
  <c r="K58" i="71"/>
  <c r="K35" i="71"/>
  <c r="K59" i="71"/>
  <c r="R58" i="71"/>
  <c r="R59" i="71"/>
  <c r="R35" i="71"/>
  <c r="Y35" i="21"/>
  <c r="Y59" i="21"/>
  <c r="Y58" i="21"/>
  <c r="X35" i="21"/>
  <c r="X59" i="21"/>
  <c r="X58" i="21"/>
  <c r="G35" i="21"/>
  <c r="H35" i="21"/>
  <c r="J35" i="21"/>
  <c r="Q58" i="21"/>
  <c r="B35" i="21"/>
  <c r="B58" i="21"/>
  <c r="B59" i="21"/>
  <c r="C35" i="21"/>
  <c r="C58" i="21"/>
  <c r="C59" i="21"/>
  <c r="E35" i="21"/>
  <c r="E59" i="21"/>
  <c r="E58" i="21"/>
  <c r="I35" i="21"/>
  <c r="I59" i="21"/>
  <c r="I58" i="21"/>
  <c r="L35" i="21"/>
  <c r="L58" i="21"/>
  <c r="L59" i="21"/>
  <c r="O35" i="21"/>
  <c r="O59" i="21"/>
  <c r="O58" i="21"/>
  <c r="P59" i="21"/>
  <c r="R35" i="21"/>
  <c r="R58" i="21"/>
  <c r="S35" i="21"/>
  <c r="S59" i="21"/>
  <c r="S58" i="21"/>
  <c r="T35" i="21"/>
  <c r="T59" i="21"/>
  <c r="T62" i="21"/>
  <c r="T66" i="21"/>
  <c r="T58" i="21"/>
  <c r="Q48" i="8"/>
  <c r="Q49" i="8"/>
  <c r="U74" i="9"/>
  <c r="U78" i="9"/>
  <c r="B5" i="33"/>
  <c r="C24" i="33"/>
  <c r="P58" i="23"/>
  <c r="U41" i="3"/>
  <c r="G64" i="3"/>
  <c r="G41" i="3"/>
  <c r="G65" i="3"/>
  <c r="G42" i="3"/>
  <c r="G66" i="3"/>
  <c r="G43" i="3"/>
  <c r="G67" i="3"/>
  <c r="G44" i="3"/>
  <c r="G68" i="3"/>
  <c r="G45" i="3"/>
  <c r="AG46" i="3"/>
  <c r="U46" i="3"/>
  <c r="G69" i="3"/>
  <c r="G46" i="3"/>
  <c r="G70" i="3"/>
  <c r="G47" i="3"/>
  <c r="G71" i="3"/>
  <c r="G48" i="3"/>
  <c r="G72" i="3"/>
  <c r="G49" i="3"/>
  <c r="G73" i="3"/>
  <c r="G50" i="3"/>
  <c r="G74" i="3"/>
  <c r="G51" i="3"/>
  <c r="G75" i="3"/>
  <c r="G52" i="3"/>
  <c r="G77" i="3"/>
  <c r="G54" i="3"/>
  <c r="G78" i="3"/>
  <c r="G55" i="3"/>
  <c r="G79" i="3"/>
  <c r="G56" i="3"/>
  <c r="G80" i="3"/>
  <c r="G57" i="3"/>
  <c r="G81" i="3"/>
  <c r="G58" i="3"/>
  <c r="U85" i="3"/>
  <c r="H64" i="3"/>
  <c r="H41" i="3"/>
  <c r="H65" i="3"/>
  <c r="H42" i="3"/>
  <c r="H66" i="3"/>
  <c r="H43" i="3"/>
  <c r="U88" i="3"/>
  <c r="H67" i="3"/>
  <c r="H44" i="3"/>
  <c r="H68" i="3"/>
  <c r="H45" i="3"/>
  <c r="AG90" i="3"/>
  <c r="U90" i="3"/>
  <c r="H69" i="3"/>
  <c r="H46" i="3"/>
  <c r="H70" i="3"/>
  <c r="H47" i="3"/>
  <c r="H71" i="3"/>
  <c r="H48" i="3"/>
  <c r="H72" i="3"/>
  <c r="H49" i="3"/>
  <c r="H73" i="3"/>
  <c r="H50" i="3"/>
  <c r="H74" i="3"/>
  <c r="H51" i="3"/>
  <c r="H75" i="3"/>
  <c r="H52" i="3"/>
  <c r="H53" i="3"/>
  <c r="H77" i="3"/>
  <c r="H54" i="3"/>
  <c r="H78" i="3"/>
  <c r="H55" i="3"/>
  <c r="H79" i="3"/>
  <c r="H56" i="3"/>
  <c r="H80" i="3"/>
  <c r="H57" i="3"/>
  <c r="H81" i="3"/>
  <c r="H58" i="3"/>
  <c r="U134" i="3"/>
  <c r="I64" i="3"/>
  <c r="I41" i="3"/>
  <c r="I65" i="3"/>
  <c r="I42" i="3"/>
  <c r="I66" i="3"/>
  <c r="I43" i="3"/>
  <c r="U137" i="3"/>
  <c r="I67" i="3"/>
  <c r="I44" i="3"/>
  <c r="I68" i="3"/>
  <c r="I45" i="3"/>
  <c r="AG139" i="3"/>
  <c r="U139" i="3"/>
  <c r="I69" i="3"/>
  <c r="I46" i="3"/>
  <c r="I70" i="3"/>
  <c r="I47" i="3"/>
  <c r="I71" i="3"/>
  <c r="I48" i="3"/>
  <c r="I72" i="3"/>
  <c r="I49" i="3"/>
  <c r="I73" i="3"/>
  <c r="I50" i="3"/>
  <c r="I74" i="3"/>
  <c r="I51" i="3"/>
  <c r="I75" i="3"/>
  <c r="I52" i="3"/>
  <c r="I53" i="3"/>
  <c r="I77" i="3"/>
  <c r="I54" i="3"/>
  <c r="I78" i="3"/>
  <c r="I55" i="3"/>
  <c r="I79" i="3"/>
  <c r="I56" i="3"/>
  <c r="I80" i="3"/>
  <c r="I57" i="3"/>
  <c r="I81" i="3"/>
  <c r="I58" i="3"/>
  <c r="R39" i="8"/>
  <c r="B25" i="27"/>
  <c r="B43" i="27"/>
  <c r="B28" i="27"/>
  <c r="B30" i="27"/>
  <c r="B26" i="27"/>
  <c r="B27" i="27"/>
  <c r="B29" i="27"/>
  <c r="B31" i="27"/>
  <c r="B44" i="27"/>
  <c r="B32" i="27"/>
  <c r="B45" i="27"/>
  <c r="B37" i="27"/>
  <c r="B34" i="27"/>
  <c r="AH6" i="57"/>
  <c r="C17" i="19"/>
  <c r="C35" i="19"/>
  <c r="C59" i="19"/>
  <c r="C18" i="19"/>
  <c r="C19" i="19"/>
  <c r="C58" i="19"/>
  <c r="E44" i="19"/>
  <c r="E45" i="19"/>
  <c r="E46" i="19"/>
  <c r="E47" i="19"/>
  <c r="E48" i="19"/>
  <c r="E49" i="19"/>
  <c r="E50" i="19"/>
  <c r="E51" i="19"/>
  <c r="E52" i="19"/>
  <c r="E53" i="19"/>
  <c r="E54" i="19"/>
  <c r="E55" i="19"/>
  <c r="E56" i="19"/>
  <c r="E57" i="19"/>
  <c r="E58" i="19"/>
  <c r="P62" i="20"/>
  <c r="L15" i="20"/>
  <c r="J15" i="20"/>
  <c r="I15" i="20"/>
  <c r="H15" i="20"/>
  <c r="G15" i="20"/>
  <c r="L15" i="19"/>
  <c r="B35" i="19"/>
  <c r="B39" i="19"/>
  <c r="B41" i="19"/>
  <c r="B58" i="19"/>
  <c r="B42" i="19"/>
  <c r="B43" i="19"/>
  <c r="B44" i="19"/>
  <c r="B45" i="19"/>
  <c r="B46" i="19"/>
  <c r="B47" i="19"/>
  <c r="B48" i="19"/>
  <c r="B49" i="19"/>
  <c r="B50" i="19"/>
  <c r="B51" i="19"/>
  <c r="B52" i="19"/>
  <c r="B53" i="19"/>
  <c r="B54" i="19"/>
  <c r="B55" i="19"/>
  <c r="B56" i="19"/>
  <c r="B57" i="19"/>
  <c r="G39" i="19"/>
  <c r="G41" i="19"/>
  <c r="G42" i="19"/>
  <c r="G43" i="19"/>
  <c r="G44" i="19"/>
  <c r="G45" i="19"/>
  <c r="G46" i="19"/>
  <c r="G49" i="19"/>
  <c r="G51" i="19"/>
  <c r="G52" i="19"/>
  <c r="G53" i="19"/>
  <c r="G54" i="19"/>
  <c r="G55" i="19"/>
  <c r="G56" i="19"/>
  <c r="G57" i="19"/>
  <c r="G35" i="19"/>
  <c r="H39" i="19"/>
  <c r="H41" i="19"/>
  <c r="H42" i="19"/>
  <c r="H43" i="19"/>
  <c r="H44" i="19"/>
  <c r="H45" i="19"/>
  <c r="H47" i="19"/>
  <c r="H48" i="19"/>
  <c r="H49" i="19"/>
  <c r="H50" i="19"/>
  <c r="H51" i="19"/>
  <c r="H52" i="19"/>
  <c r="H53" i="19"/>
  <c r="H54" i="19"/>
  <c r="H55" i="19"/>
  <c r="H56" i="19"/>
  <c r="H57" i="19"/>
  <c r="H35" i="19"/>
  <c r="I39" i="19"/>
  <c r="I58" i="19"/>
  <c r="I41" i="19"/>
  <c r="I42" i="19"/>
  <c r="I43" i="19"/>
  <c r="I44" i="19"/>
  <c r="I45" i="19"/>
  <c r="I46" i="19"/>
  <c r="I47" i="19"/>
  <c r="I48" i="19"/>
  <c r="I49" i="19"/>
  <c r="I50" i="19"/>
  <c r="I51" i="19"/>
  <c r="I52" i="19"/>
  <c r="I53" i="19"/>
  <c r="I54" i="19"/>
  <c r="I55" i="19"/>
  <c r="I56" i="19"/>
  <c r="I57" i="19"/>
  <c r="I35" i="19"/>
  <c r="J39" i="19"/>
  <c r="J41" i="19"/>
  <c r="J42" i="19"/>
  <c r="J43" i="19"/>
  <c r="J44" i="19"/>
  <c r="J45" i="19"/>
  <c r="J46" i="19"/>
  <c r="J47" i="19"/>
  <c r="J48" i="19"/>
  <c r="J49" i="19"/>
  <c r="J50" i="19"/>
  <c r="J51" i="19"/>
  <c r="J54" i="19"/>
  <c r="J55" i="19"/>
  <c r="J56" i="19"/>
  <c r="J57" i="19"/>
  <c r="J35" i="19"/>
  <c r="E35" i="19"/>
  <c r="E59" i="19"/>
  <c r="M35" i="19"/>
  <c r="M58" i="19"/>
  <c r="M59" i="19"/>
  <c r="O29" i="19"/>
  <c r="P21" i="19"/>
  <c r="P22" i="19"/>
  <c r="P23" i="19"/>
  <c r="P25" i="19"/>
  <c r="P27" i="19"/>
  <c r="P29" i="19"/>
  <c r="P30" i="19"/>
  <c r="P31" i="19"/>
  <c r="P32" i="19"/>
  <c r="P33" i="19"/>
  <c r="P34" i="19"/>
  <c r="P39" i="19"/>
  <c r="P41" i="19"/>
  <c r="P42" i="19"/>
  <c r="P43" i="19"/>
  <c r="P44" i="19"/>
  <c r="P45" i="19"/>
  <c r="P46" i="19"/>
  <c r="P47" i="19"/>
  <c r="P48" i="19"/>
  <c r="P49" i="19"/>
  <c r="P50" i="19"/>
  <c r="P51" i="19"/>
  <c r="P52" i="19"/>
  <c r="P53" i="19"/>
  <c r="P54" i="19"/>
  <c r="P55" i="19"/>
  <c r="P56" i="19"/>
  <c r="P57" i="19"/>
  <c r="R10" i="19"/>
  <c r="R9" i="19"/>
  <c r="R8" i="19"/>
  <c r="J15" i="19"/>
  <c r="I15" i="19"/>
  <c r="H15" i="19"/>
  <c r="G15" i="19"/>
  <c r="E15" i="19"/>
  <c r="C15" i="19"/>
  <c r="B15" i="19"/>
  <c r="W6" i="71"/>
  <c r="W8" i="71"/>
  <c r="W9" i="71"/>
  <c r="W10" i="71"/>
  <c r="W11" i="71"/>
  <c r="W12" i="71"/>
  <c r="W15" i="71"/>
  <c r="AC141" i="3"/>
  <c r="AC118" i="3"/>
  <c r="O35" i="23"/>
  <c r="P35" i="23"/>
  <c r="AC33" i="65"/>
  <c r="AC25" i="65"/>
  <c r="AC23" i="65"/>
  <c r="AC22" i="65"/>
  <c r="AC20" i="65"/>
  <c r="AC34" i="65"/>
  <c r="AC18" i="65"/>
  <c r="C20" i="45"/>
  <c r="C18" i="45"/>
  <c r="C16" i="45"/>
  <c r="C15" i="45"/>
  <c r="C14" i="45"/>
  <c r="B26" i="45"/>
  <c r="B25" i="45"/>
  <c r="B24" i="45"/>
  <c r="B22" i="45"/>
  <c r="B20" i="45"/>
  <c r="B18" i="45"/>
  <c r="B16" i="45"/>
  <c r="B15" i="45"/>
  <c r="B14" i="45"/>
  <c r="E37" i="70"/>
  <c r="C37" i="70"/>
  <c r="B37" i="70"/>
  <c r="E20" i="70"/>
  <c r="D20" i="70"/>
  <c r="C20" i="70"/>
  <c r="B20" i="70"/>
  <c r="D37" i="70"/>
  <c r="L17" i="9"/>
  <c r="L18" i="9"/>
  <c r="L19" i="9"/>
  <c r="L20" i="9"/>
  <c r="L21" i="9"/>
  <c r="B12" i="34"/>
  <c r="L32" i="9"/>
  <c r="N58" i="23"/>
  <c r="B15" i="34"/>
  <c r="B5" i="34"/>
  <c r="D85" i="3"/>
  <c r="N53" i="3"/>
  <c r="K53" i="3"/>
  <c r="N106" i="69"/>
  <c r="M106" i="69"/>
  <c r="D97" i="3"/>
  <c r="Z12" i="9"/>
  <c r="Z14" i="9"/>
  <c r="Z16" i="9"/>
  <c r="Z18" i="9"/>
  <c r="Z21" i="9"/>
  <c r="Z32" i="9"/>
  <c r="Z40" i="9"/>
  <c r="Z53" i="9"/>
  <c r="Y14" i="9"/>
  <c r="Y16" i="9"/>
  <c r="Y18" i="9"/>
  <c r="Y21" i="9"/>
  <c r="Y32" i="9"/>
  <c r="Y36" i="9"/>
  <c r="Y40" i="9"/>
  <c r="Y53" i="9"/>
  <c r="Y66" i="9"/>
  <c r="Y69" i="9"/>
  <c r="L44" i="9"/>
  <c r="N5" i="9"/>
  <c r="N16" i="9"/>
  <c r="N23" i="9"/>
  <c r="N30" i="9"/>
  <c r="O41" i="9"/>
  <c r="O51" i="9"/>
  <c r="R33" i="8"/>
  <c r="I40" i="8"/>
  <c r="I43" i="8"/>
  <c r="B79" i="69"/>
  <c r="C79" i="69"/>
  <c r="D79" i="69"/>
  <c r="D65" i="69"/>
  <c r="E79" i="69"/>
  <c r="E73" i="69"/>
  <c r="F71" i="69"/>
  <c r="E69" i="69"/>
  <c r="F69" i="69"/>
  <c r="E65" i="69"/>
  <c r="L42" i="53"/>
  <c r="L65" i="53"/>
  <c r="L66" i="53"/>
  <c r="L19" i="53"/>
  <c r="L67" i="53"/>
  <c r="L20" i="53"/>
  <c r="L68" i="53"/>
  <c r="L21" i="53"/>
  <c r="L69" i="53"/>
  <c r="L22" i="53"/>
  <c r="L70" i="53"/>
  <c r="L23" i="53"/>
  <c r="L71" i="53"/>
  <c r="L72" i="53"/>
  <c r="L73" i="53"/>
  <c r="L74" i="53"/>
  <c r="L75" i="53"/>
  <c r="L28" i="53"/>
  <c r="L76" i="53"/>
  <c r="L30" i="53"/>
  <c r="L78" i="53"/>
  <c r="L79" i="53"/>
  <c r="L32" i="53"/>
  <c r="L80" i="53"/>
  <c r="L33" i="53"/>
  <c r="L81" i="53"/>
  <c r="L34" i="53"/>
  <c r="L59" i="53"/>
  <c r="L82" i="53"/>
  <c r="M77" i="53"/>
  <c r="M54" i="53"/>
  <c r="N36" i="56"/>
  <c r="H32" i="56"/>
  <c r="H34" i="56"/>
  <c r="H33" i="56"/>
  <c r="H31" i="56"/>
  <c r="H30" i="56"/>
  <c r="H28" i="56"/>
  <c r="H26" i="56"/>
  <c r="H25" i="56"/>
  <c r="H24" i="56"/>
  <c r="H22" i="56"/>
  <c r="H21" i="56"/>
  <c r="H20" i="56"/>
  <c r="H18" i="56"/>
  <c r="M36" i="56"/>
  <c r="G17" i="56"/>
  <c r="G33" i="56"/>
  <c r="G28" i="56"/>
  <c r="G24" i="56"/>
  <c r="G20" i="56"/>
  <c r="L36" i="56"/>
  <c r="Q29" i="47"/>
  <c r="Q13" i="47"/>
  <c r="Q14" i="47"/>
  <c r="Q15" i="47"/>
  <c r="Q16" i="47"/>
  <c r="Q17" i="47"/>
  <c r="Q18" i="47"/>
  <c r="Q19" i="47"/>
  <c r="Q20" i="47"/>
  <c r="Q21" i="47"/>
  <c r="Q22" i="47"/>
  <c r="Q27" i="47"/>
  <c r="Q30" i="47"/>
  <c r="Q35" i="47"/>
  <c r="Q39" i="47"/>
  <c r="Q40" i="47"/>
  <c r="Q42" i="47"/>
  <c r="Q44" i="47"/>
  <c r="Q46" i="47"/>
  <c r="Q49" i="47"/>
  <c r="Q50" i="47"/>
  <c r="AO13" i="47"/>
  <c r="AP13" i="47"/>
  <c r="AP18" i="47"/>
  <c r="AP20" i="47"/>
  <c r="AP44" i="47"/>
  <c r="AO46" i="47"/>
  <c r="AP46" i="47"/>
  <c r="S13" i="47"/>
  <c r="S14" i="47"/>
  <c r="S15" i="47"/>
  <c r="S16" i="47"/>
  <c r="S17" i="47"/>
  <c r="S18" i="47"/>
  <c r="S19" i="47"/>
  <c r="S20" i="47"/>
  <c r="S21" i="47"/>
  <c r="S22" i="47"/>
  <c r="S27" i="47"/>
  <c r="S29" i="47"/>
  <c r="S30" i="47"/>
  <c r="S35" i="47"/>
  <c r="S39" i="47"/>
  <c r="S40" i="47"/>
  <c r="S41" i="47"/>
  <c r="S42" i="47"/>
  <c r="S44" i="47"/>
  <c r="S46" i="47"/>
  <c r="S49" i="47"/>
  <c r="S50" i="47"/>
  <c r="L17" i="50"/>
  <c r="L18" i="50"/>
  <c r="L19" i="50"/>
  <c r="L20" i="50"/>
  <c r="L21" i="50"/>
  <c r="L22" i="50"/>
  <c r="L24" i="50"/>
  <c r="L25" i="50"/>
  <c r="L26" i="50"/>
  <c r="L27" i="50"/>
  <c r="L28" i="50"/>
  <c r="L30" i="50"/>
  <c r="L31" i="50"/>
  <c r="L32" i="50"/>
  <c r="L33" i="50"/>
  <c r="L34" i="50"/>
  <c r="L65" i="50"/>
  <c r="C50" i="54"/>
  <c r="L55" i="50"/>
  <c r="C51" i="54"/>
  <c r="L56" i="50"/>
  <c r="C52" i="54"/>
  <c r="L57" i="50"/>
  <c r="C53" i="54"/>
  <c r="L58" i="50"/>
  <c r="L67" i="50"/>
  <c r="L68" i="50"/>
  <c r="L70" i="50"/>
  <c r="L71" i="50"/>
  <c r="L72" i="50"/>
  <c r="L74" i="50"/>
  <c r="L76" i="50"/>
  <c r="L88" i="50"/>
  <c r="L90" i="50"/>
  <c r="L91" i="50"/>
  <c r="L97" i="50"/>
  <c r="L99" i="50"/>
  <c r="L101" i="50"/>
  <c r="L102" i="50"/>
  <c r="L103" i="50"/>
  <c r="L104" i="50"/>
  <c r="L105" i="50"/>
  <c r="B50" i="54"/>
  <c r="K55" i="50"/>
  <c r="B51" i="54"/>
  <c r="K56" i="50"/>
  <c r="B52" i="54"/>
  <c r="K57" i="50"/>
  <c r="B53" i="54"/>
  <c r="K58" i="50"/>
  <c r="K65" i="50"/>
  <c r="K67" i="50"/>
  <c r="K68" i="50"/>
  <c r="K70" i="50"/>
  <c r="K71" i="50"/>
  <c r="K72" i="50"/>
  <c r="K74" i="50"/>
  <c r="K76" i="50"/>
  <c r="K78" i="50"/>
  <c r="K79" i="50"/>
  <c r="K80" i="50"/>
  <c r="K81" i="50"/>
  <c r="K82" i="50"/>
  <c r="N31" i="68"/>
  <c r="AA23" i="50"/>
  <c r="AA35" i="50"/>
  <c r="K88" i="50"/>
  <c r="K99" i="50"/>
  <c r="K97" i="50"/>
  <c r="K91" i="50"/>
  <c r="K90" i="50"/>
  <c r="M95" i="54"/>
  <c r="N95" i="54"/>
  <c r="O95" i="54"/>
  <c r="O97" i="54"/>
  <c r="O70" i="54"/>
  <c r="Y60" i="48"/>
  <c r="V60" i="48"/>
  <c r="X60" i="48"/>
  <c r="AI60" i="48"/>
  <c r="AG60" i="48"/>
  <c r="AH60" i="48"/>
  <c r="Y35" i="48"/>
  <c r="X35" i="48"/>
  <c r="C73" i="48"/>
  <c r="L59" i="48"/>
  <c r="H59" i="48"/>
  <c r="AF42" i="48"/>
  <c r="L42" i="48"/>
  <c r="H42" i="48"/>
  <c r="AF43" i="48"/>
  <c r="L43" i="48"/>
  <c r="AF44" i="48"/>
  <c r="L44" i="48"/>
  <c r="H44" i="48"/>
  <c r="AF45" i="48"/>
  <c r="L45" i="48"/>
  <c r="AF46" i="48"/>
  <c r="L46" i="48"/>
  <c r="H46" i="48"/>
  <c r="AF47" i="48"/>
  <c r="L47" i="48"/>
  <c r="AF48" i="48"/>
  <c r="L48" i="48"/>
  <c r="H48" i="48"/>
  <c r="AF49" i="48"/>
  <c r="L49" i="48"/>
  <c r="AF50" i="48"/>
  <c r="L50" i="48"/>
  <c r="H50" i="48"/>
  <c r="AF51" i="48"/>
  <c r="L51" i="48"/>
  <c r="AF52" i="48"/>
  <c r="L52" i="48"/>
  <c r="H52" i="48"/>
  <c r="AF53" i="48"/>
  <c r="L53" i="48"/>
  <c r="L55" i="48"/>
  <c r="L56" i="48"/>
  <c r="L57" i="48"/>
  <c r="AF58" i="48"/>
  <c r="L58" i="48"/>
  <c r="H58" i="48"/>
  <c r="L60" i="48"/>
  <c r="H57" i="48"/>
  <c r="L34" i="48"/>
  <c r="L18" i="48"/>
  <c r="L19" i="48"/>
  <c r="L31" i="48"/>
  <c r="L32" i="48"/>
  <c r="L33" i="48"/>
  <c r="H56" i="48"/>
  <c r="H51" i="48"/>
  <c r="H47" i="48"/>
  <c r="H43" i="48"/>
  <c r="AE42" i="48"/>
  <c r="K42" i="48"/>
  <c r="AD43" i="48"/>
  <c r="K43" i="48"/>
  <c r="AE43" i="48"/>
  <c r="AD44" i="48"/>
  <c r="K44" i="48"/>
  <c r="AE44" i="48"/>
  <c r="AD45" i="48"/>
  <c r="AE45" i="48"/>
  <c r="K45" i="48"/>
  <c r="AD46" i="48"/>
  <c r="AE46" i="48"/>
  <c r="K46" i="48"/>
  <c r="AD47" i="48"/>
  <c r="K47" i="48"/>
  <c r="AE47" i="48"/>
  <c r="AD48" i="48"/>
  <c r="K48" i="48"/>
  <c r="AE48" i="48"/>
  <c r="AD49" i="48"/>
  <c r="AE49" i="48"/>
  <c r="K49" i="48"/>
  <c r="AD50" i="48"/>
  <c r="AE50" i="48"/>
  <c r="K50" i="48"/>
  <c r="AD51" i="48"/>
  <c r="K51" i="48"/>
  <c r="AE51" i="48"/>
  <c r="AD52" i="48"/>
  <c r="K52" i="48"/>
  <c r="AE52" i="48"/>
  <c r="AD53" i="48"/>
  <c r="AE53" i="48"/>
  <c r="K53" i="48"/>
  <c r="K55" i="48"/>
  <c r="K56" i="48"/>
  <c r="K57" i="48"/>
  <c r="AD58" i="48"/>
  <c r="K58" i="48"/>
  <c r="AE58" i="48"/>
  <c r="K59" i="48"/>
  <c r="K17" i="48"/>
  <c r="K18" i="48"/>
  <c r="K19" i="48"/>
  <c r="K31" i="48"/>
  <c r="K32" i="48"/>
  <c r="K33" i="48"/>
  <c r="K34" i="48"/>
  <c r="L31" i="49"/>
  <c r="M31" i="49"/>
  <c r="F27" i="49"/>
  <c r="F29" i="49"/>
  <c r="F28" i="49"/>
  <c r="F26" i="49"/>
  <c r="F25" i="49"/>
  <c r="F23" i="49"/>
  <c r="F21" i="49"/>
  <c r="F20" i="49"/>
  <c r="F19" i="49"/>
  <c r="F17" i="49"/>
  <c r="F16" i="49"/>
  <c r="F15" i="49"/>
  <c r="F13" i="49"/>
  <c r="G29" i="49"/>
  <c r="G28" i="49"/>
  <c r="G26" i="49"/>
  <c r="G25" i="49"/>
  <c r="G23" i="49"/>
  <c r="G22" i="49"/>
  <c r="G21" i="49"/>
  <c r="G19" i="49"/>
  <c r="G18" i="49"/>
  <c r="G17" i="49"/>
  <c r="G15" i="49"/>
  <c r="G14" i="49"/>
  <c r="G13" i="49"/>
  <c r="C89" i="3"/>
  <c r="C96" i="3"/>
  <c r="B89" i="3"/>
  <c r="B96" i="3"/>
  <c r="D64" i="3"/>
  <c r="D82" i="3"/>
  <c r="D65" i="3"/>
  <c r="D66" i="3"/>
  <c r="D67" i="3"/>
  <c r="D68" i="3"/>
  <c r="D45" i="3"/>
  <c r="D69" i="3"/>
  <c r="D70" i="3"/>
  <c r="D71" i="3"/>
  <c r="D72" i="3"/>
  <c r="D49" i="3"/>
  <c r="D73" i="3"/>
  <c r="D74" i="3"/>
  <c r="D75" i="3"/>
  <c r="D77" i="3"/>
  <c r="D54" i="3"/>
  <c r="D78" i="3"/>
  <c r="D79" i="3"/>
  <c r="D80" i="3"/>
  <c r="D81" i="3"/>
  <c r="D58" i="3"/>
  <c r="T41" i="3"/>
  <c r="B64" i="3"/>
  <c r="B82" i="3"/>
  <c r="B83" i="3"/>
  <c r="B65" i="3"/>
  <c r="B66" i="3"/>
  <c r="B67" i="3"/>
  <c r="B68" i="3"/>
  <c r="AF46" i="3"/>
  <c r="T46" i="3"/>
  <c r="B69" i="3"/>
  <c r="B46" i="3"/>
  <c r="B70" i="3"/>
  <c r="B47" i="3"/>
  <c r="B71" i="3"/>
  <c r="B48" i="3"/>
  <c r="B72" i="3"/>
  <c r="B73" i="3"/>
  <c r="B74" i="3"/>
  <c r="B51" i="3"/>
  <c r="B75" i="3"/>
  <c r="B52" i="3"/>
  <c r="B77" i="3"/>
  <c r="B78" i="3"/>
  <c r="B79" i="3"/>
  <c r="B56" i="3"/>
  <c r="B80" i="3"/>
  <c r="B57" i="3"/>
  <c r="B81" i="3"/>
  <c r="T85" i="3"/>
  <c r="C64" i="3"/>
  <c r="C41" i="3"/>
  <c r="C65" i="3"/>
  <c r="C66" i="3"/>
  <c r="T88" i="3"/>
  <c r="C67" i="3"/>
  <c r="C44" i="3"/>
  <c r="C68" i="3"/>
  <c r="AF90" i="3"/>
  <c r="T90" i="3"/>
  <c r="C69" i="3"/>
  <c r="C46" i="3"/>
  <c r="C70" i="3"/>
  <c r="C71" i="3"/>
  <c r="C48" i="3"/>
  <c r="C72" i="3"/>
  <c r="C49" i="3"/>
  <c r="C73" i="3"/>
  <c r="C50" i="3"/>
  <c r="C74" i="3"/>
  <c r="C75" i="3"/>
  <c r="C52" i="3"/>
  <c r="C77" i="3"/>
  <c r="C54" i="3"/>
  <c r="C78" i="3"/>
  <c r="C55" i="3"/>
  <c r="C79" i="3"/>
  <c r="C80" i="3"/>
  <c r="C57" i="3"/>
  <c r="C81" i="3"/>
  <c r="C58" i="3"/>
  <c r="C82" i="3"/>
  <c r="I82" i="3"/>
  <c r="G76" i="3"/>
  <c r="G82" i="3"/>
  <c r="H82" i="3"/>
  <c r="H83" i="3"/>
  <c r="I83" i="3"/>
  <c r="B58" i="3"/>
  <c r="D57" i="3"/>
  <c r="D56" i="3"/>
  <c r="C56" i="3"/>
  <c r="D55" i="3"/>
  <c r="B55" i="3"/>
  <c r="B54" i="3"/>
  <c r="D52" i="3"/>
  <c r="D51" i="3"/>
  <c r="C51" i="3"/>
  <c r="D50" i="3"/>
  <c r="B50" i="3"/>
  <c r="B49" i="3"/>
  <c r="D48" i="3"/>
  <c r="D47" i="3"/>
  <c r="C47" i="3"/>
  <c r="D46" i="3"/>
  <c r="C45" i="3"/>
  <c r="B45" i="3"/>
  <c r="D44" i="3"/>
  <c r="B44" i="3"/>
  <c r="D43" i="3"/>
  <c r="C43" i="3"/>
  <c r="B43" i="3"/>
  <c r="D42" i="3"/>
  <c r="C42" i="3"/>
  <c r="B42" i="3"/>
  <c r="C53" i="3"/>
  <c r="X41" i="3"/>
  <c r="C28" i="54"/>
  <c r="C27" i="54"/>
  <c r="C26" i="54"/>
  <c r="C25" i="54"/>
  <c r="K118" i="54"/>
  <c r="L118" i="54"/>
  <c r="M118" i="54"/>
  <c r="N118" i="54"/>
  <c r="L95" i="54"/>
  <c r="K95" i="54"/>
  <c r="N70" i="54"/>
  <c r="M70" i="54"/>
  <c r="L70" i="54"/>
  <c r="K70" i="54"/>
  <c r="CK31" i="54"/>
  <c r="CK32" i="54"/>
  <c r="CK54" i="54"/>
  <c r="CK34" i="54"/>
  <c r="CK36" i="54"/>
  <c r="CJ54" i="54"/>
  <c r="CI54" i="54"/>
  <c r="CH54" i="54"/>
  <c r="CG54" i="54"/>
  <c r="CF54" i="54"/>
  <c r="CE54" i="54"/>
  <c r="CD54" i="54"/>
  <c r="CC54" i="54"/>
  <c r="CB54" i="54"/>
  <c r="CA54" i="54"/>
  <c r="BZ54" i="54"/>
  <c r="BY54" i="54"/>
  <c r="BV31" i="54"/>
  <c r="BV32" i="54"/>
  <c r="BV54" i="54"/>
  <c r="BV34" i="54"/>
  <c r="BV36" i="54"/>
  <c r="BU54" i="54"/>
  <c r="BT54" i="54"/>
  <c r="BS54" i="54"/>
  <c r="BR54" i="54"/>
  <c r="BQ54" i="54"/>
  <c r="BP54" i="54"/>
  <c r="BO54" i="54"/>
  <c r="BN54" i="54"/>
  <c r="BM54" i="54"/>
  <c r="BL54" i="54"/>
  <c r="BK54" i="54"/>
  <c r="BJ54" i="54"/>
  <c r="BH31" i="54"/>
  <c r="BH32" i="54"/>
  <c r="BH40" i="54"/>
  <c r="BH34" i="54"/>
  <c r="BH36" i="54"/>
  <c r="BG54" i="54"/>
  <c r="BF54" i="54"/>
  <c r="BE54" i="54"/>
  <c r="BD54" i="54"/>
  <c r="BC54" i="54"/>
  <c r="BB54" i="54"/>
  <c r="BA54" i="54"/>
  <c r="AZ54" i="54"/>
  <c r="AY54" i="54"/>
  <c r="AX54" i="54"/>
  <c r="AW54" i="54"/>
  <c r="AV54" i="54"/>
  <c r="AR31" i="54"/>
  <c r="AR32" i="54"/>
  <c r="AR34" i="54"/>
  <c r="AR36" i="54"/>
  <c r="AR54" i="54"/>
  <c r="AQ54" i="54"/>
  <c r="AP54" i="54"/>
  <c r="AO54" i="54"/>
  <c r="AN54" i="54"/>
  <c r="AM54" i="54"/>
  <c r="AL54" i="54"/>
  <c r="AK54" i="54"/>
  <c r="AJ54" i="54"/>
  <c r="AI54" i="54"/>
  <c r="AH54" i="54"/>
  <c r="AG54" i="54"/>
  <c r="AF54" i="54"/>
  <c r="CK24" i="54"/>
  <c r="CK25" i="54"/>
  <c r="CK26" i="54"/>
  <c r="CK27" i="54"/>
  <c r="CK53" i="54"/>
  <c r="CK28" i="54"/>
  <c r="CK29" i="54"/>
  <c r="CJ53" i="54"/>
  <c r="CI53" i="54"/>
  <c r="CH53" i="54"/>
  <c r="CG53" i="54"/>
  <c r="CF53" i="54"/>
  <c r="CE53" i="54"/>
  <c r="CD53" i="54"/>
  <c r="CC53" i="54"/>
  <c r="CB53" i="54"/>
  <c r="CA53" i="54"/>
  <c r="BZ53" i="54"/>
  <c r="BY53" i="54"/>
  <c r="BV24" i="54"/>
  <c r="BV53" i="54"/>
  <c r="BV25" i="54"/>
  <c r="BV26" i="54"/>
  <c r="BV27" i="54"/>
  <c r="BV28" i="54"/>
  <c r="BV29" i="54"/>
  <c r="BU53" i="54"/>
  <c r="BT53" i="54"/>
  <c r="BS53" i="54"/>
  <c r="BR53" i="54"/>
  <c r="BQ53" i="54"/>
  <c r="BP53" i="54"/>
  <c r="BO53" i="54"/>
  <c r="BN53" i="54"/>
  <c r="BM53" i="54"/>
  <c r="BL53" i="54"/>
  <c r="BK53" i="54"/>
  <c r="BJ53" i="54"/>
  <c r="BH24" i="54"/>
  <c r="BH53" i="54"/>
  <c r="BH25" i="54"/>
  <c r="BH26" i="54"/>
  <c r="BH27" i="54"/>
  <c r="BH28" i="54"/>
  <c r="BH29" i="54"/>
  <c r="BG53" i="54"/>
  <c r="BF53" i="54"/>
  <c r="BE53" i="54"/>
  <c r="BD53" i="54"/>
  <c r="BC53" i="54"/>
  <c r="BB53" i="54"/>
  <c r="BA53" i="54"/>
  <c r="AZ53" i="54"/>
  <c r="AY53" i="54"/>
  <c r="AX53" i="54"/>
  <c r="AW53" i="54"/>
  <c r="AV53" i="54"/>
  <c r="AR24" i="54"/>
  <c r="AR25" i="54"/>
  <c r="AR41" i="54"/>
  <c r="AR26" i="54"/>
  <c r="AR27" i="54"/>
  <c r="AR28" i="54"/>
  <c r="AR29" i="54"/>
  <c r="AR53" i="54"/>
  <c r="AQ53" i="54"/>
  <c r="AP53" i="54"/>
  <c r="AO53" i="54"/>
  <c r="AN53" i="54"/>
  <c r="AM53" i="54"/>
  <c r="AL53" i="54"/>
  <c r="AK53" i="54"/>
  <c r="AJ53" i="54"/>
  <c r="AI53" i="54"/>
  <c r="AH53" i="54"/>
  <c r="AG53" i="54"/>
  <c r="AF53" i="54"/>
  <c r="CK12" i="54"/>
  <c r="CK15" i="54"/>
  <c r="CK52" i="54"/>
  <c r="CK16" i="54"/>
  <c r="CK17" i="54"/>
  <c r="CK18" i="54"/>
  <c r="CK19" i="54"/>
  <c r="CK20" i="54"/>
  <c r="CK21" i="54"/>
  <c r="CJ52" i="54"/>
  <c r="CI52" i="54"/>
  <c r="CH52" i="54"/>
  <c r="CG52" i="54"/>
  <c r="CF52" i="54"/>
  <c r="CE52" i="54"/>
  <c r="CD52" i="54"/>
  <c r="CC52" i="54"/>
  <c r="CB52" i="54"/>
  <c r="CA52" i="54"/>
  <c r="BZ52" i="54"/>
  <c r="BY52" i="54"/>
  <c r="BV12" i="54"/>
  <c r="BV15" i="54"/>
  <c r="BV52" i="54"/>
  <c r="BV16" i="54"/>
  <c r="BV17" i="54"/>
  <c r="BV18" i="54"/>
  <c r="BV19" i="54"/>
  <c r="BV20" i="54"/>
  <c r="BV21" i="54"/>
  <c r="BU52" i="54"/>
  <c r="BT52" i="54"/>
  <c r="BS52" i="54"/>
  <c r="BR52" i="54"/>
  <c r="BQ52" i="54"/>
  <c r="BP52" i="54"/>
  <c r="BO52" i="54"/>
  <c r="BN52" i="54"/>
  <c r="BM52" i="54"/>
  <c r="BL52" i="54"/>
  <c r="BK52" i="54"/>
  <c r="BJ52" i="54"/>
  <c r="BH12" i="54"/>
  <c r="BH15" i="54"/>
  <c r="BH52" i="54"/>
  <c r="BH16" i="54"/>
  <c r="BH17" i="54"/>
  <c r="BH18" i="54"/>
  <c r="BH19" i="54"/>
  <c r="BH20" i="54"/>
  <c r="BH21" i="54"/>
  <c r="BG52" i="54"/>
  <c r="BF52" i="54"/>
  <c r="BE52" i="54"/>
  <c r="BD52" i="54"/>
  <c r="BC52" i="54"/>
  <c r="BB52" i="54"/>
  <c r="BA52" i="54"/>
  <c r="AZ52" i="54"/>
  <c r="AY52" i="54"/>
  <c r="AX52" i="54"/>
  <c r="AW52" i="54"/>
  <c r="AV52" i="54"/>
  <c r="AR12" i="54"/>
  <c r="AR40" i="54"/>
  <c r="AR15" i="54"/>
  <c r="AR16" i="54"/>
  <c r="AR17" i="54"/>
  <c r="AR18" i="54"/>
  <c r="AR19" i="54"/>
  <c r="AR20" i="54"/>
  <c r="AR21" i="54"/>
  <c r="AR52" i="54"/>
  <c r="AQ52" i="54"/>
  <c r="AP52" i="54"/>
  <c r="AO52" i="54"/>
  <c r="AN52" i="54"/>
  <c r="AM52" i="54"/>
  <c r="AL52" i="54"/>
  <c r="AK52" i="54"/>
  <c r="AJ52" i="54"/>
  <c r="AI52" i="54"/>
  <c r="AH52" i="54"/>
  <c r="AG52" i="54"/>
  <c r="AF52" i="54"/>
  <c r="BY42" i="54"/>
  <c r="BZ42" i="54"/>
  <c r="CA42" i="54"/>
  <c r="CB42" i="54"/>
  <c r="CC42" i="54"/>
  <c r="CD42" i="54"/>
  <c r="CE42" i="54"/>
  <c r="CF42" i="54"/>
  <c r="CG42" i="54"/>
  <c r="CH42" i="54"/>
  <c r="CI42" i="54"/>
  <c r="CJ42" i="54"/>
  <c r="CK42" i="54"/>
  <c r="BJ42" i="54"/>
  <c r="BK42" i="54"/>
  <c r="BV42" i="54"/>
  <c r="BL42" i="54"/>
  <c r="BM42" i="54"/>
  <c r="BN42" i="54"/>
  <c r="BO42" i="54"/>
  <c r="BP42" i="54"/>
  <c r="BQ42" i="54"/>
  <c r="BR42" i="54"/>
  <c r="BS42" i="54"/>
  <c r="BT42" i="54"/>
  <c r="BU42" i="54"/>
  <c r="BH42" i="54"/>
  <c r="BG42" i="54"/>
  <c r="BF42" i="54"/>
  <c r="BE42" i="54"/>
  <c r="BD42" i="54"/>
  <c r="BC42" i="54"/>
  <c r="BB42" i="54"/>
  <c r="BA42" i="54"/>
  <c r="AZ42" i="54"/>
  <c r="AY42" i="54"/>
  <c r="AX42" i="54"/>
  <c r="AW42" i="54"/>
  <c r="AV42" i="54"/>
  <c r="AR42" i="54"/>
  <c r="AQ42" i="54"/>
  <c r="AP42" i="54"/>
  <c r="AO42" i="54"/>
  <c r="AN42" i="54"/>
  <c r="AM42" i="54"/>
  <c r="AL42" i="54"/>
  <c r="AK42" i="54"/>
  <c r="AJ42" i="54"/>
  <c r="AI42" i="54"/>
  <c r="AH42" i="54"/>
  <c r="AG42" i="54"/>
  <c r="AF42" i="54"/>
  <c r="Q42" i="54"/>
  <c r="O34" i="54"/>
  <c r="O42" i="54"/>
  <c r="N34" i="54"/>
  <c r="N42" i="54"/>
  <c r="M34" i="54"/>
  <c r="M42" i="54"/>
  <c r="L34" i="54"/>
  <c r="L42" i="54"/>
  <c r="K42" i="54"/>
  <c r="BY41" i="54"/>
  <c r="BZ41" i="54"/>
  <c r="CK41" i="54"/>
  <c r="CA41" i="54"/>
  <c r="CB41" i="54"/>
  <c r="CC41" i="54"/>
  <c r="CD41" i="54"/>
  <c r="CE41" i="54"/>
  <c r="CF41" i="54"/>
  <c r="CG41" i="54"/>
  <c r="CH41" i="54"/>
  <c r="CI41" i="54"/>
  <c r="CJ41" i="54"/>
  <c r="BJ41" i="54"/>
  <c r="BK41" i="54"/>
  <c r="BV41" i="54"/>
  <c r="BL41" i="54"/>
  <c r="BM41" i="54"/>
  <c r="BN41" i="54"/>
  <c r="BO41" i="54"/>
  <c r="BP41" i="54"/>
  <c r="BQ41" i="54"/>
  <c r="BR41" i="54"/>
  <c r="BS41" i="54"/>
  <c r="BT41" i="54"/>
  <c r="BU41" i="54"/>
  <c r="BH41" i="54"/>
  <c r="BG41" i="54"/>
  <c r="BF41" i="54"/>
  <c r="BE41" i="54"/>
  <c r="BD41" i="54"/>
  <c r="BC41" i="54"/>
  <c r="BB41" i="54"/>
  <c r="BA41" i="54"/>
  <c r="AZ41" i="54"/>
  <c r="AY41" i="54"/>
  <c r="AX41" i="54"/>
  <c r="AW41" i="54"/>
  <c r="AV41" i="54"/>
  <c r="AQ41" i="54"/>
  <c r="AP41" i="54"/>
  <c r="AO41" i="54"/>
  <c r="AN41" i="54"/>
  <c r="AM41" i="54"/>
  <c r="AL41" i="54"/>
  <c r="AK41" i="54"/>
  <c r="AJ41" i="54"/>
  <c r="AI41" i="54"/>
  <c r="AH41" i="54"/>
  <c r="AG41" i="54"/>
  <c r="AF41" i="54"/>
  <c r="Q41" i="54"/>
  <c r="O24" i="54"/>
  <c r="O25" i="54"/>
  <c r="O41" i="54"/>
  <c r="O27" i="54"/>
  <c r="O29" i="54"/>
  <c r="N24" i="54"/>
  <c r="N25" i="54"/>
  <c r="N27" i="54"/>
  <c r="N29" i="54"/>
  <c r="N41" i="54"/>
  <c r="M24" i="54"/>
  <c r="M25" i="54"/>
  <c r="M41" i="54"/>
  <c r="M27" i="54"/>
  <c r="M29" i="54"/>
  <c r="L24" i="54"/>
  <c r="L25" i="54"/>
  <c r="L41" i="54"/>
  <c r="L27" i="54"/>
  <c r="L29" i="54"/>
  <c r="K41" i="54"/>
  <c r="BY40" i="54"/>
  <c r="BZ40" i="54"/>
  <c r="CA40" i="54"/>
  <c r="CB40" i="54"/>
  <c r="CC40" i="54"/>
  <c r="CD40" i="54"/>
  <c r="CE40" i="54"/>
  <c r="CF40" i="54"/>
  <c r="CG40" i="54"/>
  <c r="CH40" i="54"/>
  <c r="CI40" i="54"/>
  <c r="CJ40" i="54"/>
  <c r="CK40" i="54"/>
  <c r="BJ40" i="54"/>
  <c r="BK40" i="54"/>
  <c r="BV40" i="54"/>
  <c r="BL40" i="54"/>
  <c r="BM40" i="54"/>
  <c r="BN40" i="54"/>
  <c r="BO40" i="54"/>
  <c r="BP40" i="54"/>
  <c r="BQ40" i="54"/>
  <c r="BR40" i="54"/>
  <c r="BS40" i="54"/>
  <c r="BT40" i="54"/>
  <c r="BU40" i="54"/>
  <c r="BG40" i="54"/>
  <c r="BF40" i="54"/>
  <c r="BE40" i="54"/>
  <c r="BD40" i="54"/>
  <c r="BC40" i="54"/>
  <c r="BB40" i="54"/>
  <c r="BA40" i="54"/>
  <c r="AZ40" i="54"/>
  <c r="AY40" i="54"/>
  <c r="AX40" i="54"/>
  <c r="AW40" i="54"/>
  <c r="AV40" i="54"/>
  <c r="AQ40" i="54"/>
  <c r="AP40" i="54"/>
  <c r="AO40" i="54"/>
  <c r="AN40" i="54"/>
  <c r="AM40" i="54"/>
  <c r="AL40" i="54"/>
  <c r="AK40" i="54"/>
  <c r="AJ40" i="54"/>
  <c r="AI40" i="54"/>
  <c r="AH40" i="54"/>
  <c r="AG40" i="54"/>
  <c r="AF40" i="54"/>
  <c r="Q40" i="54"/>
  <c r="O12" i="54"/>
  <c r="O16" i="54"/>
  <c r="O17" i="54"/>
  <c r="O18" i="54"/>
  <c r="O40" i="54"/>
  <c r="O19" i="54"/>
  <c r="O20" i="54"/>
  <c r="N12" i="54"/>
  <c r="N40" i="54"/>
  <c r="N16" i="54"/>
  <c r="N17" i="54"/>
  <c r="N18" i="54"/>
  <c r="N19" i="54"/>
  <c r="N20" i="54"/>
  <c r="M12" i="54"/>
  <c r="M40" i="54"/>
  <c r="M16" i="54"/>
  <c r="M17" i="54"/>
  <c r="M18" i="54"/>
  <c r="M19" i="54"/>
  <c r="M20" i="54"/>
  <c r="L12" i="54"/>
  <c r="L16" i="54"/>
  <c r="L17" i="54"/>
  <c r="L18" i="54"/>
  <c r="L19" i="54"/>
  <c r="L20" i="54"/>
  <c r="L40" i="54"/>
  <c r="K40" i="54"/>
  <c r="L35" i="54"/>
  <c r="O33" i="54"/>
  <c r="N33" i="54"/>
  <c r="M33" i="54"/>
  <c r="L33" i="54"/>
  <c r="CK23" i="54"/>
  <c r="BV23" i="54"/>
  <c r="BH23" i="54"/>
  <c r="AR23" i="54"/>
  <c r="N54" i="47"/>
  <c r="N57" i="47"/>
  <c r="Y83" i="53"/>
  <c r="AQ60" i="48"/>
  <c r="AP60" i="48"/>
  <c r="Q36" i="56"/>
  <c r="P36" i="56"/>
  <c r="AJ26" i="51"/>
  <c r="AJ25" i="51"/>
  <c r="AI24" i="51"/>
  <c r="AJ24" i="51"/>
  <c r="AJ23" i="51"/>
  <c r="AJ22" i="51"/>
  <c r="AJ21" i="51"/>
  <c r="AI19" i="51"/>
  <c r="AJ19" i="51"/>
  <c r="AI18" i="51"/>
  <c r="AJ18" i="51"/>
  <c r="AI17" i="51"/>
  <c r="AJ17" i="51"/>
  <c r="AI16" i="51"/>
  <c r="AJ16" i="51"/>
  <c r="AI15" i="51"/>
  <c r="AJ15" i="51"/>
  <c r="AI14" i="51"/>
  <c r="AJ14" i="51"/>
  <c r="AI13" i="51"/>
  <c r="AJ13" i="51"/>
  <c r="AI12" i="51"/>
  <c r="AJ12" i="51"/>
  <c r="AI11" i="51"/>
  <c r="AJ11" i="51"/>
  <c r="AI10" i="51"/>
  <c r="AJ10" i="51"/>
  <c r="AI9" i="51"/>
  <c r="AJ9" i="51"/>
  <c r="R27" i="51"/>
  <c r="AI27" i="51"/>
  <c r="AJ27" i="51"/>
  <c r="AI8" i="51"/>
  <c r="AJ8" i="51"/>
  <c r="AB8" i="51"/>
  <c r="AR21" i="51"/>
  <c r="AS21" i="51"/>
  <c r="AT21" i="51"/>
  <c r="AR22" i="51"/>
  <c r="AS22" i="51"/>
  <c r="AR23" i="51"/>
  <c r="AS23" i="51"/>
  <c r="AT23" i="51"/>
  <c r="AS30" i="51"/>
  <c r="AT30" i="51"/>
  <c r="W32" i="51"/>
  <c r="D29" i="51"/>
  <c r="V27" i="51"/>
  <c r="V31" i="51"/>
  <c r="W31" i="51"/>
  <c r="D28" i="51"/>
  <c r="W30" i="51"/>
  <c r="W20" i="51"/>
  <c r="W27" i="51"/>
  <c r="W21" i="51"/>
  <c r="W22" i="51"/>
  <c r="W23" i="51"/>
  <c r="W25" i="51"/>
  <c r="W26" i="51"/>
  <c r="H25" i="68"/>
  <c r="I25" i="68"/>
  <c r="K7" i="51"/>
  <c r="C7" i="51"/>
  <c r="X8" i="51"/>
  <c r="Z8" i="51"/>
  <c r="AR11" i="51"/>
  <c r="AQ27" i="51"/>
  <c r="AP27" i="51"/>
  <c r="AO27" i="51"/>
  <c r="AN27" i="51"/>
  <c r="AM27" i="51"/>
  <c r="K57" i="8"/>
  <c r="I57" i="8"/>
  <c r="R37" i="8"/>
  <c r="AC8" i="51"/>
  <c r="AD8" i="51"/>
  <c r="AE8" i="51"/>
  <c r="Y8" i="51"/>
  <c r="AC9" i="51"/>
  <c r="AD9" i="51"/>
  <c r="AE9" i="51"/>
  <c r="Y9" i="51"/>
  <c r="H26" i="68"/>
  <c r="I26" i="68"/>
  <c r="K8" i="51"/>
  <c r="C8" i="51"/>
  <c r="X9" i="51"/>
  <c r="Z9" i="51"/>
  <c r="H27" i="68"/>
  <c r="I27" i="68"/>
  <c r="K9" i="51"/>
  <c r="C9" i="51"/>
  <c r="AB11" i="51"/>
  <c r="AE11" i="51"/>
  <c r="Y11" i="51"/>
  <c r="AC11" i="51"/>
  <c r="AD11" i="51"/>
  <c r="H28" i="68"/>
  <c r="I28" i="68"/>
  <c r="K10" i="51"/>
  <c r="C10" i="51"/>
  <c r="X13" i="51"/>
  <c r="AB13" i="51"/>
  <c r="AE13" i="51"/>
  <c r="Y13" i="51"/>
  <c r="AC13" i="51"/>
  <c r="AD13" i="51"/>
  <c r="AD15" i="51"/>
  <c r="AE15" i="51"/>
  <c r="Y15" i="51"/>
  <c r="Z15" i="51"/>
  <c r="H30" i="68"/>
  <c r="K12" i="51"/>
  <c r="C12" i="51"/>
  <c r="X17" i="51"/>
  <c r="I30" i="68"/>
  <c r="AB17" i="51"/>
  <c r="AC17" i="51"/>
  <c r="AD17" i="51"/>
  <c r="AE17" i="51"/>
  <c r="Y17" i="51"/>
  <c r="H31" i="68"/>
  <c r="K13" i="51"/>
  <c r="C13" i="51"/>
  <c r="X19" i="51"/>
  <c r="Z19" i="51"/>
  <c r="I31" i="68"/>
  <c r="AD19" i="51"/>
  <c r="AE19" i="51"/>
  <c r="Y19" i="51"/>
  <c r="H32" i="68"/>
  <c r="K14" i="51"/>
  <c r="C14" i="51"/>
  <c r="X14" i="51"/>
  <c r="I32" i="68"/>
  <c r="AB14" i="51"/>
  <c r="AC14" i="51"/>
  <c r="AD14" i="51"/>
  <c r="AE14" i="51"/>
  <c r="Y14" i="51"/>
  <c r="Y18" i="51"/>
  <c r="Z18" i="51"/>
  <c r="H34" i="68"/>
  <c r="I34" i="68"/>
  <c r="K16" i="51"/>
  <c r="C16" i="51"/>
  <c r="X12" i="51"/>
  <c r="AB12" i="51"/>
  <c r="AE12" i="51"/>
  <c r="Y12" i="51"/>
  <c r="AC12" i="51"/>
  <c r="AD12" i="51"/>
  <c r="H35" i="68"/>
  <c r="K17" i="51"/>
  <c r="C17" i="51"/>
  <c r="X16" i="51"/>
  <c r="I35" i="68"/>
  <c r="AB16" i="51"/>
  <c r="AC16" i="51"/>
  <c r="AD16" i="51"/>
  <c r="AE16" i="51"/>
  <c r="Y16" i="51"/>
  <c r="H36" i="68"/>
  <c r="K18" i="51"/>
  <c r="C18" i="51"/>
  <c r="X10" i="51"/>
  <c r="Z10" i="51"/>
  <c r="I36" i="68"/>
  <c r="AB10" i="51"/>
  <c r="AE10" i="51"/>
  <c r="Y10" i="51"/>
  <c r="AC10" i="51"/>
  <c r="AD10" i="51"/>
  <c r="X24" i="51"/>
  <c r="AD24" i="51"/>
  <c r="AE24" i="51"/>
  <c r="Y24" i="51"/>
  <c r="Z24" i="51"/>
  <c r="J33" i="68"/>
  <c r="L15" i="51"/>
  <c r="H15" i="51"/>
  <c r="K33" i="68"/>
  <c r="H21" i="51"/>
  <c r="H24" i="51"/>
  <c r="X85" i="3"/>
  <c r="X134" i="3"/>
  <c r="X44" i="3"/>
  <c r="AJ46" i="3"/>
  <c r="X46" i="3"/>
  <c r="X59" i="3"/>
  <c r="X14" i="3"/>
  <c r="X88" i="3"/>
  <c r="AJ90" i="3"/>
  <c r="X90" i="3"/>
  <c r="X137" i="3"/>
  <c r="AJ139" i="3"/>
  <c r="X139" i="3"/>
  <c r="N32" i="55"/>
  <c r="H29" i="68"/>
  <c r="K11" i="51"/>
  <c r="C11" i="51"/>
  <c r="I29" i="68"/>
  <c r="J28" i="68"/>
  <c r="L10" i="51"/>
  <c r="K28" i="68"/>
  <c r="H40" i="68"/>
  <c r="K22" i="51"/>
  <c r="C22" i="51"/>
  <c r="I40" i="68"/>
  <c r="C28" i="51"/>
  <c r="C29" i="51"/>
  <c r="Y60" i="53"/>
  <c r="X60" i="53"/>
  <c r="Y35" i="53"/>
  <c r="U27" i="51"/>
  <c r="AD27" i="51"/>
  <c r="AE27" i="51"/>
  <c r="Y28" i="51"/>
  <c r="S27" i="51"/>
  <c r="AC27" i="51"/>
  <c r="Y32" i="51"/>
  <c r="Y30" i="51"/>
  <c r="U28" i="51"/>
  <c r="Q27" i="51"/>
  <c r="AB27" i="51"/>
  <c r="P27" i="51"/>
  <c r="AA27" i="51"/>
  <c r="O27" i="51"/>
  <c r="AC24" i="51"/>
  <c r="AB24" i="51"/>
  <c r="AA24" i="51"/>
  <c r="AC19" i="51"/>
  <c r="AB19" i="51"/>
  <c r="AA19" i="51"/>
  <c r="AA17" i="51"/>
  <c r="AA16" i="51"/>
  <c r="AC15" i="51"/>
  <c r="AB15" i="51"/>
  <c r="AA15" i="51"/>
  <c r="AA14" i="51"/>
  <c r="AA13" i="51"/>
  <c r="AA12" i="51"/>
  <c r="AA11" i="51"/>
  <c r="AA10" i="51"/>
  <c r="AB9" i="51"/>
  <c r="AA9" i="51"/>
  <c r="AA8" i="51"/>
  <c r="Y83" i="50"/>
  <c r="Y60" i="50"/>
  <c r="Y35" i="50"/>
  <c r="Y106" i="50"/>
  <c r="S30" i="68"/>
  <c r="S25" i="68"/>
  <c r="S26" i="68"/>
  <c r="S27" i="68"/>
  <c r="S28" i="68"/>
  <c r="S29" i="68"/>
  <c r="S31" i="68"/>
  <c r="S32" i="68"/>
  <c r="S33" i="68"/>
  <c r="S34" i="68"/>
  <c r="S35" i="68"/>
  <c r="S36" i="68"/>
  <c r="S40" i="68"/>
  <c r="J40" i="68"/>
  <c r="K40" i="68"/>
  <c r="L22" i="51"/>
  <c r="H22" i="51"/>
  <c r="G40" i="68"/>
  <c r="AB126" i="3"/>
  <c r="AB79" i="3"/>
  <c r="O40" i="68"/>
  <c r="N40" i="68"/>
  <c r="M40" i="68"/>
  <c r="F66" i="54"/>
  <c r="J25" i="68"/>
  <c r="K25" i="68"/>
  <c r="L7" i="51"/>
  <c r="H7" i="51"/>
  <c r="J26" i="68"/>
  <c r="K26" i="68"/>
  <c r="L8" i="51"/>
  <c r="H8" i="51"/>
  <c r="J27" i="68"/>
  <c r="K27" i="68"/>
  <c r="L9" i="51"/>
  <c r="H9" i="51"/>
  <c r="J29" i="68"/>
  <c r="L11" i="51"/>
  <c r="H11" i="51"/>
  <c r="K29" i="68"/>
  <c r="J30" i="68"/>
  <c r="L12" i="51"/>
  <c r="H12" i="51"/>
  <c r="K30" i="68"/>
  <c r="J31" i="68"/>
  <c r="L13" i="51"/>
  <c r="H13" i="51"/>
  <c r="K31" i="68"/>
  <c r="J32" i="68"/>
  <c r="L14" i="51"/>
  <c r="H14" i="51"/>
  <c r="K32" i="68"/>
  <c r="J34" i="68"/>
  <c r="L16" i="51"/>
  <c r="H16" i="51"/>
  <c r="K34" i="68"/>
  <c r="J35" i="68"/>
  <c r="L17" i="51"/>
  <c r="H17" i="51"/>
  <c r="K35" i="68"/>
  <c r="J36" i="68"/>
  <c r="L18" i="51"/>
  <c r="H18" i="51"/>
  <c r="K36" i="68"/>
  <c r="H33" i="68"/>
  <c r="I33" i="68"/>
  <c r="K15" i="51"/>
  <c r="AB122" i="3"/>
  <c r="AB121" i="3"/>
  <c r="AB120" i="3"/>
  <c r="AB119" i="3"/>
  <c r="AB118" i="3"/>
  <c r="AB117" i="3"/>
  <c r="AB116" i="3"/>
  <c r="AB115" i="3"/>
  <c r="AB114" i="3"/>
  <c r="AB113" i="3"/>
  <c r="AB112" i="3"/>
  <c r="AB111" i="3"/>
  <c r="AB75" i="3"/>
  <c r="AB74" i="3"/>
  <c r="AB73" i="3"/>
  <c r="AB72" i="3"/>
  <c r="AB71" i="3"/>
  <c r="AB70" i="3"/>
  <c r="AB69" i="3"/>
  <c r="AB68" i="3"/>
  <c r="AB67" i="3"/>
  <c r="AB66" i="3"/>
  <c r="AB65" i="3"/>
  <c r="AB64" i="3"/>
  <c r="S2" i="23"/>
  <c r="L6" i="68"/>
  <c r="L7" i="68"/>
  <c r="L9" i="68"/>
  <c r="L10" i="68"/>
  <c r="L11" i="68"/>
  <c r="L12" i="68"/>
  <c r="L13" i="68"/>
  <c r="L14" i="68"/>
  <c r="L15" i="68"/>
  <c r="L16" i="68"/>
  <c r="L18" i="68"/>
  <c r="L19" i="68"/>
  <c r="L20" i="68"/>
  <c r="K6" i="68"/>
  <c r="K7" i="68"/>
  <c r="K9" i="68"/>
  <c r="K10" i="68"/>
  <c r="K11" i="68"/>
  <c r="K12" i="68"/>
  <c r="K13" i="68"/>
  <c r="K14" i="68"/>
  <c r="K15" i="68"/>
  <c r="K16" i="68"/>
  <c r="K18" i="68"/>
  <c r="K19" i="68"/>
  <c r="K20" i="68"/>
  <c r="J6" i="68"/>
  <c r="J21" i="68"/>
  <c r="C10" i="67"/>
  <c r="J7" i="68"/>
  <c r="J8" i="68"/>
  <c r="J9" i="68"/>
  <c r="J10" i="68"/>
  <c r="J11" i="68"/>
  <c r="J12" i="68"/>
  <c r="J13" i="68"/>
  <c r="J14" i="68"/>
  <c r="J15" i="68"/>
  <c r="J16" i="68"/>
  <c r="J18" i="68"/>
  <c r="J19" i="68"/>
  <c r="J20" i="68"/>
  <c r="I6" i="68"/>
  <c r="I21" i="68"/>
  <c r="C9" i="67"/>
  <c r="I7" i="68"/>
  <c r="I8" i="68"/>
  <c r="I9" i="68"/>
  <c r="I10" i="68"/>
  <c r="I11" i="68"/>
  <c r="I12" i="68"/>
  <c r="I13" i="68"/>
  <c r="I14" i="68"/>
  <c r="I15" i="68"/>
  <c r="I16" i="68"/>
  <c r="I18" i="68"/>
  <c r="I19" i="68"/>
  <c r="I20" i="68"/>
  <c r="H6" i="68"/>
  <c r="H21" i="68"/>
  <c r="C8" i="67"/>
  <c r="H7" i="68"/>
  <c r="H8" i="68"/>
  <c r="H9" i="68"/>
  <c r="H10" i="68"/>
  <c r="H11" i="68"/>
  <c r="H12" i="68"/>
  <c r="H13" i="68"/>
  <c r="H14" i="68"/>
  <c r="H15" i="68"/>
  <c r="H16" i="68"/>
  <c r="H18" i="68"/>
  <c r="H19" i="68"/>
  <c r="H20" i="68"/>
  <c r="H35" i="59"/>
  <c r="I35" i="59"/>
  <c r="I34" i="59"/>
  <c r="I33" i="59"/>
  <c r="I32" i="59"/>
  <c r="I31" i="59"/>
  <c r="I30" i="59"/>
  <c r="I29" i="59"/>
  <c r="I28" i="59"/>
  <c r="I27" i="59"/>
  <c r="I26" i="59"/>
  <c r="I25" i="59"/>
  <c r="I24" i="59"/>
  <c r="I23" i="59"/>
  <c r="I22" i="59"/>
  <c r="I21" i="59"/>
  <c r="I20" i="59"/>
  <c r="I19" i="59"/>
  <c r="I18" i="59"/>
  <c r="I17" i="59"/>
  <c r="AF34" i="59"/>
  <c r="AE34" i="59"/>
  <c r="AF33" i="59"/>
  <c r="AE33" i="59"/>
  <c r="AF32" i="59"/>
  <c r="AE32" i="59"/>
  <c r="AF31" i="59"/>
  <c r="AE31" i="59"/>
  <c r="AF30" i="59"/>
  <c r="AE30" i="59"/>
  <c r="AA34" i="65"/>
  <c r="X19" i="65"/>
  <c r="X33" i="65"/>
  <c r="X38" i="65"/>
  <c r="X39" i="65"/>
  <c r="X40" i="65"/>
  <c r="X41" i="65"/>
  <c r="X56" i="65"/>
  <c r="X57" i="65"/>
  <c r="X42" i="65"/>
  <c r="X43" i="65"/>
  <c r="X44" i="65"/>
  <c r="X45" i="65"/>
  <c r="X46" i="65"/>
  <c r="X47" i="65"/>
  <c r="X48" i="65"/>
  <c r="X49" i="65"/>
  <c r="X50" i="65"/>
  <c r="X51" i="65"/>
  <c r="X52" i="65"/>
  <c r="X53" i="65"/>
  <c r="X54" i="65"/>
  <c r="X55" i="65"/>
  <c r="X15" i="65"/>
  <c r="X34" i="65"/>
  <c r="X16" i="65"/>
  <c r="X17" i="65"/>
  <c r="X18" i="65"/>
  <c r="X20" i="65"/>
  <c r="X21" i="65"/>
  <c r="X22" i="65"/>
  <c r="X23" i="65"/>
  <c r="X24" i="65"/>
  <c r="X25" i="65"/>
  <c r="X26" i="65"/>
  <c r="X27" i="65"/>
  <c r="X28" i="65"/>
  <c r="X29" i="65"/>
  <c r="X30" i="65"/>
  <c r="X31" i="65"/>
  <c r="X32" i="65"/>
  <c r="X8" i="65"/>
  <c r="X12" i="65"/>
  <c r="X11" i="65"/>
  <c r="X10" i="65"/>
  <c r="X9" i="65"/>
  <c r="X7" i="65"/>
  <c r="X6" i="65"/>
  <c r="N19" i="65"/>
  <c r="N20" i="65"/>
  <c r="N18" i="65"/>
  <c r="N33" i="65"/>
  <c r="N32" i="65"/>
  <c r="N31" i="65"/>
  <c r="N30" i="65"/>
  <c r="N29" i="65"/>
  <c r="N28" i="65"/>
  <c r="N27" i="65"/>
  <c r="N26" i="65"/>
  <c r="N25" i="65"/>
  <c r="N24" i="65"/>
  <c r="N23" i="65"/>
  <c r="N22" i="65"/>
  <c r="N21" i="65"/>
  <c r="I40" i="65"/>
  <c r="I39" i="65"/>
  <c r="I38" i="65"/>
  <c r="I56" i="65"/>
  <c r="I57" i="65"/>
  <c r="I25" i="65"/>
  <c r="I26" i="65"/>
  <c r="I27" i="65"/>
  <c r="I28" i="65"/>
  <c r="I29" i="65"/>
  <c r="I30" i="65"/>
  <c r="I31" i="65"/>
  <c r="I32" i="65"/>
  <c r="I33" i="65"/>
  <c r="I15" i="65"/>
  <c r="I34" i="65"/>
  <c r="I16" i="65"/>
  <c r="I17" i="65"/>
  <c r="I18" i="65"/>
  <c r="I19" i="65"/>
  <c r="I20" i="65"/>
  <c r="I21" i="65"/>
  <c r="I22" i="65"/>
  <c r="I23" i="65"/>
  <c r="I24" i="65"/>
  <c r="S33" i="65"/>
  <c r="S32" i="65"/>
  <c r="S31" i="65"/>
  <c r="S30" i="65"/>
  <c r="S29" i="65"/>
  <c r="S28" i="65"/>
  <c r="S27" i="65"/>
  <c r="S26" i="65"/>
  <c r="S25" i="65"/>
  <c r="S24" i="65"/>
  <c r="S23" i="65"/>
  <c r="S22" i="65"/>
  <c r="S21" i="65"/>
  <c r="S20" i="65"/>
  <c r="S34" i="65"/>
  <c r="S19" i="65"/>
  <c r="S18" i="65"/>
  <c r="R34" i="65"/>
  <c r="Q34" i="65"/>
  <c r="P34" i="65"/>
  <c r="S38" i="65"/>
  <c r="S56" i="65"/>
  <c r="S57" i="65"/>
  <c r="S39" i="65"/>
  <c r="S40" i="65"/>
  <c r="S41" i="65"/>
  <c r="S42" i="65"/>
  <c r="S43" i="65"/>
  <c r="S44" i="65"/>
  <c r="S45" i="65"/>
  <c r="S46" i="65"/>
  <c r="S47" i="65"/>
  <c r="S48" i="65"/>
  <c r="S49" i="65"/>
  <c r="S50" i="65"/>
  <c r="S51" i="65"/>
  <c r="S52" i="65"/>
  <c r="S53" i="65"/>
  <c r="S54" i="65"/>
  <c r="S55" i="65"/>
  <c r="S15" i="65"/>
  <c r="S16" i="65"/>
  <c r="S17" i="65"/>
  <c r="S8" i="65"/>
  <c r="S12" i="65"/>
  <c r="S11" i="65"/>
  <c r="S10" i="65"/>
  <c r="S9" i="65"/>
  <c r="S7" i="65"/>
  <c r="S6" i="65"/>
  <c r="H34" i="65"/>
  <c r="I41" i="65"/>
  <c r="I42" i="65"/>
  <c r="I43" i="65"/>
  <c r="I44" i="65"/>
  <c r="I45" i="65"/>
  <c r="I46" i="65"/>
  <c r="I47" i="65"/>
  <c r="I48" i="65"/>
  <c r="I49" i="65"/>
  <c r="I50" i="65"/>
  <c r="I51" i="65"/>
  <c r="I52" i="65"/>
  <c r="I53" i="65"/>
  <c r="I54" i="65"/>
  <c r="I55" i="65"/>
  <c r="I8" i="65"/>
  <c r="I12" i="65"/>
  <c r="I11" i="65"/>
  <c r="I10" i="65"/>
  <c r="I9" i="65"/>
  <c r="I7" i="65"/>
  <c r="I6" i="65"/>
  <c r="D38" i="65"/>
  <c r="D39" i="65"/>
  <c r="D40" i="65"/>
  <c r="D41" i="65"/>
  <c r="D42" i="65"/>
  <c r="D43" i="65"/>
  <c r="D44" i="65"/>
  <c r="D45" i="65"/>
  <c r="D46" i="65"/>
  <c r="D47" i="65"/>
  <c r="D48" i="65"/>
  <c r="D49" i="65"/>
  <c r="D50" i="65"/>
  <c r="D51" i="65"/>
  <c r="D52" i="65"/>
  <c r="D53" i="65"/>
  <c r="D54" i="65"/>
  <c r="D55" i="65"/>
  <c r="D56" i="65"/>
  <c r="D57" i="65"/>
  <c r="D15" i="65"/>
  <c r="D16" i="65"/>
  <c r="D17" i="65"/>
  <c r="D18" i="65"/>
  <c r="D19" i="65"/>
  <c r="D20" i="65"/>
  <c r="D21" i="65"/>
  <c r="D22" i="65"/>
  <c r="D23" i="65"/>
  <c r="D24" i="65"/>
  <c r="D25" i="65"/>
  <c r="D26" i="65"/>
  <c r="D27" i="65"/>
  <c r="D28" i="65"/>
  <c r="D29" i="65"/>
  <c r="D30" i="65"/>
  <c r="D31" i="65"/>
  <c r="D32" i="65"/>
  <c r="D33" i="65"/>
  <c r="D34" i="65"/>
  <c r="D8" i="65"/>
  <c r="D12" i="65"/>
  <c r="D11" i="65"/>
  <c r="D10" i="65"/>
  <c r="D9" i="65"/>
  <c r="D7" i="65"/>
  <c r="D6" i="65"/>
  <c r="N38" i="65"/>
  <c r="N39" i="65"/>
  <c r="N40" i="65"/>
  <c r="N41" i="65"/>
  <c r="N56" i="65"/>
  <c r="N57" i="65"/>
  <c r="N42" i="65"/>
  <c r="N43" i="65"/>
  <c r="N44" i="65"/>
  <c r="N45" i="65"/>
  <c r="N46" i="65"/>
  <c r="N47" i="65"/>
  <c r="N48" i="65"/>
  <c r="N49" i="65"/>
  <c r="N50" i="65"/>
  <c r="N51" i="65"/>
  <c r="N52" i="65"/>
  <c r="N53" i="65"/>
  <c r="N54" i="65"/>
  <c r="N55" i="65"/>
  <c r="N15" i="65"/>
  <c r="N34" i="65"/>
  <c r="N16" i="65"/>
  <c r="N17" i="65"/>
  <c r="N8" i="65"/>
  <c r="N12" i="65"/>
  <c r="N11" i="65"/>
  <c r="N10" i="65"/>
  <c r="N9" i="65"/>
  <c r="N7" i="65"/>
  <c r="N6" i="65"/>
  <c r="Q35" i="59"/>
  <c r="Q34" i="59"/>
  <c r="Q33" i="59"/>
  <c r="Q32" i="59"/>
  <c r="Q31" i="59"/>
  <c r="Q30" i="59"/>
  <c r="Q28" i="59"/>
  <c r="M36" i="59"/>
  <c r="L36" i="59"/>
  <c r="K36" i="59"/>
  <c r="G36" i="59"/>
  <c r="O36" i="59"/>
  <c r="F110" i="30"/>
  <c r="F112" i="30"/>
  <c r="F111" i="30"/>
  <c r="E110" i="30"/>
  <c r="E111" i="30"/>
  <c r="E112" i="30"/>
  <c r="D110" i="30"/>
  <c r="D111" i="30"/>
  <c r="D112" i="30"/>
  <c r="C110" i="30"/>
  <c r="C112" i="30"/>
  <c r="C111" i="30"/>
  <c r="F109" i="30"/>
  <c r="E109" i="30"/>
  <c r="D109" i="30"/>
  <c r="C109" i="30"/>
  <c r="F105" i="30"/>
  <c r="F106" i="30"/>
  <c r="E107" i="30"/>
  <c r="D105" i="30"/>
  <c r="D106" i="30"/>
  <c r="C105" i="30"/>
  <c r="C106" i="30"/>
  <c r="C107" i="30"/>
  <c r="F104" i="30"/>
  <c r="D104" i="30"/>
  <c r="C104" i="30"/>
  <c r="B59" i="60"/>
  <c r="L54" i="47"/>
  <c r="L57" i="47"/>
  <c r="M54" i="47"/>
  <c r="M57" i="47"/>
  <c r="Y31" i="47"/>
  <c r="AA53" i="47"/>
  <c r="AA31" i="47"/>
  <c r="AC31" i="47"/>
  <c r="AB53" i="47"/>
  <c r="AB31" i="47"/>
  <c r="Z53" i="47"/>
  <c r="Z31" i="47"/>
  <c r="Z54" i="47"/>
  <c r="Y53" i="47"/>
  <c r="AR31" i="47"/>
  <c r="D11" i="27"/>
  <c r="T106" i="50"/>
  <c r="V106" i="50"/>
  <c r="X106" i="50"/>
  <c r="D10" i="27"/>
  <c r="T35" i="48"/>
  <c r="D9" i="27"/>
  <c r="D8" i="27"/>
  <c r="S85" i="3"/>
  <c r="S88" i="3"/>
  <c r="AE90" i="3"/>
  <c r="S90" i="3"/>
  <c r="D7" i="27"/>
  <c r="S41" i="3"/>
  <c r="AE46" i="3"/>
  <c r="S46" i="3"/>
  <c r="D6" i="27"/>
  <c r="T35" i="50"/>
  <c r="V35" i="50"/>
  <c r="X35" i="50"/>
  <c r="T60" i="50"/>
  <c r="V60" i="50"/>
  <c r="X60" i="50"/>
  <c r="T83" i="50"/>
  <c r="V83" i="50"/>
  <c r="X83" i="50"/>
  <c r="T60" i="48"/>
  <c r="D19" i="27"/>
  <c r="Q41" i="8"/>
  <c r="P12" i="49"/>
  <c r="P13" i="49"/>
  <c r="P14" i="49"/>
  <c r="P15" i="49"/>
  <c r="P16" i="49"/>
  <c r="P17" i="49"/>
  <c r="P18" i="49"/>
  <c r="P19" i="49"/>
  <c r="P20" i="49"/>
  <c r="P21" i="49"/>
  <c r="P22" i="49"/>
  <c r="P23" i="49"/>
  <c r="P27" i="49"/>
  <c r="P28" i="49"/>
  <c r="N12" i="49"/>
  <c r="N13" i="49"/>
  <c r="N14" i="49"/>
  <c r="N15" i="49"/>
  <c r="N16" i="49"/>
  <c r="N17" i="49"/>
  <c r="N18" i="49"/>
  <c r="N19" i="49"/>
  <c r="N20" i="49"/>
  <c r="N21" i="49"/>
  <c r="N22" i="49"/>
  <c r="N23" i="49"/>
  <c r="N27" i="49"/>
  <c r="N28" i="49"/>
  <c r="K31" i="49"/>
  <c r="AF60" i="48"/>
  <c r="F104" i="48"/>
  <c r="F105" i="48"/>
  <c r="F106" i="48"/>
  <c r="F108" i="48"/>
  <c r="F109" i="48"/>
  <c r="V134" i="3"/>
  <c r="AH90" i="3"/>
  <c r="V90" i="3"/>
  <c r="V88" i="3"/>
  <c r="V85" i="3"/>
  <c r="AH46" i="3"/>
  <c r="V46" i="3"/>
  <c r="V59" i="3"/>
  <c r="V41" i="3"/>
  <c r="AF35" i="48"/>
  <c r="AF36" i="48"/>
  <c r="X35" i="53"/>
  <c r="X83" i="53"/>
  <c r="Y14" i="3"/>
  <c r="H35" i="23"/>
  <c r="H58" i="23"/>
  <c r="I36" i="59"/>
  <c r="H36" i="59"/>
  <c r="E36" i="59"/>
  <c r="D36" i="59"/>
  <c r="C36" i="59"/>
  <c r="B36" i="59"/>
  <c r="R28" i="51"/>
  <c r="Q28" i="51"/>
  <c r="B25" i="51"/>
  <c r="B37" i="51"/>
  <c r="G25" i="51"/>
  <c r="H28" i="51"/>
  <c r="G32" i="51"/>
  <c r="K11" i="3"/>
  <c r="M21" i="45"/>
  <c r="O21" i="45"/>
  <c r="N21" i="45"/>
  <c r="M19" i="45"/>
  <c r="N19" i="45"/>
  <c r="M17" i="45"/>
  <c r="O17" i="45"/>
  <c r="N17" i="45"/>
  <c r="M14" i="45"/>
  <c r="N14" i="45"/>
  <c r="O14" i="45"/>
  <c r="M13" i="45"/>
  <c r="N13" i="45"/>
  <c r="O13" i="45"/>
  <c r="M12" i="45"/>
  <c r="N12" i="45"/>
  <c r="O12" i="45"/>
  <c r="K11" i="45"/>
  <c r="M11" i="45"/>
  <c r="M10" i="45"/>
  <c r="M28" i="45"/>
  <c r="M51" i="45"/>
  <c r="N10" i="45"/>
  <c r="B57" i="62"/>
  <c r="D63" i="62"/>
  <c r="D62" i="62"/>
  <c r="B62" i="62"/>
  <c r="B63" i="62"/>
  <c r="D57" i="62"/>
  <c r="B27" i="9"/>
  <c r="B28" i="9"/>
  <c r="D100" i="3"/>
  <c r="D101" i="3"/>
  <c r="AN17" i="47"/>
  <c r="AN19" i="47"/>
  <c r="AN21" i="47"/>
  <c r="AN30" i="47"/>
  <c r="AN46" i="47"/>
  <c r="AV46" i="47"/>
  <c r="L28" i="45"/>
  <c r="B28" i="45"/>
  <c r="B51" i="45"/>
  <c r="C28" i="45"/>
  <c r="M29" i="53"/>
  <c r="K54" i="47"/>
  <c r="K57" i="47"/>
  <c r="J54" i="47"/>
  <c r="J57" i="47"/>
  <c r="I54" i="47"/>
  <c r="I57" i="47"/>
  <c r="H54" i="47"/>
  <c r="H57" i="47"/>
  <c r="G54" i="47"/>
  <c r="G57" i="47"/>
  <c r="W83" i="53"/>
  <c r="V83" i="53"/>
  <c r="W60" i="53"/>
  <c r="V60" i="53"/>
  <c r="W35" i="53"/>
  <c r="V35" i="53"/>
  <c r="W106" i="50"/>
  <c r="U106" i="50"/>
  <c r="S106" i="50"/>
  <c r="R106" i="50"/>
  <c r="W83" i="50"/>
  <c r="W60" i="50"/>
  <c r="W35" i="50"/>
  <c r="AO60" i="48"/>
  <c r="AN60" i="48"/>
  <c r="AM60" i="48"/>
  <c r="AL60" i="48"/>
  <c r="W60" i="48"/>
  <c r="W35" i="48"/>
  <c r="U35" i="48"/>
  <c r="X37" i="3"/>
  <c r="X82" i="3"/>
  <c r="X103" i="3"/>
  <c r="X129" i="3"/>
  <c r="X152" i="3"/>
  <c r="V37" i="3"/>
  <c r="V14" i="3"/>
  <c r="V82" i="3"/>
  <c r="V103" i="3"/>
  <c r="V129" i="3"/>
  <c r="V152" i="3"/>
  <c r="W14" i="3"/>
  <c r="AI139" i="3"/>
  <c r="AH139" i="3"/>
  <c r="AF139" i="3"/>
  <c r="AE139" i="3"/>
  <c r="F26" i="30"/>
  <c r="E26" i="30"/>
  <c r="D26" i="30"/>
  <c r="C26" i="30"/>
  <c r="K11" i="38"/>
  <c r="L4" i="38"/>
  <c r="L7" i="38"/>
  <c r="I23" i="8"/>
  <c r="I36" i="8"/>
  <c r="I37" i="8"/>
  <c r="AD42" i="48"/>
  <c r="K101" i="50"/>
  <c r="K102" i="50"/>
  <c r="K103" i="50"/>
  <c r="K104" i="50"/>
  <c r="K105" i="50"/>
  <c r="D25" i="27"/>
  <c r="D26" i="27"/>
  <c r="D27" i="27"/>
  <c r="D28" i="27"/>
  <c r="D29" i="27"/>
  <c r="D30" i="27"/>
  <c r="D31" i="27"/>
  <c r="D32" i="27"/>
  <c r="D36" i="27"/>
  <c r="R60" i="48"/>
  <c r="S60" i="48"/>
  <c r="AD60" i="48"/>
  <c r="AE60" i="48"/>
  <c r="R35" i="50"/>
  <c r="S35" i="50"/>
  <c r="R60" i="50"/>
  <c r="S60" i="50"/>
  <c r="R83" i="50"/>
  <c r="S83" i="50"/>
  <c r="R35" i="48"/>
  <c r="S35" i="48"/>
  <c r="I14" i="36"/>
  <c r="F14" i="36"/>
  <c r="F13" i="36"/>
  <c r="F12" i="36"/>
  <c r="F11" i="36"/>
  <c r="F21" i="36"/>
  <c r="F20" i="36"/>
  <c r="F19" i="36"/>
  <c r="F17" i="36"/>
  <c r="R128" i="53"/>
  <c r="S128" i="53"/>
  <c r="T128" i="53"/>
  <c r="R106" i="53"/>
  <c r="S106" i="53"/>
  <c r="T106" i="53"/>
  <c r="R83" i="53"/>
  <c r="S83" i="53"/>
  <c r="T83" i="53"/>
  <c r="R35" i="53"/>
  <c r="S35" i="53"/>
  <c r="T35" i="53"/>
  <c r="R60" i="53"/>
  <c r="S60" i="53"/>
  <c r="T60" i="53"/>
  <c r="B37" i="34"/>
  <c r="B38" i="34"/>
  <c r="B33" i="34"/>
  <c r="B34" i="34"/>
  <c r="R108" i="50"/>
  <c r="AK60" i="48"/>
  <c r="T61" i="22"/>
  <c r="F77" i="54"/>
  <c r="F76" i="54"/>
  <c r="F75" i="54"/>
  <c r="F74" i="54"/>
  <c r="F73" i="54"/>
  <c r="F69" i="54"/>
  <c r="F63" i="54"/>
  <c r="AC35" i="57"/>
  <c r="AC37" i="57"/>
  <c r="AC38" i="57"/>
  <c r="AC39" i="57"/>
  <c r="AC40" i="57"/>
  <c r="AC41" i="57"/>
  <c r="AC42" i="57"/>
  <c r="AC43" i="57"/>
  <c r="AC44" i="57"/>
  <c r="AC45" i="57"/>
  <c r="AC46" i="57"/>
  <c r="AC47" i="57"/>
  <c r="AC48" i="57"/>
  <c r="AC49" i="57"/>
  <c r="AC50" i="57"/>
  <c r="AC51" i="57"/>
  <c r="AC52" i="57"/>
  <c r="AC53" i="57"/>
  <c r="AC8" i="57"/>
  <c r="AC9" i="57"/>
  <c r="AC10" i="57"/>
  <c r="AC12" i="57"/>
  <c r="AC13" i="57"/>
  <c r="AC14" i="57"/>
  <c r="AC16" i="57"/>
  <c r="AC17" i="57"/>
  <c r="AC20" i="57"/>
  <c r="AC32" i="57"/>
  <c r="AC33" i="57"/>
  <c r="AC34" i="57"/>
  <c r="AC22" i="57"/>
  <c r="AD23" i="57"/>
  <c r="R41" i="58"/>
  <c r="R38" i="58"/>
  <c r="R35" i="58"/>
  <c r="R32" i="58"/>
  <c r="R29" i="58"/>
  <c r="R26" i="58"/>
  <c r="R23" i="58"/>
  <c r="R20" i="58"/>
  <c r="R17" i="58"/>
  <c r="R43" i="58"/>
  <c r="R14" i="58"/>
  <c r="R11" i="58"/>
  <c r="O11" i="58"/>
  <c r="O14" i="58"/>
  <c r="P14" i="58"/>
  <c r="O17" i="58"/>
  <c r="P17" i="58"/>
  <c r="O20" i="58"/>
  <c r="P20" i="58"/>
  <c r="O23" i="58"/>
  <c r="P23" i="58"/>
  <c r="O26" i="58"/>
  <c r="P26" i="58"/>
  <c r="O29" i="58"/>
  <c r="P29" i="58"/>
  <c r="O32" i="58"/>
  <c r="P32" i="58"/>
  <c r="O35" i="58"/>
  <c r="P35" i="58"/>
  <c r="O38" i="58"/>
  <c r="P38" i="58"/>
  <c r="O41" i="58"/>
  <c r="P41" i="58"/>
  <c r="AH58" i="57"/>
  <c r="D7" i="3"/>
  <c r="D4" i="3"/>
  <c r="AO53" i="47"/>
  <c r="AN53" i="47"/>
  <c r="U128" i="53"/>
  <c r="U106" i="53"/>
  <c r="U83" i="53"/>
  <c r="U60" i="53"/>
  <c r="U35" i="53"/>
  <c r="G76" i="54"/>
  <c r="G75" i="54"/>
  <c r="G74" i="54"/>
  <c r="G73" i="54"/>
  <c r="A6" i="54"/>
  <c r="A5" i="54"/>
  <c r="A4" i="54"/>
  <c r="A3" i="54"/>
  <c r="E4" i="53"/>
  <c r="U83" i="50"/>
  <c r="U60" i="50"/>
  <c r="B4" i="29"/>
  <c r="B47" i="44"/>
  <c r="B25" i="44"/>
  <c r="K23" i="8"/>
  <c r="K36" i="8"/>
  <c r="K37" i="8"/>
  <c r="K43" i="8"/>
  <c r="K49" i="8"/>
  <c r="I49" i="8"/>
  <c r="I59" i="8"/>
  <c r="J49" i="8"/>
  <c r="R41" i="8"/>
  <c r="J23" i="8"/>
  <c r="J37" i="8"/>
  <c r="G67" i="38"/>
  <c r="B3" i="29"/>
  <c r="U60" i="48"/>
  <c r="U35" i="50"/>
  <c r="C42" i="36"/>
  <c r="E36" i="57"/>
  <c r="C9" i="57"/>
  <c r="E2" i="57"/>
  <c r="B53" i="3"/>
  <c r="B59" i="3"/>
  <c r="G19" i="3" s="1"/>
  <c r="D53" i="3"/>
  <c r="K98" i="3"/>
  <c r="L98" i="3"/>
  <c r="M98" i="3"/>
  <c r="O58" i="23"/>
  <c r="O59" i="23"/>
  <c r="C6" i="67"/>
  <c r="O35" i="72"/>
  <c r="V58" i="72"/>
  <c r="S59" i="23"/>
  <c r="AC7" i="57"/>
  <c r="N35" i="71"/>
  <c r="N59" i="71"/>
  <c r="I16" i="72"/>
  <c r="I32" i="72"/>
  <c r="B24" i="33"/>
  <c r="K24" i="33"/>
  <c r="I58" i="72"/>
  <c r="D54" i="55"/>
  <c r="D32" i="55"/>
  <c r="D55" i="55"/>
  <c r="D57" i="55"/>
  <c r="G53" i="3"/>
  <c r="AS31" i="47"/>
  <c r="AS54" i="47"/>
  <c r="AP31" i="47"/>
  <c r="AZ39" i="47"/>
  <c r="AP53" i="47"/>
  <c r="AQ53" i="47"/>
  <c r="AR53" i="47"/>
  <c r="AR54" i="47"/>
  <c r="AS53" i="47"/>
  <c r="AP54" i="47"/>
  <c r="AB54" i="47"/>
  <c r="Y54" i="47"/>
  <c r="S54" i="47"/>
  <c r="T30" i="47"/>
  <c r="AA54" i="47"/>
  <c r="Q54" i="47"/>
  <c r="AQ31" i="47"/>
  <c r="AO31" i="47"/>
  <c r="AO54" i="47"/>
  <c r="AN31" i="47"/>
  <c r="AN54" i="47"/>
  <c r="L83" i="53"/>
  <c r="L31" i="53"/>
  <c r="L26" i="53"/>
  <c r="L24" i="53"/>
  <c r="L18" i="53"/>
  <c r="L35" i="53"/>
  <c r="K25" i="53"/>
  <c r="K24" i="53"/>
  <c r="L27" i="53"/>
  <c r="L25" i="53"/>
  <c r="K27" i="53"/>
  <c r="H34" i="53"/>
  <c r="L45" i="53"/>
  <c r="H20" i="53"/>
  <c r="M45" i="53"/>
  <c r="M58" i="53"/>
  <c r="O123" i="53"/>
  <c r="M110" i="53"/>
  <c r="O114" i="53"/>
  <c r="O118" i="53"/>
  <c r="O121" i="53"/>
  <c r="O127" i="53"/>
  <c r="K110" i="53"/>
  <c r="G17" i="53"/>
  <c r="O117" i="53"/>
  <c r="O126" i="53"/>
  <c r="K45" i="53"/>
  <c r="B66" i="54"/>
  <c r="B78" i="54"/>
  <c r="D66" i="54"/>
  <c r="D78" i="54"/>
  <c r="K69" i="50"/>
  <c r="D12" i="27"/>
  <c r="L44" i="3"/>
  <c r="D10" i="45"/>
  <c r="D17" i="45"/>
  <c r="F17" i="45"/>
  <c r="Q24" i="21"/>
  <c r="F12" i="45"/>
  <c r="Q19" i="21"/>
  <c r="E10" i="45"/>
  <c r="F10" i="45"/>
  <c r="M59" i="22"/>
  <c r="P51" i="22"/>
  <c r="L51" i="23"/>
  <c r="P58" i="19"/>
  <c r="R59" i="21"/>
  <c r="R71" i="21"/>
  <c r="O106" i="69"/>
  <c r="Q107" i="69"/>
  <c r="D42" i="69"/>
  <c r="R35" i="72"/>
  <c r="R59" i="72"/>
  <c r="B22" i="72"/>
  <c r="B34" i="72"/>
  <c r="W53" i="20"/>
  <c r="G96" i="20"/>
  <c r="P58" i="20"/>
  <c r="B40" i="72"/>
  <c r="AA69" i="9"/>
  <c r="W74" i="9"/>
  <c r="W78" i="9"/>
  <c r="AA53" i="9"/>
  <c r="AA32" i="9"/>
  <c r="AA18" i="9"/>
  <c r="B18" i="9"/>
  <c r="L30" i="9"/>
  <c r="AA12" i="9"/>
  <c r="AB21" i="9"/>
  <c r="L5" i="9"/>
  <c r="W79" i="9"/>
  <c r="B7" i="19"/>
  <c r="B7" i="20"/>
  <c r="B7" i="22"/>
  <c r="B7" i="23"/>
  <c r="AA40" i="9"/>
  <c r="AA36" i="9"/>
  <c r="C7" i="20"/>
  <c r="C7" i="22"/>
  <c r="C7" i="23" s="1"/>
  <c r="L23" i="9"/>
  <c r="B23" i="9"/>
  <c r="B11" i="19"/>
  <c r="B11" i="20"/>
  <c r="B11" i="22"/>
  <c r="B11" i="23"/>
  <c r="B11" i="72"/>
  <c r="Z36" i="9"/>
  <c r="B26" i="72"/>
  <c r="B32" i="72"/>
  <c r="B50" i="72"/>
  <c r="B48" i="72"/>
  <c r="B15" i="33"/>
  <c r="B33" i="72"/>
  <c r="G15" i="23"/>
  <c r="E15" i="72"/>
  <c r="B42" i="72"/>
  <c r="B56" i="72"/>
  <c r="B45" i="72"/>
  <c r="B30" i="72"/>
  <c r="X40" i="72"/>
  <c r="B25" i="72"/>
  <c r="B27" i="72"/>
  <c r="B47" i="72"/>
  <c r="B52" i="72"/>
  <c r="E58" i="20"/>
  <c r="B58" i="20"/>
  <c r="R40" i="22"/>
  <c r="B15" i="72"/>
  <c r="B17" i="72"/>
  <c r="B20" i="72"/>
  <c r="B24" i="72"/>
  <c r="E45" i="22"/>
  <c r="E45" i="23"/>
  <c r="C45" i="72"/>
  <c r="C58" i="72"/>
  <c r="C15" i="33"/>
  <c r="R10" i="22"/>
  <c r="B9" i="72"/>
  <c r="X9" i="72"/>
  <c r="B23" i="72"/>
  <c r="B28" i="72"/>
  <c r="B29" i="72"/>
  <c r="F15" i="33"/>
  <c r="B39" i="72"/>
  <c r="B21" i="72"/>
  <c r="B53" i="72"/>
  <c r="B46" i="72"/>
  <c r="B44" i="72"/>
  <c r="B54" i="72"/>
  <c r="C58" i="22"/>
  <c r="C43" i="23"/>
  <c r="H15" i="33"/>
  <c r="C16" i="23"/>
  <c r="C35" i="23"/>
  <c r="C35" i="22"/>
  <c r="D35" i="23"/>
  <c r="B19" i="72"/>
  <c r="B49" i="72"/>
  <c r="D35" i="22"/>
  <c r="M59" i="20"/>
  <c r="I58" i="20"/>
  <c r="G11" i="23"/>
  <c r="E11" i="72"/>
  <c r="G12" i="23"/>
  <c r="E12" i="72"/>
  <c r="T59" i="20"/>
  <c r="C58" i="20"/>
  <c r="B41" i="22"/>
  <c r="B41" i="23"/>
  <c r="B41" i="72"/>
  <c r="R10" i="20"/>
  <c r="B6" i="22"/>
  <c r="B6" i="23"/>
  <c r="R6" i="20"/>
  <c r="AA66" i="9"/>
  <c r="Z69" i="9"/>
  <c r="L16" i="9"/>
  <c r="B20" i="9"/>
  <c r="Z66" i="9"/>
  <c r="V74" i="9"/>
  <c r="R6" i="19"/>
  <c r="P11" i="58"/>
  <c r="P43" i="58"/>
  <c r="O43" i="58"/>
  <c r="E6" i="27"/>
  <c r="E7" i="27"/>
  <c r="E11" i="27"/>
  <c r="E15" i="27"/>
  <c r="K59" i="8"/>
  <c r="E9" i="27"/>
  <c r="E14" i="27"/>
  <c r="E10" i="27"/>
  <c r="P31" i="49"/>
  <c r="D20" i="27"/>
  <c r="E19" i="27"/>
  <c r="E20" i="27"/>
  <c r="E8" i="27"/>
  <c r="L10" i="38"/>
  <c r="L6" i="38"/>
  <c r="K28" i="45"/>
  <c r="K51" i="45"/>
  <c r="B32" i="51"/>
  <c r="H25" i="51"/>
  <c r="H32" i="51"/>
  <c r="Z14" i="51"/>
  <c r="K60" i="48"/>
  <c r="E16" i="27"/>
  <c r="L9" i="38"/>
  <c r="L5" i="38"/>
  <c r="O10" i="45"/>
  <c r="N11" i="45"/>
  <c r="N28" i="45"/>
  <c r="O19" i="45"/>
  <c r="N31" i="49"/>
  <c r="F107" i="30"/>
  <c r="Y33" i="51"/>
  <c r="Y27" i="51"/>
  <c r="Z16" i="51"/>
  <c r="Z12" i="51"/>
  <c r="Z17" i="51"/>
  <c r="X11" i="51"/>
  <c r="Z11" i="51"/>
  <c r="AS31" i="51"/>
  <c r="AT31" i="51"/>
  <c r="I28" i="51"/>
  <c r="AT22" i="51"/>
  <c r="AS27" i="51"/>
  <c r="C83" i="3"/>
  <c r="C59" i="3"/>
  <c r="D83" i="3"/>
  <c r="G42" i="48"/>
  <c r="G43" i="48"/>
  <c r="L8" i="38"/>
  <c r="L11" i="38"/>
  <c r="T27" i="47"/>
  <c r="H59" i="23"/>
  <c r="D107" i="30"/>
  <c r="H10" i="51"/>
  <c r="C15" i="51"/>
  <c r="C25" i="51"/>
  <c r="Z13" i="51"/>
  <c r="W33" i="51"/>
  <c r="W29" i="51"/>
  <c r="D27" i="51"/>
  <c r="AT27" i="51"/>
  <c r="P28" i="51"/>
  <c r="AR27" i="51"/>
  <c r="V33" i="51"/>
  <c r="AI28" i="51"/>
  <c r="BG44" i="54"/>
  <c r="BH54" i="54"/>
  <c r="H55" i="48"/>
  <c r="G21" i="56"/>
  <c r="G25" i="56"/>
  <c r="G30" i="56"/>
  <c r="G34" i="56"/>
  <c r="N41" i="9"/>
  <c r="N51" i="9"/>
  <c r="G9" i="22"/>
  <c r="R9" i="22"/>
  <c r="Y31" i="51"/>
  <c r="BU44" i="54"/>
  <c r="G83" i="3"/>
  <c r="H45" i="48"/>
  <c r="H60" i="48"/>
  <c r="H49" i="48"/>
  <c r="H53" i="48"/>
  <c r="G18" i="56"/>
  <c r="G22" i="56"/>
  <c r="G26" i="56"/>
  <c r="G31" i="56"/>
  <c r="H17" i="53"/>
  <c r="B48" i="27"/>
  <c r="I59" i="3"/>
  <c r="P59" i="72"/>
  <c r="CJ44" i="54"/>
  <c r="D41" i="3"/>
  <c r="G16" i="49"/>
  <c r="G20" i="49"/>
  <c r="G27" i="49"/>
  <c r="F14" i="49"/>
  <c r="F18" i="49"/>
  <c r="F22" i="49"/>
  <c r="G19" i="56"/>
  <c r="G23" i="56"/>
  <c r="G27" i="56"/>
  <c r="G32" i="56"/>
  <c r="H19" i="56"/>
  <c r="H23" i="56"/>
  <c r="H27" i="56"/>
  <c r="Y73" i="9"/>
  <c r="I59" i="19"/>
  <c r="H59" i="3"/>
  <c r="G59" i="3"/>
  <c r="R49" i="8"/>
  <c r="Q50" i="8"/>
  <c r="R50" i="8"/>
  <c r="T59" i="72"/>
  <c r="O59" i="72"/>
  <c r="R48" i="8"/>
  <c r="R52" i="8"/>
  <c r="I35" i="20"/>
  <c r="I59" i="20"/>
  <c r="H35" i="20"/>
  <c r="G35" i="20"/>
  <c r="E19" i="22"/>
  <c r="E35" i="20"/>
  <c r="K35" i="53"/>
  <c r="P7" i="20"/>
  <c r="P7" i="22"/>
  <c r="C6" i="22"/>
  <c r="Q10" i="23"/>
  <c r="O11" i="22"/>
  <c r="O11" i="20"/>
  <c r="B35" i="20"/>
  <c r="B18" i="22"/>
  <c r="B10" i="72"/>
  <c r="X10" i="72"/>
  <c r="K83" i="53"/>
  <c r="J35" i="20"/>
  <c r="Q9" i="23"/>
  <c r="O75" i="50"/>
  <c r="F47" i="54"/>
  <c r="F17" i="54"/>
  <c r="G12" i="54"/>
  <c r="L46" i="3"/>
  <c r="O93" i="50"/>
  <c r="F22" i="54"/>
  <c r="P8" i="22"/>
  <c r="L8" i="23"/>
  <c r="P9" i="20"/>
  <c r="R9" i="20"/>
  <c r="O95" i="50"/>
  <c r="F42" i="54"/>
  <c r="O94" i="50"/>
  <c r="Q40" i="23"/>
  <c r="G29" i="54"/>
  <c r="B28" i="54"/>
  <c r="K33" i="50"/>
  <c r="I25" i="51"/>
  <c r="H6" i="22"/>
  <c r="C35" i="20"/>
  <c r="O66" i="50"/>
  <c r="F38" i="54"/>
  <c r="F13" i="54"/>
  <c r="F12" i="54"/>
  <c r="B31" i="22"/>
  <c r="D11" i="45"/>
  <c r="E11" i="45"/>
  <c r="L57" i="8"/>
  <c r="L23" i="8"/>
  <c r="AL139" i="3"/>
  <c r="Z139" i="3"/>
  <c r="M46" i="3"/>
  <c r="AB22" i="3"/>
  <c r="K44" i="3"/>
  <c r="AB19" i="3"/>
  <c r="D25" i="51"/>
  <c r="P16" i="20"/>
  <c r="P16" i="19"/>
  <c r="E59" i="24"/>
  <c r="E60" i="24"/>
  <c r="F48" i="54"/>
  <c r="F44" i="54"/>
  <c r="F39" i="54"/>
  <c r="F23" i="54"/>
  <c r="F19" i="54"/>
  <c r="F14" i="54"/>
  <c r="G18" i="54"/>
  <c r="P46" i="22"/>
  <c r="P48" i="22"/>
  <c r="L48" i="23"/>
  <c r="B51" i="22"/>
  <c r="P52" i="22"/>
  <c r="L52" i="23"/>
  <c r="B55" i="22"/>
  <c r="B57" i="22"/>
  <c r="O30" i="48"/>
  <c r="D21" i="45"/>
  <c r="E21" i="45"/>
  <c r="D13" i="45"/>
  <c r="E13" i="45"/>
  <c r="M59" i="24"/>
  <c r="M60" i="24"/>
  <c r="T28" i="59"/>
  <c r="T31" i="59"/>
  <c r="O28" i="48"/>
  <c r="O27" i="48"/>
  <c r="O26" i="48"/>
  <c r="O25" i="48"/>
  <c r="O24" i="48"/>
  <c r="O23" i="48"/>
  <c r="O22" i="48"/>
  <c r="O21" i="48"/>
  <c r="O20" i="48"/>
  <c r="AB34" i="3"/>
  <c r="K79" i="3"/>
  <c r="K56" i="3"/>
  <c r="D19" i="45"/>
  <c r="F19" i="45"/>
  <c r="Q26" i="21"/>
  <c r="F56" i="68"/>
  <c r="F63" i="68"/>
  <c r="L42" i="8"/>
  <c r="L43" i="8"/>
  <c r="T59" i="22"/>
  <c r="D56" i="69"/>
  <c r="R70" i="21"/>
  <c r="B35" i="27"/>
  <c r="L36" i="24"/>
  <c r="L60" i="24"/>
  <c r="W61" i="20"/>
  <c r="D58" i="20"/>
  <c r="B21" i="34"/>
  <c r="F36" i="68"/>
  <c r="AB145" i="3"/>
  <c r="M52" i="3"/>
  <c r="F32" i="68"/>
  <c r="AB141" i="3"/>
  <c r="M48" i="3"/>
  <c r="F28" i="68"/>
  <c r="AB137" i="3"/>
  <c r="M44" i="3"/>
  <c r="F25" i="68"/>
  <c r="AB134" i="3"/>
  <c r="D40" i="68"/>
  <c r="AB100" i="3"/>
  <c r="L79" i="3"/>
  <c r="L56" i="3"/>
  <c r="D35" i="68"/>
  <c r="AB95" i="3"/>
  <c r="L51" i="3"/>
  <c r="D31" i="68"/>
  <c r="AB91" i="3"/>
  <c r="L47" i="3"/>
  <c r="D29" i="68"/>
  <c r="AB89" i="3"/>
  <c r="L45" i="3"/>
  <c r="B36" i="68"/>
  <c r="AB52" i="3"/>
  <c r="K52" i="3"/>
  <c r="T35" i="68"/>
  <c r="B34" i="68"/>
  <c r="AB50" i="3"/>
  <c r="K50" i="3"/>
  <c r="T33" i="68"/>
  <c r="U20" i="49"/>
  <c r="B32" i="68"/>
  <c r="AB48" i="3"/>
  <c r="K48" i="3"/>
  <c r="T31" i="68"/>
  <c r="B30" i="68"/>
  <c r="AB46" i="3"/>
  <c r="K46" i="3"/>
  <c r="C29" i="68"/>
  <c r="AB23" i="3"/>
  <c r="K45" i="3"/>
  <c r="O92" i="50"/>
  <c r="M90" i="53"/>
  <c r="M98" i="53"/>
  <c r="M88" i="53"/>
  <c r="O92" i="53"/>
  <c r="O96" i="53"/>
  <c r="O101" i="53"/>
  <c r="O91" i="53"/>
  <c r="O95" i="53"/>
  <c r="O99" i="53"/>
  <c r="D17" i="63"/>
  <c r="D20" i="63"/>
  <c r="D32" i="63"/>
  <c r="T29" i="62"/>
  <c r="T54" i="62"/>
  <c r="X29" i="62"/>
  <c r="W29" i="62"/>
  <c r="W54" i="62"/>
  <c r="X23" i="62"/>
  <c r="W23" i="62"/>
  <c r="W48" i="62"/>
  <c r="T23" i="62"/>
  <c r="T48" i="62"/>
  <c r="T18" i="62"/>
  <c r="T43" i="62"/>
  <c r="X18" i="62"/>
  <c r="W18" i="62"/>
  <c r="W43" i="62"/>
  <c r="O104" i="53"/>
  <c r="O102" i="53"/>
  <c r="O93" i="53"/>
  <c r="O73" i="50"/>
  <c r="O105" i="53"/>
  <c r="O103" i="53"/>
  <c r="O94" i="53"/>
  <c r="O112" i="53"/>
  <c r="O116" i="53"/>
  <c r="O120" i="53"/>
  <c r="O125" i="53"/>
  <c r="O111" i="53"/>
  <c r="O115" i="53"/>
  <c r="O119" i="53"/>
  <c r="O124" i="53"/>
  <c r="M44" i="53"/>
  <c r="M48" i="53"/>
  <c r="M43" i="53"/>
  <c r="M47" i="53"/>
  <c r="M51" i="53"/>
  <c r="R3" i="21"/>
  <c r="N7" i="21"/>
  <c r="O3" i="21"/>
  <c r="O97" i="53"/>
  <c r="O113" i="53"/>
  <c r="O89" i="53"/>
  <c r="C17" i="63"/>
  <c r="J33" i="62"/>
  <c r="K61" i="62"/>
  <c r="M61" i="62"/>
  <c r="P62" i="62"/>
  <c r="T30" i="62"/>
  <c r="T55" i="62"/>
  <c r="X30" i="62"/>
  <c r="W30" i="62"/>
  <c r="W55" i="62"/>
  <c r="T25" i="62"/>
  <c r="T50" i="62"/>
  <c r="X25" i="62"/>
  <c r="W25" i="62"/>
  <c r="W50" i="62"/>
  <c r="X19" i="62"/>
  <c r="W19" i="62"/>
  <c r="W44" i="62"/>
  <c r="T19" i="62"/>
  <c r="T44" i="62"/>
  <c r="T14" i="62"/>
  <c r="T39" i="62"/>
  <c r="X14" i="62"/>
  <c r="W14" i="62"/>
  <c r="W39" i="62"/>
  <c r="C20" i="63"/>
  <c r="C32" i="63"/>
  <c r="B17" i="63"/>
  <c r="B20" i="63"/>
  <c r="B32" i="63"/>
  <c r="K58" i="62"/>
  <c r="K62" i="62"/>
  <c r="M58" i="62"/>
  <c r="M62" i="62"/>
  <c r="Q62" i="62"/>
  <c r="R62" i="62"/>
  <c r="X31" i="62"/>
  <c r="W31" i="62"/>
  <c r="W56" i="62"/>
  <c r="T31" i="62"/>
  <c r="T56" i="62"/>
  <c r="T26" i="62"/>
  <c r="T51" i="62"/>
  <c r="X26" i="62"/>
  <c r="W26" i="62"/>
  <c r="W51" i="62"/>
  <c r="T21" i="62"/>
  <c r="T46" i="62"/>
  <c r="X21" i="62"/>
  <c r="W21" i="62"/>
  <c r="W46" i="62"/>
  <c r="X15" i="62"/>
  <c r="W15" i="62"/>
  <c r="W40" i="62"/>
  <c r="T15" i="62"/>
  <c r="T40" i="62"/>
  <c r="U54" i="47"/>
  <c r="G17" i="63"/>
  <c r="G20" i="63"/>
  <c r="G32" i="63"/>
  <c r="H20" i="63"/>
  <c r="H32" i="63"/>
  <c r="I25" i="63"/>
  <c r="I9" i="63"/>
  <c r="I61" i="62"/>
  <c r="I62" i="62"/>
  <c r="L61" i="62"/>
  <c r="L62" i="62"/>
  <c r="U61" i="62"/>
  <c r="U62" i="62"/>
  <c r="X27" i="62"/>
  <c r="W27" i="62"/>
  <c r="W52" i="62"/>
  <c r="T27" i="62"/>
  <c r="T52" i="62"/>
  <c r="T22" i="62"/>
  <c r="T47" i="62"/>
  <c r="X22" i="62"/>
  <c r="W22" i="62"/>
  <c r="W47" i="62"/>
  <c r="T17" i="62"/>
  <c r="T42" i="62"/>
  <c r="X17" i="62"/>
  <c r="W17" i="62"/>
  <c r="W42" i="62"/>
  <c r="X11" i="62"/>
  <c r="T11" i="62"/>
  <c r="U13" i="62"/>
  <c r="H17" i="63"/>
  <c r="T32" i="62"/>
  <c r="T57" i="62"/>
  <c r="T28" i="62"/>
  <c r="T53" i="62"/>
  <c r="T24" i="62"/>
  <c r="T49" i="62"/>
  <c r="T20" i="62"/>
  <c r="T45" i="62"/>
  <c r="T16" i="62"/>
  <c r="T41" i="62"/>
  <c r="T12" i="62"/>
  <c r="T37" i="62"/>
  <c r="I35" i="72"/>
  <c r="I59" i="72"/>
  <c r="Z27" i="51"/>
  <c r="AV31" i="47"/>
  <c r="AV54" i="47"/>
  <c r="AW41" i="47"/>
  <c r="AX53" i="47"/>
  <c r="AX31" i="47"/>
  <c r="T18" i="47"/>
  <c r="T17" i="47"/>
  <c r="AQ54" i="47"/>
  <c r="AZ53" i="47"/>
  <c r="AZ31" i="47"/>
  <c r="T12" i="47"/>
  <c r="R18" i="47"/>
  <c r="Q57" i="47"/>
  <c r="R50" i="47"/>
  <c r="R48" i="47"/>
  <c r="R20" i="47"/>
  <c r="R21" i="47"/>
  <c r="R29" i="47"/>
  <c r="R49" i="47"/>
  <c r="R42" i="47"/>
  <c r="R27" i="47"/>
  <c r="T20" i="47"/>
  <c r="T49" i="47"/>
  <c r="T14" i="47"/>
  <c r="T42" i="47"/>
  <c r="R22" i="47"/>
  <c r="T41" i="47"/>
  <c r="T46" i="47"/>
  <c r="T15" i="47"/>
  <c r="T35" i="47"/>
  <c r="R13" i="47"/>
  <c r="R44" i="47"/>
  <c r="R39" i="47"/>
  <c r="R15" i="47"/>
  <c r="AC53" i="47"/>
  <c r="AC54" i="47"/>
  <c r="T50" i="47"/>
  <c r="T40" i="47"/>
  <c r="T29" i="47"/>
  <c r="T19" i="47"/>
  <c r="T44" i="47"/>
  <c r="T13" i="47"/>
  <c r="R30" i="47"/>
  <c r="R35" i="47"/>
  <c r="R40" i="47"/>
  <c r="R12" i="47"/>
  <c r="T39" i="47"/>
  <c r="T22" i="47"/>
  <c r="T21" i="47"/>
  <c r="T48" i="47"/>
  <c r="R16" i="47"/>
  <c r="R17" i="47"/>
  <c r="R14" i="47"/>
  <c r="R46" i="47"/>
  <c r="R19" i="47"/>
  <c r="T16" i="47"/>
  <c r="M53" i="53"/>
  <c r="K53" i="53"/>
  <c r="L53" i="53"/>
  <c r="H28" i="53"/>
  <c r="M55" i="53"/>
  <c r="L55" i="53"/>
  <c r="H30" i="53"/>
  <c r="K55" i="53"/>
  <c r="M46" i="53"/>
  <c r="K46" i="53"/>
  <c r="L46" i="53"/>
  <c r="H21" i="53"/>
  <c r="M49" i="53"/>
  <c r="K49" i="53"/>
  <c r="L49" i="53"/>
  <c r="H24" i="53"/>
  <c r="L58" i="53"/>
  <c r="H33" i="53"/>
  <c r="M50" i="53"/>
  <c r="L50" i="53"/>
  <c r="H25" i="53"/>
  <c r="K50" i="53"/>
  <c r="K58" i="53"/>
  <c r="K118" i="53"/>
  <c r="M118" i="53"/>
  <c r="M117" i="53"/>
  <c r="K117" i="53"/>
  <c r="M127" i="53"/>
  <c r="K127" i="53"/>
  <c r="M114" i="53"/>
  <c r="K114" i="53"/>
  <c r="M126" i="53"/>
  <c r="K126" i="53"/>
  <c r="M121" i="53"/>
  <c r="K121" i="53"/>
  <c r="M123" i="53"/>
  <c r="K123" i="53"/>
  <c r="F11" i="45"/>
  <c r="Q18" i="21"/>
  <c r="F13" i="45"/>
  <c r="Q20" i="21"/>
  <c r="P19" i="22"/>
  <c r="L19" i="23"/>
  <c r="P19" i="20"/>
  <c r="U19" i="71"/>
  <c r="Q19" i="72"/>
  <c r="P19" i="19"/>
  <c r="Q106" i="69"/>
  <c r="Q125" i="69"/>
  <c r="X15" i="72"/>
  <c r="Q15" i="23"/>
  <c r="C16" i="24"/>
  <c r="H16" i="24"/>
  <c r="I16" i="24"/>
  <c r="Q16" i="24"/>
  <c r="G6" i="22"/>
  <c r="G6" i="23"/>
  <c r="B14" i="9"/>
  <c r="B12" i="19"/>
  <c r="B59" i="19"/>
  <c r="L41" i="9"/>
  <c r="B25" i="9"/>
  <c r="B29" i="9" s="1"/>
  <c r="R11" i="20"/>
  <c r="X11" i="72"/>
  <c r="G7" i="22"/>
  <c r="G7" i="23"/>
  <c r="E7" i="72"/>
  <c r="B18" i="34"/>
  <c r="Z73" i="9"/>
  <c r="AA73" i="9"/>
  <c r="R11" i="19"/>
  <c r="L51" i="9"/>
  <c r="J17" i="33"/>
  <c r="K17" i="33"/>
  <c r="E58" i="22"/>
  <c r="AG40" i="57"/>
  <c r="AB36" i="57"/>
  <c r="C41" i="24"/>
  <c r="H41" i="24"/>
  <c r="AG9" i="57"/>
  <c r="C10" i="24"/>
  <c r="AG10" i="57"/>
  <c r="C11" i="24"/>
  <c r="E58" i="23"/>
  <c r="C58" i="23"/>
  <c r="B16" i="72"/>
  <c r="V78" i="9"/>
  <c r="V79" i="9"/>
  <c r="M41" i="3"/>
  <c r="M82" i="3"/>
  <c r="P26" i="20"/>
  <c r="P26" i="22"/>
  <c r="L26" i="23"/>
  <c r="U26" i="71"/>
  <c r="Q26" i="72"/>
  <c r="P26" i="19"/>
  <c r="C32" i="51"/>
  <c r="C37" i="51"/>
  <c r="P20" i="20"/>
  <c r="P20" i="22"/>
  <c r="L20" i="23"/>
  <c r="P20" i="19"/>
  <c r="U20" i="71"/>
  <c r="Q20" i="72"/>
  <c r="B55" i="23"/>
  <c r="G43" i="54"/>
  <c r="D18" i="54"/>
  <c r="M23" i="50"/>
  <c r="C18" i="54"/>
  <c r="L23" i="50"/>
  <c r="B18" i="54"/>
  <c r="K23" i="50"/>
  <c r="F62" i="54"/>
  <c r="L41" i="3"/>
  <c r="L82" i="3"/>
  <c r="L37" i="8"/>
  <c r="L94" i="50"/>
  <c r="K94" i="50"/>
  <c r="B18" i="23"/>
  <c r="B35" i="22"/>
  <c r="G30" i="49"/>
  <c r="E12" i="27"/>
  <c r="N20" i="21"/>
  <c r="N22" i="21"/>
  <c r="N25" i="21"/>
  <c r="N16" i="21"/>
  <c r="N26" i="21"/>
  <c r="N19" i="21"/>
  <c r="N27" i="21"/>
  <c r="N30" i="21"/>
  <c r="N32" i="21"/>
  <c r="N34" i="21"/>
  <c r="N40" i="21"/>
  <c r="V40" i="21"/>
  <c r="N42" i="21"/>
  <c r="N44" i="21"/>
  <c r="N46" i="21"/>
  <c r="N50" i="21"/>
  <c r="N54" i="21"/>
  <c r="N18" i="21"/>
  <c r="N47" i="21"/>
  <c r="N51" i="21"/>
  <c r="N55" i="21"/>
  <c r="N21" i="21"/>
  <c r="N24" i="21"/>
  <c r="N31" i="21"/>
  <c r="N33" i="21"/>
  <c r="N39" i="21"/>
  <c r="N41" i="21"/>
  <c r="N43" i="21"/>
  <c r="N45" i="21"/>
  <c r="N48" i="21"/>
  <c r="N52" i="21"/>
  <c r="N56" i="21"/>
  <c r="N53" i="21"/>
  <c r="N57" i="21"/>
  <c r="N49" i="21"/>
  <c r="M119" i="53"/>
  <c r="K119" i="53"/>
  <c r="M103" i="53"/>
  <c r="K103" i="53"/>
  <c r="M91" i="53"/>
  <c r="K91" i="53"/>
  <c r="L27" i="48"/>
  <c r="K27" i="48"/>
  <c r="V7" i="21"/>
  <c r="T7" i="71"/>
  <c r="N7" i="72"/>
  <c r="M115" i="53"/>
  <c r="K115" i="53"/>
  <c r="M104" i="53"/>
  <c r="I33" i="53"/>
  <c r="K104" i="53"/>
  <c r="M101" i="53"/>
  <c r="K101" i="53"/>
  <c r="G30" i="53"/>
  <c r="P24" i="22"/>
  <c r="L24" i="23"/>
  <c r="P24" i="20"/>
  <c r="P24" i="19"/>
  <c r="U24" i="71"/>
  <c r="Q24" i="72"/>
  <c r="K20" i="48"/>
  <c r="L20" i="48"/>
  <c r="K24" i="48"/>
  <c r="L24" i="48"/>
  <c r="K28" i="48"/>
  <c r="L28" i="48"/>
  <c r="Q17" i="21"/>
  <c r="F67" i="54"/>
  <c r="D37" i="51"/>
  <c r="E12" i="34"/>
  <c r="N33" i="55"/>
  <c r="D32" i="51"/>
  <c r="M60" i="48"/>
  <c r="M83" i="53"/>
  <c r="K4" i="53"/>
  <c r="D12" i="54"/>
  <c r="B12" i="54"/>
  <c r="C12" i="54"/>
  <c r="F61" i="54"/>
  <c r="L95" i="50"/>
  <c r="K95" i="50"/>
  <c r="F70" i="54"/>
  <c r="K11" i="23"/>
  <c r="Q11" i="23"/>
  <c r="R11" i="22"/>
  <c r="L7" i="23"/>
  <c r="G60" i="3"/>
  <c r="I21" i="3"/>
  <c r="I25" i="3"/>
  <c r="I29" i="3"/>
  <c r="I34" i="3"/>
  <c r="I22" i="3"/>
  <c r="I26" i="3"/>
  <c r="I30" i="3"/>
  <c r="I35" i="3"/>
  <c r="I23" i="3"/>
  <c r="I27" i="3"/>
  <c r="I32" i="3"/>
  <c r="I36" i="3"/>
  <c r="I28" i="3"/>
  <c r="I33" i="3"/>
  <c r="I20" i="3"/>
  <c r="I24" i="3"/>
  <c r="D59" i="3"/>
  <c r="D60" i="3"/>
  <c r="G45" i="48"/>
  <c r="G52" i="48"/>
  <c r="G44" i="48"/>
  <c r="G49" i="48"/>
  <c r="G53" i="48"/>
  <c r="G46" i="48"/>
  <c r="G47" i="48"/>
  <c r="G55" i="48"/>
  <c r="G57" i="48"/>
  <c r="G56" i="48"/>
  <c r="G59" i="48"/>
  <c r="G58" i="48"/>
  <c r="G48" i="48"/>
  <c r="G50" i="48"/>
  <c r="T13" i="62"/>
  <c r="T38" i="62"/>
  <c r="X13" i="62"/>
  <c r="W13" i="62"/>
  <c r="W38" i="62"/>
  <c r="I17" i="63"/>
  <c r="I20" i="63"/>
  <c r="I32" i="63"/>
  <c r="K47" i="53"/>
  <c r="L47" i="53"/>
  <c r="H22" i="53"/>
  <c r="K92" i="50"/>
  <c r="L92" i="50"/>
  <c r="I35" i="56"/>
  <c r="T36" i="62"/>
  <c r="T58" i="62"/>
  <c r="K43" i="53"/>
  <c r="L43" i="53"/>
  <c r="K48" i="53"/>
  <c r="L48" i="53"/>
  <c r="H23" i="53"/>
  <c r="M116" i="53"/>
  <c r="K116" i="53"/>
  <c r="U33" i="62"/>
  <c r="AD53" i="47"/>
  <c r="AD54" i="47"/>
  <c r="M89" i="53"/>
  <c r="K89" i="53"/>
  <c r="M56" i="53"/>
  <c r="K56" i="53"/>
  <c r="L56" i="53"/>
  <c r="H31" i="53"/>
  <c r="K44" i="53"/>
  <c r="L44" i="53"/>
  <c r="H19" i="53"/>
  <c r="M111" i="53"/>
  <c r="K111" i="53"/>
  <c r="M112" i="53"/>
  <c r="K112" i="53"/>
  <c r="O96" i="50"/>
  <c r="L73" i="50"/>
  <c r="K73" i="50"/>
  <c r="M93" i="53"/>
  <c r="K93" i="53"/>
  <c r="M99" i="53"/>
  <c r="I28" i="53"/>
  <c r="K99" i="53"/>
  <c r="M96" i="53"/>
  <c r="I25" i="53"/>
  <c r="K96" i="53"/>
  <c r="U18" i="49"/>
  <c r="AB25" i="3"/>
  <c r="K47" i="3"/>
  <c r="U22" i="49"/>
  <c r="AB29" i="3"/>
  <c r="K51" i="3"/>
  <c r="D43" i="22"/>
  <c r="K21" i="48"/>
  <c r="L21" i="48"/>
  <c r="K25" i="48"/>
  <c r="L25" i="48"/>
  <c r="P18" i="20"/>
  <c r="P18" i="22"/>
  <c r="L18" i="23"/>
  <c r="U18" i="71"/>
  <c r="Q18" i="72"/>
  <c r="P18" i="19"/>
  <c r="F21" i="45"/>
  <c r="Q28" i="21"/>
  <c r="B57" i="23"/>
  <c r="L46" i="23"/>
  <c r="L58" i="23"/>
  <c r="P58" i="22"/>
  <c r="F71" i="54"/>
  <c r="E28" i="45"/>
  <c r="B31" i="23"/>
  <c r="M83" i="50"/>
  <c r="O89" i="50"/>
  <c r="L66" i="50"/>
  <c r="L83" i="50"/>
  <c r="K66" i="50"/>
  <c r="I32" i="51"/>
  <c r="D29" i="54"/>
  <c r="M34" i="50"/>
  <c r="B29" i="54"/>
  <c r="K34" i="50"/>
  <c r="G54" i="54"/>
  <c r="C29" i="54"/>
  <c r="G37" i="54"/>
  <c r="G13" i="54"/>
  <c r="D13" i="54"/>
  <c r="O98" i="50"/>
  <c r="K75" i="50"/>
  <c r="L75" i="50"/>
  <c r="D59" i="20"/>
  <c r="H60" i="3"/>
  <c r="I60" i="3"/>
  <c r="AT33" i="51"/>
  <c r="AT29" i="51"/>
  <c r="I27" i="51"/>
  <c r="AS34" i="51"/>
  <c r="B35" i="51"/>
  <c r="B34" i="51"/>
  <c r="G51" i="48"/>
  <c r="V35" i="47"/>
  <c r="V39" i="47"/>
  <c r="V12" i="47"/>
  <c r="V13" i="47"/>
  <c r="V14" i="47"/>
  <c r="V15" i="47"/>
  <c r="V16" i="47"/>
  <c r="V17" i="47"/>
  <c r="V18" i="47"/>
  <c r="V19" i="47"/>
  <c r="V41" i="47"/>
  <c r="V44" i="47"/>
  <c r="V50" i="47"/>
  <c r="V46" i="47"/>
  <c r="V49" i="47"/>
  <c r="V21" i="47"/>
  <c r="V22" i="47"/>
  <c r="V27" i="47"/>
  <c r="V29" i="47"/>
  <c r="V30" i="47"/>
  <c r="V48" i="47"/>
  <c r="V20" i="47"/>
  <c r="V40" i="47"/>
  <c r="V42" i="47"/>
  <c r="K52" i="53"/>
  <c r="L52" i="53"/>
  <c r="H27" i="53"/>
  <c r="M120" i="53"/>
  <c r="K120" i="53"/>
  <c r="M102" i="53"/>
  <c r="K102" i="53"/>
  <c r="L23" i="48"/>
  <c r="K23" i="48"/>
  <c r="M97" i="53"/>
  <c r="K97" i="53"/>
  <c r="M105" i="53"/>
  <c r="I34" i="53"/>
  <c r="K105" i="53"/>
  <c r="G34" i="53"/>
  <c r="W11" i="62"/>
  <c r="M113" i="53"/>
  <c r="K113" i="53"/>
  <c r="K51" i="53"/>
  <c r="G26" i="53"/>
  <c r="L51" i="53"/>
  <c r="H26" i="53"/>
  <c r="M57" i="53"/>
  <c r="K57" i="53"/>
  <c r="L57" i="53"/>
  <c r="H32" i="53"/>
  <c r="M124" i="53"/>
  <c r="K124" i="53"/>
  <c r="M125" i="53"/>
  <c r="K125" i="53"/>
  <c r="M94" i="53"/>
  <c r="K94" i="53"/>
  <c r="M95" i="53"/>
  <c r="I24" i="53"/>
  <c r="K95" i="53"/>
  <c r="G24" i="53"/>
  <c r="M92" i="53"/>
  <c r="K92" i="53"/>
  <c r="K22" i="48"/>
  <c r="L22" i="48"/>
  <c r="K26" i="48"/>
  <c r="L26" i="48"/>
  <c r="M30" i="48"/>
  <c r="K30" i="48"/>
  <c r="L30" i="48"/>
  <c r="B51" i="23"/>
  <c r="B58" i="22"/>
  <c r="I17" i="53"/>
  <c r="D28" i="45"/>
  <c r="D51" i="45"/>
  <c r="M35" i="53"/>
  <c r="K6" i="53"/>
  <c r="F65" i="54"/>
  <c r="L93" i="50"/>
  <c r="K93" i="50"/>
  <c r="AB27" i="3"/>
  <c r="K49" i="3"/>
  <c r="C6" i="23"/>
  <c r="E19" i="23"/>
  <c r="E35" i="22"/>
  <c r="F30" i="49"/>
  <c r="D43" i="27"/>
  <c r="D44" i="27"/>
  <c r="I12" i="36"/>
  <c r="D45" i="27"/>
  <c r="I13" i="36"/>
  <c r="G35" i="56"/>
  <c r="H35" i="56"/>
  <c r="O11" i="45"/>
  <c r="O28" i="45"/>
  <c r="O51" i="45"/>
  <c r="AG15" i="57"/>
  <c r="AX54" i="47"/>
  <c r="AY41" i="47"/>
  <c r="G23" i="3"/>
  <c r="G27" i="3"/>
  <c r="G26" i="3"/>
  <c r="G22" i="3"/>
  <c r="AY48" i="47"/>
  <c r="AW51" i="47"/>
  <c r="AW48" i="47"/>
  <c r="AY49" i="47"/>
  <c r="AW50" i="47"/>
  <c r="AW49" i="47"/>
  <c r="AY44" i="47"/>
  <c r="AW44" i="47"/>
  <c r="AW43" i="47"/>
  <c r="AY37" i="47"/>
  <c r="AW35" i="47"/>
  <c r="AW37" i="47"/>
  <c r="AY29" i="47"/>
  <c r="AW25" i="47"/>
  <c r="AW30" i="47"/>
  <c r="AW29" i="47"/>
  <c r="AY25" i="47"/>
  <c r="AY24" i="47"/>
  <c r="AW12" i="47"/>
  <c r="AW24" i="47"/>
  <c r="AY19" i="47"/>
  <c r="AY15" i="47"/>
  <c r="AY20" i="47"/>
  <c r="AY13" i="47"/>
  <c r="AY18" i="47"/>
  <c r="AY16" i="47"/>
  <c r="AY17" i="47"/>
  <c r="AW21" i="47"/>
  <c r="AW17" i="47"/>
  <c r="AW13" i="47"/>
  <c r="AW14" i="47"/>
  <c r="AW18" i="47"/>
  <c r="AW20" i="47"/>
  <c r="AW15" i="47"/>
  <c r="AW16" i="47"/>
  <c r="AW19" i="47"/>
  <c r="AY12" i="47"/>
  <c r="AY42" i="47"/>
  <c r="AY22" i="47"/>
  <c r="AY27" i="47"/>
  <c r="AY46" i="47"/>
  <c r="AZ54" i="47"/>
  <c r="AY40" i="47"/>
  <c r="AY39" i="47"/>
  <c r="AV57" i="47"/>
  <c r="AW22" i="47"/>
  <c r="AW42" i="47"/>
  <c r="AW40" i="47"/>
  <c r="AW27" i="47"/>
  <c r="AW39" i="47"/>
  <c r="AW46" i="47"/>
  <c r="T54" i="47"/>
  <c r="R54" i="47"/>
  <c r="G25" i="53"/>
  <c r="G28" i="53"/>
  <c r="I30" i="53"/>
  <c r="G33" i="53"/>
  <c r="M60" i="53"/>
  <c r="K5" i="53"/>
  <c r="I26" i="53"/>
  <c r="G21" i="53"/>
  <c r="I27" i="53"/>
  <c r="I19" i="53"/>
  <c r="G20" i="53"/>
  <c r="I31" i="53"/>
  <c r="I21" i="53"/>
  <c r="M106" i="53"/>
  <c r="I20" i="53"/>
  <c r="C13" i="54"/>
  <c r="R6" i="22"/>
  <c r="P16" i="24"/>
  <c r="R12" i="19"/>
  <c r="B19" i="34"/>
  <c r="B12" i="20"/>
  <c r="I41" i="24"/>
  <c r="Q41" i="24"/>
  <c r="P41" i="24"/>
  <c r="AG11" i="57"/>
  <c r="AB58" i="57"/>
  <c r="C12" i="24"/>
  <c r="C37" i="54"/>
  <c r="L42" i="50"/>
  <c r="B37" i="54"/>
  <c r="D37" i="54"/>
  <c r="P28" i="22"/>
  <c r="L28" i="23"/>
  <c r="P28" i="20"/>
  <c r="P28" i="19"/>
  <c r="U28" i="71"/>
  <c r="Q28" i="72"/>
  <c r="K96" i="50"/>
  <c r="L96" i="50"/>
  <c r="K128" i="53"/>
  <c r="K7" i="53"/>
  <c r="L60" i="53"/>
  <c r="H18" i="53"/>
  <c r="E10" i="34"/>
  <c r="D28" i="36"/>
  <c r="B61" i="27"/>
  <c r="F28" i="45"/>
  <c r="F51" i="45"/>
  <c r="L35" i="48"/>
  <c r="V23" i="21"/>
  <c r="O23" i="20"/>
  <c r="O23" i="22"/>
  <c r="K23" i="23"/>
  <c r="N23" i="72"/>
  <c r="O23" i="19"/>
  <c r="T23" i="71"/>
  <c r="T48" i="71"/>
  <c r="N48" i="72"/>
  <c r="N58" i="21"/>
  <c r="V39" i="21"/>
  <c r="T39" i="71"/>
  <c r="N39" i="72"/>
  <c r="V24" i="21"/>
  <c r="O24" i="20"/>
  <c r="O24" i="22"/>
  <c r="K24" i="23"/>
  <c r="T24" i="71"/>
  <c r="N24" i="72"/>
  <c r="O24" i="19"/>
  <c r="T47" i="71"/>
  <c r="N47" i="72"/>
  <c r="T46" i="71"/>
  <c r="N46" i="72"/>
  <c r="V34" i="21"/>
  <c r="S35" i="59"/>
  <c r="T35" i="59"/>
  <c r="O34" i="20"/>
  <c r="O34" i="22"/>
  <c r="K34" i="23"/>
  <c r="O34" i="19"/>
  <c r="T34" i="71"/>
  <c r="N34" i="72"/>
  <c r="V19" i="21"/>
  <c r="O19" i="20"/>
  <c r="O19" i="22"/>
  <c r="K19" i="23"/>
  <c r="N19" i="72"/>
  <c r="O19" i="19"/>
  <c r="T19" i="71"/>
  <c r="V22" i="21"/>
  <c r="O22" i="20"/>
  <c r="O22" i="22"/>
  <c r="K22" i="23"/>
  <c r="N22" i="72"/>
  <c r="O22" i="19"/>
  <c r="T22" i="71"/>
  <c r="C60" i="3"/>
  <c r="B60" i="3"/>
  <c r="G20" i="3"/>
  <c r="L35" i="50"/>
  <c r="B55" i="72"/>
  <c r="H26" i="48"/>
  <c r="C51" i="48"/>
  <c r="G32" i="53"/>
  <c r="M128" i="53"/>
  <c r="K106" i="53"/>
  <c r="K8" i="53"/>
  <c r="K60" i="53"/>
  <c r="G18" i="53"/>
  <c r="G22" i="53"/>
  <c r="G60" i="48"/>
  <c r="I37" i="3"/>
  <c r="I59" i="48"/>
  <c r="I58" i="48"/>
  <c r="I50" i="48"/>
  <c r="I47" i="48"/>
  <c r="I44" i="48"/>
  <c r="I46" i="48"/>
  <c r="I45" i="48"/>
  <c r="I53" i="48"/>
  <c r="I52" i="48"/>
  <c r="I51" i="48"/>
  <c r="I42" i="48"/>
  <c r="I49" i="48"/>
  <c r="I43" i="48"/>
  <c r="B19" i="27"/>
  <c r="I55" i="48"/>
  <c r="I48" i="48"/>
  <c r="I56" i="48"/>
  <c r="P17" i="20"/>
  <c r="P17" i="22"/>
  <c r="Q17" i="72"/>
  <c r="Q35" i="21"/>
  <c r="Q59" i="21"/>
  <c r="U17" i="71"/>
  <c r="P17" i="19"/>
  <c r="P35" i="19"/>
  <c r="P59" i="19"/>
  <c r="K35" i="48"/>
  <c r="O7" i="19"/>
  <c r="W7" i="71"/>
  <c r="H27" i="48"/>
  <c r="C52" i="48"/>
  <c r="T53" i="71"/>
  <c r="N53" i="72"/>
  <c r="V45" i="21"/>
  <c r="T45" i="71"/>
  <c r="N45" i="72"/>
  <c r="V33" i="21"/>
  <c r="O33" i="20"/>
  <c r="O33" i="22"/>
  <c r="K33" i="23"/>
  <c r="T33" i="71"/>
  <c r="N33" i="72"/>
  <c r="O33" i="19"/>
  <c r="V21" i="21"/>
  <c r="O21" i="20"/>
  <c r="O21" i="22"/>
  <c r="K21" i="23"/>
  <c r="T21" i="71"/>
  <c r="N21" i="72"/>
  <c r="O21" i="19"/>
  <c r="V18" i="21"/>
  <c r="O18" i="20"/>
  <c r="O18" i="22"/>
  <c r="K18" i="23"/>
  <c r="N18" i="72"/>
  <c r="O18" i="19"/>
  <c r="T18" i="71"/>
  <c r="T44" i="71"/>
  <c r="V44" i="21"/>
  <c r="N44" i="72"/>
  <c r="V32" i="21"/>
  <c r="O32" i="20"/>
  <c r="O32" i="22"/>
  <c r="K32" i="23"/>
  <c r="T32" i="71"/>
  <c r="N32" i="72"/>
  <c r="O32" i="19"/>
  <c r="V26" i="21"/>
  <c r="O26" i="20"/>
  <c r="O26" i="22"/>
  <c r="K26" i="23"/>
  <c r="N26" i="72"/>
  <c r="O26" i="19"/>
  <c r="T26" i="71"/>
  <c r="V20" i="21"/>
  <c r="O20" i="20"/>
  <c r="O20" i="22"/>
  <c r="K20" i="23"/>
  <c r="T20" i="71"/>
  <c r="N20" i="72"/>
  <c r="O20" i="19"/>
  <c r="G35" i="3"/>
  <c r="G29" i="3"/>
  <c r="G33" i="3"/>
  <c r="B18" i="72"/>
  <c r="B35" i="23"/>
  <c r="AI15" i="57"/>
  <c r="L59" i="3"/>
  <c r="C34" i="51"/>
  <c r="C35" i="51"/>
  <c r="B51" i="72"/>
  <c r="B58" i="23"/>
  <c r="Q6" i="23"/>
  <c r="K17" i="50"/>
  <c r="H28" i="48"/>
  <c r="C53" i="48"/>
  <c r="M35" i="48"/>
  <c r="I25" i="48"/>
  <c r="H78" i="48"/>
  <c r="V49" i="21"/>
  <c r="T49" i="71"/>
  <c r="N49" i="72"/>
  <c r="V56" i="21"/>
  <c r="T56" i="71"/>
  <c r="N56" i="72"/>
  <c r="V43" i="21"/>
  <c r="T43" i="71"/>
  <c r="N43" i="72"/>
  <c r="V31" i="21"/>
  <c r="O31" i="20"/>
  <c r="O31" i="22"/>
  <c r="K31" i="23"/>
  <c r="N31" i="72"/>
  <c r="O31" i="19"/>
  <c r="T31" i="71"/>
  <c r="V55" i="21"/>
  <c r="T55" i="71"/>
  <c r="N55" i="72"/>
  <c r="V54" i="21"/>
  <c r="T54" i="71"/>
  <c r="N54" i="72"/>
  <c r="V42" i="21"/>
  <c r="T42" i="71"/>
  <c r="N42" i="72"/>
  <c r="V30" i="21"/>
  <c r="O30" i="20"/>
  <c r="O30" i="22"/>
  <c r="K30" i="23"/>
  <c r="O30" i="19"/>
  <c r="T30" i="71"/>
  <c r="N30" i="72"/>
  <c r="V16" i="21"/>
  <c r="O16" i="19"/>
  <c r="O16" i="20"/>
  <c r="O16" i="22"/>
  <c r="T16" i="71"/>
  <c r="N16" i="72"/>
  <c r="N17" i="21"/>
  <c r="G32" i="3"/>
  <c r="G25" i="3"/>
  <c r="G28" i="3"/>
  <c r="I57" i="48"/>
  <c r="B43" i="54"/>
  <c r="K48" i="50"/>
  <c r="C43" i="54"/>
  <c r="L48" i="50"/>
  <c r="D43" i="54"/>
  <c r="M48" i="50"/>
  <c r="M59" i="3"/>
  <c r="K82" i="3"/>
  <c r="K83" i="3"/>
  <c r="B6" i="72"/>
  <c r="G22" i="48"/>
  <c r="B47" i="48"/>
  <c r="L98" i="50"/>
  <c r="K98" i="50"/>
  <c r="L89" i="50"/>
  <c r="K89" i="50"/>
  <c r="G26" i="48"/>
  <c r="B51" i="48"/>
  <c r="I32" i="53"/>
  <c r="W33" i="62"/>
  <c r="W36" i="62"/>
  <c r="W58" i="62"/>
  <c r="V54" i="47"/>
  <c r="D54" i="54"/>
  <c r="M59" i="50"/>
  <c r="B54" i="54"/>
  <c r="K59" i="50"/>
  <c r="C54" i="54"/>
  <c r="L59" i="50"/>
  <c r="G77" i="54"/>
  <c r="H21" i="48"/>
  <c r="C46" i="48"/>
  <c r="D43" i="23"/>
  <c r="D58" i="22"/>
  <c r="D59" i="22"/>
  <c r="G23" i="53"/>
  <c r="I18" i="53"/>
  <c r="I22" i="53"/>
  <c r="I11" i="36"/>
  <c r="D47" i="27"/>
  <c r="C19" i="72"/>
  <c r="B16" i="33"/>
  <c r="E35" i="23"/>
  <c r="G30" i="48"/>
  <c r="I26" i="48"/>
  <c r="H79" i="48"/>
  <c r="X33" i="62"/>
  <c r="G27" i="53"/>
  <c r="G14" i="54"/>
  <c r="G38" i="54"/>
  <c r="K83" i="50"/>
  <c r="B13" i="54"/>
  <c r="K18" i="50"/>
  <c r="B31" i="72"/>
  <c r="B57" i="72"/>
  <c r="H25" i="48"/>
  <c r="C50" i="48"/>
  <c r="U31" i="49"/>
  <c r="G19" i="53"/>
  <c r="G31" i="53"/>
  <c r="I23" i="53"/>
  <c r="T33" i="62"/>
  <c r="T61" i="62"/>
  <c r="T62" i="62"/>
  <c r="G30" i="3"/>
  <c r="B55" i="48"/>
  <c r="G36" i="3"/>
  <c r="G28" i="48"/>
  <c r="B53" i="48"/>
  <c r="I24" i="48"/>
  <c r="H77" i="48"/>
  <c r="V57" i="21"/>
  <c r="T57" i="71"/>
  <c r="N57" i="72"/>
  <c r="T52" i="71"/>
  <c r="N52" i="72"/>
  <c r="V41" i="21"/>
  <c r="T41" i="71"/>
  <c r="N41" i="72"/>
  <c r="N28" i="21"/>
  <c r="V51" i="21"/>
  <c r="T51" i="71"/>
  <c r="N51" i="72"/>
  <c r="T50" i="71"/>
  <c r="N50" i="72"/>
  <c r="V27" i="21"/>
  <c r="O27" i="20"/>
  <c r="O27" i="22"/>
  <c r="K27" i="23"/>
  <c r="N27" i="72"/>
  <c r="O27" i="19"/>
  <c r="T27" i="71"/>
  <c r="AA26" i="21"/>
  <c r="V25" i="21"/>
  <c r="O25" i="20"/>
  <c r="O25" i="22"/>
  <c r="K25" i="23"/>
  <c r="T25" i="71"/>
  <c r="N25" i="72"/>
  <c r="O25" i="19"/>
  <c r="G34" i="3"/>
  <c r="G21" i="3"/>
  <c r="G24" i="3"/>
  <c r="E6" i="72"/>
  <c r="L59" i="8"/>
  <c r="B33" i="27"/>
  <c r="K59" i="3"/>
  <c r="E11" i="34"/>
  <c r="D29" i="36"/>
  <c r="B62" i="27"/>
  <c r="AY21" i="47"/>
  <c r="AY14" i="47"/>
  <c r="AY30" i="47"/>
  <c r="AY35" i="47"/>
  <c r="AY43" i="47"/>
  <c r="AY50" i="47"/>
  <c r="AY51" i="47"/>
  <c r="BA51" i="47"/>
  <c r="BA46" i="47"/>
  <c r="BA41" i="47"/>
  <c r="BA35" i="47"/>
  <c r="BA25" i="47"/>
  <c r="BA20" i="47"/>
  <c r="BA16" i="47"/>
  <c r="BA12" i="47"/>
  <c r="BA50" i="47"/>
  <c r="BA44" i="47"/>
  <c r="BA40" i="47"/>
  <c r="BA30" i="47"/>
  <c r="BA24" i="47"/>
  <c r="BA19" i="47"/>
  <c r="BA15" i="47"/>
  <c r="BA49" i="47"/>
  <c r="BA43" i="47"/>
  <c r="BA39" i="47"/>
  <c r="BA29" i="47"/>
  <c r="BA22" i="47"/>
  <c r="BA18" i="47"/>
  <c r="BA14" i="47"/>
  <c r="BA48" i="47"/>
  <c r="BA42" i="47"/>
  <c r="BA37" i="47"/>
  <c r="BA27" i="47"/>
  <c r="BA21" i="47"/>
  <c r="BA17" i="47"/>
  <c r="BA13" i="47"/>
  <c r="K29" i="3"/>
  <c r="AW54" i="47"/>
  <c r="AY54" i="47"/>
  <c r="I35" i="53"/>
  <c r="D53" i="53"/>
  <c r="K19" i="3"/>
  <c r="M83" i="3"/>
  <c r="U35" i="71"/>
  <c r="U59" i="71"/>
  <c r="B12" i="22"/>
  <c r="R12" i="20"/>
  <c r="B59" i="20"/>
  <c r="C7" i="24"/>
  <c r="P35" i="20"/>
  <c r="P59" i="20"/>
  <c r="D59" i="53"/>
  <c r="D46" i="53"/>
  <c r="D55" i="53"/>
  <c r="D45" i="53"/>
  <c r="D52" i="53"/>
  <c r="D49" i="53"/>
  <c r="D44" i="53"/>
  <c r="D50" i="53"/>
  <c r="D56" i="53"/>
  <c r="D58" i="53"/>
  <c r="D42" i="53"/>
  <c r="K106" i="50"/>
  <c r="G50" i="50"/>
  <c r="M60" i="3"/>
  <c r="B8" i="27"/>
  <c r="K16" i="23"/>
  <c r="S17" i="59"/>
  <c r="P17" i="59"/>
  <c r="O42" i="20"/>
  <c r="O42" i="22"/>
  <c r="K42" i="23"/>
  <c r="O42" i="19"/>
  <c r="K25" i="3"/>
  <c r="O44" i="20"/>
  <c r="O44" i="22"/>
  <c r="K44" i="23"/>
  <c r="O44" i="19"/>
  <c r="S22" i="59"/>
  <c r="T22" i="59"/>
  <c r="P22" i="59"/>
  <c r="Q22" i="59"/>
  <c r="O45" i="20"/>
  <c r="O45" i="22"/>
  <c r="K45" i="23"/>
  <c r="O45" i="19"/>
  <c r="L17" i="23"/>
  <c r="L35" i="23"/>
  <c r="L59" i="23"/>
  <c r="P35" i="22"/>
  <c r="P59" i="22"/>
  <c r="G70" i="48"/>
  <c r="I60" i="48"/>
  <c r="G73" i="48"/>
  <c r="D50" i="48"/>
  <c r="G78" i="48"/>
  <c r="G35" i="53"/>
  <c r="B43" i="53"/>
  <c r="N58" i="72"/>
  <c r="H35" i="53"/>
  <c r="C43" i="53"/>
  <c r="X6" i="72"/>
  <c r="O49" i="20"/>
  <c r="O49" i="22"/>
  <c r="K49" i="23"/>
  <c r="O49" i="19"/>
  <c r="G17" i="48"/>
  <c r="G33" i="48"/>
  <c r="B58" i="48"/>
  <c r="G18" i="48"/>
  <c r="B43" i="48"/>
  <c r="G19" i="48"/>
  <c r="B44" i="48"/>
  <c r="G32" i="48"/>
  <c r="B57" i="48"/>
  <c r="G31" i="48"/>
  <c r="B56" i="48"/>
  <c r="G34" i="48"/>
  <c r="B59" i="48"/>
  <c r="D51" i="48"/>
  <c r="G79" i="48"/>
  <c r="G74" i="48"/>
  <c r="T3" i="53"/>
  <c r="G23" i="48"/>
  <c r="B48" i="48"/>
  <c r="S23" i="59"/>
  <c r="T23" i="59"/>
  <c r="P23" i="59"/>
  <c r="Q23" i="59"/>
  <c r="U35" i="59"/>
  <c r="O47" i="20"/>
  <c r="O47" i="22"/>
  <c r="K47" i="23"/>
  <c r="O47" i="19"/>
  <c r="O39" i="20"/>
  <c r="O39" i="22"/>
  <c r="T58" i="71"/>
  <c r="O39" i="19"/>
  <c r="O48" i="20"/>
  <c r="O48" i="22"/>
  <c r="K48" i="23"/>
  <c r="O48" i="19"/>
  <c r="G27" i="48"/>
  <c r="B52" i="48"/>
  <c r="H32" i="48"/>
  <c r="C57" i="48"/>
  <c r="H19" i="48"/>
  <c r="C44" i="48"/>
  <c r="H33" i="48"/>
  <c r="C58" i="48"/>
  <c r="H34" i="48"/>
  <c r="C59" i="48"/>
  <c r="H17" i="48"/>
  <c r="H31" i="48"/>
  <c r="C56" i="48"/>
  <c r="H18" i="48"/>
  <c r="C43" i="48"/>
  <c r="O50" i="20"/>
  <c r="O50" i="22"/>
  <c r="K50" i="23"/>
  <c r="O50" i="19"/>
  <c r="L106" i="50"/>
  <c r="H52" i="50"/>
  <c r="V17" i="21"/>
  <c r="O17" i="20"/>
  <c r="O35" i="20"/>
  <c r="O17" i="22"/>
  <c r="K17" i="23"/>
  <c r="T17" i="71"/>
  <c r="N17" i="72"/>
  <c r="N35" i="72"/>
  <c r="O17" i="19"/>
  <c r="O35" i="19"/>
  <c r="I19" i="48"/>
  <c r="H72" i="48"/>
  <c r="I18" i="48"/>
  <c r="H71" i="48"/>
  <c r="I17" i="48"/>
  <c r="B9" i="27"/>
  <c r="I34" i="48"/>
  <c r="D59" i="48"/>
  <c r="I32" i="48"/>
  <c r="D57" i="48"/>
  <c r="I33" i="48"/>
  <c r="D58" i="48"/>
  <c r="I31" i="48"/>
  <c r="D56" i="48"/>
  <c r="S21" i="59"/>
  <c r="T21" i="59"/>
  <c r="P21" i="59"/>
  <c r="Q21" i="59"/>
  <c r="O41" i="20"/>
  <c r="O41" i="22"/>
  <c r="K41" i="23"/>
  <c r="O41" i="19"/>
  <c r="D48" i="53"/>
  <c r="C35" i="72"/>
  <c r="M106" i="50"/>
  <c r="I43" i="50"/>
  <c r="C115" i="50"/>
  <c r="C134" i="50"/>
  <c r="I22" i="48"/>
  <c r="H75" i="48"/>
  <c r="AG6" i="57"/>
  <c r="S19" i="59"/>
  <c r="T19" i="59"/>
  <c r="P19" i="59"/>
  <c r="Q19" i="59"/>
  <c r="G20" i="48"/>
  <c r="B45" i="48"/>
  <c r="G71" i="48"/>
  <c r="G80" i="48"/>
  <c r="G72" i="48"/>
  <c r="H23" i="48"/>
  <c r="C48" i="48"/>
  <c r="L83" i="3"/>
  <c r="H20" i="48"/>
  <c r="C45" i="48"/>
  <c r="I21" i="48"/>
  <c r="H74" i="48"/>
  <c r="H22" i="48"/>
  <c r="C47" i="48"/>
  <c r="V28" i="21"/>
  <c r="O28" i="20"/>
  <c r="O28" i="22"/>
  <c r="K28" i="23"/>
  <c r="T28" i="71"/>
  <c r="T35" i="71"/>
  <c r="N28" i="72"/>
  <c r="O28" i="19"/>
  <c r="H14" i="33"/>
  <c r="K14" i="33"/>
  <c r="B43" i="72"/>
  <c r="D58" i="23"/>
  <c r="D59" i="23"/>
  <c r="O52" i="20"/>
  <c r="O52" i="22"/>
  <c r="K52" i="23"/>
  <c r="O52" i="19"/>
  <c r="D47" i="53"/>
  <c r="W61" i="62"/>
  <c r="W62" i="62"/>
  <c r="I52" i="50"/>
  <c r="C124" i="50"/>
  <c r="C143" i="50"/>
  <c r="I23" i="48"/>
  <c r="H76" i="48"/>
  <c r="B36" i="27"/>
  <c r="B46" i="27"/>
  <c r="S26" i="59"/>
  <c r="T26" i="59"/>
  <c r="P26" i="59"/>
  <c r="Q26" i="59"/>
  <c r="O51" i="20"/>
  <c r="O51" i="22"/>
  <c r="K51" i="23"/>
  <c r="O51" i="19"/>
  <c r="G37" i="3"/>
  <c r="C38" i="54"/>
  <c r="L43" i="50"/>
  <c r="B38" i="54"/>
  <c r="K43" i="50"/>
  <c r="D38" i="54"/>
  <c r="K27" i="3"/>
  <c r="D43" i="53"/>
  <c r="D57" i="53"/>
  <c r="O55" i="20"/>
  <c r="O55" i="22"/>
  <c r="K55" i="23"/>
  <c r="O55" i="19"/>
  <c r="O56" i="20"/>
  <c r="O56" i="22"/>
  <c r="K56" i="23"/>
  <c r="O56" i="19"/>
  <c r="I20" i="48"/>
  <c r="H73" i="48"/>
  <c r="L60" i="3"/>
  <c r="B7" i="27"/>
  <c r="K60" i="3"/>
  <c r="B6" i="27"/>
  <c r="K32" i="3"/>
  <c r="K33" i="3"/>
  <c r="K20" i="3"/>
  <c r="K21" i="3"/>
  <c r="K35" i="3"/>
  <c r="K36" i="3"/>
  <c r="K28" i="3"/>
  <c r="K22" i="3"/>
  <c r="K30" i="3"/>
  <c r="K23" i="3"/>
  <c r="K24" i="3"/>
  <c r="K34" i="3"/>
  <c r="K26" i="3"/>
  <c r="X2" i="21"/>
  <c r="T2" i="20"/>
  <c r="B4" i="33"/>
  <c r="B6" i="33"/>
  <c r="T1" i="19"/>
  <c r="B4" i="34"/>
  <c r="B6" i="34"/>
  <c r="O57" i="20"/>
  <c r="O57" i="22"/>
  <c r="K57" i="23"/>
  <c r="O57" i="19"/>
  <c r="G21" i="48"/>
  <c r="B46" i="48"/>
  <c r="G15" i="54"/>
  <c r="G39" i="54"/>
  <c r="D14" i="54"/>
  <c r="B14" i="54"/>
  <c r="C14" i="54"/>
  <c r="G52" i="50"/>
  <c r="N35" i="21"/>
  <c r="N59" i="21"/>
  <c r="O54" i="20"/>
  <c r="O54" i="22"/>
  <c r="K54" i="23"/>
  <c r="O54" i="19"/>
  <c r="O43" i="20"/>
  <c r="O43" i="22"/>
  <c r="K43" i="23"/>
  <c r="O43" i="19"/>
  <c r="I27" i="48"/>
  <c r="H80" i="48"/>
  <c r="G24" i="48"/>
  <c r="B49" i="48"/>
  <c r="H30" i="48"/>
  <c r="C55" i="48"/>
  <c r="B35" i="72"/>
  <c r="S27" i="59"/>
  <c r="T27" i="59"/>
  <c r="P27" i="59"/>
  <c r="Q27" i="59"/>
  <c r="O53" i="20"/>
  <c r="O53" i="22"/>
  <c r="K53" i="23"/>
  <c r="O53" i="19"/>
  <c r="O7" i="20"/>
  <c r="O7" i="22"/>
  <c r="R7" i="19"/>
  <c r="H24" i="48"/>
  <c r="C49" i="48"/>
  <c r="Q35" i="72"/>
  <c r="Q59" i="72"/>
  <c r="G76" i="48"/>
  <c r="D49" i="48"/>
  <c r="G77" i="48"/>
  <c r="G81" i="48"/>
  <c r="G75" i="48"/>
  <c r="I30" i="48"/>
  <c r="D55" i="48"/>
  <c r="S20" i="59"/>
  <c r="T20" i="59"/>
  <c r="P20" i="59"/>
  <c r="Q20" i="59"/>
  <c r="O46" i="20"/>
  <c r="O46" i="22"/>
  <c r="K46" i="23"/>
  <c r="O46" i="19"/>
  <c r="S25" i="59"/>
  <c r="T25" i="59"/>
  <c r="P25" i="59"/>
  <c r="Q25" i="59"/>
  <c r="S24" i="59"/>
  <c r="T24" i="59"/>
  <c r="P24" i="59"/>
  <c r="Q24" i="59"/>
  <c r="I28" i="48"/>
  <c r="H81" i="48"/>
  <c r="G25" i="48"/>
  <c r="B50" i="48"/>
  <c r="K42" i="50"/>
  <c r="C12" i="33"/>
  <c r="BA54" i="47"/>
  <c r="D51" i="53"/>
  <c r="B56" i="53"/>
  <c r="B47" i="53"/>
  <c r="B44" i="53"/>
  <c r="B57" i="53"/>
  <c r="B48" i="53"/>
  <c r="G43" i="50"/>
  <c r="H50" i="50"/>
  <c r="D48" i="48"/>
  <c r="D47" i="48"/>
  <c r="D43" i="48"/>
  <c r="B12" i="33"/>
  <c r="E12" i="33"/>
  <c r="T59" i="71"/>
  <c r="N59" i="72"/>
  <c r="B12" i="23"/>
  <c r="R12" i="22"/>
  <c r="B59" i="22"/>
  <c r="C25" i="27"/>
  <c r="C29" i="27"/>
  <c r="C26" i="27"/>
  <c r="C30" i="27"/>
  <c r="C34" i="27"/>
  <c r="C27" i="27"/>
  <c r="C31" i="27"/>
  <c r="C28" i="27"/>
  <c r="C32" i="27"/>
  <c r="C35" i="27"/>
  <c r="L14" i="33"/>
  <c r="K37" i="3"/>
  <c r="D52" i="48"/>
  <c r="O58" i="19"/>
  <c r="O59" i="19"/>
  <c r="G82" i="48"/>
  <c r="D12" i="33"/>
  <c r="Q17" i="59"/>
  <c r="K35" i="23"/>
  <c r="R7" i="20"/>
  <c r="D39" i="54"/>
  <c r="B39" i="54"/>
  <c r="C39" i="54"/>
  <c r="L44" i="50"/>
  <c r="U27" i="59"/>
  <c r="G16" i="54"/>
  <c r="G40" i="54"/>
  <c r="B15" i="54"/>
  <c r="K20" i="50"/>
  <c r="C15" i="54"/>
  <c r="D15" i="54"/>
  <c r="C8" i="20"/>
  <c r="E8" i="20"/>
  <c r="U26" i="59"/>
  <c r="H70" i="48"/>
  <c r="H82" i="48"/>
  <c r="I35" i="48"/>
  <c r="S18" i="59"/>
  <c r="T18" i="59"/>
  <c r="P18" i="59"/>
  <c r="Q18" i="59"/>
  <c r="T4" i="53"/>
  <c r="D46" i="48"/>
  <c r="D42" i="48"/>
  <c r="T17" i="59"/>
  <c r="D60" i="53"/>
  <c r="L24" i="33"/>
  <c r="L13" i="33"/>
  <c r="L17" i="33"/>
  <c r="U25" i="59"/>
  <c r="D53" i="48"/>
  <c r="K7" i="23"/>
  <c r="R7" i="22"/>
  <c r="H46" i="21"/>
  <c r="G48" i="21"/>
  <c r="J52" i="21"/>
  <c r="G47" i="21"/>
  <c r="G50" i="21"/>
  <c r="J53" i="21"/>
  <c r="K19" i="50"/>
  <c r="C5" i="67"/>
  <c r="C5" i="36"/>
  <c r="T2" i="22"/>
  <c r="C33" i="27"/>
  <c r="D44" i="48"/>
  <c r="U19" i="59"/>
  <c r="H43" i="50"/>
  <c r="K39" i="23"/>
  <c r="O58" i="22"/>
  <c r="U23" i="59"/>
  <c r="K9" i="53"/>
  <c r="C53" i="53"/>
  <c r="C59" i="53"/>
  <c r="C50" i="53"/>
  <c r="C58" i="53"/>
  <c r="C49" i="53"/>
  <c r="C55" i="53"/>
  <c r="C46" i="53"/>
  <c r="C45" i="53"/>
  <c r="C42" i="53"/>
  <c r="C52" i="53"/>
  <c r="C51" i="53"/>
  <c r="C57" i="53"/>
  <c r="C48" i="53"/>
  <c r="C56" i="53"/>
  <c r="C47" i="53"/>
  <c r="C44" i="53"/>
  <c r="B42" i="53"/>
  <c r="B59" i="53"/>
  <c r="B46" i="53"/>
  <c r="B53" i="53"/>
  <c r="B50" i="53"/>
  <c r="B51" i="53"/>
  <c r="B58" i="53"/>
  <c r="B45" i="53"/>
  <c r="B55" i="53"/>
  <c r="B49" i="53"/>
  <c r="D45" i="48"/>
  <c r="U22" i="59"/>
  <c r="V35" i="21"/>
  <c r="B52" i="53"/>
  <c r="U24" i="59"/>
  <c r="U20" i="59"/>
  <c r="B47" i="27"/>
  <c r="C46" i="27"/>
  <c r="H14" i="36"/>
  <c r="B58" i="72"/>
  <c r="S29" i="59"/>
  <c r="T29" i="59"/>
  <c r="P29" i="59"/>
  <c r="Q29" i="59"/>
  <c r="B10" i="27"/>
  <c r="I59" i="50"/>
  <c r="I55" i="50"/>
  <c r="I58" i="50"/>
  <c r="I57" i="50"/>
  <c r="I56" i="50"/>
  <c r="I53" i="50"/>
  <c r="C125" i="50"/>
  <c r="C144" i="50"/>
  <c r="I42" i="50"/>
  <c r="I44" i="50"/>
  <c r="C116" i="50"/>
  <c r="C135" i="50"/>
  <c r="I51" i="50"/>
  <c r="C123" i="50"/>
  <c r="C142" i="50"/>
  <c r="I45" i="50"/>
  <c r="C117" i="50"/>
  <c r="C136" i="50"/>
  <c r="I49" i="50"/>
  <c r="C121" i="50"/>
  <c r="C140" i="50"/>
  <c r="I46" i="50"/>
  <c r="C118" i="50"/>
  <c r="I48" i="50"/>
  <c r="C120" i="50"/>
  <c r="C139" i="50"/>
  <c r="I47" i="50"/>
  <c r="C119" i="50"/>
  <c r="C138" i="50"/>
  <c r="F12" i="33"/>
  <c r="U21" i="59"/>
  <c r="H45" i="50"/>
  <c r="H53" i="50"/>
  <c r="H58" i="50"/>
  <c r="H44" i="50"/>
  <c r="H57" i="50"/>
  <c r="H51" i="50"/>
  <c r="H56" i="50"/>
  <c r="H59" i="50"/>
  <c r="H42" i="50"/>
  <c r="H55" i="50"/>
  <c r="H48" i="50"/>
  <c r="H47" i="50"/>
  <c r="H46" i="50"/>
  <c r="H49" i="50"/>
  <c r="I50" i="50"/>
  <c r="C122" i="50"/>
  <c r="H35" i="48"/>
  <c r="C42" i="48"/>
  <c r="O58" i="20"/>
  <c r="O59" i="20"/>
  <c r="G35" i="48"/>
  <c r="B42" i="48"/>
  <c r="O35" i="22"/>
  <c r="G51" i="50"/>
  <c r="G45" i="50"/>
  <c r="G44" i="50"/>
  <c r="G53" i="50"/>
  <c r="G42" i="50"/>
  <c r="G59" i="50"/>
  <c r="G57" i="50"/>
  <c r="G55" i="50"/>
  <c r="G56" i="50"/>
  <c r="G58" i="50"/>
  <c r="G48" i="50"/>
  <c r="G49" i="50"/>
  <c r="G46" i="50"/>
  <c r="G47" i="50"/>
  <c r="B12" i="27"/>
  <c r="C11" i="27"/>
  <c r="S36" i="59"/>
  <c r="O59" i="22"/>
  <c r="B12" i="72"/>
  <c r="X12" i="72"/>
  <c r="Q12" i="23"/>
  <c r="B59" i="23"/>
  <c r="B60" i="48"/>
  <c r="C36" i="27"/>
  <c r="U29" i="59"/>
  <c r="B60" i="53"/>
  <c r="L4" i="53"/>
  <c r="L6" i="53"/>
  <c r="L7" i="53"/>
  <c r="L8" i="53"/>
  <c r="V53" i="21"/>
  <c r="J53" i="71"/>
  <c r="V48" i="21"/>
  <c r="G48" i="71"/>
  <c r="D60" i="48"/>
  <c r="K44" i="50"/>
  <c r="C8" i="27"/>
  <c r="P36" i="59"/>
  <c r="C60" i="53"/>
  <c r="C60" i="48"/>
  <c r="L5" i="53"/>
  <c r="K58" i="23"/>
  <c r="H12" i="33"/>
  <c r="V2" i="23"/>
  <c r="W1" i="71"/>
  <c r="G50" i="71"/>
  <c r="V50" i="21"/>
  <c r="V46" i="21"/>
  <c r="H46" i="71"/>
  <c r="H58" i="21"/>
  <c r="H59" i="21"/>
  <c r="J12" i="33"/>
  <c r="K59" i="23"/>
  <c r="C8" i="22"/>
  <c r="R8" i="20"/>
  <c r="C59" i="20"/>
  <c r="C40" i="54"/>
  <c r="L45" i="50"/>
  <c r="B40" i="54"/>
  <c r="K45" i="50"/>
  <c r="D40" i="54"/>
  <c r="V52" i="21"/>
  <c r="J52" i="71"/>
  <c r="J58" i="21"/>
  <c r="J59" i="21"/>
  <c r="E8" i="22"/>
  <c r="B17" i="34"/>
  <c r="E59" i="20"/>
  <c r="Q36" i="59"/>
  <c r="C45" i="27"/>
  <c r="H13" i="36"/>
  <c r="C43" i="27"/>
  <c r="C44" i="27"/>
  <c r="H12" i="36"/>
  <c r="G60" i="50"/>
  <c r="H60" i="50"/>
  <c r="C114" i="50"/>
  <c r="I60" i="50"/>
  <c r="G47" i="71"/>
  <c r="V47" i="21"/>
  <c r="G58" i="21"/>
  <c r="G59" i="21"/>
  <c r="U17" i="59"/>
  <c r="T36" i="59"/>
  <c r="U18" i="59"/>
  <c r="G41" i="54"/>
  <c r="G17" i="54"/>
  <c r="C16" i="54"/>
  <c r="B16" i="54"/>
  <c r="K21" i="50"/>
  <c r="D16" i="54"/>
  <c r="C9" i="27"/>
  <c r="C10" i="27"/>
  <c r="C14" i="27"/>
  <c r="C7" i="27"/>
  <c r="C6" i="27"/>
  <c r="C15" i="27"/>
  <c r="C16" i="27"/>
  <c r="U36" i="59"/>
  <c r="C13" i="24"/>
  <c r="G11" i="33"/>
  <c r="G32" i="33"/>
  <c r="AG12" i="57"/>
  <c r="H11" i="36"/>
  <c r="C47" i="27"/>
  <c r="J52" i="20"/>
  <c r="J52" i="19"/>
  <c r="J58" i="71"/>
  <c r="J59" i="71"/>
  <c r="J53" i="20"/>
  <c r="J53" i="19"/>
  <c r="B20" i="34"/>
  <c r="G19" i="54"/>
  <c r="G42" i="54"/>
  <c r="C17" i="54"/>
  <c r="B17" i="54"/>
  <c r="K22" i="50"/>
  <c r="D17" i="54"/>
  <c r="E8" i="23"/>
  <c r="E59" i="22"/>
  <c r="C8" i="23"/>
  <c r="C59" i="22"/>
  <c r="H46" i="20"/>
  <c r="H46" i="19"/>
  <c r="H58" i="71"/>
  <c r="H59" i="71"/>
  <c r="G50" i="20"/>
  <c r="G50" i="19"/>
  <c r="K12" i="33"/>
  <c r="L12" i="33"/>
  <c r="G48" i="20"/>
  <c r="G48" i="19"/>
  <c r="L9" i="53"/>
  <c r="G47" i="20"/>
  <c r="G58" i="71"/>
  <c r="G59" i="71"/>
  <c r="G47" i="19"/>
  <c r="C126" i="50"/>
  <c r="C133" i="50"/>
  <c r="B41" i="54"/>
  <c r="K46" i="50"/>
  <c r="C41" i="54"/>
  <c r="L46" i="50"/>
  <c r="D41" i="54"/>
  <c r="V60" i="21"/>
  <c r="V58" i="21"/>
  <c r="V59" i="21"/>
  <c r="C12" i="27"/>
  <c r="H58" i="20"/>
  <c r="H59" i="20"/>
  <c r="G58" i="19"/>
  <c r="G59" i="19"/>
  <c r="E59" i="23"/>
  <c r="C8" i="72"/>
  <c r="C59" i="72"/>
  <c r="J16" i="33"/>
  <c r="K16" i="33"/>
  <c r="L16" i="33"/>
  <c r="D42" i="54"/>
  <c r="B42" i="54"/>
  <c r="K47" i="50"/>
  <c r="C42" i="54"/>
  <c r="L47" i="50"/>
  <c r="J58" i="19"/>
  <c r="J59" i="19"/>
  <c r="B9" i="34"/>
  <c r="X3" i="21"/>
  <c r="C7" i="46"/>
  <c r="G20" i="54"/>
  <c r="G44" i="54"/>
  <c r="D19" i="54"/>
  <c r="B19" i="54"/>
  <c r="C19" i="54"/>
  <c r="J58" i="20"/>
  <c r="J59" i="20"/>
  <c r="G58" i="20"/>
  <c r="G59" i="20"/>
  <c r="H58" i="19"/>
  <c r="H59" i="19"/>
  <c r="B8" i="72"/>
  <c r="J15" i="33"/>
  <c r="C9" i="46"/>
  <c r="C18" i="46"/>
  <c r="G21" i="54"/>
  <c r="G45" i="54"/>
  <c r="B20" i="54"/>
  <c r="K25" i="50"/>
  <c r="C20" i="54"/>
  <c r="D20" i="54"/>
  <c r="K24" i="50"/>
  <c r="C44" i="54"/>
  <c r="L49" i="50"/>
  <c r="B44" i="54"/>
  <c r="D44" i="54"/>
  <c r="B16" i="34"/>
  <c r="B22" i="34"/>
  <c r="B26" i="34" s="1"/>
  <c r="C10" i="57" s="1"/>
  <c r="W2" i="20"/>
  <c r="W3" i="20"/>
  <c r="H23" i="46"/>
  <c r="H24" i="46"/>
  <c r="X1" i="19"/>
  <c r="X2" i="19"/>
  <c r="B45" i="54"/>
  <c r="K50" i="50"/>
  <c r="C45" i="54"/>
  <c r="L50" i="50"/>
  <c r="D45" i="54"/>
  <c r="K49" i="50"/>
  <c r="C12" i="46"/>
  <c r="B11" i="34"/>
  <c r="G46" i="54"/>
  <c r="G22" i="54"/>
  <c r="C21" i="54"/>
  <c r="B21" i="54"/>
  <c r="K26" i="50"/>
  <c r="D21" i="54"/>
  <c r="B23" i="34"/>
  <c r="C46" i="54"/>
  <c r="L51" i="50"/>
  <c r="B46" i="54"/>
  <c r="K51" i="50"/>
  <c r="D46" i="54"/>
  <c r="G23" i="54"/>
  <c r="G47" i="54"/>
  <c r="D22" i="54"/>
  <c r="C22" i="54"/>
  <c r="B22" i="54"/>
  <c r="K27" i="50"/>
  <c r="B14" i="34"/>
  <c r="B25" i="34"/>
  <c r="E1" i="36"/>
  <c r="C20" i="46"/>
  <c r="C47" i="54"/>
  <c r="L52" i="50"/>
  <c r="D47" i="54"/>
  <c r="B47" i="54"/>
  <c r="K52" i="50"/>
  <c r="D32" i="36"/>
  <c r="D20" i="36"/>
  <c r="D24" i="36"/>
  <c r="D33" i="36"/>
  <c r="D26" i="36"/>
  <c r="D23" i="36"/>
  <c r="D27" i="36"/>
  <c r="D25" i="36"/>
  <c r="D39" i="36"/>
  <c r="C9" i="56"/>
  <c r="D31" i="36"/>
  <c r="G48" i="54"/>
  <c r="D23" i="54"/>
  <c r="B23" i="54"/>
  <c r="C23" i="54"/>
  <c r="D30" i="54"/>
  <c r="D9" i="48"/>
  <c r="B59" i="27"/>
  <c r="C48" i="54"/>
  <c r="L53" i="50"/>
  <c r="B48" i="54"/>
  <c r="D48" i="54"/>
  <c r="C5" i="49"/>
  <c r="B58" i="27"/>
  <c r="D11" i="3"/>
  <c r="D42" i="36"/>
  <c r="E2" i="36"/>
  <c r="F1" i="36"/>
  <c r="B57" i="27"/>
  <c r="B55" i="27"/>
  <c r="B56" i="27"/>
  <c r="B3" i="47"/>
  <c r="B63" i="27"/>
  <c r="B20" i="56"/>
  <c r="B24" i="56"/>
  <c r="B28" i="56"/>
  <c r="B33" i="56"/>
  <c r="C32" i="56"/>
  <c r="B17" i="56"/>
  <c r="C24" i="56"/>
  <c r="C33" i="56"/>
  <c r="C20" i="56"/>
  <c r="C28" i="56"/>
  <c r="C21" i="56"/>
  <c r="C30" i="56"/>
  <c r="C18" i="56"/>
  <c r="C22" i="56"/>
  <c r="C31" i="56"/>
  <c r="C26" i="56"/>
  <c r="C17" i="56"/>
  <c r="C25" i="56"/>
  <c r="C34" i="56"/>
  <c r="D17" i="56"/>
  <c r="D25" i="56"/>
  <c r="D18" i="56"/>
  <c r="U19" i="56"/>
  <c r="D24" i="56"/>
  <c r="U25" i="56"/>
  <c r="D26" i="56"/>
  <c r="U27" i="56"/>
  <c r="D30" i="56"/>
  <c r="U31" i="56"/>
  <c r="D28" i="56"/>
  <c r="U29" i="56"/>
  <c r="D27" i="56"/>
  <c r="U28" i="56"/>
  <c r="D20" i="56"/>
  <c r="U21" i="56"/>
  <c r="D23" i="56"/>
  <c r="D21" i="56"/>
  <c r="D32" i="56"/>
  <c r="D34" i="56"/>
  <c r="U35" i="56"/>
  <c r="D31" i="56"/>
  <c r="U32" i="56"/>
  <c r="D19" i="56"/>
  <c r="U20" i="56"/>
  <c r="D22" i="56"/>
  <c r="U23" i="56"/>
  <c r="B21" i="56"/>
  <c r="C27" i="56"/>
  <c r="B22" i="56"/>
  <c r="B19" i="56"/>
  <c r="C23" i="56"/>
  <c r="B18" i="56"/>
  <c r="B23" i="56"/>
  <c r="B32" i="56"/>
  <c r="B31" i="56"/>
  <c r="B27" i="56"/>
  <c r="B26" i="56"/>
  <c r="B25" i="56"/>
  <c r="D33" i="56"/>
  <c r="U34" i="56"/>
  <c r="B30" i="56"/>
  <c r="C19" i="56"/>
  <c r="B34" i="56"/>
  <c r="C9" i="50"/>
  <c r="B60" i="27"/>
  <c r="K28" i="50"/>
  <c r="B30" i="54"/>
  <c r="D9" i="53"/>
  <c r="B65" i="27"/>
  <c r="B64" i="27"/>
  <c r="D52" i="47"/>
  <c r="C47" i="47"/>
  <c r="B45" i="47"/>
  <c r="D36" i="47"/>
  <c r="E37" i="55"/>
  <c r="B52" i="47"/>
  <c r="D45" i="47"/>
  <c r="C38" i="47"/>
  <c r="B36" i="47"/>
  <c r="D47" i="47"/>
  <c r="C45" i="47"/>
  <c r="B38" i="47"/>
  <c r="C52" i="47"/>
  <c r="B47" i="47"/>
  <c r="D38" i="47"/>
  <c r="C36" i="47"/>
  <c r="B41" i="47"/>
  <c r="C46" i="47"/>
  <c r="C48" i="47"/>
  <c r="B15" i="47"/>
  <c r="C37" i="47"/>
  <c r="C12" i="47"/>
  <c r="B50" i="47"/>
  <c r="C27" i="47"/>
  <c r="C13" i="47"/>
  <c r="C49" i="47"/>
  <c r="C40" i="47"/>
  <c r="C17" i="47"/>
  <c r="C44" i="47"/>
  <c r="B19" i="47"/>
  <c r="C22" i="47"/>
  <c r="B48" i="47"/>
  <c r="C42" i="47"/>
  <c r="C15" i="47"/>
  <c r="C19" i="47"/>
  <c r="C39" i="47"/>
  <c r="B44" i="47"/>
  <c r="B35" i="47"/>
  <c r="B17" i="47"/>
  <c r="B39" i="47"/>
  <c r="B13" i="47"/>
  <c r="B49" i="47"/>
  <c r="B20" i="47"/>
  <c r="B29" i="47"/>
  <c r="C41" i="47"/>
  <c r="C20" i="47"/>
  <c r="B14" i="47"/>
  <c r="C29" i="47"/>
  <c r="B22" i="47"/>
  <c r="C16" i="47"/>
  <c r="B51" i="47"/>
  <c r="C18" i="47"/>
  <c r="B40" i="47"/>
  <c r="B18" i="47"/>
  <c r="B37" i="47"/>
  <c r="B46" i="47"/>
  <c r="B16" i="47"/>
  <c r="B12" i="47"/>
  <c r="B43" i="47"/>
  <c r="B27" i="47"/>
  <c r="B21" i="47"/>
  <c r="B42" i="47"/>
  <c r="D48" i="47"/>
  <c r="D27" i="47"/>
  <c r="D44" i="47"/>
  <c r="E45" i="55"/>
  <c r="C21" i="47"/>
  <c r="C35" i="47"/>
  <c r="C50" i="47"/>
  <c r="D51" i="47"/>
  <c r="E52" i="55"/>
  <c r="D49" i="47"/>
  <c r="D12" i="47"/>
  <c r="D42" i="47"/>
  <c r="E43" i="55"/>
  <c r="C14" i="47"/>
  <c r="D16" i="47"/>
  <c r="D22" i="47"/>
  <c r="D40" i="47"/>
  <c r="E41" i="55"/>
  <c r="O45" i="71"/>
  <c r="J45" i="72"/>
  <c r="D14" i="47"/>
  <c r="D20" i="47"/>
  <c r="D21" i="47"/>
  <c r="D29" i="47"/>
  <c r="D37" i="47"/>
  <c r="E38" i="55"/>
  <c r="D17" i="47"/>
  <c r="D35" i="47"/>
  <c r="D19" i="47"/>
  <c r="D18" i="47"/>
  <c r="D50" i="47"/>
  <c r="D41" i="47"/>
  <c r="D39" i="47"/>
  <c r="D46" i="47"/>
  <c r="E47" i="55"/>
  <c r="D13" i="47"/>
  <c r="D15" i="47"/>
  <c r="D43" i="47"/>
  <c r="E44" i="55"/>
  <c r="C51" i="47"/>
  <c r="C43" i="47"/>
  <c r="C28" i="3"/>
  <c r="C34" i="3"/>
  <c r="C20" i="3"/>
  <c r="C26" i="3"/>
  <c r="B26" i="3"/>
  <c r="C33" i="3"/>
  <c r="C23" i="3"/>
  <c r="C19" i="3"/>
  <c r="B23" i="3"/>
  <c r="C32" i="3"/>
  <c r="C25" i="3"/>
  <c r="C30" i="3"/>
  <c r="C27" i="3"/>
  <c r="C22" i="3"/>
  <c r="B27" i="3"/>
  <c r="C36" i="3"/>
  <c r="B22" i="3"/>
  <c r="C24" i="3"/>
  <c r="C21" i="3"/>
  <c r="C35" i="3"/>
  <c r="C29" i="3"/>
  <c r="B34" i="3"/>
  <c r="B20" i="3"/>
  <c r="B29" i="3"/>
  <c r="D29" i="3"/>
  <c r="B28" i="3"/>
  <c r="B35" i="3"/>
  <c r="B32" i="3"/>
  <c r="B24" i="3"/>
  <c r="D19" i="3"/>
  <c r="B33" i="3"/>
  <c r="B21" i="3"/>
  <c r="B36" i="3"/>
  <c r="B25" i="3"/>
  <c r="B19" i="3"/>
  <c r="B30" i="3"/>
  <c r="D34" i="3"/>
  <c r="D24" i="3"/>
  <c r="D27" i="3"/>
  <c r="D22" i="3"/>
  <c r="D33" i="3"/>
  <c r="D32" i="3"/>
  <c r="D36" i="3"/>
  <c r="D21" i="3"/>
  <c r="D28" i="3"/>
  <c r="D26" i="3"/>
  <c r="D20" i="3"/>
  <c r="D23" i="3"/>
  <c r="D30" i="3"/>
  <c r="D25" i="3"/>
  <c r="D35" i="3"/>
  <c r="D20" i="53"/>
  <c r="D19" i="53"/>
  <c r="B23" i="53"/>
  <c r="B22" i="53"/>
  <c r="D23" i="53"/>
  <c r="D34" i="53"/>
  <c r="P30" i="55"/>
  <c r="F28" i="55"/>
  <c r="P31" i="71"/>
  <c r="D32" i="53"/>
  <c r="P28" i="55"/>
  <c r="F25" i="55"/>
  <c r="P28" i="71"/>
  <c r="K28" i="72"/>
  <c r="C18" i="53"/>
  <c r="D24" i="53"/>
  <c r="D31" i="53"/>
  <c r="P27" i="55"/>
  <c r="D22" i="53"/>
  <c r="D21" i="53"/>
  <c r="D26" i="53"/>
  <c r="D18" i="53"/>
  <c r="B18" i="53"/>
  <c r="D30" i="53"/>
  <c r="P26" i="55"/>
  <c r="B32" i="53"/>
  <c r="D33" i="53"/>
  <c r="P29" i="55"/>
  <c r="D27" i="53"/>
  <c r="D17" i="53"/>
  <c r="D28" i="53"/>
  <c r="B19" i="53"/>
  <c r="D25" i="53"/>
  <c r="B31" i="53"/>
  <c r="C28" i="53"/>
  <c r="C32" i="53"/>
  <c r="C27" i="53"/>
  <c r="B25" i="53"/>
  <c r="C26" i="53"/>
  <c r="C21" i="53"/>
  <c r="C31" i="53"/>
  <c r="C17" i="53"/>
  <c r="B26" i="53"/>
  <c r="B34" i="53"/>
  <c r="B30" i="53"/>
  <c r="C20" i="53"/>
  <c r="C24" i="53"/>
  <c r="B33" i="53"/>
  <c r="C30" i="53"/>
  <c r="C23" i="53"/>
  <c r="B28" i="53"/>
  <c r="B27" i="53"/>
  <c r="B24" i="53"/>
  <c r="B17" i="53"/>
  <c r="C34" i="53"/>
  <c r="B20" i="53"/>
  <c r="C33" i="53"/>
  <c r="C19" i="53"/>
  <c r="B21" i="53"/>
  <c r="C25" i="53"/>
  <c r="C22" i="53"/>
  <c r="M6" i="53"/>
  <c r="N6" i="53"/>
  <c r="M7" i="53"/>
  <c r="N7" i="53"/>
  <c r="M4" i="53"/>
  <c r="M8" i="53"/>
  <c r="N8" i="53"/>
  <c r="M5" i="53"/>
  <c r="N5" i="53"/>
  <c r="C35" i="56"/>
  <c r="U18" i="56"/>
  <c r="D35" i="56"/>
  <c r="C15" i="49"/>
  <c r="C19" i="49"/>
  <c r="C23" i="49"/>
  <c r="C28" i="49"/>
  <c r="B13" i="49"/>
  <c r="B17" i="49"/>
  <c r="B21" i="49"/>
  <c r="B26" i="49"/>
  <c r="C25" i="49"/>
  <c r="C21" i="49"/>
  <c r="B23" i="49"/>
  <c r="C29" i="49"/>
  <c r="B27" i="49"/>
  <c r="C13" i="49"/>
  <c r="C26" i="49"/>
  <c r="B19" i="49"/>
  <c r="B28" i="49"/>
  <c r="C17" i="49"/>
  <c r="B15" i="49"/>
  <c r="B16" i="49"/>
  <c r="B12" i="49"/>
  <c r="C14" i="49"/>
  <c r="B20" i="49"/>
  <c r="B29" i="49"/>
  <c r="C18" i="49"/>
  <c r="B25" i="49"/>
  <c r="C22" i="49"/>
  <c r="C12" i="49"/>
  <c r="C20" i="49"/>
  <c r="B14" i="49"/>
  <c r="C16" i="49"/>
  <c r="B18" i="49"/>
  <c r="C27" i="49"/>
  <c r="B22" i="49"/>
  <c r="D22" i="49"/>
  <c r="D21" i="49"/>
  <c r="D29" i="49"/>
  <c r="D27" i="49"/>
  <c r="D14" i="49"/>
  <c r="D26" i="49"/>
  <c r="D17" i="49"/>
  <c r="D23" i="49"/>
  <c r="D19" i="49"/>
  <c r="D16" i="49"/>
  <c r="D25" i="49"/>
  <c r="D28" i="49"/>
  <c r="D12" i="49"/>
  <c r="D18" i="49"/>
  <c r="D20" i="49"/>
  <c r="D13" i="49"/>
  <c r="D15" i="49"/>
  <c r="B35" i="56"/>
  <c r="K53" i="50"/>
  <c r="K60" i="50"/>
  <c r="B55" i="54"/>
  <c r="B66" i="27"/>
  <c r="L60" i="50"/>
  <c r="M35" i="50"/>
  <c r="D31" i="50"/>
  <c r="Q27" i="55"/>
  <c r="D32" i="50"/>
  <c r="Q28" i="55"/>
  <c r="G25" i="55"/>
  <c r="Q28" i="71"/>
  <c r="L28" i="72"/>
  <c r="D30" i="50"/>
  <c r="Q26" i="55"/>
  <c r="D33" i="50"/>
  <c r="Q29" i="55"/>
  <c r="D34" i="50"/>
  <c r="Q30" i="55"/>
  <c r="G28" i="55"/>
  <c r="Q31" i="71"/>
  <c r="L31" i="72"/>
  <c r="K35" i="50"/>
  <c r="E36" i="55"/>
  <c r="E40" i="55"/>
  <c r="D24" i="47"/>
  <c r="E25" i="55"/>
  <c r="O28" i="71"/>
  <c r="J28" i="72"/>
  <c r="D25" i="47"/>
  <c r="E26" i="55"/>
  <c r="E28" i="55"/>
  <c r="O31" i="71"/>
  <c r="D30" i="47"/>
  <c r="E31" i="55"/>
  <c r="E46" i="55"/>
  <c r="E49" i="55"/>
  <c r="E39" i="55"/>
  <c r="E48" i="55"/>
  <c r="D26" i="47"/>
  <c r="E27" i="55"/>
  <c r="E42" i="55"/>
  <c r="E51" i="55"/>
  <c r="E53" i="55"/>
  <c r="D23" i="47"/>
  <c r="E24" i="55"/>
  <c r="D28" i="47"/>
  <c r="E29" i="55"/>
  <c r="O32" i="71"/>
  <c r="J32" i="72"/>
  <c r="E50" i="55"/>
  <c r="C23" i="47"/>
  <c r="B25" i="47"/>
  <c r="C24" i="47"/>
  <c r="C28" i="47"/>
  <c r="B26" i="47"/>
  <c r="B30" i="47"/>
  <c r="C25" i="47"/>
  <c r="B23" i="47"/>
  <c r="C26" i="47"/>
  <c r="B24" i="47"/>
  <c r="C30" i="47"/>
  <c r="B28" i="47"/>
  <c r="M60" i="50"/>
  <c r="D55" i="54"/>
  <c r="C29" i="48"/>
  <c r="B22" i="48"/>
  <c r="C21" i="48"/>
  <c r="B28" i="48"/>
  <c r="C27" i="48"/>
  <c r="C25" i="48"/>
  <c r="B26" i="48"/>
  <c r="C28" i="48"/>
  <c r="C26" i="48"/>
  <c r="B30" i="48"/>
  <c r="D30" i="48"/>
  <c r="M26" i="55"/>
  <c r="C24" i="48"/>
  <c r="D34" i="48"/>
  <c r="M30" i="55"/>
  <c r="C28" i="55"/>
  <c r="M31" i="71"/>
  <c r="H31" i="72"/>
  <c r="B23" i="48"/>
  <c r="B18" i="48"/>
  <c r="D23" i="48"/>
  <c r="M19" i="55"/>
  <c r="C29" i="55"/>
  <c r="M32" i="71"/>
  <c r="H32" i="72"/>
  <c r="B24" i="48"/>
  <c r="C19" i="48"/>
  <c r="B33" i="48"/>
  <c r="D26" i="48"/>
  <c r="B32" i="48"/>
  <c r="C32" i="48"/>
  <c r="C33" i="48"/>
  <c r="D32" i="48"/>
  <c r="C34" i="48"/>
  <c r="B19" i="48"/>
  <c r="B21" i="48"/>
  <c r="C22" i="48"/>
  <c r="D18" i="48"/>
  <c r="D31" i="48"/>
  <c r="M27" i="55"/>
  <c r="C31" i="48"/>
  <c r="B31" i="48"/>
  <c r="D33" i="48"/>
  <c r="M29" i="55"/>
  <c r="B20" i="48"/>
  <c r="B27" i="48"/>
  <c r="D24" i="48"/>
  <c r="C18" i="48"/>
  <c r="B25" i="48"/>
  <c r="C20" i="48"/>
  <c r="D25" i="48"/>
  <c r="M21" i="55"/>
  <c r="C23" i="55"/>
  <c r="M26" i="71"/>
  <c r="H26" i="72"/>
  <c r="C30" i="48"/>
  <c r="B34" i="48"/>
  <c r="D22" i="48"/>
  <c r="C23" i="48"/>
  <c r="D28" i="48"/>
  <c r="D20" i="48"/>
  <c r="B17" i="48"/>
  <c r="D21" i="48"/>
  <c r="M17" i="55"/>
  <c r="C21" i="55"/>
  <c r="M24" i="71"/>
  <c r="H24" i="72"/>
  <c r="C17" i="48"/>
  <c r="D17" i="48"/>
  <c r="D19" i="48"/>
  <c r="D27" i="48"/>
  <c r="F41" i="55"/>
  <c r="I28" i="50"/>
  <c r="D53" i="50"/>
  <c r="D28" i="50"/>
  <c r="G28" i="50"/>
  <c r="B53" i="50"/>
  <c r="B28" i="50"/>
  <c r="G41" i="55"/>
  <c r="G54" i="55"/>
  <c r="B54" i="47"/>
  <c r="O48" i="71"/>
  <c r="H44" i="55"/>
  <c r="E20" i="55"/>
  <c r="O23" i="71"/>
  <c r="J23" i="72"/>
  <c r="E16" i="55"/>
  <c r="O19" i="71"/>
  <c r="J19" i="72"/>
  <c r="O55" i="71"/>
  <c r="H51" i="55"/>
  <c r="O52" i="71"/>
  <c r="H48" i="55"/>
  <c r="O41" i="71"/>
  <c r="H37" i="55"/>
  <c r="O50" i="71"/>
  <c r="H46" i="55"/>
  <c r="O29" i="71"/>
  <c r="H26" i="55"/>
  <c r="E13" i="55"/>
  <c r="D54" i="47"/>
  <c r="C61" i="27"/>
  <c r="C62" i="27"/>
  <c r="C56" i="27"/>
  <c r="D30" i="49"/>
  <c r="C63" i="27"/>
  <c r="C72" i="27"/>
  <c r="H21" i="36"/>
  <c r="P24" i="55"/>
  <c r="F20" i="55"/>
  <c r="P23" i="71"/>
  <c r="K23" i="72"/>
  <c r="AE53" i="53"/>
  <c r="AD53" i="53"/>
  <c r="AF53" i="53"/>
  <c r="P22" i="55"/>
  <c r="F15" i="55"/>
  <c r="P18" i="71"/>
  <c r="K18" i="72"/>
  <c r="AE51" i="53"/>
  <c r="AF51" i="53"/>
  <c r="AD51" i="53"/>
  <c r="P20" i="55"/>
  <c r="F19" i="55"/>
  <c r="P22" i="71"/>
  <c r="K22" i="72"/>
  <c r="AE49" i="53"/>
  <c r="AD49" i="53"/>
  <c r="AF49" i="53"/>
  <c r="P19" i="55"/>
  <c r="F29" i="55"/>
  <c r="P32" i="71"/>
  <c r="AF48" i="53"/>
  <c r="AE48" i="53"/>
  <c r="AD48" i="53"/>
  <c r="P16" i="55"/>
  <c r="F16" i="55"/>
  <c r="P19" i="71"/>
  <c r="K19" i="72"/>
  <c r="AE45" i="53"/>
  <c r="AD45" i="53"/>
  <c r="AF45" i="53"/>
  <c r="L17" i="55"/>
  <c r="B21" i="55"/>
  <c r="L90" i="3"/>
  <c r="L113" i="3"/>
  <c r="K90" i="3"/>
  <c r="K113" i="3"/>
  <c r="M90" i="3"/>
  <c r="M113" i="3"/>
  <c r="L15" i="55"/>
  <c r="B18" i="55"/>
  <c r="K88" i="3"/>
  <c r="K111" i="3"/>
  <c r="L88" i="3"/>
  <c r="L111" i="3"/>
  <c r="M88" i="3"/>
  <c r="M111" i="3"/>
  <c r="L16" i="55"/>
  <c r="B16" i="55"/>
  <c r="M89" i="3"/>
  <c r="M112" i="3"/>
  <c r="K89" i="3"/>
  <c r="K112" i="3"/>
  <c r="L89" i="3"/>
  <c r="L112" i="3"/>
  <c r="C37" i="3"/>
  <c r="C87" i="3"/>
  <c r="C90" i="3"/>
  <c r="M13" i="55"/>
  <c r="B69" i="48"/>
  <c r="B92" i="48"/>
  <c r="D35" i="48"/>
  <c r="M33" i="55"/>
  <c r="C35" i="48"/>
  <c r="O42" i="71"/>
  <c r="H38" i="55"/>
  <c r="E19" i="55"/>
  <c r="O22" i="71"/>
  <c r="J22" i="72"/>
  <c r="E15" i="55"/>
  <c r="O18" i="71"/>
  <c r="J18" i="72"/>
  <c r="O49" i="71"/>
  <c r="H45" i="55"/>
  <c r="O47" i="71"/>
  <c r="H43" i="55"/>
  <c r="E21" i="55"/>
  <c r="O24" i="71"/>
  <c r="J24" i="72"/>
  <c r="O34" i="71"/>
  <c r="H31" i="55"/>
  <c r="O44" i="71"/>
  <c r="H40" i="55"/>
  <c r="C64" i="27"/>
  <c r="H23" i="50"/>
  <c r="C48" i="50"/>
  <c r="C23" i="50"/>
  <c r="H35" i="50"/>
  <c r="H32" i="50"/>
  <c r="C57" i="50"/>
  <c r="C32" i="50"/>
  <c r="H17" i="50"/>
  <c r="C42" i="50"/>
  <c r="H34" i="50"/>
  <c r="C59" i="50"/>
  <c r="C34" i="50"/>
  <c r="H31" i="50"/>
  <c r="C56" i="50"/>
  <c r="C31" i="50"/>
  <c r="H30" i="50"/>
  <c r="C55" i="50"/>
  <c r="C30" i="50"/>
  <c r="H33" i="50"/>
  <c r="C58" i="50"/>
  <c r="C33" i="50"/>
  <c r="H18" i="50"/>
  <c r="C43" i="50"/>
  <c r="C18" i="50"/>
  <c r="H19" i="50"/>
  <c r="C44" i="50"/>
  <c r="C19" i="50"/>
  <c r="H20" i="50"/>
  <c r="C45" i="50"/>
  <c r="C20" i="50"/>
  <c r="H21" i="50"/>
  <c r="C46" i="50"/>
  <c r="C21" i="50"/>
  <c r="H22" i="50"/>
  <c r="C47" i="50"/>
  <c r="C22" i="50"/>
  <c r="H24" i="50"/>
  <c r="C49" i="50"/>
  <c r="C24" i="50"/>
  <c r="H25" i="50"/>
  <c r="C50" i="50"/>
  <c r="C25" i="50"/>
  <c r="H26" i="50"/>
  <c r="C51" i="50"/>
  <c r="C26" i="50"/>
  <c r="H27" i="50"/>
  <c r="C52" i="50"/>
  <c r="C27" i="50"/>
  <c r="C60" i="27"/>
  <c r="B35" i="53"/>
  <c r="C35" i="53"/>
  <c r="P13" i="55"/>
  <c r="AD42" i="53"/>
  <c r="D35" i="53"/>
  <c r="P33" i="55"/>
  <c r="AE42" i="53"/>
  <c r="AF42" i="53"/>
  <c r="P45" i="71"/>
  <c r="F54" i="55"/>
  <c r="P17" i="55"/>
  <c r="F21" i="55"/>
  <c r="P24" i="71"/>
  <c r="K24" i="72"/>
  <c r="AD46" i="53"/>
  <c r="AF46" i="53"/>
  <c r="AE46" i="53"/>
  <c r="L29" i="55"/>
  <c r="M102" i="3"/>
  <c r="K102" i="3"/>
  <c r="K125" i="3"/>
  <c r="L102" i="3"/>
  <c r="L125" i="3"/>
  <c r="L14" i="55"/>
  <c r="B14" i="55"/>
  <c r="L87" i="3"/>
  <c r="L110" i="3"/>
  <c r="K87" i="3"/>
  <c r="K110" i="3"/>
  <c r="M87" i="3"/>
  <c r="M110" i="3"/>
  <c r="L30" i="55"/>
  <c r="B28" i="55"/>
  <c r="K103" i="3"/>
  <c r="K126" i="3"/>
  <c r="L103" i="3"/>
  <c r="L126" i="3"/>
  <c r="M103" i="3"/>
  <c r="L21" i="55"/>
  <c r="B23" i="55"/>
  <c r="M94" i="3"/>
  <c r="M117" i="3"/>
  <c r="K94" i="3"/>
  <c r="K117" i="3"/>
  <c r="L94" i="3"/>
  <c r="B37" i="3"/>
  <c r="B87" i="3" s="1"/>
  <c r="B90" i="3" s="1"/>
  <c r="M24" i="55"/>
  <c r="C20" i="55"/>
  <c r="M23" i="71"/>
  <c r="H23" i="72"/>
  <c r="B80" i="48"/>
  <c r="B103" i="48"/>
  <c r="M14" i="55"/>
  <c r="C14" i="55"/>
  <c r="M17" i="71"/>
  <c r="H17" i="72"/>
  <c r="B70" i="48"/>
  <c r="B93" i="48"/>
  <c r="M20" i="55"/>
  <c r="C19" i="55"/>
  <c r="M22" i="71"/>
  <c r="H22" i="72"/>
  <c r="B76" i="48"/>
  <c r="B99" i="48"/>
  <c r="M28" i="55"/>
  <c r="C25" i="55"/>
  <c r="M28" i="71"/>
  <c r="H28" i="72"/>
  <c r="B84" i="48"/>
  <c r="B107" i="48"/>
  <c r="M22" i="55"/>
  <c r="C15" i="55"/>
  <c r="M18" i="71"/>
  <c r="H18" i="72"/>
  <c r="B78" i="48"/>
  <c r="B101" i="48"/>
  <c r="O54" i="71"/>
  <c r="H50" i="55"/>
  <c r="E18" i="55"/>
  <c r="O21" i="71"/>
  <c r="J21" i="72"/>
  <c r="E14" i="55"/>
  <c r="O17" i="71"/>
  <c r="J17" i="72"/>
  <c r="O46" i="71"/>
  <c r="H42" i="55"/>
  <c r="O56" i="71"/>
  <c r="H52" i="55"/>
  <c r="E30" i="55"/>
  <c r="E23" i="55"/>
  <c r="O26" i="71"/>
  <c r="J26" i="72"/>
  <c r="O39" i="71"/>
  <c r="H36" i="55"/>
  <c r="E54" i="55"/>
  <c r="H28" i="50"/>
  <c r="C53" i="50"/>
  <c r="C28" i="50"/>
  <c r="C65" i="27"/>
  <c r="B30" i="49"/>
  <c r="P21" i="55"/>
  <c r="F23" i="55"/>
  <c r="P26" i="71"/>
  <c r="K26" i="72"/>
  <c r="AD50" i="53"/>
  <c r="AF50" i="53"/>
  <c r="AE50" i="53"/>
  <c r="P23" i="55"/>
  <c r="F17" i="55"/>
  <c r="P20" i="71"/>
  <c r="K20" i="72"/>
  <c r="AF52" i="53"/>
  <c r="AE52" i="53"/>
  <c r="AD52" i="53"/>
  <c r="P18" i="55"/>
  <c r="F22" i="55"/>
  <c r="P25" i="71"/>
  <c r="K25" i="72"/>
  <c r="AE47" i="53"/>
  <c r="AF47" i="53"/>
  <c r="AD47" i="53"/>
  <c r="L19" i="55"/>
  <c r="B29" i="55"/>
  <c r="L92" i="3"/>
  <c r="L115" i="3"/>
  <c r="M92" i="3"/>
  <c r="M115" i="3"/>
  <c r="K92" i="3"/>
  <c r="L20" i="55"/>
  <c r="B19" i="55"/>
  <c r="L93" i="3"/>
  <c r="L116" i="3"/>
  <c r="M93" i="3"/>
  <c r="M116" i="3"/>
  <c r="K93" i="3"/>
  <c r="K116" i="3"/>
  <c r="L26" i="55"/>
  <c r="K99" i="3"/>
  <c r="K122" i="3"/>
  <c r="L99" i="3"/>
  <c r="L122" i="3"/>
  <c r="M99" i="3"/>
  <c r="L18" i="55"/>
  <c r="B22" i="55"/>
  <c r="M91" i="3"/>
  <c r="M114" i="3"/>
  <c r="L91" i="3"/>
  <c r="L114" i="3"/>
  <c r="K91" i="3"/>
  <c r="K114" i="3"/>
  <c r="L13" i="55"/>
  <c r="D37" i="3"/>
  <c r="M86" i="3"/>
  <c r="M109" i="3"/>
  <c r="K86" i="3"/>
  <c r="K109" i="3"/>
  <c r="L86" i="3"/>
  <c r="L109" i="3"/>
  <c r="M16" i="55"/>
  <c r="C16" i="55"/>
  <c r="M19" i="71"/>
  <c r="H19" i="72"/>
  <c r="B72" i="48"/>
  <c r="B95" i="48"/>
  <c r="M23" i="55"/>
  <c r="C17" i="55"/>
  <c r="M20" i="71"/>
  <c r="H20" i="72"/>
  <c r="B79" i="48"/>
  <c r="B102" i="48"/>
  <c r="M15" i="55"/>
  <c r="C18" i="55"/>
  <c r="M21" i="71"/>
  <c r="H21" i="72"/>
  <c r="B71" i="48"/>
  <c r="B94" i="48"/>
  <c r="B35" i="48"/>
  <c r="M18" i="55"/>
  <c r="C22" i="55"/>
  <c r="M25" i="71"/>
  <c r="H25" i="72"/>
  <c r="B74" i="48"/>
  <c r="B97" i="48"/>
  <c r="C41" i="55"/>
  <c r="C54" i="47"/>
  <c r="O51" i="71"/>
  <c r="H47" i="55"/>
  <c r="O27" i="71"/>
  <c r="H24" i="55"/>
  <c r="E17" i="55"/>
  <c r="O20" i="71"/>
  <c r="J20" i="72"/>
  <c r="O57" i="71"/>
  <c r="H53" i="55"/>
  <c r="O30" i="71"/>
  <c r="H27" i="55"/>
  <c r="O43" i="71"/>
  <c r="H39" i="55"/>
  <c r="O53" i="71"/>
  <c r="H49" i="55"/>
  <c r="J31" i="72"/>
  <c r="E22" i="55"/>
  <c r="O25" i="71"/>
  <c r="J25" i="72"/>
  <c r="G32" i="50"/>
  <c r="G30" i="50"/>
  <c r="G31" i="50"/>
  <c r="G33" i="50"/>
  <c r="G23" i="50"/>
  <c r="B48" i="50"/>
  <c r="B23" i="50"/>
  <c r="G34" i="50"/>
  <c r="G18" i="50"/>
  <c r="B43" i="50"/>
  <c r="B18" i="50"/>
  <c r="G17" i="50"/>
  <c r="G20" i="50"/>
  <c r="B45" i="50"/>
  <c r="B20" i="50"/>
  <c r="G21" i="50"/>
  <c r="B46" i="50"/>
  <c r="B21" i="50"/>
  <c r="G19" i="50"/>
  <c r="B44" i="50"/>
  <c r="B19" i="50"/>
  <c r="G22" i="50"/>
  <c r="B47" i="50"/>
  <c r="B22" i="50"/>
  <c r="G24" i="50"/>
  <c r="B49" i="50"/>
  <c r="B24" i="50"/>
  <c r="G25" i="50"/>
  <c r="B50" i="50"/>
  <c r="B25" i="50"/>
  <c r="G26" i="50"/>
  <c r="B51" i="50"/>
  <c r="B26" i="50"/>
  <c r="G27" i="50"/>
  <c r="B52" i="50"/>
  <c r="B27" i="50"/>
  <c r="B20" i="27"/>
  <c r="C19" i="27"/>
  <c r="C20" i="27"/>
  <c r="I33" i="50"/>
  <c r="D58" i="50"/>
  <c r="I31" i="50"/>
  <c r="D56" i="50"/>
  <c r="I32" i="50"/>
  <c r="D57" i="50"/>
  <c r="I30" i="50"/>
  <c r="D55" i="50"/>
  <c r="I23" i="50"/>
  <c r="I34" i="50"/>
  <c r="D59" i="50"/>
  <c r="I17" i="50"/>
  <c r="I18" i="50"/>
  <c r="I20" i="50"/>
  <c r="I19" i="50"/>
  <c r="I22" i="50"/>
  <c r="I21" i="50"/>
  <c r="I24" i="50"/>
  <c r="I25" i="50"/>
  <c r="I26" i="50"/>
  <c r="I27" i="50"/>
  <c r="C55" i="27"/>
  <c r="C59" i="27"/>
  <c r="C30" i="49"/>
  <c r="C57" i="27"/>
  <c r="C58" i="27"/>
  <c r="M9" i="53"/>
  <c r="N4" i="53"/>
  <c r="P14" i="55"/>
  <c r="F14" i="55"/>
  <c r="P17" i="71"/>
  <c r="K17" i="72"/>
  <c r="AE43" i="53"/>
  <c r="AF43" i="53"/>
  <c r="AD43" i="53"/>
  <c r="K31" i="72"/>
  <c r="C26" i="33"/>
  <c r="P15" i="55"/>
  <c r="F18" i="55"/>
  <c r="P21" i="71"/>
  <c r="K21" i="72"/>
  <c r="AF44" i="53"/>
  <c r="AE44" i="53"/>
  <c r="AD44" i="53"/>
  <c r="L24" i="55"/>
  <c r="B20" i="55"/>
  <c r="K97" i="3"/>
  <c r="K120" i="3"/>
  <c r="L97" i="3"/>
  <c r="L120" i="3"/>
  <c r="M97" i="3"/>
  <c r="M120" i="3"/>
  <c r="L22" i="55"/>
  <c r="B15" i="55"/>
  <c r="K95" i="3"/>
  <c r="K118" i="3"/>
  <c r="L95" i="3"/>
  <c r="L118" i="3"/>
  <c r="M95" i="3"/>
  <c r="M118" i="3"/>
  <c r="L27" i="55"/>
  <c r="K100" i="3"/>
  <c r="K123" i="3"/>
  <c r="L100" i="3"/>
  <c r="L123" i="3"/>
  <c r="M100" i="3"/>
  <c r="L28" i="55"/>
  <c r="B25" i="55"/>
  <c r="K101" i="3"/>
  <c r="K124" i="3"/>
  <c r="L101" i="3"/>
  <c r="L124" i="3"/>
  <c r="M101" i="3"/>
  <c r="M124" i="3"/>
  <c r="L23" i="55"/>
  <c r="B17" i="55"/>
  <c r="K96" i="3"/>
  <c r="K119" i="3"/>
  <c r="L96" i="3"/>
  <c r="L119" i="3"/>
  <c r="M96" i="3"/>
  <c r="M119" i="3"/>
  <c r="Q45" i="71"/>
  <c r="B125" i="50"/>
  <c r="B144" i="50"/>
  <c r="C71" i="27"/>
  <c r="H20" i="36"/>
  <c r="L28" i="71"/>
  <c r="H25" i="55"/>
  <c r="L23" i="71"/>
  <c r="B56" i="50"/>
  <c r="B31" i="50"/>
  <c r="J30" i="72"/>
  <c r="W30" i="71"/>
  <c r="L30" i="19"/>
  <c r="C74" i="48"/>
  <c r="E97" i="48"/>
  <c r="B13" i="55"/>
  <c r="L32" i="55"/>
  <c r="L25" i="71"/>
  <c r="B41" i="55"/>
  <c r="L22" i="71"/>
  <c r="L32" i="71"/>
  <c r="J56" i="72"/>
  <c r="L56" i="19"/>
  <c r="R56" i="19"/>
  <c r="W56" i="71"/>
  <c r="L56" i="20"/>
  <c r="R56" i="20"/>
  <c r="E52" i="69"/>
  <c r="F52" i="69"/>
  <c r="L56" i="22"/>
  <c r="I56" i="23"/>
  <c r="J54" i="72"/>
  <c r="E25" i="33"/>
  <c r="L54" i="19"/>
  <c r="R54" i="19"/>
  <c r="W54" i="71"/>
  <c r="L54" i="20"/>
  <c r="R54" i="20"/>
  <c r="E50" i="69"/>
  <c r="F50" i="69"/>
  <c r="L54" i="22"/>
  <c r="I54" i="23"/>
  <c r="C107" i="48"/>
  <c r="F107" i="48"/>
  <c r="C76" i="48"/>
  <c r="E99" i="48"/>
  <c r="L26" i="71"/>
  <c r="L31" i="71"/>
  <c r="H28" i="55"/>
  <c r="L17" i="71"/>
  <c r="C60" i="50"/>
  <c r="C17" i="50"/>
  <c r="C35" i="50"/>
  <c r="J34" i="72"/>
  <c r="W34" i="71"/>
  <c r="L34" i="19"/>
  <c r="L47" i="22"/>
  <c r="I47" i="23"/>
  <c r="J47" i="72"/>
  <c r="L47" i="19"/>
  <c r="R47" i="19"/>
  <c r="L47" i="20"/>
  <c r="R47" i="20"/>
  <c r="E43" i="69"/>
  <c r="F43" i="69"/>
  <c r="W47" i="71"/>
  <c r="L42" i="22"/>
  <c r="J42" i="72"/>
  <c r="X42" i="72"/>
  <c r="L42" i="19"/>
  <c r="R42" i="19"/>
  <c r="W42" i="71"/>
  <c r="L42" i="20"/>
  <c r="R42" i="20"/>
  <c r="B87" i="48"/>
  <c r="C69" i="48"/>
  <c r="E92" i="48"/>
  <c r="J29" i="72"/>
  <c r="W29" i="71"/>
  <c r="L29" i="19"/>
  <c r="L41" i="22"/>
  <c r="I41" i="23"/>
  <c r="J41" i="72"/>
  <c r="W41" i="71"/>
  <c r="L41" i="19"/>
  <c r="R41" i="19"/>
  <c r="L41" i="20"/>
  <c r="R41" i="20"/>
  <c r="E37" i="69"/>
  <c r="F37" i="69"/>
  <c r="L55" i="22"/>
  <c r="I55" i="23"/>
  <c r="J55" i="72"/>
  <c r="L55" i="19"/>
  <c r="R55" i="19"/>
  <c r="W55" i="71"/>
  <c r="L55" i="20"/>
  <c r="R55" i="20"/>
  <c r="E51" i="69"/>
  <c r="F51" i="69"/>
  <c r="L20" i="71"/>
  <c r="D50" i="50"/>
  <c r="D25" i="50"/>
  <c r="B122" i="50"/>
  <c r="L51" i="22"/>
  <c r="I51" i="23"/>
  <c r="J51" i="72"/>
  <c r="L51" i="19"/>
  <c r="R51" i="19"/>
  <c r="W51" i="71"/>
  <c r="L51" i="20"/>
  <c r="R51" i="20"/>
  <c r="E47" i="69"/>
  <c r="F47" i="69"/>
  <c r="D49" i="50"/>
  <c r="D24" i="50"/>
  <c r="B121" i="50"/>
  <c r="B140" i="50"/>
  <c r="B34" i="50"/>
  <c r="B59" i="50"/>
  <c r="C95" i="48"/>
  <c r="F95" i="48"/>
  <c r="C101" i="48"/>
  <c r="F101" i="48"/>
  <c r="C103" i="48"/>
  <c r="F103" i="48"/>
  <c r="C13" i="55"/>
  <c r="M32" i="55"/>
  <c r="Q24" i="55"/>
  <c r="G20" i="55"/>
  <c r="Q23" i="71"/>
  <c r="L23" i="72"/>
  <c r="B77" i="50"/>
  <c r="B100" i="50"/>
  <c r="D100" i="50"/>
  <c r="L53" i="22"/>
  <c r="I53" i="23"/>
  <c r="J53" i="72"/>
  <c r="F25" i="33"/>
  <c r="L53" i="19"/>
  <c r="R53" i="19"/>
  <c r="L53" i="20"/>
  <c r="R53" i="20"/>
  <c r="E49" i="69"/>
  <c r="F49" i="69"/>
  <c r="W53" i="71"/>
  <c r="D45" i="50"/>
  <c r="D20" i="50"/>
  <c r="B117" i="50"/>
  <c r="B136" i="50"/>
  <c r="B30" i="50"/>
  <c r="B55" i="50"/>
  <c r="D52" i="50"/>
  <c r="D27" i="50"/>
  <c r="B124" i="50"/>
  <c r="B143" i="50"/>
  <c r="B32" i="50"/>
  <c r="B57" i="50"/>
  <c r="J43" i="72"/>
  <c r="X43" i="72"/>
  <c r="L43" i="19"/>
  <c r="R43" i="19"/>
  <c r="W43" i="71"/>
  <c r="L43" i="22"/>
  <c r="L43" i="20"/>
  <c r="R43" i="20"/>
  <c r="L57" i="22"/>
  <c r="I57" i="23"/>
  <c r="J57" i="72"/>
  <c r="W57" i="71"/>
  <c r="L57" i="19"/>
  <c r="R57" i="19"/>
  <c r="L57" i="20"/>
  <c r="R57" i="20"/>
  <c r="E53" i="69"/>
  <c r="F53" i="69"/>
  <c r="J27" i="72"/>
  <c r="W27" i="71"/>
  <c r="L27" i="19"/>
  <c r="C102" i="48"/>
  <c r="F102" i="48"/>
  <c r="C72" i="48"/>
  <c r="E95" i="48"/>
  <c r="O58" i="71"/>
  <c r="H25" i="33"/>
  <c r="H32" i="33"/>
  <c r="J39" i="72"/>
  <c r="L39" i="19"/>
  <c r="W39" i="71"/>
  <c r="L39" i="20"/>
  <c r="L39" i="22"/>
  <c r="O33" i="71"/>
  <c r="H30" i="55"/>
  <c r="J46" i="72"/>
  <c r="L46" i="19"/>
  <c r="R46" i="19"/>
  <c r="L46" i="22"/>
  <c r="I46" i="23"/>
  <c r="L46" i="20"/>
  <c r="R46" i="20"/>
  <c r="E42" i="69"/>
  <c r="F42" i="69"/>
  <c r="W46" i="71"/>
  <c r="C78" i="48"/>
  <c r="E101" i="48"/>
  <c r="C93" i="48"/>
  <c r="F93" i="48"/>
  <c r="C80" i="48"/>
  <c r="E103" i="48"/>
  <c r="K45" i="72"/>
  <c r="K58" i="72"/>
  <c r="D26" i="33"/>
  <c r="P58" i="71"/>
  <c r="AG42" i="53"/>
  <c r="L44" i="22"/>
  <c r="I44" i="23"/>
  <c r="D25" i="33"/>
  <c r="J44" i="72"/>
  <c r="L44" i="19"/>
  <c r="R44" i="19"/>
  <c r="W44" i="71"/>
  <c r="L44" i="20"/>
  <c r="R44" i="20"/>
  <c r="E40" i="69"/>
  <c r="F40" i="69"/>
  <c r="L49" i="22"/>
  <c r="I49" i="23"/>
  <c r="J49" i="72"/>
  <c r="W49" i="71"/>
  <c r="L49" i="19"/>
  <c r="R49" i="19"/>
  <c r="L49" i="20"/>
  <c r="R49" i="20"/>
  <c r="E45" i="69"/>
  <c r="F45" i="69"/>
  <c r="L19" i="71"/>
  <c r="L21" i="71"/>
  <c r="L24" i="71"/>
  <c r="K32" i="72"/>
  <c r="O16" i="71"/>
  <c r="E32" i="55"/>
  <c r="E55" i="55"/>
  <c r="J50" i="72"/>
  <c r="L50" i="19"/>
  <c r="R50" i="19"/>
  <c r="L50" i="20"/>
  <c r="R50" i="20"/>
  <c r="E46" i="69"/>
  <c r="F46" i="69"/>
  <c r="L50" i="22"/>
  <c r="I50" i="23"/>
  <c r="W50" i="71"/>
  <c r="J52" i="72"/>
  <c r="L52" i="19"/>
  <c r="R52" i="19"/>
  <c r="L52" i="22"/>
  <c r="I52" i="23"/>
  <c r="L52" i="20"/>
  <c r="R52" i="20"/>
  <c r="E48" i="69"/>
  <c r="F48" i="69"/>
  <c r="W52" i="71"/>
  <c r="J48" i="72"/>
  <c r="L48" i="19"/>
  <c r="R48" i="19"/>
  <c r="L48" i="20"/>
  <c r="R48" i="20"/>
  <c r="E44" i="69"/>
  <c r="F44" i="69"/>
  <c r="L48" i="22"/>
  <c r="I48" i="23"/>
  <c r="W48" i="71"/>
  <c r="L18" i="71"/>
  <c r="D44" i="50"/>
  <c r="D19" i="50"/>
  <c r="B116" i="50"/>
  <c r="B135" i="50"/>
  <c r="C71" i="48"/>
  <c r="E94" i="48"/>
  <c r="C70" i="27"/>
  <c r="C68" i="27"/>
  <c r="H17" i="36"/>
  <c r="C66" i="27"/>
  <c r="D48" i="50"/>
  <c r="D23" i="50"/>
  <c r="B120" i="50"/>
  <c r="B139" i="50"/>
  <c r="D46" i="50"/>
  <c r="D21" i="50"/>
  <c r="B118" i="50"/>
  <c r="D43" i="50"/>
  <c r="D18" i="50"/>
  <c r="B115" i="50"/>
  <c r="B134" i="50"/>
  <c r="M45" i="71"/>
  <c r="C54" i="55"/>
  <c r="D51" i="50"/>
  <c r="D26" i="50"/>
  <c r="B123" i="50"/>
  <c r="B142" i="50"/>
  <c r="D47" i="50"/>
  <c r="D22" i="50"/>
  <c r="B119" i="50"/>
  <c r="B138" i="50"/>
  <c r="D42" i="50"/>
  <c r="I35" i="50"/>
  <c r="B114" i="50"/>
  <c r="G35" i="50"/>
  <c r="B42" i="50"/>
  <c r="B58" i="50"/>
  <c r="B33" i="50"/>
  <c r="C97" i="48"/>
  <c r="F97" i="48"/>
  <c r="C94" i="48"/>
  <c r="F94" i="48"/>
  <c r="C79" i="48"/>
  <c r="E102" i="48"/>
  <c r="L33" i="55"/>
  <c r="D87" i="3"/>
  <c r="D90" i="3"/>
  <c r="M104" i="3"/>
  <c r="L104" i="3"/>
  <c r="K104" i="3"/>
  <c r="K127" i="3"/>
  <c r="C99" i="48"/>
  <c r="F99" i="48"/>
  <c r="C70" i="48"/>
  <c r="E93" i="48"/>
  <c r="F13" i="55"/>
  <c r="P32" i="55"/>
  <c r="B110" i="48"/>
  <c r="C92" i="48"/>
  <c r="F92" i="48"/>
  <c r="L45" i="72"/>
  <c r="L58" i="72"/>
  <c r="Q58" i="71"/>
  <c r="C73" i="27"/>
  <c r="H19" i="36"/>
  <c r="I43" i="23"/>
  <c r="Q43" i="23"/>
  <c r="R43" i="22"/>
  <c r="Q21" i="55"/>
  <c r="G23" i="55"/>
  <c r="B97" i="50"/>
  <c r="D97" i="50"/>
  <c r="B74" i="50"/>
  <c r="F74" i="50"/>
  <c r="H74" i="50"/>
  <c r="J41" i="22"/>
  <c r="G17" i="72"/>
  <c r="G26" i="72"/>
  <c r="J56" i="22"/>
  <c r="L45" i="71"/>
  <c r="B54" i="55"/>
  <c r="H41" i="55"/>
  <c r="H54" i="55"/>
  <c r="L16" i="71"/>
  <c r="B32" i="55"/>
  <c r="B55" i="55"/>
  <c r="H20" i="55"/>
  <c r="C110" i="48"/>
  <c r="F110" i="48"/>
  <c r="I39" i="23"/>
  <c r="R39" i="22"/>
  <c r="Q22" i="55"/>
  <c r="G15" i="55"/>
  <c r="B98" i="50"/>
  <c r="D98" i="50"/>
  <c r="B75" i="50"/>
  <c r="G48" i="22"/>
  <c r="G21" i="72"/>
  <c r="R39" i="20"/>
  <c r="J53" i="22"/>
  <c r="Q20" i="55"/>
  <c r="G19" i="55"/>
  <c r="B73" i="50"/>
  <c r="B96" i="50"/>
  <c r="D96" i="50"/>
  <c r="L29" i="20"/>
  <c r="R29" i="20"/>
  <c r="E26" i="69"/>
  <c r="F26" i="69"/>
  <c r="L29" i="22"/>
  <c r="R29" i="19"/>
  <c r="G47" i="22"/>
  <c r="L34" i="20"/>
  <c r="R34" i="20"/>
  <c r="L34" i="22"/>
  <c r="R34" i="19"/>
  <c r="G32" i="72"/>
  <c r="L23" i="19"/>
  <c r="G23" i="72"/>
  <c r="W23" i="71"/>
  <c r="J58" i="72"/>
  <c r="X39" i="72"/>
  <c r="B17" i="50"/>
  <c r="B35" i="50"/>
  <c r="B60" i="50"/>
  <c r="Q14" i="55"/>
  <c r="G14" i="55"/>
  <c r="B67" i="50"/>
  <c r="B90" i="50"/>
  <c r="D90" i="50"/>
  <c r="J52" i="22"/>
  <c r="G18" i="72"/>
  <c r="H46" i="22"/>
  <c r="I57" i="22"/>
  <c r="M16" i="71"/>
  <c r="C32" i="55"/>
  <c r="C55" i="55"/>
  <c r="C57" i="55"/>
  <c r="H51" i="22"/>
  <c r="R51" i="22"/>
  <c r="G20" i="72"/>
  <c r="C87" i="48"/>
  <c r="E110" i="48"/>
  <c r="L31" i="19"/>
  <c r="G31" i="72"/>
  <c r="C21" i="33"/>
  <c r="W31" i="71"/>
  <c r="I54" i="22"/>
  <c r="G25" i="72"/>
  <c r="Q15" i="55"/>
  <c r="G18" i="55"/>
  <c r="B91" i="50"/>
  <c r="D91" i="50"/>
  <c r="B68" i="50"/>
  <c r="G49" i="22"/>
  <c r="D17" i="50"/>
  <c r="D60" i="50"/>
  <c r="Q19" i="55"/>
  <c r="G29" i="55"/>
  <c r="B95" i="50"/>
  <c r="D95" i="50"/>
  <c r="B72" i="50"/>
  <c r="H44" i="22"/>
  <c r="P16" i="71"/>
  <c r="F32" i="55"/>
  <c r="F55" i="55"/>
  <c r="B126" i="50"/>
  <c r="B133" i="50"/>
  <c r="Q18" i="55"/>
  <c r="G22" i="55"/>
  <c r="B71" i="50"/>
  <c r="B94" i="50"/>
  <c r="D94" i="50"/>
  <c r="H45" i="72"/>
  <c r="H58" i="72"/>
  <c r="M58" i="71"/>
  <c r="Q17" i="55"/>
  <c r="G21" i="55"/>
  <c r="B93" i="50"/>
  <c r="D93" i="50"/>
  <c r="B70" i="50"/>
  <c r="G50" i="22"/>
  <c r="J16" i="72"/>
  <c r="O35" i="71"/>
  <c r="O59" i="71"/>
  <c r="G24" i="72"/>
  <c r="G19" i="72"/>
  <c r="J33" i="72"/>
  <c r="W33" i="71"/>
  <c r="L33" i="19"/>
  <c r="C25" i="33"/>
  <c r="R39" i="19"/>
  <c r="L27" i="20"/>
  <c r="R27" i="20"/>
  <c r="E24" i="69"/>
  <c r="L27" i="22"/>
  <c r="I27" i="23"/>
  <c r="R27" i="19"/>
  <c r="Q23" i="55"/>
  <c r="G17" i="55"/>
  <c r="B99" i="50"/>
  <c r="D99" i="50"/>
  <c r="B76" i="50"/>
  <c r="Q16" i="55"/>
  <c r="G16" i="55"/>
  <c r="B69" i="50"/>
  <c r="B92" i="50"/>
  <c r="D92" i="50"/>
  <c r="D77" i="50"/>
  <c r="G77" i="50"/>
  <c r="J55" i="22"/>
  <c r="I42" i="23"/>
  <c r="Q42" i="23"/>
  <c r="R42" i="22"/>
  <c r="B25" i="33"/>
  <c r="G22" i="72"/>
  <c r="L30" i="20"/>
  <c r="R30" i="20"/>
  <c r="L30" i="22"/>
  <c r="R30" i="19"/>
  <c r="L28" i="19"/>
  <c r="G28" i="72"/>
  <c r="W28" i="71"/>
  <c r="F77" i="50"/>
  <c r="H77" i="50"/>
  <c r="H26" i="69"/>
  <c r="G29" i="22"/>
  <c r="G29" i="23"/>
  <c r="E29" i="72"/>
  <c r="AG42" i="57"/>
  <c r="AB38" i="57"/>
  <c r="AD38" i="57"/>
  <c r="C43" i="24"/>
  <c r="H43" i="24"/>
  <c r="AG43" i="57"/>
  <c r="AB39" i="57"/>
  <c r="AD39" i="57"/>
  <c r="C44" i="24"/>
  <c r="H44" i="24"/>
  <c r="L28" i="20"/>
  <c r="R28" i="20"/>
  <c r="L28" i="22"/>
  <c r="R28" i="19"/>
  <c r="G50" i="23"/>
  <c r="R50" i="22"/>
  <c r="G54" i="23"/>
  <c r="I58" i="22"/>
  <c r="I59" i="22"/>
  <c r="R54" i="22"/>
  <c r="G51" i="23"/>
  <c r="Q17" i="71"/>
  <c r="H14" i="55"/>
  <c r="G47" i="23"/>
  <c r="G58" i="22"/>
  <c r="R47" i="22"/>
  <c r="I29" i="23"/>
  <c r="R29" i="22"/>
  <c r="Q22" i="71"/>
  <c r="H19" i="55"/>
  <c r="G16" i="72"/>
  <c r="L35" i="71"/>
  <c r="B21" i="33"/>
  <c r="G56" i="23"/>
  <c r="R56" i="22"/>
  <c r="Q24" i="71"/>
  <c r="H21" i="55"/>
  <c r="G57" i="23"/>
  <c r="R57" i="22"/>
  <c r="G46" i="23"/>
  <c r="R46" i="22"/>
  <c r="G53" i="23"/>
  <c r="R53" i="22"/>
  <c r="D75" i="50"/>
  <c r="G75" i="50"/>
  <c r="Q32" i="71"/>
  <c r="H29" i="55"/>
  <c r="Q21" i="71"/>
  <c r="H18" i="55"/>
  <c r="M35" i="71"/>
  <c r="M59" i="71"/>
  <c r="B22" i="33"/>
  <c r="K22" i="33"/>
  <c r="L22" i="33"/>
  <c r="H16" i="72"/>
  <c r="H35" i="72"/>
  <c r="H59" i="72"/>
  <c r="L33" i="20"/>
  <c r="R33" i="20"/>
  <c r="E30" i="69"/>
  <c r="F30" i="69"/>
  <c r="L33" i="22"/>
  <c r="I33" i="23"/>
  <c r="R33" i="19"/>
  <c r="I30" i="23"/>
  <c r="R30" i="22"/>
  <c r="Q20" i="71"/>
  <c r="H17" i="55"/>
  <c r="D72" i="50"/>
  <c r="G72" i="50"/>
  <c r="D68" i="50"/>
  <c r="G68" i="50"/>
  <c r="I34" i="23"/>
  <c r="R34" i="22"/>
  <c r="G48" i="23"/>
  <c r="R48" i="22"/>
  <c r="Q39" i="23"/>
  <c r="C40" i="24"/>
  <c r="H40" i="24"/>
  <c r="B57" i="55"/>
  <c r="G41" i="23"/>
  <c r="J58" i="22"/>
  <c r="J59" i="22"/>
  <c r="R41" i="22"/>
  <c r="D76" i="50"/>
  <c r="G76" i="50"/>
  <c r="F24" i="69"/>
  <c r="D71" i="50"/>
  <c r="G71" i="50"/>
  <c r="D69" i="50"/>
  <c r="G69" i="50"/>
  <c r="Q25" i="71"/>
  <c r="H22" i="55"/>
  <c r="K16" i="72"/>
  <c r="K35" i="72"/>
  <c r="K59" i="72"/>
  <c r="P35" i="71"/>
  <c r="P59" i="71"/>
  <c r="B26" i="33"/>
  <c r="K26" i="33"/>
  <c r="L26" i="33"/>
  <c r="Q13" i="55"/>
  <c r="B89" i="50"/>
  <c r="D35" i="50"/>
  <c r="Q33" i="55"/>
  <c r="B66" i="50"/>
  <c r="L31" i="20"/>
  <c r="R31" i="20"/>
  <c r="E28" i="69"/>
  <c r="F28" i="69"/>
  <c r="L31" i="22"/>
  <c r="I31" i="23"/>
  <c r="R31" i="19"/>
  <c r="K25" i="33"/>
  <c r="L25" i="33"/>
  <c r="G55" i="23"/>
  <c r="R55" i="22"/>
  <c r="Q19" i="71"/>
  <c r="H16" i="55"/>
  <c r="J35" i="72"/>
  <c r="J59" i="72"/>
  <c r="D70" i="50"/>
  <c r="G70" i="50"/>
  <c r="G44" i="23"/>
  <c r="R44" i="22"/>
  <c r="G49" i="23"/>
  <c r="R49" i="22"/>
  <c r="G52" i="23"/>
  <c r="R52" i="22"/>
  <c r="D67" i="50"/>
  <c r="G67" i="50"/>
  <c r="L23" i="20"/>
  <c r="R23" i="20"/>
  <c r="L23" i="22"/>
  <c r="R23" i="19"/>
  <c r="D73" i="50"/>
  <c r="G73" i="50"/>
  <c r="Q18" i="71"/>
  <c r="H15" i="55"/>
  <c r="L45" i="20"/>
  <c r="L45" i="22"/>
  <c r="G45" i="72"/>
  <c r="G58" i="72"/>
  <c r="D21" i="33"/>
  <c r="L58" i="71"/>
  <c r="W45" i="71"/>
  <c r="W58" i="71"/>
  <c r="L45" i="19"/>
  <c r="Q26" i="71"/>
  <c r="H23" i="55"/>
  <c r="B28" i="33"/>
  <c r="AI42" i="57"/>
  <c r="F68" i="50"/>
  <c r="H68" i="50"/>
  <c r="F70" i="50"/>
  <c r="H70" i="50"/>
  <c r="F69" i="50"/>
  <c r="H69" i="50"/>
  <c r="F71" i="50"/>
  <c r="H71" i="50"/>
  <c r="L59" i="71"/>
  <c r="AI43" i="57"/>
  <c r="I44" i="24"/>
  <c r="Q44" i="24"/>
  <c r="P44" i="24"/>
  <c r="P43" i="24"/>
  <c r="I43" i="24"/>
  <c r="Q43" i="24"/>
  <c r="I40" i="24"/>
  <c r="P40" i="24"/>
  <c r="I23" i="23"/>
  <c r="R23" i="22"/>
  <c r="H28" i="69"/>
  <c r="G31" i="22"/>
  <c r="H30" i="69"/>
  <c r="G33" i="22"/>
  <c r="N29" i="23"/>
  <c r="V29" i="72"/>
  <c r="X29" i="72"/>
  <c r="E50" i="72"/>
  <c r="X50" i="72"/>
  <c r="Q50" i="23"/>
  <c r="L18" i="72"/>
  <c r="L18" i="19"/>
  <c r="W18" i="71"/>
  <c r="E49" i="72"/>
  <c r="X49" i="72"/>
  <c r="Q49" i="23"/>
  <c r="E41" i="72"/>
  <c r="F28" i="33"/>
  <c r="F32" i="33"/>
  <c r="Q41" i="23"/>
  <c r="N34" i="23"/>
  <c r="V34" i="72"/>
  <c r="X34" i="72"/>
  <c r="E46" i="72"/>
  <c r="X46" i="72"/>
  <c r="Q46" i="23"/>
  <c r="L24" i="72"/>
  <c r="W24" i="71"/>
  <c r="L24" i="19"/>
  <c r="E56" i="72"/>
  <c r="X56" i="72"/>
  <c r="Q56" i="23"/>
  <c r="G35" i="72"/>
  <c r="G59" i="72"/>
  <c r="L17" i="72"/>
  <c r="W17" i="71"/>
  <c r="L17" i="19"/>
  <c r="AG39" i="57"/>
  <c r="I45" i="23"/>
  <c r="I58" i="23"/>
  <c r="L58" i="22"/>
  <c r="L19" i="72"/>
  <c r="L19" i="19"/>
  <c r="W19" i="71"/>
  <c r="G13" i="55"/>
  <c r="Q32" i="55"/>
  <c r="F73" i="50"/>
  <c r="H73" i="50"/>
  <c r="E52" i="72"/>
  <c r="X52" i="72"/>
  <c r="Q52" i="23"/>
  <c r="B84" i="50"/>
  <c r="D66" i="50"/>
  <c r="F66" i="50"/>
  <c r="L21" i="72"/>
  <c r="W21" i="71"/>
  <c r="L21" i="19"/>
  <c r="L22" i="72"/>
  <c r="L22" i="19"/>
  <c r="W22" i="71"/>
  <c r="E54" i="72"/>
  <c r="X54" i="72"/>
  <c r="E28" i="33"/>
  <c r="E32" i="33"/>
  <c r="Q54" i="23"/>
  <c r="I28" i="23"/>
  <c r="R28" i="22"/>
  <c r="R45" i="19"/>
  <c r="R58" i="19"/>
  <c r="L58" i="19"/>
  <c r="D89" i="50"/>
  <c r="B107" i="50"/>
  <c r="N30" i="23"/>
  <c r="V30" i="72"/>
  <c r="X30" i="72"/>
  <c r="L32" i="72"/>
  <c r="L32" i="19"/>
  <c r="W32" i="71"/>
  <c r="L26" i="72"/>
  <c r="W26" i="71"/>
  <c r="L26" i="19"/>
  <c r="R45" i="20"/>
  <c r="L58" i="20"/>
  <c r="L25" i="72"/>
  <c r="L25" i="19"/>
  <c r="W25" i="71"/>
  <c r="F76" i="50"/>
  <c r="H76" i="50"/>
  <c r="L20" i="72"/>
  <c r="L20" i="19"/>
  <c r="W20" i="71"/>
  <c r="F67" i="50"/>
  <c r="H67" i="50"/>
  <c r="E44" i="72"/>
  <c r="X44" i="72"/>
  <c r="Q44" i="23"/>
  <c r="E55" i="72"/>
  <c r="X55" i="72"/>
  <c r="Q55" i="23"/>
  <c r="H24" i="69"/>
  <c r="G27" i="22"/>
  <c r="E48" i="72"/>
  <c r="X48" i="72"/>
  <c r="Q48" i="23"/>
  <c r="F72" i="50"/>
  <c r="H72" i="50"/>
  <c r="F75" i="50"/>
  <c r="H75" i="50"/>
  <c r="E53" i="72"/>
  <c r="X53" i="72"/>
  <c r="Q53" i="23"/>
  <c r="E57" i="72"/>
  <c r="X57" i="72"/>
  <c r="Q57" i="23"/>
  <c r="K21" i="33"/>
  <c r="L21" i="33"/>
  <c r="E47" i="72"/>
  <c r="X47" i="72"/>
  <c r="Q47" i="23"/>
  <c r="E51" i="72"/>
  <c r="X51" i="72"/>
  <c r="Q51" i="23"/>
  <c r="AG53" i="57"/>
  <c r="AI53" i="57"/>
  <c r="C54" i="24"/>
  <c r="H54" i="24"/>
  <c r="AG50" i="57"/>
  <c r="AB46" i="57"/>
  <c r="AD46" i="57"/>
  <c r="C51" i="24"/>
  <c r="H51" i="24"/>
  <c r="AG55" i="57"/>
  <c r="AB51" i="57"/>
  <c r="AD51" i="57"/>
  <c r="C56" i="24"/>
  <c r="H56" i="24"/>
  <c r="AG49" i="57"/>
  <c r="AI49" i="57"/>
  <c r="C50" i="24"/>
  <c r="H50" i="24"/>
  <c r="AG47" i="57"/>
  <c r="AI47" i="57"/>
  <c r="C48" i="24"/>
  <c r="H48" i="24"/>
  <c r="AG54" i="57"/>
  <c r="AB50" i="57"/>
  <c r="AD50" i="57"/>
  <c r="C55" i="24"/>
  <c r="H55" i="24"/>
  <c r="AG52" i="57"/>
  <c r="C53" i="24"/>
  <c r="H53" i="24"/>
  <c r="AG46" i="57"/>
  <c r="AI46" i="57"/>
  <c r="C47" i="24"/>
  <c r="H47" i="24"/>
  <c r="AG48" i="57"/>
  <c r="C49" i="24"/>
  <c r="H49" i="24"/>
  <c r="AG51" i="57"/>
  <c r="AI51" i="57"/>
  <c r="C52" i="24"/>
  <c r="H52" i="24"/>
  <c r="AG57" i="57"/>
  <c r="C58" i="24"/>
  <c r="H58" i="24"/>
  <c r="AG44" i="57"/>
  <c r="AI44" i="57"/>
  <c r="C45" i="24"/>
  <c r="H45" i="24"/>
  <c r="AG56" i="57"/>
  <c r="C57" i="24"/>
  <c r="H57" i="24"/>
  <c r="AG41" i="57"/>
  <c r="AB37" i="57"/>
  <c r="AD37" i="57"/>
  <c r="C42" i="24"/>
  <c r="H42" i="24"/>
  <c r="Q40" i="24"/>
  <c r="N28" i="23"/>
  <c r="V28" i="72"/>
  <c r="X28" i="72"/>
  <c r="AB35" i="57"/>
  <c r="AD35" i="57"/>
  <c r="AI39" i="57"/>
  <c r="L24" i="20"/>
  <c r="R24" i="20"/>
  <c r="L24" i="22"/>
  <c r="R24" i="19"/>
  <c r="L18" i="20"/>
  <c r="R18" i="20"/>
  <c r="L18" i="22"/>
  <c r="R18" i="19"/>
  <c r="G33" i="23"/>
  <c r="R33" i="22"/>
  <c r="AB53" i="57"/>
  <c r="AD53" i="57"/>
  <c r="AI57" i="57"/>
  <c r="AB48" i="57"/>
  <c r="AD48" i="57"/>
  <c r="AI52" i="57"/>
  <c r="Q16" i="71"/>
  <c r="G32" i="55"/>
  <c r="G55" i="55"/>
  <c r="H55" i="55"/>
  <c r="H13" i="55"/>
  <c r="H32" i="55"/>
  <c r="H56" i="55"/>
  <c r="L17" i="20"/>
  <c r="R17" i="20"/>
  <c r="L17" i="22"/>
  <c r="R17" i="19"/>
  <c r="Q29" i="23"/>
  <c r="G27" i="23"/>
  <c r="G35" i="22"/>
  <c r="R27" i="22"/>
  <c r="L22" i="20"/>
  <c r="R22" i="20"/>
  <c r="L22" i="22"/>
  <c r="R22" i="19"/>
  <c r="AB49" i="57"/>
  <c r="AD49" i="57"/>
  <c r="E41" i="69"/>
  <c r="R58" i="20"/>
  <c r="Q30" i="23"/>
  <c r="F84" i="50"/>
  <c r="H66" i="50"/>
  <c r="N23" i="23"/>
  <c r="V23" i="72"/>
  <c r="X23" i="72"/>
  <c r="AB43" i="57"/>
  <c r="AD43" i="57"/>
  <c r="AB44" i="57"/>
  <c r="AD44" i="57"/>
  <c r="AI48" i="57"/>
  <c r="AB52" i="57"/>
  <c r="AD52" i="57"/>
  <c r="AI56" i="57"/>
  <c r="L20" i="20"/>
  <c r="R20" i="20"/>
  <c r="L20" i="22"/>
  <c r="R20" i="19"/>
  <c r="L25" i="20"/>
  <c r="R25" i="20"/>
  <c r="L25" i="22"/>
  <c r="R25" i="19"/>
  <c r="L26" i="20"/>
  <c r="R26" i="20"/>
  <c r="L26" i="22"/>
  <c r="R26" i="19"/>
  <c r="L32" i="20"/>
  <c r="R32" i="20"/>
  <c r="L32" i="22"/>
  <c r="R32" i="19"/>
  <c r="L21" i="20"/>
  <c r="R21" i="20"/>
  <c r="L21" i="22"/>
  <c r="R21" i="19"/>
  <c r="D84" i="50"/>
  <c r="G66" i="50"/>
  <c r="L19" i="20"/>
  <c r="R19" i="20"/>
  <c r="L19" i="22"/>
  <c r="R19" i="19"/>
  <c r="Q34" i="23"/>
  <c r="C35" i="24"/>
  <c r="H35" i="24"/>
  <c r="X41" i="72"/>
  <c r="G31" i="23"/>
  <c r="R31" i="22"/>
  <c r="AI55" i="57"/>
  <c r="AB45" i="57"/>
  <c r="AD45" i="57"/>
  <c r="AB47" i="57"/>
  <c r="AD47" i="57"/>
  <c r="AB40" i="57"/>
  <c r="AD40" i="57"/>
  <c r="AB42" i="57"/>
  <c r="AD42" i="57"/>
  <c r="P50" i="24"/>
  <c r="I50" i="24"/>
  <c r="Q50" i="24"/>
  <c r="P57" i="24"/>
  <c r="I57" i="24"/>
  <c r="Q57" i="24"/>
  <c r="P49" i="24"/>
  <c r="I49" i="24"/>
  <c r="Q49" i="24"/>
  <c r="P48" i="24"/>
  <c r="I48" i="24"/>
  <c r="Q48" i="24"/>
  <c r="I51" i="24"/>
  <c r="Q51" i="24"/>
  <c r="P51" i="24"/>
  <c r="P53" i="24"/>
  <c r="I53" i="24"/>
  <c r="Q53" i="24"/>
  <c r="AG30" i="57"/>
  <c r="AI30" i="57"/>
  <c r="C31" i="24"/>
  <c r="H31" i="24"/>
  <c r="P56" i="24"/>
  <c r="I56" i="24"/>
  <c r="Q56" i="24"/>
  <c r="P54" i="24"/>
  <c r="I54" i="24"/>
  <c r="Q54" i="24"/>
  <c r="AG29" i="57"/>
  <c r="AB21" i="57"/>
  <c r="AD21" i="57"/>
  <c r="C30" i="24"/>
  <c r="H30" i="24"/>
  <c r="AI41" i="57"/>
  <c r="P58" i="24"/>
  <c r="I58" i="24"/>
  <c r="Q58" i="24"/>
  <c r="I35" i="24"/>
  <c r="Q35" i="24"/>
  <c r="P35" i="24"/>
  <c r="AI50" i="57"/>
  <c r="AI54" i="57"/>
  <c r="I42" i="24"/>
  <c r="P42" i="24"/>
  <c r="P45" i="24"/>
  <c r="I45" i="24"/>
  <c r="Q45" i="24"/>
  <c r="I52" i="24"/>
  <c r="Q52" i="24"/>
  <c r="P52" i="24"/>
  <c r="I47" i="24"/>
  <c r="Q47" i="24"/>
  <c r="P47" i="24"/>
  <c r="I55" i="24"/>
  <c r="Q55" i="24"/>
  <c r="P55" i="24"/>
  <c r="E31" i="72"/>
  <c r="N31" i="23"/>
  <c r="V31" i="72"/>
  <c r="C28" i="33"/>
  <c r="E27" i="72"/>
  <c r="G35" i="23"/>
  <c r="N27" i="23"/>
  <c r="V27" i="72"/>
  <c r="I18" i="23"/>
  <c r="R18" i="22"/>
  <c r="I19" i="23"/>
  <c r="R19" i="22"/>
  <c r="I32" i="23"/>
  <c r="R32" i="22"/>
  <c r="I20" i="23"/>
  <c r="R20" i="22"/>
  <c r="I17" i="23"/>
  <c r="R17" i="22"/>
  <c r="L16" i="72"/>
  <c r="Q35" i="71"/>
  <c r="Q59" i="71"/>
  <c r="B23" i="33"/>
  <c r="L16" i="19"/>
  <c r="W16" i="71"/>
  <c r="W35" i="71"/>
  <c r="W59" i="71"/>
  <c r="W2" i="71"/>
  <c r="E33" i="72"/>
  <c r="N33" i="23"/>
  <c r="V33" i="72"/>
  <c r="Q28" i="23"/>
  <c r="C29" i="24"/>
  <c r="H29" i="24"/>
  <c r="I26" i="23"/>
  <c r="R26" i="22"/>
  <c r="I21" i="23"/>
  <c r="R21" i="22"/>
  <c r="Q23" i="23"/>
  <c r="C24" i="24"/>
  <c r="H24" i="24"/>
  <c r="F41" i="69"/>
  <c r="E56" i="69"/>
  <c r="AG34" i="57"/>
  <c r="E19" i="68"/>
  <c r="F19" i="68"/>
  <c r="I25" i="23"/>
  <c r="R25" i="22"/>
  <c r="I22" i="23"/>
  <c r="R22" i="22"/>
  <c r="I24" i="23"/>
  <c r="R24" i="22"/>
  <c r="AB22" i="57"/>
  <c r="AD22" i="57"/>
  <c r="AI29" i="57"/>
  <c r="Q31" i="23"/>
  <c r="AG31" i="57"/>
  <c r="I31" i="24"/>
  <c r="Q31" i="24"/>
  <c r="P31" i="24"/>
  <c r="I29" i="24"/>
  <c r="Q29" i="24"/>
  <c r="P29" i="24"/>
  <c r="I24" i="24"/>
  <c r="Q24" i="24"/>
  <c r="P24" i="24"/>
  <c r="Q42" i="24"/>
  <c r="I30" i="24"/>
  <c r="Q30" i="24"/>
  <c r="P30" i="24"/>
  <c r="N17" i="23"/>
  <c r="V17" i="72"/>
  <c r="X17" i="72"/>
  <c r="N26" i="23"/>
  <c r="V26" i="72"/>
  <c r="X26" i="72"/>
  <c r="C32" i="33"/>
  <c r="N25" i="23"/>
  <c r="V25" i="72"/>
  <c r="X25" i="72"/>
  <c r="X33" i="72"/>
  <c r="Q27" i="23"/>
  <c r="AG28" i="57"/>
  <c r="E18" i="68"/>
  <c r="F18" i="68"/>
  <c r="L35" i="72"/>
  <c r="L59" i="72"/>
  <c r="N21" i="23"/>
  <c r="V21" i="72"/>
  <c r="X21" i="72"/>
  <c r="K23" i="33"/>
  <c r="L23" i="33"/>
  <c r="M1" i="23"/>
  <c r="N20" i="23"/>
  <c r="Q20" i="23"/>
  <c r="C21" i="24"/>
  <c r="H21" i="24"/>
  <c r="N24" i="23"/>
  <c r="V24" i="72"/>
  <c r="X24" i="72"/>
  <c r="H45" i="22"/>
  <c r="F56" i="69"/>
  <c r="Q61" i="71"/>
  <c r="R62" i="71"/>
  <c r="R63" i="71"/>
  <c r="W60" i="71"/>
  <c r="N19" i="23"/>
  <c r="V19" i="72"/>
  <c r="X19" i="72"/>
  <c r="AG23" i="57"/>
  <c r="E8" i="68"/>
  <c r="N22" i="23"/>
  <c r="V22" i="72"/>
  <c r="X22" i="72"/>
  <c r="AB20" i="57"/>
  <c r="AD20" i="57"/>
  <c r="AI34" i="57"/>
  <c r="Q33" i="23"/>
  <c r="L16" i="20"/>
  <c r="L16" i="22"/>
  <c r="L35" i="19"/>
  <c r="L59" i="19"/>
  <c r="R16" i="19"/>
  <c r="R35" i="19"/>
  <c r="R59" i="19"/>
  <c r="N32" i="23"/>
  <c r="V32" i="72"/>
  <c r="X32" i="72"/>
  <c r="N18" i="23"/>
  <c r="V18" i="72"/>
  <c r="X18" i="72"/>
  <c r="X27" i="72"/>
  <c r="E35" i="72"/>
  <c r="X31" i="72"/>
  <c r="C32" i="24"/>
  <c r="H32" i="24"/>
  <c r="Q32" i="23"/>
  <c r="C33" i="24"/>
  <c r="H33" i="24"/>
  <c r="P33" i="24"/>
  <c r="AI31" i="57"/>
  <c r="AB33" i="57"/>
  <c r="AD33" i="57"/>
  <c r="AG33" i="57"/>
  <c r="AB34" i="57"/>
  <c r="AD34" i="57"/>
  <c r="C34" i="24"/>
  <c r="H34" i="24"/>
  <c r="I32" i="24"/>
  <c r="Q32" i="24"/>
  <c r="P32" i="24"/>
  <c r="AG27" i="57"/>
  <c r="AB32" i="57"/>
  <c r="AD32" i="57"/>
  <c r="C28" i="24"/>
  <c r="H28" i="24"/>
  <c r="P21" i="24"/>
  <c r="I21" i="24"/>
  <c r="Q21" i="24"/>
  <c r="Q22" i="23"/>
  <c r="C23" i="24"/>
  <c r="H23" i="24"/>
  <c r="AG20" i="57"/>
  <c r="E14" i="68"/>
  <c r="F14" i="68"/>
  <c r="F8" i="68"/>
  <c r="L8" i="68"/>
  <c r="L21" i="68"/>
  <c r="C12" i="67"/>
  <c r="K8" i="68"/>
  <c r="K21" i="68"/>
  <c r="C11" i="67"/>
  <c r="Q26" i="23"/>
  <c r="C27" i="24"/>
  <c r="H27" i="24"/>
  <c r="R60" i="19"/>
  <c r="T2" i="19"/>
  <c r="Q21" i="23"/>
  <c r="C22" i="24"/>
  <c r="H22" i="24"/>
  <c r="Q25" i="23"/>
  <c r="C26" i="24"/>
  <c r="H26" i="24"/>
  <c r="I16" i="23"/>
  <c r="L35" i="22"/>
  <c r="L59" i="22"/>
  <c r="R16" i="22"/>
  <c r="R35" i="22"/>
  <c r="Q19" i="23"/>
  <c r="C20" i="24"/>
  <c r="H20" i="24"/>
  <c r="Q24" i="23"/>
  <c r="C25" i="24"/>
  <c r="H25" i="24"/>
  <c r="AI33" i="57"/>
  <c r="Q18" i="23"/>
  <c r="C19" i="24"/>
  <c r="H19" i="24"/>
  <c r="E1" i="57"/>
  <c r="C48" i="36"/>
  <c r="AB18" i="57"/>
  <c r="AD18" i="57"/>
  <c r="AI28" i="57"/>
  <c r="AG32" i="57"/>
  <c r="AB14" i="57"/>
  <c r="AD14" i="57"/>
  <c r="AI23" i="57"/>
  <c r="G45" i="23"/>
  <c r="R45" i="22"/>
  <c r="R58" i="22"/>
  <c r="H58" i="22"/>
  <c r="H59" i="22"/>
  <c r="L35" i="20"/>
  <c r="L59" i="20"/>
  <c r="R16" i="20"/>
  <c r="R35" i="20"/>
  <c r="R59" i="20"/>
  <c r="B31" i="33"/>
  <c r="V20" i="72"/>
  <c r="X20" i="72"/>
  <c r="Q17" i="23"/>
  <c r="C18" i="24"/>
  <c r="H18" i="24"/>
  <c r="I33" i="24"/>
  <c r="Q33" i="24"/>
  <c r="E20" i="68"/>
  <c r="F20" i="68"/>
  <c r="P25" i="24"/>
  <c r="I25" i="24"/>
  <c r="Q25" i="24"/>
  <c r="I20" i="24"/>
  <c r="Q20" i="24"/>
  <c r="P20" i="24"/>
  <c r="I23" i="24"/>
  <c r="Q23" i="24"/>
  <c r="P23" i="24"/>
  <c r="I27" i="24"/>
  <c r="Q27" i="24"/>
  <c r="P27" i="24"/>
  <c r="AI27" i="57"/>
  <c r="I22" i="24"/>
  <c r="Q22" i="24"/>
  <c r="P22" i="24"/>
  <c r="E9" i="68"/>
  <c r="F9" i="68"/>
  <c r="I34" i="24"/>
  <c r="Q34" i="24"/>
  <c r="P34" i="24"/>
  <c r="I26" i="24"/>
  <c r="Q26" i="24"/>
  <c r="P26" i="24"/>
  <c r="I18" i="24"/>
  <c r="Q18" i="24"/>
  <c r="P18" i="24"/>
  <c r="I19" i="24"/>
  <c r="Q19" i="24"/>
  <c r="P19" i="24"/>
  <c r="AG22" i="57"/>
  <c r="AI22" i="57"/>
  <c r="I28" i="24"/>
  <c r="Q28" i="24"/>
  <c r="P28" i="24"/>
  <c r="AG24" i="57"/>
  <c r="E13" i="68"/>
  <c r="F13" i="68"/>
  <c r="AG25" i="57"/>
  <c r="E15" i="68"/>
  <c r="F15" i="68"/>
  <c r="AG17" i="57"/>
  <c r="E7" i="68"/>
  <c r="F7" i="68"/>
  <c r="AG21" i="57"/>
  <c r="E10" i="68"/>
  <c r="F10" i="68"/>
  <c r="I35" i="23"/>
  <c r="I59" i="23"/>
  <c r="O62" i="23"/>
  <c r="O63" i="23"/>
  <c r="N16" i="23"/>
  <c r="Q16" i="23"/>
  <c r="C17" i="24"/>
  <c r="H17" i="24"/>
  <c r="B32" i="33"/>
  <c r="AG19" i="57"/>
  <c r="E12" i="68"/>
  <c r="F12" i="68"/>
  <c r="AG26" i="57"/>
  <c r="E16" i="68"/>
  <c r="F16" i="68"/>
  <c r="AB11" i="57"/>
  <c r="AD11" i="57"/>
  <c r="AI20" i="57"/>
  <c r="E45" i="72"/>
  <c r="Q45" i="23"/>
  <c r="C46" i="24"/>
  <c r="H46" i="24"/>
  <c r="G58" i="23"/>
  <c r="D28" i="33"/>
  <c r="AB19" i="57"/>
  <c r="AD19" i="57"/>
  <c r="AI32" i="57"/>
  <c r="R60" i="20"/>
  <c r="T3" i="20"/>
  <c r="H1" i="69"/>
  <c r="H2" i="69"/>
  <c r="G37" i="69" s="1"/>
  <c r="AG18" i="57"/>
  <c r="E11" i="68"/>
  <c r="F11" i="68"/>
  <c r="AB13" i="57"/>
  <c r="AD13" i="57"/>
  <c r="P46" i="24"/>
  <c r="P59" i="24"/>
  <c r="I46" i="24"/>
  <c r="H59" i="24"/>
  <c r="H36" i="24"/>
  <c r="I17" i="24"/>
  <c r="P17" i="24"/>
  <c r="P36" i="24"/>
  <c r="AG16" i="57"/>
  <c r="E6" i="68"/>
  <c r="F6" i="68"/>
  <c r="Q35" i="23"/>
  <c r="AB17" i="57"/>
  <c r="AD17" i="57"/>
  <c r="AI26" i="57"/>
  <c r="G49" i="69"/>
  <c r="H49" i="69" s="1"/>
  <c r="G42" i="69"/>
  <c r="H42" i="69" s="1"/>
  <c r="G53" i="69"/>
  <c r="H53" i="69" s="1"/>
  <c r="G46" i="69"/>
  <c r="H46" i="69" s="1"/>
  <c r="G51" i="69"/>
  <c r="H51" i="69" s="1"/>
  <c r="G52" i="69"/>
  <c r="H52" i="69" s="1"/>
  <c r="G43" i="69"/>
  <c r="H43" i="69" s="1"/>
  <c r="G47" i="69"/>
  <c r="H47" i="69" s="1"/>
  <c r="G50" i="69"/>
  <c r="H50" i="69" s="1"/>
  <c r="G45" i="69"/>
  <c r="H45" i="69" s="1"/>
  <c r="G48" i="69"/>
  <c r="H48" i="69" s="1"/>
  <c r="G40" i="69"/>
  <c r="H40" i="69" s="1"/>
  <c r="G44" i="69"/>
  <c r="H44" i="69" s="1"/>
  <c r="G41" i="69"/>
  <c r="H41" i="69" s="1"/>
  <c r="AB9" i="57"/>
  <c r="AD9" i="57"/>
  <c r="AI18" i="57"/>
  <c r="X45" i="72"/>
  <c r="X58" i="72"/>
  <c r="E58" i="72"/>
  <c r="D32" i="33"/>
  <c r="K28" i="33"/>
  <c r="V16" i="72"/>
  <c r="N8" i="23"/>
  <c r="N35" i="23"/>
  <c r="AB12" i="57"/>
  <c r="AD12" i="57"/>
  <c r="AI21" i="57"/>
  <c r="AB16" i="57"/>
  <c r="AD16" i="57"/>
  <c r="AI25" i="57"/>
  <c r="AB10" i="57"/>
  <c r="AD10" i="57"/>
  <c r="AI19" i="57"/>
  <c r="AG45" i="57"/>
  <c r="Q58" i="23"/>
  <c r="AB8" i="57"/>
  <c r="AD8" i="57"/>
  <c r="AI17" i="57"/>
  <c r="AB15" i="57"/>
  <c r="AD15" i="57"/>
  <c r="AI24" i="57"/>
  <c r="L28" i="33"/>
  <c r="Q46" i="24"/>
  <c r="Q59" i="24"/>
  <c r="I59" i="24"/>
  <c r="Q17" i="24"/>
  <c r="Q36" i="24"/>
  <c r="I36" i="24"/>
  <c r="AB41" i="57"/>
  <c r="AD41" i="57"/>
  <c r="AI45" i="57"/>
  <c r="AI58" i="57"/>
  <c r="AG58" i="57"/>
  <c r="V35" i="72"/>
  <c r="X16" i="72"/>
  <c r="X35" i="72"/>
  <c r="V8" i="72"/>
  <c r="J31" i="33"/>
  <c r="K31" i="33"/>
  <c r="N59" i="23"/>
  <c r="AB7" i="57"/>
  <c r="AI16" i="57"/>
  <c r="AI35" i="57"/>
  <c r="AG35" i="57"/>
  <c r="AD7" i="57"/>
  <c r="V59" i="72"/>
  <c r="G56" i="69" l="1"/>
  <c r="G8" i="22" s="1"/>
  <c r="H37" i="69"/>
  <c r="H56" i="69" s="1"/>
  <c r="Q7" i="23"/>
  <c r="B7" i="72"/>
  <c r="C59" i="23"/>
  <c r="I15" i="33"/>
  <c r="AG7" i="57" l="1"/>
  <c r="C8" i="24"/>
  <c r="I32" i="33"/>
  <c r="K15" i="33"/>
  <c r="L15" i="33" s="1"/>
  <c r="X7" i="72"/>
  <c r="B59" i="72"/>
  <c r="G59" i="22"/>
  <c r="R8" i="22"/>
  <c r="R59" i="22" s="1"/>
  <c r="T3" i="22" s="1"/>
  <c r="G8" i="23"/>
  <c r="G59" i="23" l="1"/>
  <c r="Q8" i="23"/>
  <c r="E8" i="72"/>
  <c r="J11" i="33"/>
  <c r="AB56" i="57"/>
  <c r="R61" i="22"/>
  <c r="R60" i="22"/>
  <c r="X8" i="72" l="1"/>
  <c r="X59" i="72" s="1"/>
  <c r="E59" i="72"/>
  <c r="X60" i="72" s="1"/>
  <c r="AG8" i="57"/>
  <c r="C9" i="24"/>
  <c r="H7" i="24" s="1"/>
  <c r="Q59" i="23"/>
  <c r="J32" i="33"/>
  <c r="K11" i="33"/>
  <c r="I7" i="24" l="1"/>
  <c r="H60" i="24"/>
  <c r="P7" i="24"/>
  <c r="P60" i="24" s="1"/>
  <c r="AB57" i="57"/>
  <c r="AB60" i="57" s="1"/>
  <c r="AG59" i="57"/>
  <c r="AG61" i="57" s="1"/>
  <c r="AI6" i="57"/>
  <c r="K32" i="33"/>
  <c r="C6" i="36"/>
  <c r="V3" i="23"/>
  <c r="K34" i="33"/>
  <c r="L11" i="33"/>
  <c r="L32" i="33" s="1"/>
  <c r="E33" i="33" l="1"/>
  <c r="D33" i="33"/>
  <c r="F33" i="33"/>
  <c r="B33" i="33"/>
  <c r="K33" i="33" s="1"/>
  <c r="H33" i="33"/>
  <c r="G33" i="33"/>
  <c r="C33" i="33"/>
  <c r="I33" i="33"/>
  <c r="J33" i="33"/>
  <c r="I60" i="24"/>
  <c r="Q7" i="24"/>
  <c r="Q60" i="24" s="1"/>
</calcChain>
</file>

<file path=xl/comments1.xml><?xml version="1.0" encoding="utf-8"?>
<comments xmlns="http://schemas.openxmlformats.org/spreadsheetml/2006/main">
  <authors>
    <author>Support</author>
  </authors>
  <commentList>
    <comment ref="I45" authorId="0" shapeId="0">
      <text>
        <r>
          <rPr>
            <b/>
            <sz val="9"/>
            <color indexed="81"/>
            <rFont val="Tahoma"/>
            <family val="2"/>
          </rPr>
          <t>Support:</t>
        </r>
        <r>
          <rPr>
            <sz val="9"/>
            <color indexed="81"/>
            <rFont val="Tahoma"/>
            <family val="2"/>
          </rPr>
          <t xml:space="preserve">
</t>
        </r>
        <r>
          <rPr>
            <sz val="11"/>
            <color indexed="81"/>
            <rFont val="Tahoma"/>
            <family val="2"/>
          </rPr>
          <t>-1,695,414 - change in fee waivers
+144,500 - move Grad School fee
                   waivers to fee remissions
                   category
600,000 - Ecampus &amp; Summer
53,679 - Vet Med</t>
        </r>
      </text>
    </comment>
  </commentList>
</comments>
</file>

<file path=xl/comments2.xml><?xml version="1.0" encoding="utf-8"?>
<comments xmlns="http://schemas.openxmlformats.org/spreadsheetml/2006/main">
  <authors>
    <author>Sherm Bloomer</author>
    <author>Support</author>
  </authors>
  <commentList>
    <comment ref="R29" authorId="0" shapeId="0">
      <text>
        <r>
          <rPr>
            <b/>
            <sz val="10"/>
            <color indexed="81"/>
            <rFont val="Calibri"/>
            <family val="2"/>
          </rPr>
          <t xml:space="preserve">Sherm Bloomer:upport:  
</t>
        </r>
        <r>
          <rPr>
            <sz val="10"/>
            <color indexed="81"/>
            <rFont val="Calibri"/>
            <family val="2"/>
          </rPr>
          <t>19,285,225 - FY17 Base
    187,337 - FY18 Raise rollover
    126,639 - Retirement benefit incr
   (312,226) - Budget Cut
178,434 FY19 Rasie Rollup
1,350,088 FY19 7% increase over FY18 projections
 (700,000) - Fee Waivers</t>
        </r>
        <r>
          <rPr>
            <b/>
            <sz val="10"/>
            <color indexed="81"/>
            <rFont val="Calibri"/>
            <family val="2"/>
          </rPr>
          <t xml:space="preserve">
</t>
        </r>
        <r>
          <rPr>
            <sz val="10"/>
            <color indexed="81"/>
            <rFont val="Calibri"/>
            <family val="2"/>
          </rPr>
          <t xml:space="preserve">
</t>
        </r>
      </text>
    </comment>
    <comment ref="R31" authorId="0" shapeId="0">
      <text>
        <r>
          <rPr>
            <b/>
            <sz val="10"/>
            <color rgb="FF000000"/>
            <rFont val="Tahoma"/>
            <family val="2"/>
          </rPr>
          <t>Sherm Bloomer:</t>
        </r>
        <r>
          <rPr>
            <sz val="10"/>
            <color rgb="FF000000"/>
            <rFont val="Tahoma"/>
            <family val="2"/>
          </rPr>
          <t xml:space="preserve">
</t>
        </r>
        <r>
          <rPr>
            <sz val="10"/>
            <color rgb="FF000000"/>
            <rFont val="Tahoma"/>
            <family val="2"/>
          </rPr>
          <t xml:space="preserve">Initial fee of 4.132,700
</t>
        </r>
        <r>
          <rPr>
            <sz val="10"/>
            <color rgb="FF000000"/>
            <rFont val="Tahoma"/>
            <family val="2"/>
          </rPr>
          <t xml:space="preserve">464000 to Student Affairs with International Student Faculty Svcs
</t>
        </r>
        <r>
          <rPr>
            <sz val="10"/>
            <color rgb="FF000000"/>
            <rFont val="Tahoma"/>
            <family val="2"/>
          </rPr>
          <t>3665200 to DUE with OSU GO</t>
        </r>
      </text>
    </comment>
    <comment ref="T50" authorId="1" shapeId="0">
      <text>
        <r>
          <rPr>
            <b/>
            <sz val="9"/>
            <color rgb="FF000000"/>
            <rFont val="Tahoma"/>
            <family val="2"/>
          </rPr>
          <t>Support:</t>
        </r>
        <r>
          <rPr>
            <sz val="9"/>
            <color rgb="FF000000"/>
            <rFont val="Tahoma"/>
            <family val="2"/>
          </rPr>
          <t xml:space="preserve">
</t>
        </r>
        <r>
          <rPr>
            <sz val="9"/>
            <color rgb="FF000000"/>
            <rFont val="Tahoma"/>
            <family val="2"/>
          </rPr>
          <t xml:space="preserve">637,000 - Research Office (Gen Adm)
</t>
        </r>
        <r>
          <rPr>
            <sz val="9"/>
            <color rgb="FF000000"/>
            <rFont val="Tahoma"/>
            <family val="2"/>
          </rPr>
          <t xml:space="preserve">700,000 - Research Adm (Sponsored Proj)
</t>
        </r>
        <r>
          <rPr>
            <sz val="9"/>
            <color rgb="FF000000"/>
            <rFont val="Tahoma"/>
            <family val="2"/>
          </rPr>
          <t>1,190,000 - (OPAA)</t>
        </r>
      </text>
    </comment>
    <comment ref="T53" authorId="1" shapeId="0">
      <text>
        <r>
          <rPr>
            <b/>
            <sz val="9"/>
            <color rgb="FF000000"/>
            <rFont val="Tahoma"/>
            <family val="2"/>
          </rPr>
          <t>Support:</t>
        </r>
        <r>
          <rPr>
            <sz val="9"/>
            <color rgb="FF000000"/>
            <rFont val="Tahoma"/>
            <family val="2"/>
          </rPr>
          <t xml:space="preserve">
</t>
        </r>
        <r>
          <rPr>
            <sz val="9"/>
            <color rgb="FF000000"/>
            <rFont val="Tahoma"/>
            <family val="2"/>
          </rPr>
          <t xml:space="preserve">924,000 - Bus Aff
</t>
        </r>
        <r>
          <rPr>
            <sz val="9"/>
            <color rgb="FF000000"/>
            <rFont val="Tahoma"/>
            <family val="2"/>
          </rPr>
          <t>1,190,000 - OPAA</t>
        </r>
      </text>
    </comment>
    <comment ref="T54" authorId="1" shapeId="0">
      <text>
        <r>
          <rPr>
            <b/>
            <sz val="9"/>
            <color rgb="FF000000"/>
            <rFont val="Tahoma"/>
            <family val="2"/>
          </rPr>
          <t>Support:</t>
        </r>
        <r>
          <rPr>
            <sz val="9"/>
            <color rgb="FF000000"/>
            <rFont val="Tahoma"/>
            <family val="2"/>
          </rPr>
          <t xml:space="preserve">
</t>
        </r>
        <r>
          <rPr>
            <sz val="9"/>
            <color rgb="FF000000"/>
            <rFont val="Tahoma"/>
            <family val="2"/>
          </rPr>
          <t xml:space="preserve">3,825,000 - O&amp;M
</t>
        </r>
        <r>
          <rPr>
            <sz val="9"/>
            <color rgb="FF000000"/>
            <rFont val="Tahoma"/>
            <family val="2"/>
          </rPr>
          <t xml:space="preserve">   900,000 - Bldg Allow
</t>
        </r>
        <r>
          <rPr>
            <sz val="9"/>
            <color rgb="FF000000"/>
            <rFont val="Tahoma"/>
            <family val="2"/>
          </rPr>
          <t xml:space="preserve">-600,000 - Move to Cap
</t>
        </r>
        <r>
          <rPr>
            <sz val="9"/>
            <color rgb="FF000000"/>
            <rFont val="Tahoma"/>
            <family val="2"/>
          </rPr>
          <t xml:space="preserve">                Planning
</t>
        </r>
        <r>
          <rPr>
            <sz val="9"/>
            <color rgb="FF000000"/>
            <rFont val="Tahoma"/>
            <family val="2"/>
          </rPr>
          <t xml:space="preserve">
</t>
        </r>
      </text>
    </comment>
  </commentList>
</comments>
</file>

<file path=xl/comments3.xml><?xml version="1.0" encoding="utf-8"?>
<comments xmlns="http://schemas.openxmlformats.org/spreadsheetml/2006/main">
  <authors>
    <author>Terri Cook</author>
  </authors>
  <commentList>
    <comment ref="Q6" authorId="0" shapeId="0">
      <text>
        <r>
          <rPr>
            <b/>
            <sz val="9"/>
            <color indexed="81"/>
            <rFont val="Tahoma"/>
            <family val="2"/>
          </rPr>
          <t>Terri Cook:</t>
        </r>
        <r>
          <rPr>
            <sz val="9"/>
            <color indexed="81"/>
            <rFont val="Tahoma"/>
            <family val="2"/>
          </rPr>
          <t xml:space="preserve">
490,255 - Previous Ecampus Reserve
-2189272 - Amt of Ecampus Revenue in various base
                budgets through rebasing
-617,220 - FY14 transfer of Ecampus reserve to F&amp;A Base
-322,780 - FY14 transfer of Summer reserve to F&amp;A Base
NOTE:  Cells B7 + H7 + I7 should equal the total of G33 + G34 on
           the IM page
</t>
        </r>
      </text>
    </comment>
  </commentList>
</comments>
</file>

<file path=xl/comments4.xml><?xml version="1.0" encoding="utf-8"?>
<comments xmlns="http://schemas.openxmlformats.org/spreadsheetml/2006/main">
  <authors>
    <author>Real, Nicole</author>
    <author>Nicci</author>
  </authors>
  <commentList>
    <comment ref="V14" authorId="0" shapeId="0">
      <text>
        <r>
          <rPr>
            <b/>
            <sz val="9"/>
            <color indexed="81"/>
            <rFont val="Tahoma"/>
            <family val="2"/>
          </rPr>
          <t>Real, Nicole:</t>
        </r>
        <r>
          <rPr>
            <sz val="9"/>
            <color indexed="81"/>
            <rFont val="Tahoma"/>
            <family val="2"/>
          </rPr>
          <t xml:space="preserve">
reduced per F&amp;A recovery worksheet</t>
        </r>
      </text>
    </comment>
    <comment ref="V21" authorId="1" shapeId="0">
      <text>
        <r>
          <rPr>
            <b/>
            <sz val="9"/>
            <color indexed="81"/>
            <rFont val="Tahoma"/>
            <family val="2"/>
          </rPr>
          <t>Nicci:</t>
        </r>
        <r>
          <rPr>
            <sz val="9"/>
            <color indexed="81"/>
            <rFont val="Tahoma"/>
            <family val="2"/>
          </rPr>
          <t xml:space="preserve">
Used 50% FY18 total of $5,306,549 (FY19 Based Budg Detail) = $2,653,275 and then bumped up to be conservative</t>
        </r>
      </text>
    </comment>
    <comment ref="V22" authorId="1" shapeId="0">
      <text>
        <r>
          <rPr>
            <b/>
            <sz val="9"/>
            <color indexed="81"/>
            <rFont val="Tahoma"/>
            <family val="2"/>
          </rPr>
          <t>Nicci:</t>
        </r>
        <r>
          <rPr>
            <sz val="9"/>
            <color indexed="81"/>
            <rFont val="Tahoma"/>
            <family val="2"/>
          </rPr>
          <t xml:space="preserve">
Used 50% FY18 total of $1,734,021 (FY19 Based Budg Detail) = $867,011 and then bumped up to be conservative</t>
        </r>
      </text>
    </comment>
    <comment ref="V39" authorId="1" shapeId="0">
      <text>
        <r>
          <rPr>
            <b/>
            <sz val="9"/>
            <color indexed="81"/>
            <rFont val="Tahoma"/>
            <family val="2"/>
          </rPr>
          <t>Nicci:</t>
        </r>
        <r>
          <rPr>
            <sz val="9"/>
            <color indexed="81"/>
            <rFont val="Tahoma"/>
            <family val="2"/>
          </rPr>
          <t xml:space="preserve">
$1,487,320 - Moved to F&amp;A recovery contribution - central reserve</t>
        </r>
      </text>
    </comment>
    <comment ref="V51" authorId="0" shapeId="0">
      <text>
        <r>
          <rPr>
            <b/>
            <sz val="9"/>
            <color indexed="81"/>
            <rFont val="Tahoma"/>
            <family val="2"/>
          </rPr>
          <t>Real, Nicole:</t>
        </r>
        <r>
          <rPr>
            <sz val="9"/>
            <color indexed="81"/>
            <rFont val="Tahoma"/>
            <family val="2"/>
          </rPr>
          <t xml:space="preserve">
UP = $50k/mo
HP = $250k</t>
        </r>
      </text>
    </comment>
    <comment ref="V52" authorId="0" shapeId="0">
      <text>
        <r>
          <rPr>
            <b/>
            <sz val="9"/>
            <color indexed="81"/>
            <rFont val="Tahoma"/>
            <family val="2"/>
          </rPr>
          <t>Real, Nicole:</t>
        </r>
        <r>
          <rPr>
            <sz val="9"/>
            <color indexed="81"/>
            <rFont val="Tahoma"/>
            <family val="2"/>
          </rPr>
          <t xml:space="preserve">
Base rent is $115,234.58/mo
Op Ex are $9.38/SqFt 
Sq Ft = 39,509
FY19 - Have a rent abatement credit of $806,642.08 that will offset base rent only for first year.
Add'l paid first month's rent in December 2017
Also, lease begins August 2018 timeframe (so not a full year)
Rent abatement = 7 months of base rent payments
Annual operating expenses = $370,594.42
Remaining months of FY19 for rent Apr - June = $345,703.74
Total $716,298.16 rounded up to $740,000
Questions - Nicole Neuschwander</t>
        </r>
      </text>
    </comment>
    <comment ref="V57" authorId="1" shapeId="0">
      <text>
        <r>
          <rPr>
            <b/>
            <sz val="9"/>
            <color indexed="81"/>
            <rFont val="Tahoma"/>
            <family val="2"/>
          </rPr>
          <t>Nicci:</t>
        </r>
        <r>
          <rPr>
            <sz val="9"/>
            <color indexed="81"/>
            <rFont val="Tahoma"/>
            <family val="2"/>
          </rPr>
          <t xml:space="preserve">
New hire in Vet Med FY18 - $163,586
30% pharmacy position - $13,703
70% science position - $31,974
Remaining amount of $168,913 moved to targeted funds (Vet Med)
</t>
        </r>
      </text>
    </comment>
    <comment ref="V69" authorId="1" shapeId="0">
      <text>
        <r>
          <rPr>
            <b/>
            <sz val="9"/>
            <color indexed="81"/>
            <rFont val="Tahoma"/>
            <family val="2"/>
          </rPr>
          <t>Nicci:</t>
        </r>
        <r>
          <rPr>
            <sz val="9"/>
            <color indexed="81"/>
            <rFont val="Tahoma"/>
            <family val="2"/>
          </rPr>
          <t xml:space="preserve">
$1,487,320 moved from Assessments plus incremental amount for FY19 of $64,980</t>
        </r>
      </text>
    </comment>
  </commentList>
</comments>
</file>

<file path=xl/comments5.xml><?xml version="1.0" encoding="utf-8"?>
<comments xmlns="http://schemas.openxmlformats.org/spreadsheetml/2006/main">
  <authors>
    <author>Terri Cook</author>
    <author>Support</author>
  </authors>
  <commentList>
    <comment ref="C20" authorId="0" shapeId="0">
      <text>
        <r>
          <rPr>
            <b/>
            <sz val="8"/>
            <color rgb="FF000000"/>
            <rFont val="Tahoma"/>
            <family val="2"/>
          </rPr>
          <t>Terri Cook:</t>
        </r>
        <r>
          <rPr>
            <sz val="8"/>
            <color rgb="FF000000"/>
            <rFont val="Tahoma"/>
            <family val="2"/>
          </rPr>
          <t xml:space="preserve">
</t>
        </r>
        <r>
          <rPr>
            <sz val="8"/>
            <color rgb="FF000000"/>
            <rFont val="Tahoma"/>
            <family val="2"/>
          </rPr>
          <t xml:space="preserve">$250,000 Third year of 3 for 
</t>
        </r>
        <r>
          <rPr>
            <sz val="8"/>
            <color rgb="FF000000"/>
            <rFont val="Tahoma"/>
            <family val="2"/>
          </rPr>
          <t xml:space="preserve"> support for new dean
</t>
        </r>
      </text>
    </comment>
    <comment ref="C22" authorId="0" shapeId="0">
      <text>
        <r>
          <rPr>
            <b/>
            <sz val="9"/>
            <color rgb="FF000000"/>
            <rFont val="Tahoma"/>
            <family val="2"/>
          </rPr>
          <t>Terri Cook:</t>
        </r>
        <r>
          <rPr>
            <sz val="9"/>
            <color rgb="FF000000"/>
            <rFont val="Tahoma"/>
            <family val="2"/>
          </rPr>
          <t xml:space="preserve">
</t>
        </r>
        <r>
          <rPr>
            <sz val="9"/>
            <color rgb="FF000000"/>
            <rFont val="Tahoma"/>
            <family val="2"/>
          </rPr>
          <t>$#00,000 Yr 3 of 3 Env. Humanities</t>
        </r>
      </text>
    </comment>
    <comment ref="C23" authorId="1" shapeId="0">
      <text>
        <r>
          <rPr>
            <b/>
            <sz val="9"/>
            <color rgb="FF000000"/>
            <rFont val="Tahoma"/>
            <family val="2"/>
          </rPr>
          <t>Support:</t>
        </r>
        <r>
          <rPr>
            <sz val="9"/>
            <color rgb="FF000000"/>
            <rFont val="Tahoma"/>
            <family val="2"/>
          </rPr>
          <t xml:space="preserve">
</t>
        </r>
        <r>
          <rPr>
            <sz val="9"/>
            <color rgb="FF000000"/>
            <rFont val="Tahoma"/>
            <family val="2"/>
          </rPr>
          <t>Support for EVM position</t>
        </r>
      </text>
    </comment>
    <comment ref="C25" authorId="0" shapeId="0">
      <text>
        <r>
          <rPr>
            <b/>
            <sz val="9"/>
            <color rgb="FF000000"/>
            <rFont val="Tahoma"/>
            <family val="2"/>
          </rPr>
          <t>Terri Cook:</t>
        </r>
        <r>
          <rPr>
            <sz val="9"/>
            <color rgb="FF000000"/>
            <rFont val="Tahoma"/>
            <family val="2"/>
          </rPr>
          <t xml:space="preserve">
</t>
        </r>
        <r>
          <rPr>
            <sz val="9"/>
            <color rgb="FF000000"/>
            <rFont val="Tahoma"/>
            <family val="2"/>
          </rPr>
          <t xml:space="preserve">$500,000 support for Valley Chairs positions
</t>
        </r>
        <r>
          <rPr>
            <sz val="9"/>
            <color rgb="FF000000"/>
            <rFont val="Tahoma"/>
            <family val="2"/>
          </rPr>
          <t xml:space="preserve">$250,000 Higgenbotham support
</t>
        </r>
        <r>
          <rPr>
            <sz val="9"/>
            <color rgb="FF000000"/>
            <rFont val="Tahoma"/>
            <family val="2"/>
          </rPr>
          <t xml:space="preserve">$19,226 Pantula summer salary support
</t>
        </r>
        <r>
          <rPr>
            <sz val="9"/>
            <color rgb="FF000000"/>
            <rFont val="Tahoma"/>
            <family val="2"/>
          </rPr>
          <t xml:space="preserve">
</t>
        </r>
        <r>
          <rPr>
            <sz val="9"/>
            <color rgb="FF000000"/>
            <rFont val="Tahoma"/>
            <family val="2"/>
          </rPr>
          <t xml:space="preserve">              </t>
        </r>
      </text>
    </comment>
    <comment ref="C26" authorId="0" shapeId="0">
      <text>
        <r>
          <rPr>
            <b/>
            <sz val="8"/>
            <color rgb="FF000000"/>
            <rFont val="Tahoma"/>
            <family val="2"/>
          </rPr>
          <t>Terri Cook:</t>
        </r>
        <r>
          <rPr>
            <sz val="8"/>
            <color rgb="FF000000"/>
            <rFont val="Tahoma"/>
            <family val="2"/>
          </rPr>
          <t xml:space="preserve">
</t>
        </r>
        <r>
          <rPr>
            <sz val="8"/>
            <color rgb="FF000000"/>
            <rFont val="Tahoma"/>
            <family val="2"/>
          </rPr>
          <t xml:space="preserve">-48,085 - Estimated fee waivers
</t>
        </r>
        <r>
          <rPr>
            <sz val="8"/>
            <color rgb="FF000000"/>
            <rFont val="Tahoma"/>
            <family val="2"/>
          </rPr>
          <t xml:space="preserve">168,913 from IM Faculty Tenure/Tenure Track positions FY16 </t>
        </r>
      </text>
    </comment>
    <comment ref="C39" authorId="0" shapeId="0">
      <text>
        <r>
          <rPr>
            <b/>
            <sz val="9"/>
            <color rgb="FF000000"/>
            <rFont val="Tahoma"/>
            <family val="2"/>
          </rPr>
          <t xml:space="preserve">Terri Cook:
</t>
        </r>
        <r>
          <rPr>
            <b/>
            <sz val="9"/>
            <color rgb="FF000000"/>
            <rFont val="Tahoma"/>
            <family val="2"/>
          </rPr>
          <t xml:space="preserve">$300,000 -5th year of 5 years - Equity &amp; Inclusion - ADA 
</t>
        </r>
        <r>
          <rPr>
            <b/>
            <sz val="9"/>
            <color rgb="FF000000"/>
            <rFont val="Tahoma"/>
            <family val="2"/>
          </rPr>
          <t xml:space="preserve">   Assessment - FY18 is last year
</t>
        </r>
        <r>
          <rPr>
            <b/>
            <sz val="9"/>
            <color rgb="FF000000"/>
            <rFont val="Tahoma"/>
            <family val="2"/>
          </rPr>
          <t xml:space="preserve">-300,000 - Deferring FY18 amount to FY19
</t>
        </r>
        <r>
          <rPr>
            <b/>
            <sz val="9"/>
            <color rgb="FF000000"/>
            <rFont val="Tahoma"/>
            <family val="2"/>
          </rPr>
          <t xml:space="preserve">$300,000 - Funding FY19 based on FY18 Deferral above
</t>
        </r>
        <r>
          <rPr>
            <b/>
            <sz val="9"/>
            <color rgb="FF000000"/>
            <rFont val="Tahoma"/>
            <family val="2"/>
          </rPr>
          <t xml:space="preserve">$20,000 - Eastern Promise Replication Grant
</t>
        </r>
      </text>
    </comment>
    <comment ref="C41" authorId="0" shapeId="0">
      <text>
        <r>
          <rPr>
            <b/>
            <sz val="9"/>
            <color rgb="FF000000"/>
            <rFont val="Tahoma"/>
            <family val="2"/>
          </rPr>
          <t>Terri Cook:</t>
        </r>
        <r>
          <rPr>
            <sz val="9"/>
            <color rgb="FF000000"/>
            <rFont val="Tahoma"/>
            <family val="2"/>
          </rPr>
          <t xml:space="preserve">
</t>
        </r>
        <r>
          <rPr>
            <sz val="9"/>
            <color rgb="FF000000"/>
            <rFont val="Tahoma"/>
            <family val="2"/>
          </rPr>
          <t xml:space="preserve">26,585 DAS Shuttle
</t>
        </r>
        <r>
          <rPr>
            <sz val="9"/>
            <color rgb="FF000000"/>
            <rFont val="Tahoma"/>
            <family val="2"/>
          </rPr>
          <t xml:space="preserve">
</t>
        </r>
        <r>
          <rPr>
            <sz val="9"/>
            <color rgb="FF000000"/>
            <rFont val="Tahoma"/>
            <family val="2"/>
          </rPr>
          <t xml:space="preserve">
</t>
        </r>
      </text>
    </comment>
    <comment ref="C43" authorId="0" shapeId="0">
      <text>
        <r>
          <rPr>
            <b/>
            <sz val="8"/>
            <color rgb="FF000000"/>
            <rFont val="Tahoma"/>
            <family val="2"/>
          </rPr>
          <t>Terri Cook:</t>
        </r>
        <r>
          <rPr>
            <sz val="8"/>
            <color rgb="FF000000"/>
            <rFont val="Tahoma"/>
            <family val="2"/>
          </rPr>
          <t xml:space="preserve">
</t>
        </r>
        <r>
          <rPr>
            <sz val="8"/>
            <color rgb="FF000000"/>
            <rFont val="Tahoma"/>
            <family val="2"/>
          </rPr>
          <t xml:space="preserve">Terri Cook:
</t>
        </r>
        <r>
          <rPr>
            <sz val="8"/>
            <color rgb="FF000000"/>
            <rFont val="Tahoma"/>
            <family val="2"/>
          </rPr>
          <t xml:space="preserve">$300,000 - Diversity
</t>
        </r>
        <r>
          <rPr>
            <sz val="8"/>
            <color rgb="FF000000"/>
            <rFont val="Tahoma"/>
            <family val="2"/>
          </rPr>
          <t xml:space="preserve">$55,000 - Promise Prog
</t>
        </r>
        <r>
          <rPr>
            <sz val="8"/>
            <color rgb="FF000000"/>
            <rFont val="Tahoma"/>
            <family val="2"/>
          </rPr>
          <t xml:space="preserve">+20,000 - University Days funding (from Univ Adv)
</t>
        </r>
        <r>
          <rPr>
            <sz val="8"/>
            <color rgb="FF000000"/>
            <rFont val="Tahoma"/>
            <family val="2"/>
          </rPr>
          <t xml:space="preserve">5,500,000 - Athletics total for FY18
</t>
        </r>
        <r>
          <rPr>
            <sz val="8"/>
            <color rgb="FF000000"/>
            <rFont val="Tahoma"/>
            <family val="2"/>
          </rPr>
          <t xml:space="preserve">1,840,700- Athletics increase for FY19
</t>
        </r>
        <r>
          <rPr>
            <sz val="8"/>
            <color rgb="FF000000"/>
            <rFont val="Tahoma"/>
            <family val="2"/>
          </rPr>
          <t xml:space="preserve">25,000 - Phi Beta Kappa funding (targeted for this    
</t>
        </r>
        <r>
          <rPr>
            <sz val="8"/>
            <color rgb="FF000000"/>
            <rFont val="Tahoma"/>
            <family val="2"/>
          </rPr>
          <t xml:space="preserve">     year, can move to base later
</t>
        </r>
      </text>
    </comment>
    <comment ref="C47" authorId="1" shapeId="0">
      <text>
        <r>
          <rPr>
            <b/>
            <sz val="9"/>
            <color indexed="81"/>
            <rFont val="Tahoma"/>
            <family val="2"/>
          </rPr>
          <t>Support:</t>
        </r>
        <r>
          <rPr>
            <sz val="9"/>
            <color indexed="81"/>
            <rFont val="Tahoma"/>
            <family val="2"/>
          </rPr>
          <t xml:space="preserve">
</t>
        </r>
        <r>
          <rPr>
            <b/>
            <sz val="9"/>
            <color indexed="81"/>
            <rFont val="Tahoma"/>
            <family val="2"/>
          </rPr>
          <t xml:space="preserve">Cindy Alexis:
</t>
        </r>
        <r>
          <rPr>
            <sz val="9"/>
            <color indexed="81"/>
            <rFont val="Tahoma"/>
            <family val="2"/>
          </rPr>
          <t>$308,982 - One-time license charges and system upgrades
-</t>
        </r>
      </text>
    </comment>
    <comment ref="C48" authorId="0" shapeId="0">
      <text>
        <r>
          <rPr>
            <b/>
            <sz val="8"/>
            <color rgb="FF000000"/>
            <rFont val="Tahoma"/>
            <family val="2"/>
          </rPr>
          <t>Terri Cook:</t>
        </r>
        <r>
          <rPr>
            <sz val="8"/>
            <color rgb="FF000000"/>
            <rFont val="Tahoma"/>
            <family val="2"/>
          </rPr>
          <t xml:space="preserve">
</t>
        </r>
        <r>
          <rPr>
            <sz val="8"/>
            <color rgb="FF000000"/>
            <rFont val="Tahoma"/>
            <family val="2"/>
          </rPr>
          <t xml:space="preserve">950,000 - new Graduate Fellowship &amp; Scholarship program
</t>
        </r>
      </text>
    </comment>
    <comment ref="C50" authorId="1" shapeId="0">
      <text>
        <r>
          <rPr>
            <b/>
            <sz val="9"/>
            <color indexed="81"/>
            <rFont val="Tahoma"/>
            <family val="2"/>
          </rPr>
          <t>Support:</t>
        </r>
        <r>
          <rPr>
            <sz val="9"/>
            <color indexed="81"/>
            <rFont val="Tahoma"/>
            <family val="2"/>
          </rPr>
          <t xml:space="preserve">
100,000 - SMI contract (or other DC representation
327,000 - Wheat Commission
</t>
        </r>
      </text>
    </comment>
    <comment ref="C53" authorId="0" shapeId="0">
      <text>
        <r>
          <rPr>
            <b/>
            <sz val="9"/>
            <color indexed="81"/>
            <rFont val="Tahoma"/>
            <family val="2"/>
          </rPr>
          <t>Terri Cook:</t>
        </r>
        <r>
          <rPr>
            <sz val="9"/>
            <color indexed="81"/>
            <rFont val="Tahoma"/>
            <family val="2"/>
          </rPr>
          <t xml:space="preserve">
40,000 - Future Perfect contract (Budg Offc index)
26,585- P&amp;M (QBS010) - DAS shuttle
172,820 - Corvallis Transit pmt (Kavinda's)
108,500 - Albany Transit pmt (Kavinda's)
7,000 - incremental increase for Albany transit contract</t>
        </r>
      </text>
    </comment>
  </commentList>
</comments>
</file>

<file path=xl/comments6.xml><?xml version="1.0" encoding="utf-8"?>
<comments xmlns="http://schemas.openxmlformats.org/spreadsheetml/2006/main">
  <authors>
    <author>Terri Cook</author>
  </authors>
  <commentList>
    <comment ref="F6" authorId="0" shapeId="0">
      <text>
        <r>
          <rPr>
            <b/>
            <sz val="9"/>
            <color indexed="81"/>
            <rFont val="Tahoma"/>
            <family val="2"/>
          </rPr>
          <t>Terri Cook:</t>
        </r>
        <r>
          <rPr>
            <sz val="9"/>
            <color indexed="81"/>
            <rFont val="Tahoma"/>
            <family val="2"/>
          </rPr>
          <t xml:space="preserve">
490,255 - Previous Ecampus Reserve
-2189272 - Amt of Ecampus Revenue in various base
                budgets through rebasing
-617,220 - FY14 transfer of Ecampus reserve to F&amp;A Base
-322,780 - FY14 transfer of Summer reserve to F&amp;A Base
NOTE:  Cells B7 + H7 + I7 should equal the total of G33 + G34 on
           the IM page
</t>
        </r>
      </text>
    </comment>
  </commentList>
</comments>
</file>

<file path=xl/comments7.xml><?xml version="1.0" encoding="utf-8"?>
<comments xmlns="http://schemas.openxmlformats.org/spreadsheetml/2006/main">
  <authors>
    <author>Katz, Patty</author>
  </authors>
  <commentList>
    <comment ref="C11" authorId="0" shapeId="0">
      <text>
        <r>
          <rPr>
            <b/>
            <sz val="8"/>
            <color indexed="81"/>
            <rFont val="Tahoma"/>
            <family val="2"/>
          </rPr>
          <t>Katz, Patty:</t>
        </r>
        <r>
          <rPr>
            <sz val="8"/>
            <color indexed="81"/>
            <rFont val="Tahoma"/>
            <family val="2"/>
          </rPr>
          <t xml:space="preserve">
Excludes Greenhouse Operations</t>
        </r>
      </text>
    </comment>
    <comment ref="F11" authorId="0" shapeId="0">
      <text>
        <r>
          <rPr>
            <b/>
            <sz val="8"/>
            <color indexed="81"/>
            <rFont val="Tahoma"/>
            <family val="2"/>
          </rPr>
          <t>Katz, Patty:</t>
        </r>
        <r>
          <rPr>
            <sz val="8"/>
            <color indexed="81"/>
            <rFont val="Tahoma"/>
            <family val="2"/>
          </rPr>
          <t xml:space="preserve">
Excludes Greenhouse Operations</t>
        </r>
      </text>
    </comment>
    <comment ref="L11" authorId="0" shapeId="0">
      <text>
        <r>
          <rPr>
            <b/>
            <sz val="8"/>
            <color indexed="81"/>
            <rFont val="Tahoma"/>
            <family val="2"/>
          </rPr>
          <t>Katz, Patty:</t>
        </r>
        <r>
          <rPr>
            <sz val="8"/>
            <color indexed="81"/>
            <rFont val="Tahoma"/>
            <family val="2"/>
          </rPr>
          <t xml:space="preserve">
Excludes Greenhouse Operations</t>
        </r>
      </text>
    </comment>
  </commentList>
</comments>
</file>

<file path=xl/sharedStrings.xml><?xml version="1.0" encoding="utf-8"?>
<sst xmlns="http://schemas.openxmlformats.org/spreadsheetml/2006/main" count="5080" uniqueCount="1844">
  <si>
    <t>2012-13</t>
  </si>
  <si>
    <t>Vet Med</t>
  </si>
  <si>
    <t>Forestry</t>
  </si>
  <si>
    <t>CLA</t>
  </si>
  <si>
    <t>Science</t>
  </si>
  <si>
    <t>CEOAS</t>
  </si>
  <si>
    <t>Business</t>
  </si>
  <si>
    <t>Engineering</t>
  </si>
  <si>
    <t>Education</t>
  </si>
  <si>
    <t>PHHS</t>
  </si>
  <si>
    <t>Pharmacy</t>
  </si>
  <si>
    <t>Total:</t>
  </si>
  <si>
    <t>2013-14</t>
  </si>
  <si>
    <t>Total</t>
  </si>
  <si>
    <t>Graduate School</t>
  </si>
  <si>
    <t>Totals:</t>
  </si>
  <si>
    <t>Grad Degrees</t>
  </si>
  <si>
    <t>Liberal Arts</t>
  </si>
  <si>
    <t>Oregon State University</t>
  </si>
  <si>
    <t>Unit</t>
  </si>
  <si>
    <t>Description</t>
  </si>
  <si>
    <t>Index</t>
  </si>
  <si>
    <t>Inst Mgmt</t>
  </si>
  <si>
    <t>Budget Reserve</t>
  </si>
  <si>
    <t>ZARR91</t>
  </si>
  <si>
    <t>Assessments</t>
  </si>
  <si>
    <t>ZARA10</t>
  </si>
  <si>
    <t>Foundation Obligation</t>
  </si>
  <si>
    <t>Oregon-wide Leases</t>
  </si>
  <si>
    <t>ZARB10</t>
  </si>
  <si>
    <t>OSU Portland Center</t>
  </si>
  <si>
    <t>Debt Service - Various</t>
  </si>
  <si>
    <t>ZARIOU</t>
  </si>
  <si>
    <t>Debt Service - SELP Loan Repayment (Facilities)</t>
  </si>
  <si>
    <t>Assessments to be received from Aux, SWPS, INTO</t>
  </si>
  <si>
    <t>ZARC99</t>
  </si>
  <si>
    <t>ZARR11</t>
  </si>
  <si>
    <t>Bad Debt Expense</t>
  </si>
  <si>
    <t>ZARN10</t>
  </si>
  <si>
    <t>TouchNet Costs</t>
  </si>
  <si>
    <t>Compensated Absence Liability</t>
  </si>
  <si>
    <t>ZARN11</t>
  </si>
  <si>
    <t>ZARP10</t>
  </si>
  <si>
    <t>Insurance subsidy for classified employees</t>
  </si>
  <si>
    <t>INTO Fees - Matriculants from Pathway Program</t>
  </si>
  <si>
    <t>ZARR30</t>
  </si>
  <si>
    <t>INTO Fees - Direct Source</t>
  </si>
  <si>
    <t>International  Admissions</t>
  </si>
  <si>
    <t>ZARR40</t>
  </si>
  <si>
    <t>Research Audit Disallowance Reserve (1% of Recovery)</t>
  </si>
  <si>
    <t>ZARR50</t>
  </si>
  <si>
    <t>Contingency Fund</t>
  </si>
  <si>
    <t>ZARR71</t>
  </si>
  <si>
    <t>INTO</t>
  </si>
  <si>
    <t>MOU w/H&amp;D for use of space in Int'l LL Center</t>
  </si>
  <si>
    <t>Academic Units</t>
  </si>
  <si>
    <t>Information Svcs</t>
  </si>
  <si>
    <t>Emp Center</t>
  </si>
  <si>
    <t>Student Affairs</t>
  </si>
  <si>
    <t>Finance &amp; Admin</t>
  </si>
  <si>
    <t>Madison Avenue Gateway Project</t>
  </si>
  <si>
    <t>Facilities</t>
  </si>
  <si>
    <t>OREGON STATE UNIVERSITY</t>
  </si>
  <si>
    <t>FY15</t>
  </si>
  <si>
    <t>FY14</t>
  </si>
  <si>
    <t>State-Targeted</t>
  </si>
  <si>
    <t>Ecampus</t>
  </si>
  <si>
    <t>Summer</t>
  </si>
  <si>
    <t>F&amp;A Recovery</t>
  </si>
  <si>
    <t>Budget Unit</t>
  </si>
  <si>
    <t>Programs</t>
  </si>
  <si>
    <t>Institutional Management:</t>
  </si>
  <si>
    <t>Instruction &amp;  Research</t>
  </si>
  <si>
    <t xml:space="preserve">    Agricultural Sciences</t>
  </si>
  <si>
    <t xml:space="preserve">    Business</t>
  </si>
  <si>
    <t xml:space="preserve">    Engineering</t>
  </si>
  <si>
    <t xml:space="preserve">    Forestry</t>
  </si>
  <si>
    <t xml:space="preserve">    Public Health &amp; Human Sciences</t>
  </si>
  <si>
    <t xml:space="preserve">    Education</t>
  </si>
  <si>
    <t xml:space="preserve">    Liberal Arts</t>
  </si>
  <si>
    <t xml:space="preserve">    Earth, Oceanic &amp; Atmospheric Sciences</t>
  </si>
  <si>
    <t xml:space="preserve">    Pharmacy</t>
  </si>
  <si>
    <t xml:space="preserve">    Science</t>
  </si>
  <si>
    <t xml:space="preserve">    Veterinary Medicine</t>
  </si>
  <si>
    <t xml:space="preserve">    Summer Session</t>
  </si>
  <si>
    <t xml:space="preserve">    University Honors College</t>
  </si>
  <si>
    <t xml:space="preserve">    Outreach &amp; Engagement</t>
  </si>
  <si>
    <t xml:space="preserve">    Extended Campus</t>
  </si>
  <si>
    <t xml:space="preserve">    Research Equipment Reserve</t>
  </si>
  <si>
    <t xml:space="preserve">    University Libraries</t>
  </si>
  <si>
    <t xml:space="preserve">    Research (Centers / Institutes / Programs)</t>
  </si>
  <si>
    <t xml:space="preserve">   Instruction &amp; Research Total</t>
  </si>
  <si>
    <t>Service, Support, and Management:</t>
  </si>
  <si>
    <t xml:space="preserve">    Office of the President</t>
  </si>
  <si>
    <t xml:space="preserve">    University Relations &amp; Marketing</t>
  </si>
  <si>
    <t xml:space="preserve">    Provost</t>
  </si>
  <si>
    <t xml:space="preserve">    Provost - Pass-through</t>
  </si>
  <si>
    <t xml:space="preserve">    Enrollment Management</t>
  </si>
  <si>
    <t xml:space="preserve">    Academic Affairs</t>
  </si>
  <si>
    <t xml:space="preserve">    Information Services </t>
  </si>
  <si>
    <t xml:space="preserve">    Research Administration</t>
  </si>
  <si>
    <t xml:space="preserve">    Student Affairs</t>
  </si>
  <si>
    <t xml:space="preserve">    University Business Centers</t>
  </si>
  <si>
    <t xml:space="preserve">    Finance and Administration</t>
  </si>
  <si>
    <t xml:space="preserve">    Facilities Services</t>
  </si>
  <si>
    <t xml:space="preserve">    Energy Operations</t>
  </si>
  <si>
    <t>Service, Support, and Management Total</t>
  </si>
  <si>
    <t xml:space="preserve">      Total Educational and General  Budget</t>
  </si>
  <si>
    <t>Distributed</t>
  </si>
  <si>
    <t>Departmental</t>
  </si>
  <si>
    <t>Resources</t>
  </si>
  <si>
    <t>Undergraduate</t>
  </si>
  <si>
    <t>Graduate</t>
  </si>
  <si>
    <t>Tuition Buydown Phase #2</t>
  </si>
  <si>
    <t>Vet Diagnostic Lab</t>
  </si>
  <si>
    <t>Natural Resource Institute</t>
  </si>
  <si>
    <t>Ocean Vessels Research</t>
  </si>
  <si>
    <t xml:space="preserve">        Endowment Match</t>
  </si>
  <si>
    <t xml:space="preserve">        Orbis</t>
  </si>
  <si>
    <t xml:space="preserve">        Faculty Diversity</t>
  </si>
  <si>
    <t xml:space="preserve">        Services to Students with Disabilities</t>
  </si>
  <si>
    <t>Oregon Climate Change Research Institute</t>
  </si>
  <si>
    <t>Fermentation Science</t>
  </si>
  <si>
    <t>Subtotal -  State Appropriation</t>
  </si>
  <si>
    <t>Tuition:</t>
  </si>
  <si>
    <t xml:space="preserve">  OSU - Corvallis </t>
  </si>
  <si>
    <t xml:space="preserve">  Extended Campus</t>
  </si>
  <si>
    <t xml:space="preserve">  Summer Term</t>
  </si>
  <si>
    <t>Subtotal -  Tuition</t>
  </si>
  <si>
    <t>Tuition Waivers</t>
  </si>
  <si>
    <t>Student Fees:</t>
  </si>
  <si>
    <t xml:space="preserve">  Resource Fees </t>
  </si>
  <si>
    <t xml:space="preserve">Other Student Fees </t>
  </si>
  <si>
    <t>Subtotal -  Student Fees</t>
  </si>
  <si>
    <t>Other Resources:</t>
  </si>
  <si>
    <t>BUC Portion of Indirect cost Recovery</t>
  </si>
  <si>
    <t>Interest Revenue</t>
  </si>
  <si>
    <t>Debt Service Support on SELP Loans</t>
  </si>
  <si>
    <t>Subtotal -  Other Resources</t>
  </si>
  <si>
    <t xml:space="preserve">Total  Revenue </t>
  </si>
  <si>
    <t>Debt/Lease</t>
  </si>
  <si>
    <t>Foundation</t>
  </si>
  <si>
    <t>INTO/International</t>
  </si>
  <si>
    <t>Net assessments/USSE</t>
  </si>
  <si>
    <t>Bad debt increase</t>
  </si>
  <si>
    <t>Vacation liability increase</t>
  </si>
  <si>
    <t>Institution wide costs</t>
  </si>
  <si>
    <t>Information Services</t>
  </si>
  <si>
    <t>General Counsel</t>
  </si>
  <si>
    <t>Ph.D. Degrees</t>
  </si>
  <si>
    <t>Central Pools by Type:</t>
  </si>
  <si>
    <t>Hold out Tuition Reserve:</t>
  </si>
  <si>
    <t>Net contingency funds</t>
  </si>
  <si>
    <t>Research audit disallowance reserve</t>
  </si>
  <si>
    <t>Dedicated Purpose Funds</t>
  </si>
  <si>
    <t>Base tuition and other funds</t>
  </si>
  <si>
    <t>Targeted state funding</t>
  </si>
  <si>
    <t>Fees, sales, and services</t>
  </si>
  <si>
    <t>Endowment Match</t>
  </si>
  <si>
    <t>Academic Support Operations</t>
  </si>
  <si>
    <t>Student and Faculty Support</t>
  </si>
  <si>
    <t>Plant and Facilities Operations</t>
  </si>
  <si>
    <t>Institutional Operations</t>
  </si>
  <si>
    <t>Graduate SCH</t>
  </si>
  <si>
    <t>Combined Research Metric</t>
  </si>
  <si>
    <t>% Overhead on Dedicated Funds:</t>
  </si>
  <si>
    <t>Academic Support, Plant, Institutional Operations</t>
  </si>
  <si>
    <t>Overhead on dedicated funds, except F&amp;A</t>
  </si>
  <si>
    <t>Central Pools and Reserves and Executive</t>
  </si>
  <si>
    <t>Management and Support Operations</t>
  </si>
  <si>
    <t>Academic Ops</t>
  </si>
  <si>
    <t>Total Dedicated Purpose Funds</t>
  </si>
  <si>
    <t>Used to build up pieces of various allocations to units by building blocks</t>
  </si>
  <si>
    <t>Shows how distribution amounts were arrived at</t>
  </si>
  <si>
    <t xml:space="preserve"> </t>
  </si>
  <si>
    <t>Central pools and reserves</t>
  </si>
  <si>
    <t>F&amp;A recovery allocation</t>
  </si>
  <si>
    <t>Initial Budget:</t>
  </si>
  <si>
    <t>Remaining:</t>
  </si>
  <si>
    <t>yes</t>
  </si>
  <si>
    <t>Total Pool:</t>
  </si>
  <si>
    <t>UG Degrees</t>
  </si>
  <si>
    <t>Distributed to Academic Units:</t>
  </si>
  <si>
    <t>Subtotal</t>
  </si>
  <si>
    <t>Total Institutional Management</t>
  </si>
  <si>
    <t>Class and Lab Buildings:</t>
  </si>
  <si>
    <t>Crop Science</t>
  </si>
  <si>
    <t>Radiation Center</t>
  </si>
  <si>
    <t xml:space="preserve">Peavey </t>
  </si>
  <si>
    <t>Wiegand</t>
  </si>
  <si>
    <t>Richardson</t>
  </si>
  <si>
    <t>Dryden</t>
  </si>
  <si>
    <t xml:space="preserve">APPERSON HALL </t>
  </si>
  <si>
    <t xml:space="preserve">MERRYFIELD HALL </t>
  </si>
  <si>
    <t xml:space="preserve">KELLEY ENGINEERING CENTER </t>
  </si>
  <si>
    <t xml:space="preserve">GRAF HALL </t>
  </si>
  <si>
    <t xml:space="preserve">COVELL HALL </t>
  </si>
  <si>
    <t xml:space="preserve">BATCHELLER HALL </t>
  </si>
  <si>
    <t xml:space="preserve">DEARBORN HALL </t>
  </si>
  <si>
    <t xml:space="preserve">GILBERT HALL ADDITION </t>
  </si>
  <si>
    <t xml:space="preserve">SHEPARD HALL </t>
  </si>
  <si>
    <t xml:space="preserve">GILBERT HALL </t>
  </si>
  <si>
    <t xml:space="preserve">GLEESON HALL (Chem Engr) </t>
  </si>
  <si>
    <t xml:space="preserve">WENIGER HALL </t>
  </si>
  <si>
    <t xml:space="preserve">BEXELL HALL </t>
  </si>
  <si>
    <t xml:space="preserve">ROGERS HALL </t>
  </si>
  <si>
    <t xml:space="preserve">MILNE COMPUTER CENTER </t>
  </si>
  <si>
    <t xml:space="preserve">NASH HALL </t>
  </si>
  <si>
    <t xml:space="preserve">OWEN HALL </t>
  </si>
  <si>
    <t xml:space="preserve">BENTON HALL </t>
  </si>
  <si>
    <t xml:space="preserve">EDUCATION HALL </t>
  </si>
  <si>
    <t xml:space="preserve">PHARMACY </t>
  </si>
  <si>
    <t xml:space="preserve">KIDDER HALL </t>
  </si>
  <si>
    <t xml:space="preserve">THE VALLEY LIBRARY </t>
  </si>
  <si>
    <t xml:space="preserve">GILKEY HALL </t>
  </si>
  <si>
    <t xml:space="preserve">STRAND AGRICULTURE HALL </t>
  </si>
  <si>
    <t xml:space="preserve">KERR ADMINISTRATION BLDG </t>
  </si>
  <si>
    <t xml:space="preserve">BALLARD EXTENSION HALL </t>
  </si>
  <si>
    <t xml:space="preserve">BURT HALL </t>
  </si>
  <si>
    <t xml:space="preserve">BATES HALL (FAMILY STUDY CENTER) </t>
  </si>
  <si>
    <t xml:space="preserve">WILKINSON HALL/GILFILLAN AUD </t>
  </si>
  <si>
    <t xml:space="preserve">CORDLEY HALL </t>
  </si>
  <si>
    <t xml:space="preserve">WITHYCOMBE HALL </t>
  </si>
  <si>
    <t xml:space="preserve">AG LIFE SCIENCES </t>
  </si>
  <si>
    <t xml:space="preserve">MILAM HALL </t>
  </si>
  <si>
    <t xml:space="preserve">FAIRBANKS ANNEX </t>
  </si>
  <si>
    <t xml:space="preserve">GILMORE HALL </t>
  </si>
  <si>
    <t xml:space="preserve">WOMENS BUILDING </t>
  </si>
  <si>
    <t xml:space="preserve">FAIRBANKS HALL </t>
  </si>
  <si>
    <t xml:space="preserve">GILMORE ANNEX </t>
  </si>
  <si>
    <t xml:space="preserve">HOVLAND HALL </t>
  </si>
  <si>
    <t xml:space="preserve">SNELL HALL/MU EAST </t>
  </si>
  <si>
    <t xml:space="preserve">WALDO HALL </t>
  </si>
  <si>
    <t xml:space="preserve">LANGTON HALL </t>
  </si>
  <si>
    <t xml:space="preserve">MORELAND HALL </t>
  </si>
  <si>
    <t xml:space="preserve">HECKERT LODGE </t>
  </si>
  <si>
    <t xml:space="preserve">REED LODGE </t>
  </si>
  <si>
    <t xml:space="preserve">OCEAN ADMINISTRATION BLDG </t>
  </si>
  <si>
    <t xml:space="preserve">DAWES HOUSE </t>
  </si>
  <si>
    <t xml:space="preserve">MAGRUDER HALL </t>
  </si>
  <si>
    <t xml:space="preserve">CASCADE HALL </t>
  </si>
  <si>
    <t>Buildings that are class, laboratory, and office spaces</t>
  </si>
  <si>
    <t>Total count:</t>
  </si>
  <si>
    <t>Total sq. ft.:</t>
  </si>
  <si>
    <t>Austin Hall</t>
  </si>
  <si>
    <t>LPSC</t>
  </si>
  <si>
    <t>Bates Hall</t>
  </si>
  <si>
    <t>Students+Employees</t>
  </si>
  <si>
    <t>Grad students</t>
  </si>
  <si>
    <t>LD Weights</t>
  </si>
  <si>
    <t>UD Weights</t>
  </si>
  <si>
    <t>Unclassified Staff</t>
  </si>
  <si>
    <t>Study Abroad</t>
  </si>
  <si>
    <t>Int. Faculty</t>
  </si>
  <si>
    <t>Int Degrees</t>
  </si>
  <si>
    <t>Measure</t>
  </si>
  <si>
    <t>Intl Participants</t>
  </si>
  <si>
    <t>Summer SCH</t>
  </si>
  <si>
    <t>Degree Foundations</t>
  </si>
  <si>
    <t>UD SCH</t>
  </si>
  <si>
    <t>Honors SCH</t>
  </si>
  <si>
    <t>Graduate Completions</t>
  </si>
  <si>
    <t>Off-site/other delivery SCH?</t>
  </si>
  <si>
    <t>Weighting factors for cost of degree or credit hour if used</t>
  </si>
  <si>
    <t>Contractual costs</t>
  </si>
  <si>
    <t>$ Per Measure</t>
  </si>
  <si>
    <t>Base E&amp;G Allocations</t>
  </si>
  <si>
    <t>International participants</t>
  </si>
  <si>
    <t>$1000s of 3-yr avg awards</t>
  </si>
  <si>
    <t>Oregon State University Shared Responsibility Budget Model</t>
  </si>
  <si>
    <t>Corvallis Campus Education and General Funding</t>
  </si>
  <si>
    <t>Fiscal Year:</t>
  </si>
  <si>
    <t>Institutional Tuition Waivers</t>
  </si>
  <si>
    <t>Estimated Net E&amp;G Revenue</t>
  </si>
  <si>
    <t>Estimated Gross E&amp;G Revenues</t>
  </si>
  <si>
    <t>Support, Service, &amp; Management</t>
  </si>
  <si>
    <t>Dedicated purpose funds</t>
  </si>
  <si>
    <t>Dedicated, contractual, strategic and governance funding</t>
  </si>
  <si>
    <t>% of Budget</t>
  </si>
  <si>
    <t>Academic Program Delivery</t>
  </si>
  <si>
    <t>Estimate Net E&amp;G Revenue:</t>
  </si>
  <si>
    <t>Gross E&amp;G Revenues</t>
  </si>
  <si>
    <t>Less Institutional Tuition Waivers</t>
  </si>
  <si>
    <t>Net Estimated E&amp;G Revenues to Distribute</t>
  </si>
  <si>
    <t>Distribution of dedicated funding:</t>
  </si>
  <si>
    <t>Service, Support, Management Pool</t>
  </si>
  <si>
    <t>Percent of Total</t>
  </si>
  <si>
    <t>Support, Service,&amp; Management</t>
  </si>
  <si>
    <t>Undergraduate degree foundations</t>
  </si>
  <si>
    <t>Undergraduate degree and credential completions</t>
  </si>
  <si>
    <t>Graduate degree and credential completions</t>
  </si>
  <si>
    <t>Alternate delivery and new participants</t>
  </si>
  <si>
    <t>Externally funded research</t>
  </si>
  <si>
    <t>Strategic growth areas</t>
  </si>
  <si>
    <t>University Program Adjustments</t>
  </si>
  <si>
    <t>Academic and service delivery measures-based funding</t>
  </si>
  <si>
    <t>Degrees to URM Students</t>
  </si>
  <si>
    <t>Undergraduate completions</t>
  </si>
  <si>
    <t>Strategic Area</t>
  </si>
  <si>
    <t>% of Academic Pool</t>
  </si>
  <si>
    <t>Total Allocation</t>
  </si>
  <si>
    <t>Allocated:</t>
  </si>
  <si>
    <t xml:space="preserve">LD SCH </t>
  </si>
  <si>
    <t>CHECK SUM</t>
  </si>
  <si>
    <t>IS it OK?</t>
  </si>
  <si>
    <t>Less 10% Institutional Aid</t>
  </si>
  <si>
    <t>Net Undergraduate per SCH</t>
  </si>
  <si>
    <t>Ecampus Undergraduate per SCH</t>
  </si>
  <si>
    <t>Net Ecampus Undergraduate per SCH</t>
  </si>
  <si>
    <t>Net Graduate per SCH</t>
  </si>
  <si>
    <t>Ecampus Graduate per SCH</t>
  </si>
  <si>
    <t>Total allocated by Service, Support, and Management Measures:</t>
  </si>
  <si>
    <t>Balance left from pool (redistributed to academic pool):</t>
  </si>
  <si>
    <t>Alternate Delivery and new participants</t>
  </si>
  <si>
    <t>Proportions of Academic Pool Allocation by Metric:</t>
  </si>
  <si>
    <t>Contractual, Executive, Strategic Pools</t>
  </si>
  <si>
    <t>3.  Set service and support measures (these map to the "Serv Support Measures" Tab)</t>
  </si>
  <si>
    <r>
      <t>Academic Support Operations</t>
    </r>
    <r>
      <rPr>
        <b/>
        <vertAlign val="superscript"/>
        <sz val="10"/>
        <rFont val="Arial"/>
        <family val="2"/>
      </rPr>
      <t>1</t>
    </r>
  </si>
  <si>
    <r>
      <t>Student and Faculty Support</t>
    </r>
    <r>
      <rPr>
        <b/>
        <vertAlign val="superscript"/>
        <sz val="10"/>
        <rFont val="Arial"/>
        <family val="2"/>
      </rPr>
      <t>2</t>
    </r>
  </si>
  <si>
    <r>
      <t>Plant and Facilities Operations</t>
    </r>
    <r>
      <rPr>
        <b/>
        <vertAlign val="superscript"/>
        <sz val="10"/>
        <rFont val="Arial"/>
        <family val="2"/>
      </rPr>
      <t>3</t>
    </r>
  </si>
  <si>
    <r>
      <t>Institutional Operations</t>
    </r>
    <r>
      <rPr>
        <b/>
        <vertAlign val="superscript"/>
        <sz val="10"/>
        <rFont val="Arial"/>
        <family val="2"/>
      </rPr>
      <t>4</t>
    </r>
  </si>
  <si>
    <r>
      <t>Executive and Governance Functions</t>
    </r>
    <r>
      <rPr>
        <b/>
        <vertAlign val="superscript"/>
        <sz val="10"/>
        <rFont val="Arial"/>
        <family val="2"/>
      </rPr>
      <t>5</t>
    </r>
  </si>
  <si>
    <t>Library, Graduate School, Research Administration, International Programs, Information Services, Summer Session</t>
  </si>
  <si>
    <t>Business Centers, Finance &amp; Administration, University Relations and Marketing</t>
  </si>
  <si>
    <t>Veterinary Medicine</t>
  </si>
  <si>
    <t>Estimates of appropriate overhead rates and allocations for functions and fund sources:</t>
  </si>
  <si>
    <t>OSU</t>
  </si>
  <si>
    <t>Averge rates for major administrative support pools:</t>
  </si>
  <si>
    <t>Administrative Support Pools</t>
  </si>
  <si>
    <t>Functional Unit</t>
  </si>
  <si>
    <t>Base Pool</t>
  </si>
  <si>
    <t>Avg %</t>
  </si>
  <si>
    <t>Academic and Executive Leadership</t>
  </si>
  <si>
    <t>President's Office</t>
  </si>
  <si>
    <t>President</t>
  </si>
  <si>
    <t>All funds</t>
  </si>
  <si>
    <t>Govt Relations</t>
  </si>
  <si>
    <t>Univ. Relations</t>
  </si>
  <si>
    <t>Equity &amp; Inclusion</t>
  </si>
  <si>
    <t>Provost's Office</t>
  </si>
  <si>
    <t>Provost</t>
  </si>
  <si>
    <t>E&amp;G, SWPS, Roy., DesOps, Grant, Gift</t>
  </si>
  <si>
    <t>Provost Passthrough</t>
  </si>
  <si>
    <t>E&amp;G</t>
  </si>
  <si>
    <t>Athletics</t>
  </si>
  <si>
    <t>Academic Affairs</t>
  </si>
  <si>
    <t>Academic Success</t>
  </si>
  <si>
    <t>Faculty Development</t>
  </si>
  <si>
    <t>Academic Programs</t>
  </si>
  <si>
    <t>ROTC</t>
  </si>
  <si>
    <t>Inst. Research</t>
  </si>
  <si>
    <t>E&amp;G, SWPS</t>
  </si>
  <si>
    <t>Enterprise Computing</t>
  </si>
  <si>
    <t>Network Svcs</t>
  </si>
  <si>
    <t>Open Source Lab</t>
  </si>
  <si>
    <t>Outreach and Media</t>
  </si>
  <si>
    <t>Tech. Support Svcs</t>
  </si>
  <si>
    <t>Library</t>
  </si>
  <si>
    <t>E&amp;G, SWPS, Grant, Roy.</t>
  </si>
  <si>
    <t>Graduate Program Support</t>
  </si>
  <si>
    <t>E&amp;G, SWPS, Grant</t>
  </si>
  <si>
    <t>Outreach &amp; Engagement</t>
  </si>
  <si>
    <t>E-Campus</t>
  </si>
  <si>
    <t>Extension Service</t>
  </si>
  <si>
    <t>Prof &amp; Continuing Ed</t>
  </si>
  <si>
    <t>Summer Session</t>
  </si>
  <si>
    <t xml:space="preserve">Research </t>
  </si>
  <si>
    <t>Research Office</t>
  </si>
  <si>
    <t>Research Admin</t>
  </si>
  <si>
    <t>E&amp;G, SWPS, Grant, Gift, Roy.</t>
  </si>
  <si>
    <t>Student Services</t>
  </si>
  <si>
    <t>Enrollment Mgmt.</t>
  </si>
  <si>
    <t>Student Life</t>
  </si>
  <si>
    <t>Student Auxiliaries</t>
  </si>
  <si>
    <t>International Programs</t>
  </si>
  <si>
    <t>Int'l Programs</t>
  </si>
  <si>
    <t>Int'l Degree&amp;Ed Abroad</t>
  </si>
  <si>
    <t>Int'l Stud Advising &amp; Svcs</t>
  </si>
  <si>
    <t>Int'l Scholar&amp;Faculty Svcs</t>
  </si>
  <si>
    <t>Business Operations</t>
  </si>
  <si>
    <t>Admin Services</t>
  </si>
  <si>
    <t>Business Centers</t>
  </si>
  <si>
    <t>Business Affairs</t>
  </si>
  <si>
    <t>Cashier</t>
  </si>
  <si>
    <t>ID Center</t>
  </si>
  <si>
    <t>Payroll</t>
  </si>
  <si>
    <t>Accounting</t>
  </si>
  <si>
    <t>Student Finance</t>
  </si>
  <si>
    <t>OPAA</t>
  </si>
  <si>
    <t>Budget and Fiscal</t>
  </si>
  <si>
    <t>Human Resources</t>
  </si>
  <si>
    <t>Conference Svcs</t>
  </si>
  <si>
    <t>Public Safety</t>
  </si>
  <si>
    <t>Campus Operations</t>
  </si>
  <si>
    <t>Business Services</t>
  </si>
  <si>
    <t>E&amp;G, SWPS, Desi Ops, Grant, Gift, Roy.</t>
  </si>
  <si>
    <t>Energy Operations</t>
  </si>
  <si>
    <t>Energy</t>
  </si>
  <si>
    <t>Institutional Mgmt</t>
  </si>
  <si>
    <t>Pools, Reserves, etc.</t>
  </si>
  <si>
    <t>BUC</t>
  </si>
  <si>
    <t>Grant funds</t>
  </si>
  <si>
    <t>RERF</t>
  </si>
  <si>
    <t>Centers&amp;Institutes</t>
  </si>
  <si>
    <t>BUC and RERF taken off the top of F&amp;A Recovery</t>
  </si>
  <si>
    <t>Applied to Targeted Funds</t>
  </si>
  <si>
    <t>Research</t>
  </si>
  <si>
    <t>Business Affairs, F&amp;A</t>
  </si>
  <si>
    <t>All service credits to Foundation?</t>
  </si>
  <si>
    <t>Ecampus SCH</t>
  </si>
  <si>
    <t>Total SCH:</t>
  </si>
  <si>
    <t>UD Service SCH</t>
  </si>
  <si>
    <t>Grad Service SCH</t>
  </si>
  <si>
    <t>TOTAL</t>
  </si>
  <si>
    <t>Reserve for Ecampus Tuition Settle-up</t>
  </si>
  <si>
    <t>ZARN18</t>
  </si>
  <si>
    <t>Reserve for Summer Tuition Settle-up</t>
  </si>
  <si>
    <t>ZARN13</t>
  </si>
  <si>
    <t>Risk premiums increase</t>
  </si>
  <si>
    <t>ROH Settleup</t>
  </si>
  <si>
    <t>Faculty positions to distribute</t>
  </si>
  <si>
    <t>Graduate Cost Reserves</t>
  </si>
  <si>
    <t xml:space="preserve">Salary Raise  Reserve Pools </t>
  </si>
  <si>
    <t xml:space="preserve">Grad Tui &amp; Fee Remission Reserve </t>
  </si>
  <si>
    <t>Classified insurance subsidy</t>
  </si>
  <si>
    <t>Faculty Tenure/Tenure Track positions - FY16</t>
  </si>
  <si>
    <t>FY16</t>
  </si>
  <si>
    <t>Public University Support Fund</t>
  </si>
  <si>
    <t>Outcomes Funding Allocation</t>
  </si>
  <si>
    <t>SCH Funding Allocation</t>
  </si>
  <si>
    <t>Stop Loss/Stop gain</t>
  </si>
  <si>
    <t>Mission  Differentiation Funds</t>
  </si>
  <si>
    <t>Research Support</t>
  </si>
  <si>
    <t>Mission Support</t>
  </si>
  <si>
    <t>Pharmacy Differential</t>
  </si>
  <si>
    <t>Vet Med Differential</t>
  </si>
  <si>
    <t>SWPS Bldg Maintenance</t>
  </si>
  <si>
    <t>Engineering Graduate Support</t>
  </si>
  <si>
    <t>Systemwide Expenses/Programs:</t>
  </si>
  <si>
    <t>Subtotal Public University Support Fund</t>
  </si>
  <si>
    <t>State Programs Funding</t>
  </si>
  <si>
    <t>Engineering - ETIC</t>
  </si>
  <si>
    <t>Signature Research Centers</t>
  </si>
  <si>
    <t>Subtotal Res Undergraduate</t>
  </si>
  <si>
    <t>Subtotal NR Undergraduate</t>
  </si>
  <si>
    <t>Subtotal Res Graduate</t>
  </si>
  <si>
    <t>Subtotal NR Graduate</t>
  </si>
  <si>
    <t>OSU-UO Center for Advanced Wood Products</t>
  </si>
  <si>
    <t>Subtotal VetMed</t>
  </si>
  <si>
    <t>Subtotal Pharmacy</t>
  </si>
  <si>
    <t>Subtotal Miscellaneous</t>
  </si>
  <si>
    <t>Ecampus tuition</t>
  </si>
  <si>
    <t>Subtotal State Program &amp; Other Funding</t>
  </si>
  <si>
    <t>Ecampus fee (approx)</t>
  </si>
  <si>
    <t>Waivers*</t>
  </si>
  <si>
    <t>Total Net Tuition</t>
  </si>
  <si>
    <t>F&amp;A Rate Recovery/Returned Overhead</t>
  </si>
  <si>
    <t xml:space="preserve">    Undergraduate Studies</t>
  </si>
  <si>
    <t xml:space="preserve">    Facilities Services O&amp;M</t>
  </si>
  <si>
    <t xml:space="preserve">    Risk Management</t>
  </si>
  <si>
    <t xml:space="preserve">    Capital Planning &amp; Development</t>
  </si>
  <si>
    <t xml:space="preserve">    International Programs </t>
  </si>
  <si>
    <t>Interdisciplinary Graduate Programs</t>
  </si>
  <si>
    <t xml:space="preserve">    Graduate School Administration</t>
  </si>
  <si>
    <t>Tuition settleups (Ecampus, Summer,differential, INTO)</t>
  </si>
  <si>
    <t>Salary and Benefit Pools</t>
  </si>
  <si>
    <t>Initital redistributions to units</t>
  </si>
  <si>
    <t>Contingency and strategic funds</t>
  </si>
  <si>
    <t>Contingency and reserve funds</t>
  </si>
  <si>
    <t>Contractual, debt, other costs</t>
  </si>
  <si>
    <t>Strategic/Policy Distributions (reserves for non-recurring commitments):</t>
  </si>
  <si>
    <t>Strategic allocations</t>
  </si>
  <si>
    <t>Total Institutional Management Pools and Reserves:</t>
  </si>
  <si>
    <t>Reserves to be distributed to Academic Units</t>
  </si>
  <si>
    <t>Academic reserve funds (tuition, ROH, etc.)</t>
  </si>
  <si>
    <t>Salary and Benefit Pools to be distributed</t>
  </si>
  <si>
    <t>Distributed to Units from Original IM:</t>
  </si>
  <si>
    <t>Total Original IM :</t>
  </si>
  <si>
    <t>Contingency and Reserve Funds</t>
  </si>
  <si>
    <t xml:space="preserve">Enrollment Projection Reserve Pool </t>
  </si>
  <si>
    <t>Pools For Academic Unit Distribution</t>
  </si>
  <si>
    <t>Pools for Salary and Benefit Increases</t>
  </si>
  <si>
    <t>Contractual obligations</t>
  </si>
  <si>
    <t>Undergraduate Studies</t>
  </si>
  <si>
    <t xml:space="preserve">    Graduate SchoolAdministration</t>
  </si>
  <si>
    <t>Capital Planning and Development</t>
  </si>
  <si>
    <t>Contingency Funds or Strategic Funds</t>
  </si>
  <si>
    <t>Amount</t>
  </si>
  <si>
    <t>Eastern Promise Replication Grant</t>
  </si>
  <si>
    <t>Diversity</t>
  </si>
  <si>
    <t>Wheat Commission</t>
  </si>
  <si>
    <t>Promise Program</t>
  </si>
  <si>
    <t>University Days</t>
  </si>
  <si>
    <t>Pharmacy tuition support (former high RAM addition)</t>
  </si>
  <si>
    <t>Vet Med tuition support (former high RAM addition),Vet Diagnostic Lab</t>
  </si>
  <si>
    <t>Support for ORBIS participation</t>
  </si>
  <si>
    <t>The detailed calculations on differential tuition are available in a separate worksheet</t>
  </si>
  <si>
    <t>E&amp;G Assignable Sq. Ft.</t>
  </si>
  <si>
    <t>Graduate student headcount</t>
  </si>
  <si>
    <t>Student headcount</t>
  </si>
  <si>
    <t>Employee headcount</t>
  </si>
  <si>
    <t>Undergraduate student headcount</t>
  </si>
  <si>
    <t>Total expenditures</t>
  </si>
  <si>
    <t>From buildings tab needs data validation</t>
  </si>
  <si>
    <t>CORE ENM0301 4th week final counts</t>
  </si>
  <si>
    <t>Grant Expenditures</t>
  </si>
  <si>
    <t>Cascades</t>
  </si>
  <si>
    <t>99 - Unknown</t>
  </si>
  <si>
    <t xml:space="preserve">CORE HRS1258 November </t>
  </si>
  <si>
    <t>Total tenure and tenure track headcount</t>
  </si>
  <si>
    <t>Annual report budget office</t>
  </si>
  <si>
    <t>E&amp;G expenditures (1000s)</t>
  </si>
  <si>
    <t>Total expenditures (1000s)</t>
  </si>
  <si>
    <t>SWPS expenditures (1000s)</t>
  </si>
  <si>
    <t>Research expenditures (1000s)</t>
  </si>
  <si>
    <t>Intl Students (include INTO)</t>
  </si>
  <si>
    <t>International programs annual report</t>
  </si>
  <si>
    <t>Students+10*Tenure rank</t>
  </si>
  <si>
    <t>Undergraduate students</t>
  </si>
  <si>
    <t>Ecampus Credit Hours</t>
  </si>
  <si>
    <t>Total F&amp;A Recovery</t>
  </si>
  <si>
    <t>Research Activity Allocation:</t>
  </si>
  <si>
    <t>Pool:</t>
  </si>
  <si>
    <t>Grant Expenditure Weight:</t>
  </si>
  <si>
    <t>Total F&amp;A Recovery Weight:</t>
  </si>
  <si>
    <t>DATA</t>
  </si>
  <si>
    <t>Service Credit Hour summaries for Academic Units:</t>
  </si>
  <si>
    <t>YES</t>
  </si>
  <si>
    <t>Include PAC SCH?</t>
  </si>
  <si>
    <t>LD Weight</t>
  </si>
  <si>
    <t>UD Weight</t>
  </si>
  <si>
    <t>Grad Weight</t>
  </si>
  <si>
    <t>2013</t>
  </si>
  <si>
    <t>2014</t>
  </si>
  <si>
    <t>2015</t>
  </si>
  <si>
    <t>2016</t>
  </si>
  <si>
    <t>PAC Hours</t>
  </si>
  <si>
    <t>Academic Year,all sites except Ecampus,  Lower Division, taught to majors</t>
  </si>
  <si>
    <t>Agricultural Sciences</t>
  </si>
  <si>
    <t>Public Health and Human Sciences</t>
  </si>
  <si>
    <t>Earth, Ocean, and Atmospheric Sciences</t>
  </si>
  <si>
    <t>Defense Education</t>
  </si>
  <si>
    <t>Interdisciplinary Programs (or international)</t>
  </si>
  <si>
    <t>Honors College</t>
  </si>
  <si>
    <t>Academic Learning Services (UESP)</t>
  </si>
  <si>
    <t>Overseas Study</t>
  </si>
  <si>
    <t>Academic Year,all sites except Ecampus,  Lower Division, taught to non-majors</t>
  </si>
  <si>
    <t>Academic Year,all sites except Ecampus,  Upper Division, taught to majors</t>
  </si>
  <si>
    <t>Academic Year,all sites except Ecampus,  Upper Division, taught to non-majors</t>
  </si>
  <si>
    <t>Upper division total</t>
  </si>
  <si>
    <t>Checksum</t>
  </si>
  <si>
    <t>Academic Year,all sites except Ecampus,  Honors College SCH level 04</t>
  </si>
  <si>
    <t>Academic Year,all sites except Ecampus,  Graduate and Professional, taught to majors</t>
  </si>
  <si>
    <t>Academic Year,all sites except Ecampus,  Graduate and Professional, taught to non-majors</t>
  </si>
  <si>
    <t>Grad division total</t>
  </si>
  <si>
    <t>Projected 2016</t>
  </si>
  <si>
    <t>Total Attempted</t>
  </si>
  <si>
    <t>Three-year total SCH</t>
  </si>
  <si>
    <t>RAW SCH DATA:</t>
  </si>
  <si>
    <t>Weighted Three-year Aggregate SCH</t>
  </si>
  <si>
    <t xml:space="preserve">PAC </t>
  </si>
  <si>
    <t>Share of Foundation Credit Hour Support Pool</t>
  </si>
  <si>
    <t>ALS</t>
  </si>
  <si>
    <t>ID Programs</t>
  </si>
  <si>
    <t>Dollars in Degree Foundation Pool:</t>
  </si>
  <si>
    <t>Honors College Academic Year Credit Hours by Course Designator Home College</t>
  </si>
  <si>
    <t>2016 Projected</t>
  </si>
  <si>
    <t>Honors College Credit Hour summaries for Academic Units:</t>
  </si>
  <si>
    <t>Dollars in Undergraduate Completions Pool:</t>
  </si>
  <si>
    <t>% to Degrees</t>
  </si>
  <si>
    <t>% to UD SCH</t>
  </si>
  <si>
    <t>Degrees Awarded Total Summer, Fall, Winter, Spring</t>
  </si>
  <si>
    <t>Projection</t>
  </si>
  <si>
    <t>2014-15</t>
  </si>
  <si>
    <t>2015-16</t>
  </si>
  <si>
    <t>Bachelors</t>
  </si>
  <si>
    <t>Equivalent degrees from minors (divided by 5 for years, divided by 5 for effort)</t>
  </si>
  <si>
    <t>College Average Discipline Weights</t>
  </si>
  <si>
    <t>Weights  used within pools for:</t>
  </si>
  <si>
    <t>Capped Undergrad Degrees &amp; SCH</t>
  </si>
  <si>
    <t>Share of Undergraduate Completion Degree Pool</t>
  </si>
  <si>
    <t>Share of Undergraduate Degree Completion Credit Hour Support Pool</t>
  </si>
  <si>
    <t>Degree Share</t>
  </si>
  <si>
    <t>SCH Share</t>
  </si>
  <si>
    <t>Dollar Allocation</t>
  </si>
  <si>
    <t>Share weight by Degree/SCH Split</t>
  </si>
  <si>
    <t>Undergraduate Degree Completion Allocation summaries for Academic Units:</t>
  </si>
  <si>
    <t>Graduate Degree Completion Allocation summaries for Academic Units:</t>
  </si>
  <si>
    <t>% to Grad SCH</t>
  </si>
  <si>
    <t>Certificates and credentials awarded --use a factor of 5 to convert to degrees</t>
  </si>
  <si>
    <t>GRAD 1 Weights</t>
  </si>
  <si>
    <t>GRAD 2 Weights</t>
  </si>
  <si>
    <t>Doctorate Degrees</t>
  </si>
  <si>
    <t>Masters and Professional Degrees</t>
  </si>
  <si>
    <t>Weighted Doctorate Degrees</t>
  </si>
  <si>
    <t>Weighted MS/Professional Degrees</t>
  </si>
  <si>
    <t>Certificates/credentials awarded</t>
  </si>
  <si>
    <t>Graduate/Professional Credit Hours</t>
  </si>
  <si>
    <t>FY15 Weighted Degrees</t>
  </si>
  <si>
    <t>Share of Weighted Degrees with certificates</t>
  </si>
  <si>
    <t>Share of Weighted Graduate/Professional Credit Hours</t>
  </si>
  <si>
    <t xml:space="preserve"> Weights</t>
  </si>
  <si>
    <t>Net</t>
  </si>
  <si>
    <t>Ecampus  credit hour allocation (summer and academic year)</t>
  </si>
  <si>
    <t>Ecampus, Academic and Summer, Upper Division, taught to Corvallis students</t>
  </si>
  <si>
    <t>Ecampus, Academic and Summer, Graduate and Professional, taught to Corvallis students</t>
  </si>
  <si>
    <t>Ecampus to on campus students included in Foundations?</t>
  </si>
  <si>
    <t>PAC Ecampus Hours</t>
  </si>
  <si>
    <t>Ecampus, Academic and Summer, Lower Division, taught to  Corvallis students</t>
  </si>
  <si>
    <t>Strategic Populations Allocation Pool</t>
  </si>
  <si>
    <t>Degrees Awarded</t>
  </si>
  <si>
    <t>Degrees to International Students</t>
  </si>
  <si>
    <t>Degrees to Underrepresented Minority Students</t>
  </si>
  <si>
    <t>Degrees to Pell Recipients</t>
  </si>
  <si>
    <t xml:space="preserve">BS Degrees to High Achieving Students (as defined by freshman entrance) </t>
  </si>
  <si>
    <t>Degrees  2013-14</t>
  </si>
  <si>
    <t>Degrees  2014-15</t>
  </si>
  <si>
    <t>MAIS</t>
  </si>
  <si>
    <t>MS</t>
  </si>
  <si>
    <t>Applied Economics</t>
  </si>
  <si>
    <t>MCB</t>
  </si>
  <si>
    <t>Water Resource Engineering</t>
  </si>
  <si>
    <t>Environmental Sciences</t>
  </si>
  <si>
    <t>Water Resource Policy &amp; Mgt</t>
  </si>
  <si>
    <t>Water Resources Science</t>
  </si>
  <si>
    <t>Ph.D.</t>
  </si>
  <si>
    <t>Economics</t>
  </si>
  <si>
    <t>PSM</t>
  </si>
  <si>
    <t>Applied Biotechnology</t>
  </si>
  <si>
    <t>Certificate</t>
  </si>
  <si>
    <t>College and Univ Teaching</t>
  </si>
  <si>
    <t>MA</t>
  </si>
  <si>
    <t>Total Masters</t>
  </si>
  <si>
    <t>Total Doctorate</t>
  </si>
  <si>
    <t>Interdisciplinary Graduate Degrees:</t>
  </si>
  <si>
    <t>Additional Weighting:</t>
  </si>
  <si>
    <t>Proportion to college of major professor:</t>
  </si>
  <si>
    <t>Proportion to interdisciplinary program:</t>
  </si>
  <si>
    <t>Grad Schl</t>
  </si>
  <si>
    <t>Agriculture</t>
  </si>
  <si>
    <t>Total Certificate</t>
  </si>
  <si>
    <t>Degrees by Program</t>
  </si>
  <si>
    <t>Degree Weights</t>
  </si>
  <si>
    <t>Interdisciplinary Weight to College</t>
  </si>
  <si>
    <t>FY16 Weighted Degrees</t>
  </si>
  <si>
    <t>Total MastersApplied Economics</t>
  </si>
  <si>
    <t>Total Doctorate Applied Economics</t>
  </si>
  <si>
    <t>Dollars in Strategic Populations  Pool:</t>
  </si>
  <si>
    <t>Weights for Strategic Populations:</t>
  </si>
  <si>
    <t>Degrees to High-Achieving Students</t>
  </si>
  <si>
    <t>For TREND function</t>
  </si>
  <si>
    <t>Total Weighted Degrees to Strategic Populations</t>
  </si>
  <si>
    <t>Share of Weighted Degrees</t>
  </si>
  <si>
    <t>Degree Foundations plus Honors</t>
  </si>
  <si>
    <t xml:space="preserve">Undergrad Completions </t>
  </si>
  <si>
    <t>Alternative Delivery (Ecampus plus Summer)</t>
  </si>
  <si>
    <t>Strategic Populations and Cascades</t>
  </si>
  <si>
    <t>New Grant Awards by Index</t>
  </si>
  <si>
    <t>Total New Grant Awards:</t>
  </si>
  <si>
    <t>These data are pulled from each sheet that calculations the allocations;</t>
  </si>
  <si>
    <t>the Research Allocation is copied directly to the table at the left;</t>
  </si>
  <si>
    <t>Cascades Incentive Allocation (credit hours taught at Cascades campus)</t>
  </si>
  <si>
    <t>Dollars in Cascades Pool:</t>
  </si>
  <si>
    <t>Academic Year Credit hours, all levels, taught at Cascades</t>
  </si>
  <si>
    <t>2015-16 Projected</t>
  </si>
  <si>
    <t>Share of Cascades Pool</t>
  </si>
  <si>
    <t>Academic Delivery</t>
  </si>
  <si>
    <t>Extended Campus</t>
  </si>
  <si>
    <t>Undergraduate Non-resident</t>
  </si>
  <si>
    <t>Percentage</t>
  </si>
  <si>
    <t>Retention fund</t>
  </si>
  <si>
    <t xml:space="preserve">Settle-up Pools to Distribute to Academic Units </t>
  </si>
  <si>
    <t>Executive Funding</t>
  </si>
  <si>
    <t xml:space="preserve">Graphing: </t>
  </si>
  <si>
    <t>Ecampus academic support operations</t>
  </si>
  <si>
    <t>(weight for strategic areas:)</t>
  </si>
  <si>
    <t>Degrees to International Students.</t>
  </si>
  <si>
    <t>Degrees to URM Students:</t>
  </si>
  <si>
    <t>Cascades Participation by SCH</t>
  </si>
  <si>
    <t>LD Biology SCH Taught byOther Units</t>
  </si>
  <si>
    <t>Does this equal the right total?</t>
  </si>
  <si>
    <t>Oregon Resident Students</t>
  </si>
  <si>
    <t>Resident OR students</t>
  </si>
  <si>
    <r>
      <t xml:space="preserve">NOTE:  This is for </t>
    </r>
    <r>
      <rPr>
        <b/>
        <sz val="24"/>
        <rFont val="Calibri"/>
        <family val="2"/>
        <scheme val="minor"/>
      </rPr>
      <t>ILLUSTRATION ONLY</t>
    </r>
    <r>
      <rPr>
        <sz val="24"/>
        <rFont val="Calibri"/>
        <family val="2"/>
        <scheme val="minor"/>
      </rPr>
      <t xml:space="preserve"> at this point.  The data is</t>
    </r>
    <r>
      <rPr>
        <b/>
        <sz val="24"/>
        <rFont val="Calibri"/>
        <family val="2"/>
        <scheme val="minor"/>
      </rPr>
      <t xml:space="preserve"> NOT THE ACTUAL</t>
    </r>
    <r>
      <rPr>
        <sz val="24"/>
        <rFont val="Calibri"/>
        <family val="2"/>
        <scheme val="minor"/>
      </rPr>
      <t xml:space="preserve"> data.</t>
    </r>
  </si>
  <si>
    <t>Per square foot delta assessment:</t>
  </si>
  <si>
    <t>This is included so there can be discussion on how to build a space management incentive into the budget model</t>
  </si>
  <si>
    <t>OFFICE/RELATED</t>
  </si>
  <si>
    <t>CLASSLB/RELATED</t>
  </si>
  <si>
    <t>RESLAB/RELATED</t>
  </si>
  <si>
    <t>ACTUAL</t>
  </si>
  <si>
    <t>ALLOW</t>
  </si>
  <si>
    <t>% (+/-)</t>
  </si>
  <si>
    <t>Other Space</t>
  </si>
  <si>
    <t>GRAND Total</t>
  </si>
  <si>
    <t>Space Delta (sq. ft.)</t>
  </si>
  <si>
    <t>Assessment</t>
  </si>
  <si>
    <t>School /Department</t>
  </si>
  <si>
    <t xml:space="preserve">  Actual</t>
  </si>
  <si>
    <t xml:space="preserve">  Allow</t>
  </si>
  <si>
    <t xml:space="preserve"> Actual</t>
  </si>
  <si>
    <t>Allow(1)</t>
  </si>
  <si>
    <t>Actual</t>
  </si>
  <si>
    <t>Allow</t>
  </si>
  <si>
    <t>Storage</t>
  </si>
  <si>
    <t xml:space="preserve">COLLEGE OF AGRICULTURAL SCIENCES </t>
  </si>
  <si>
    <t>TOTAL CAS</t>
  </si>
  <si>
    <t xml:space="preserve">COLLEGE OF BUSINESS </t>
  </si>
  <si>
    <t>TOTAL COB</t>
  </si>
  <si>
    <t>COLLEGE OF EDUCATION (SPACE AUDIT PENDING - HC NOT VERIFIED- TO BE UPDATED WITH NEW BUILDING)</t>
  </si>
  <si>
    <t>COLLEGE OF COED</t>
  </si>
  <si>
    <t>COLLEGE OF ENGINEERING (SPACE AUDIT IN PROCESS )</t>
  </si>
  <si>
    <t>TOTAL COE</t>
  </si>
  <si>
    <t>COLLEGE OF FORESTRY (SPACE AUDIT PENDING)</t>
  </si>
  <si>
    <t>TOTAL COF</t>
  </si>
  <si>
    <t>COLLEGE OF PUBLIC HEALTH &amp; HUMAN SCIENCES (EXCLUDING TEAM OREGON)</t>
  </si>
  <si>
    <t>TOTAL CPHHS</t>
  </si>
  <si>
    <t xml:space="preserve">COLLEGE OF LIBERAL ARTS </t>
  </si>
  <si>
    <t>TOTAL CLA</t>
  </si>
  <si>
    <t>COLLEGE OF OCEANIC &amp; ATMOSPHERIC SCIENCES (SPACE AUDIT PENDING )</t>
  </si>
  <si>
    <t>TOTAL CEOAS</t>
  </si>
  <si>
    <t xml:space="preserve">COLLEGE OF PHARMACY </t>
  </si>
  <si>
    <t>TOTAL COP</t>
  </si>
  <si>
    <t xml:space="preserve">COLLEGE OF SCIENCE (COS) </t>
  </si>
  <si>
    <t>TOTAL COS</t>
  </si>
  <si>
    <t>COLLEGE OF VETERINARY MEDICINE (SPACE AUDIT PENDING )</t>
  </si>
  <si>
    <t>TOTAL CVM</t>
  </si>
  <si>
    <t>GRAND TOTAL ALL ACADEMIC SPACE</t>
  </si>
  <si>
    <t>Notes:</t>
  </si>
  <si>
    <t>The specific assigned vs. allowable space reports above were compared with current space standards as approved by USC.</t>
  </si>
  <si>
    <t>This is a working draft and status of verifications are included in each unit's heading.</t>
  </si>
  <si>
    <t>Space Assessment Calculation</t>
  </si>
  <si>
    <t>OFF</t>
  </si>
  <si>
    <t>FY16 Assessment</t>
  </si>
  <si>
    <t>Pools to Distribute to Units</t>
  </si>
  <si>
    <t>Reserves, Contingency, Strategic</t>
  </si>
  <si>
    <t>Community Support Fund</t>
  </si>
  <si>
    <t>Strategic Funds:</t>
  </si>
  <si>
    <t>Community Support:</t>
  </si>
  <si>
    <t>OSU strategic  funding</t>
  </si>
  <si>
    <t>Community Support Funds</t>
  </si>
  <si>
    <t>Ecampus Differentials:</t>
  </si>
  <si>
    <t>Ecampus and Summer Undergraduate</t>
  </si>
  <si>
    <t>Ecampus and Summer Graduate</t>
  </si>
  <si>
    <t xml:space="preserve">    University Business Centers    </t>
  </si>
  <si>
    <t>Budgeted in Executive and Strategic</t>
  </si>
  <si>
    <t>International Participants</t>
  </si>
  <si>
    <t>Metric Number</t>
  </si>
  <si>
    <t>Additional weight for PH.D over Masters:</t>
  </si>
  <si>
    <t>DVM PharmD</t>
  </si>
  <si>
    <t>Discipline weights for degrees and credit hours ratioed to upper division social science</t>
  </si>
  <si>
    <t>All</t>
  </si>
  <si>
    <t>All Ratioed to Lower Division</t>
  </si>
  <si>
    <t>100% Degree Share</t>
  </si>
  <si>
    <t>Capital Renewal and Depreciation Funds</t>
  </si>
  <si>
    <t>Overhead Rate</t>
  </si>
  <si>
    <t>Weighted</t>
  </si>
  <si>
    <t>Raw</t>
  </si>
  <si>
    <t>LD Foundation SCH</t>
  </si>
  <si>
    <t>UD Foundation SCH</t>
  </si>
  <si>
    <t>Grad Foundation SCH</t>
  </si>
  <si>
    <t>Undergraduate Degrees</t>
  </si>
  <si>
    <t>Graduate Degrees</t>
  </si>
  <si>
    <t>Undergraduate Ecampus tuition and fee</t>
  </si>
  <si>
    <t>Graduate Ecampus tuition and fee</t>
  </si>
  <si>
    <t>State graduate</t>
  </si>
  <si>
    <t>State undergraduate</t>
  </si>
  <si>
    <t>Other</t>
  </si>
  <si>
    <t>State funding assumed as 77% for undergraduate outcomes</t>
  </si>
  <si>
    <t>Undergraduate tuition and fees</t>
  </si>
  <si>
    <t>Graduate tuition and fees</t>
  </si>
  <si>
    <t>Professional Tuition fees</t>
  </si>
  <si>
    <t>Fees distributed 83% undergraduate, 15% graduate</t>
  </si>
  <si>
    <t>Research &amp; Public Service General</t>
  </si>
  <si>
    <t>State Targeted Research Funds</t>
  </si>
  <si>
    <t>% All</t>
  </si>
  <si>
    <t>% General</t>
  </si>
  <si>
    <t>Distributable:</t>
  </si>
  <si>
    <t>Undergraduate revenues:</t>
  </si>
  <si>
    <t>Graduate revenues:</t>
  </si>
  <si>
    <t>General research revenues:</t>
  </si>
  <si>
    <t>Earmarked revenues:</t>
  </si>
  <si>
    <t>Average Academic Year SCH</t>
  </si>
  <si>
    <t>Foundation Credit hours of total</t>
  </si>
  <si>
    <t>Undergraduate Credit hours of total</t>
  </si>
  <si>
    <t>Graduate Credit Hours of total</t>
  </si>
  <si>
    <t>Proportions of Credit Hours and Degrees:</t>
  </si>
  <si>
    <t>Proportions of Initial Revenues by General Sources</t>
  </si>
  <si>
    <t>Proportions of Academic Distributions by Category</t>
  </si>
  <si>
    <t>Foundation Credit Hours:</t>
  </si>
  <si>
    <t>Lower division</t>
  </si>
  <si>
    <t>Upper Division</t>
  </si>
  <si>
    <t>Undergraduate Completions</t>
  </si>
  <si>
    <t>Undergraduate Ecampus</t>
  </si>
  <si>
    <t>Graduate Ecampus</t>
  </si>
  <si>
    <t>Honors and Cascades Undergraduate</t>
  </si>
  <si>
    <t>Strategic Populations-Undergraduate</t>
  </si>
  <si>
    <t>Strategic Populations-Graduate</t>
  </si>
  <si>
    <t>Undergraduate proportion:</t>
  </si>
  <si>
    <t>Graduate proportion:</t>
  </si>
  <si>
    <t>Foundation Credit Hour Measures</t>
  </si>
  <si>
    <t>Undergraduate Allocations</t>
  </si>
  <si>
    <t>Graduate Allocations</t>
  </si>
  <si>
    <t>Research Allocations</t>
  </si>
  <si>
    <t>Original</t>
  </si>
  <si>
    <t>Redistribute?</t>
  </si>
  <si>
    <t>No Weighting</t>
  </si>
  <si>
    <t>Switched Weights</t>
  </si>
  <si>
    <t>Use Discpline Weights?</t>
  </si>
  <si>
    <t>Use Disciplinary Weights?</t>
  </si>
  <si>
    <t>Ecampus and Summer Pools</t>
  </si>
  <si>
    <t>Projection Current Year</t>
  </si>
  <si>
    <t>Pool</t>
  </si>
  <si>
    <t>Summer Undergraduate per SCH</t>
  </si>
  <si>
    <t>Summer Graduate per SCH</t>
  </si>
  <si>
    <t>Total Weighted Degrees</t>
  </si>
  <si>
    <t>Revenue Sources for Comparison:</t>
  </si>
  <si>
    <t>Distribution of Pool by Category)</t>
  </si>
  <si>
    <t>Academic Delivery Units*</t>
  </si>
  <si>
    <t>*</t>
  </si>
  <si>
    <t>Other Distribution pools or allocations</t>
  </si>
  <si>
    <t>Academic Affairs, Student Affairs, Enrollment Management, Undergraduate Studies</t>
  </si>
  <si>
    <t>Strategic populations</t>
  </si>
  <si>
    <t>Contractual Obligations</t>
  </si>
  <si>
    <t>Pools to distribute to units</t>
  </si>
  <si>
    <t>Health Professions</t>
  </si>
  <si>
    <t xml:space="preserve"> Colleges, Ecampus, Centers and Institutes, Interdisciplinary Graduate programs, including academic distribution pools, Outreach and Engagement</t>
  </si>
  <si>
    <t>Facilities Operations, Energy Operations, Risk Management, Capital Planning</t>
  </si>
  <si>
    <t>Contractual or contingency</t>
  </si>
  <si>
    <t xml:space="preserve"> Executive funding</t>
  </si>
  <si>
    <t>Strategic or Community Funds</t>
  </si>
  <si>
    <t>Share of Pool Dollars</t>
  </si>
  <si>
    <t xml:space="preserve"> SCH ADJUSTMENTS (BIOLOGY AND ECAMPUS TO CORVALLIS IF USED):</t>
  </si>
  <si>
    <t>UD Biology SCH Taught by Other Units</t>
  </si>
  <si>
    <t>Data from data summary workbook.  Original data from CORE report BUD500</t>
  </si>
  <si>
    <t>Projected credit hours from projection worksheet</t>
  </si>
  <si>
    <t>Share of pool</t>
  </si>
  <si>
    <t>How projected?</t>
  </si>
  <si>
    <t xml:space="preserve">Pharmacy and Vet. Med. Ph.D. Weight is </t>
  </si>
  <si>
    <t>FY16 Budget</t>
  </si>
  <si>
    <t>Data from data summary workbook.  Original data from CORE report BUD500 and BUD502</t>
  </si>
  <si>
    <t>Projected credit hours and degrees from projection worksheet</t>
  </si>
  <si>
    <t>FY16 Foundations</t>
  </si>
  <si>
    <t>FY16 Weighted UG Degrees</t>
  </si>
  <si>
    <t xml:space="preserve">                                                             </t>
  </si>
  <si>
    <t>FY16 Graduate Allocation</t>
  </si>
  <si>
    <t>FY17 Share</t>
  </si>
  <si>
    <t>Strategic Populations</t>
  </si>
  <si>
    <t>FY17 Allocation</t>
  </si>
  <si>
    <t>FY16 Degrees</t>
  </si>
  <si>
    <t>FY17 Degrees</t>
  </si>
  <si>
    <t>Docotrate degrees</t>
  </si>
  <si>
    <t>High achieving degrees</t>
  </si>
  <si>
    <t>Pell recipients</t>
  </si>
  <si>
    <t>URM Students</t>
  </si>
  <si>
    <t>International Students</t>
  </si>
  <si>
    <t>for reference elsewhere:</t>
  </si>
  <si>
    <t>Dollars in Graduate Completions Pool:</t>
  </si>
  <si>
    <t>Ratios to Upper Division Social Science (1.00), capped for differential tuition contribution</t>
  </si>
  <si>
    <t>Lower Division</t>
  </si>
  <si>
    <t>Master's</t>
  </si>
  <si>
    <t xml:space="preserve">Doctoral </t>
  </si>
  <si>
    <t>Ratios to Upper Division Social Science: Before Adjustment for Differential Tuition</t>
  </si>
  <si>
    <t>Data for weights is available on another workbook</t>
  </si>
  <si>
    <t>FY17</t>
  </si>
  <si>
    <t>F&amp;A Recovery kept centrally</t>
  </si>
  <si>
    <t xml:space="preserve">Capital Campaign Support </t>
  </si>
  <si>
    <t>Int'l Assistant Visa fees (distr as Grad Rem)</t>
  </si>
  <si>
    <t>URM</t>
  </si>
  <si>
    <t>Benton County Historical Society</t>
  </si>
  <si>
    <t>EOU</t>
  </si>
  <si>
    <t>Eastern Oregon University Settle-up</t>
  </si>
  <si>
    <t>(distributed on Ecampus page)</t>
  </si>
  <si>
    <t>IR 4th Week report</t>
  </si>
  <si>
    <t>All by CIP Level</t>
  </si>
  <si>
    <t>Actual 2016</t>
  </si>
  <si>
    <t>2017 Projected</t>
  </si>
  <si>
    <t>GRAD Biology SCH Taught by Other Units</t>
  </si>
  <si>
    <t>2016 actual</t>
  </si>
  <si>
    <t>All without Engineering</t>
  </si>
  <si>
    <t>2016 Actual</t>
  </si>
  <si>
    <t>Projected</t>
  </si>
  <si>
    <t>2016-17</t>
  </si>
  <si>
    <t>Minor (declared, not awarded, there are data issues)  Count corrected Spring 2017</t>
  </si>
  <si>
    <t>Projected 2017</t>
  </si>
  <si>
    <t>2017 Proj</t>
  </si>
  <si>
    <t xml:space="preserve">2015-16 </t>
  </si>
  <si>
    <t>AY Differential and prof. tuition over base</t>
  </si>
  <si>
    <t>COLLEGE</t>
  </si>
  <si>
    <t>Earth,Ocean &amp;Atmos Sci</t>
  </si>
  <si>
    <t xml:space="preserve">Forestry </t>
  </si>
  <si>
    <t>Public Health &amp; Human Sci</t>
  </si>
  <si>
    <t xml:space="preserve">Graduate School                     </t>
  </si>
  <si>
    <t xml:space="preserve"> Research Office </t>
  </si>
  <si>
    <t xml:space="preserve">  Outreach &amp; Engagement</t>
  </si>
  <si>
    <t xml:space="preserve"> Library</t>
  </si>
  <si>
    <t xml:space="preserve"> Student Affairs</t>
  </si>
  <si>
    <t xml:space="preserve">   Cascades </t>
  </si>
  <si>
    <t>Central Admin</t>
  </si>
  <si>
    <t>FY18</t>
  </si>
  <si>
    <t>Financial aid</t>
  </si>
  <si>
    <t>Fee</t>
  </si>
  <si>
    <t>Total Tuition Revenue</t>
  </si>
  <si>
    <t xml:space="preserve">Differential is </t>
  </si>
  <si>
    <t>13.45% of tuition</t>
  </si>
  <si>
    <t>Fee is</t>
  </si>
  <si>
    <t>23.94% of total revenue</t>
  </si>
  <si>
    <t>Ecampus Actual Dollar Allocation Total</t>
  </si>
  <si>
    <t>Summer Actual Dollar Allocation Total</t>
  </si>
  <si>
    <t>FY17 Initial</t>
  </si>
  <si>
    <t>FY18 Initial</t>
  </si>
  <si>
    <t>Total Revenue</t>
  </si>
  <si>
    <t>Fee percent</t>
  </si>
  <si>
    <t>Central percent</t>
  </si>
  <si>
    <t>Total Ecampus and Sumer to Distribute</t>
  </si>
  <si>
    <t>Undergraduate Differential Tuition</t>
  </si>
  <si>
    <t>Graduate Differential Tuition</t>
  </si>
  <si>
    <t>Less 10% Undergraduate, 4.0% Graduate Financial Aid</t>
  </si>
  <si>
    <t>Less 7% Undergrad, 6% Grad overhead (capped)</t>
  </si>
  <si>
    <t>Net Allocation</t>
  </si>
  <si>
    <t>Graduate Credit hours to majors</t>
  </si>
  <si>
    <t>14-15-16</t>
  </si>
  <si>
    <t>College specific upper division and graduate weights?</t>
  </si>
  <si>
    <t>LD specific weights</t>
  </si>
  <si>
    <t>UD College specific weights</t>
  </si>
  <si>
    <t>Grad College specific weights</t>
  </si>
  <si>
    <t>The academic allocation for Ecampus is based on actual projected total SCH, the same way as currently</t>
  </si>
  <si>
    <t>$/weighted SCH</t>
  </si>
  <si>
    <t>PAC fee $</t>
  </si>
  <si>
    <t>Weighted SCH</t>
  </si>
  <si>
    <t>Discount</t>
  </si>
  <si>
    <t>Use Health Sciences weight for Pharm and Vet Med (no = professional school weights)</t>
  </si>
  <si>
    <t>Use health science weights?  (no =professional wt)</t>
  </si>
  <si>
    <t>Professional tuition (total)</t>
  </si>
  <si>
    <t>F&amp;A Recovery (Total)</t>
  </si>
  <si>
    <t>Sales and Service, Fees,</t>
  </si>
  <si>
    <t>State Outcomes Targeted</t>
  </si>
  <si>
    <t>State Outcomes General</t>
  </si>
  <si>
    <t>Ecampus, Summer</t>
  </si>
  <si>
    <t>FY18  Foundations</t>
  </si>
  <si>
    <t>FY18 Budget  Share</t>
  </si>
  <si>
    <t>15-16-17</t>
  </si>
  <si>
    <t>FY18 Share</t>
  </si>
  <si>
    <t>FY18 Allocation</t>
  </si>
  <si>
    <t>FY18 Degrees</t>
  </si>
  <si>
    <t>FY18 Budget</t>
  </si>
  <si>
    <t>Capital Renewal and Repair</t>
  </si>
  <si>
    <t>Grad remission reserves, PhD subsidy, Visa fees</t>
  </si>
  <si>
    <t>Budget Reserve Balance</t>
  </si>
  <si>
    <t xml:space="preserve">    International Programs</t>
  </si>
  <si>
    <t xml:space="preserve">    Graduate School Interdisciplinary Programs</t>
  </si>
  <si>
    <t>Service, Support, &amp; Management</t>
  </si>
  <si>
    <t xml:space="preserve">    Enterprise Risk Services</t>
  </si>
  <si>
    <t>ORIGINAL</t>
  </si>
  <si>
    <t>OSU Shared Responsibility Budget Model FY18 Version</t>
  </si>
  <si>
    <t>General tuition</t>
  </si>
  <si>
    <t>FY2018 Education &amp; General Initial Budget  ---Hybrid Model Development</t>
  </si>
  <si>
    <t>FY17 Estimate</t>
  </si>
  <si>
    <t>Professional Schools to 100% of Gross Revenue</t>
  </si>
  <si>
    <t>FY18 Estimate</t>
  </si>
  <si>
    <t>FY15 Original Budget</t>
  </si>
  <si>
    <t>FY15 Adjusted Budget</t>
  </si>
  <si>
    <t>FY15 Targeted and Dedicated</t>
  </si>
  <si>
    <t>FY15 Floor Base Budget</t>
  </si>
  <si>
    <t>Switched floor calculation</t>
  </si>
  <si>
    <t>Ocean Acidification</t>
  </si>
  <si>
    <t>OSU Targeted Funding</t>
  </si>
  <si>
    <t>Explanation</t>
  </si>
  <si>
    <t>For AES FY12 Salary increases</t>
  </si>
  <si>
    <t>For AES Grad Fee Remissions</t>
  </si>
  <si>
    <t>For FRL FY12 Salary increases</t>
  </si>
  <si>
    <t>For FRL Grad Fee Remissions</t>
  </si>
  <si>
    <t>Environmental Humanities - Year 1 of 3</t>
  </si>
  <si>
    <t xml:space="preserve">    CEOAS</t>
  </si>
  <si>
    <t>Support for EVM position</t>
  </si>
  <si>
    <t>Fee Waivers</t>
  </si>
  <si>
    <t xml:space="preserve">    President's Office</t>
  </si>
  <si>
    <t>DAS Shuttle</t>
  </si>
  <si>
    <t xml:space="preserve">    Provost Pass-through</t>
  </si>
  <si>
    <t>Phi Beta Kappa funding</t>
  </si>
  <si>
    <t xml:space="preserve">    Information Services</t>
  </si>
  <si>
    <t>One-time license charges &amp; system upgrades</t>
  </si>
  <si>
    <t xml:space="preserve">    Graduate School</t>
  </si>
  <si>
    <t>Graduate Fellowship &amp; Scholarship program</t>
  </si>
  <si>
    <t xml:space="preserve">    Research Admin</t>
  </si>
  <si>
    <t>SMI contract (or other DC representation)</t>
  </si>
  <si>
    <t>FY12 salary increase for EXT</t>
  </si>
  <si>
    <t>For EXT Grad Fee Remissions</t>
  </si>
  <si>
    <t xml:space="preserve">    Finance &amp; Administration</t>
  </si>
  <si>
    <t>Budget Office - Future Perfect contract</t>
  </si>
  <si>
    <t xml:space="preserve">   UIO - Cap Dev &amp; Planning</t>
  </si>
  <si>
    <t>Corvallis Transit Pmt</t>
  </si>
  <si>
    <t>Albany Transit Pmt</t>
  </si>
  <si>
    <t xml:space="preserve">          Total</t>
  </si>
  <si>
    <t>Foundation Obligation (Alumni Assoc)</t>
  </si>
  <si>
    <t>Assessments to be received for Busines Centers</t>
  </si>
  <si>
    <t>FY18 Unclassified Mid-Year Raise</t>
  </si>
  <si>
    <t>FY18 Classified Mid-year Step &amp; COLA</t>
  </si>
  <si>
    <t>Capital &amp; Repair Fund</t>
  </si>
  <si>
    <t>Corvallis</t>
  </si>
  <si>
    <t>Grant to City (URM)</t>
  </si>
  <si>
    <t>Various</t>
  </si>
  <si>
    <t>Boli Fees</t>
  </si>
  <si>
    <t>Sales &amp; Service Revenue</t>
  </si>
  <si>
    <t>Net Contingency/Uncommitted funds</t>
  </si>
  <si>
    <t>Capital renewal and repair</t>
  </si>
  <si>
    <t>Strategic allocations (MSI and Student Success)</t>
  </si>
  <si>
    <t>Sales and Service Revenue Shown Elsewhere</t>
  </si>
  <si>
    <t>Building Use Credits (moved to plant fund)</t>
  </si>
  <si>
    <t>FY18 Dollars</t>
  </si>
  <si>
    <t>Share</t>
  </si>
  <si>
    <t>NO</t>
  </si>
  <si>
    <t>This is the allocation by actual amounts, in the exact way it has been done previously.</t>
  </si>
  <si>
    <t>These allocations include the differential tuition component</t>
  </si>
  <si>
    <t>For Trend Projection:</t>
  </si>
  <si>
    <t>Correction for PAC fee allocation</t>
  </si>
  <si>
    <t>PHHS Original</t>
  </si>
  <si>
    <t>PHHS Corrected</t>
  </si>
  <si>
    <t>FY15 Based Floor Calculations</t>
  </si>
  <si>
    <t>FY16 Base vs. Targeted Allocations</t>
  </si>
  <si>
    <t>FY16 Adjusted total budget</t>
  </si>
  <si>
    <t>Net dedicated and targeted funds allocation</t>
  </si>
  <si>
    <t>FY16 Floor Base Budget</t>
  </si>
  <si>
    <t>Budget Floor</t>
  </si>
  <si>
    <t>Floor is set as:</t>
  </si>
  <si>
    <t>Distribute Community Fund, Adjust to Floor</t>
  </si>
  <si>
    <t>*FY18 targeted adds $685K that in previous years had been a part of targeted funding</t>
  </si>
  <si>
    <t>but was moved to base in FY18;  it would artifically reduce the floor if not included</t>
  </si>
  <si>
    <t>Adjust to Floor</t>
  </si>
  <si>
    <t>Community Support Fund Reserve:</t>
  </si>
  <si>
    <t>Strategic Investment Reserves:</t>
  </si>
  <si>
    <t>FY18 Model Adjusted Initial Budget</t>
  </si>
  <si>
    <t>FY18  Adjusted Initial Budget</t>
  </si>
  <si>
    <t>FY18  Original Initial Budget</t>
  </si>
  <si>
    <t>Initial Budget</t>
  </si>
  <si>
    <t>2017 Actual</t>
  </si>
  <si>
    <t>Actual 2017</t>
  </si>
  <si>
    <t>Revised weights used in FY17 and FY18 versions</t>
  </si>
  <si>
    <t>Weights used in FY16 version</t>
  </si>
  <si>
    <t>Ratios to Eight Upper Division CIPs (1.00), capped for differential tuition contribution</t>
  </si>
  <si>
    <t>2016P</t>
  </si>
  <si>
    <t>2016A</t>
  </si>
  <si>
    <t>2017P</t>
  </si>
  <si>
    <t>2017A</t>
  </si>
  <si>
    <t>Dollar allocation per credit hour</t>
  </si>
  <si>
    <t>Dollar allocation per category</t>
  </si>
  <si>
    <t>$ per SCH</t>
  </si>
  <si>
    <t>$ per Intl</t>
  </si>
  <si>
    <t>$ per URM</t>
  </si>
  <si>
    <t>$ per Pell</t>
  </si>
  <si>
    <t>Dollars from and per Degree</t>
  </si>
  <si>
    <t>Dollars from and per SCH</t>
  </si>
  <si>
    <t>FY18 per Degree</t>
  </si>
  <si>
    <t>FY18 per SCH</t>
  </si>
  <si>
    <t>FY18 PhD $</t>
  </si>
  <si>
    <t>FY18 MS $</t>
  </si>
  <si>
    <t>Per Phd $</t>
  </si>
  <si>
    <t>Per MS $</t>
  </si>
  <si>
    <t>Ecampus and Summer SCH:</t>
  </si>
  <si>
    <t>Resident Undergraduate per SCH</t>
  </si>
  <si>
    <t>Resident Graduate per SCH</t>
  </si>
  <si>
    <t>FY18 LD Foundation</t>
  </si>
  <si>
    <t>FY18 UD Foundation</t>
  </si>
  <si>
    <t>FY18 Grad Foundation</t>
  </si>
  <si>
    <t>FY18 Weighted UG Degrees</t>
  </si>
  <si>
    <t>FY18 Graduate Degrees</t>
  </si>
  <si>
    <t>FY18 Graduate Allocation</t>
  </si>
  <si>
    <t>FY18 Graduate Share</t>
  </si>
  <si>
    <t>FY18 Budget SCH</t>
  </si>
  <si>
    <t>Research Office Reports</t>
  </si>
  <si>
    <t>Budget Office Report</t>
  </si>
  <si>
    <t>FY17 Unit Share</t>
  </si>
  <si>
    <t>FY18 Unit Share</t>
  </si>
  <si>
    <t xml:space="preserve">ETIC Sustaining  Funding </t>
  </si>
  <si>
    <t>Services for Students with Disabilities</t>
  </si>
  <si>
    <t>Fermentation Science and 63% of Shellfish/Mollusca Funding, Potato Research, North Willamette funding</t>
  </si>
  <si>
    <t>This data is not used at the moment.</t>
  </si>
  <si>
    <t>This is a placeholder if there is a decision to add a space allocation component.</t>
  </si>
  <si>
    <t>Ratios to UD 8-field average--With Delaware, Ohio State Avg</t>
  </si>
  <si>
    <t>Illinois</t>
  </si>
  <si>
    <t>SHEOO 2002, 2007</t>
  </si>
  <si>
    <t>CIP Levels</t>
  </si>
  <si>
    <t>LOWER</t>
  </si>
  <si>
    <t>UPPER</t>
  </si>
  <si>
    <t>GRAD I</t>
  </si>
  <si>
    <t>GRAD II</t>
  </si>
  <si>
    <t>Average Across All Disciplines if Given</t>
  </si>
  <si>
    <t>01</t>
  </si>
  <si>
    <t>Agricultural Business</t>
  </si>
  <si>
    <t>02</t>
  </si>
  <si>
    <t>03</t>
  </si>
  <si>
    <t>Conservation</t>
  </si>
  <si>
    <t>04</t>
  </si>
  <si>
    <t>Architecture</t>
  </si>
  <si>
    <t>05</t>
  </si>
  <si>
    <t>Area, Ethnic, Cultural Studies</t>
  </si>
  <si>
    <t>09</t>
  </si>
  <si>
    <t>Communications</t>
  </si>
  <si>
    <t>10</t>
  </si>
  <si>
    <t>Communications Technologies</t>
  </si>
  <si>
    <t>11</t>
  </si>
  <si>
    <t>Computer and Information Science</t>
  </si>
  <si>
    <t>13</t>
  </si>
  <si>
    <t>14</t>
  </si>
  <si>
    <t>15</t>
  </si>
  <si>
    <t>Engineering-related Technology</t>
  </si>
  <si>
    <t>16</t>
  </si>
  <si>
    <t>Foreign Languages and Literature</t>
  </si>
  <si>
    <t>19</t>
  </si>
  <si>
    <t>Home Economics</t>
  </si>
  <si>
    <t>22</t>
  </si>
  <si>
    <t>Law and Legal Studies</t>
  </si>
  <si>
    <t>23</t>
  </si>
  <si>
    <t>English Language and Literature</t>
  </si>
  <si>
    <t>24</t>
  </si>
  <si>
    <t>Liberal Arts and Sciences, Humanities</t>
  </si>
  <si>
    <t>25</t>
  </si>
  <si>
    <t>Library Science</t>
  </si>
  <si>
    <t>26</t>
  </si>
  <si>
    <t>Biological Sciences, Life Sciences</t>
  </si>
  <si>
    <t>27</t>
  </si>
  <si>
    <t>Mathematics</t>
  </si>
  <si>
    <t>28</t>
  </si>
  <si>
    <t>Reserve Officers Training Corps</t>
  </si>
  <si>
    <t>29</t>
  </si>
  <si>
    <t>Military Technologies</t>
  </si>
  <si>
    <t>30</t>
  </si>
  <si>
    <t>Multi/Interdisciplinary Studies</t>
  </si>
  <si>
    <t>31</t>
  </si>
  <si>
    <t>Parks, Rec, Leisure, Fitness Studies</t>
  </si>
  <si>
    <t>32</t>
  </si>
  <si>
    <t>Basic Skills</t>
  </si>
  <si>
    <t>34</t>
  </si>
  <si>
    <t>Health Related Knowledge/Skill</t>
  </si>
  <si>
    <t>38</t>
  </si>
  <si>
    <t>Philosophy and Religion</t>
  </si>
  <si>
    <t>40</t>
  </si>
  <si>
    <t>Physical Sciences</t>
  </si>
  <si>
    <t>41</t>
  </si>
  <si>
    <t>Science Technologies</t>
  </si>
  <si>
    <t>42</t>
  </si>
  <si>
    <t>Psychology</t>
  </si>
  <si>
    <t>43</t>
  </si>
  <si>
    <t>Protective Services</t>
  </si>
  <si>
    <t>44</t>
  </si>
  <si>
    <t>Public Administration and Services</t>
  </si>
  <si>
    <t>45</t>
  </si>
  <si>
    <t>Social Sciences and History</t>
  </si>
  <si>
    <t>50</t>
  </si>
  <si>
    <t>Visual and Performing Arts</t>
  </si>
  <si>
    <t>51</t>
  </si>
  <si>
    <t>Health Professions, Related Sciences</t>
  </si>
  <si>
    <t>51.20</t>
  </si>
  <si>
    <t>51.24</t>
  </si>
  <si>
    <t>Veterinary Medicine (DVM)</t>
  </si>
  <si>
    <t>52</t>
  </si>
  <si>
    <t>Business Mgmt, Administrative Services</t>
  </si>
  <si>
    <t>54</t>
  </si>
  <si>
    <t>History</t>
  </si>
  <si>
    <t>9999</t>
  </si>
  <si>
    <t>Unknown</t>
  </si>
  <si>
    <t>Average</t>
  </si>
  <si>
    <t>Median</t>
  </si>
  <si>
    <t>Stddev</t>
  </si>
  <si>
    <t>+2 STDEV</t>
  </si>
  <si>
    <t>Weights by CIP code, binned as at right</t>
  </si>
  <si>
    <t>Tier 1</t>
  </si>
  <si>
    <t>Tier 2</t>
  </si>
  <si>
    <t>Tier 3</t>
  </si>
  <si>
    <t>Tier 4</t>
  </si>
  <si>
    <t>Tier 5</t>
  </si>
  <si>
    <t>Tier 6</t>
  </si>
  <si>
    <t>Tier 7</t>
  </si>
  <si>
    <t>Tier 8</t>
  </si>
  <si>
    <t>Pharmacy*</t>
  </si>
  <si>
    <t>Veterinary Medicine*</t>
  </si>
  <si>
    <t>*these are estimates from RAM and Texas system data; they are not well constrained</t>
  </si>
  <si>
    <t>This table is then mapped to the appropriate cell in the table to the left.</t>
  </si>
  <si>
    <t>FY13</t>
  </si>
  <si>
    <t>Unclassified employee count</t>
  </si>
  <si>
    <t>FY17 Base vs. Targeted Allocations</t>
  </si>
  <si>
    <t>FY18 Base vs. Targeted Allocations</t>
  </si>
  <si>
    <t xml:space="preserve">    Research (Centers / Institutes / Programs)*</t>
  </si>
  <si>
    <t>Set Floor as FY16 or FY17</t>
  </si>
  <si>
    <t>FY17 Adjusted total budget</t>
  </si>
  <si>
    <t>FY17 Floor Base Budget</t>
  </si>
  <si>
    <t>FY18 Adjusted total budget</t>
  </si>
  <si>
    <t>FY18 Floor Base Budget</t>
  </si>
  <si>
    <t>Floor FY16 or FY17?</t>
  </si>
  <si>
    <t>FY18 Floor and Adjustments</t>
  </si>
  <si>
    <t>Professional Schools to 95% of Gross Revenue</t>
  </si>
  <si>
    <t>Adjust to FY16 Floor</t>
  </si>
  <si>
    <t>FY16 Floor and Adjustments</t>
  </si>
  <si>
    <t>CF at 4%</t>
  </si>
  <si>
    <t>CF at 3%</t>
  </si>
  <si>
    <t>FY17 Floor and Adjustments</t>
  </si>
  <si>
    <t>Adjust toFloor</t>
  </si>
  <si>
    <t>FY17 as Floor</t>
  </si>
  <si>
    <t>Additional adjust to FY17?</t>
  </si>
  <si>
    <t>Additional adjust to FY18?</t>
  </si>
  <si>
    <t>CF at 3.5%, 64-36%</t>
  </si>
  <si>
    <t>CF at 3.0%, 65-35%</t>
  </si>
  <si>
    <t>FY16 as Floor</t>
  </si>
  <si>
    <t>FY17 as Floor, PHHS keeps fees</t>
  </si>
  <si>
    <t>FY18 Commmunity Subsidy Amount, Forward Version</t>
  </si>
  <si>
    <t>Community Funding</t>
  </si>
  <si>
    <t>FY16 Targeted + Community</t>
  </si>
  <si>
    <t>FY17 Targeted + Community</t>
  </si>
  <si>
    <t>Correct for PAC Fee?</t>
  </si>
  <si>
    <t>Honors</t>
  </si>
  <si>
    <t>Centers</t>
  </si>
  <si>
    <t>Interdisciplinary</t>
  </si>
  <si>
    <t>Actual FY18 E&amp;G Budget:</t>
  </si>
  <si>
    <t>Model FY18 E&amp;G Budget</t>
  </si>
  <si>
    <t>Actual FY18 Budget</t>
  </si>
  <si>
    <t>Original FY18 Model Budget</t>
  </si>
  <si>
    <t>Adjusted FY18 Model Budget</t>
  </si>
  <si>
    <t>Change</t>
  </si>
  <si>
    <t xml:space="preserve">LD </t>
  </si>
  <si>
    <t>UD Service</t>
  </si>
  <si>
    <t>UD Majors</t>
  </si>
  <si>
    <t>Grad Service</t>
  </si>
  <si>
    <t>Grad Majors</t>
  </si>
  <si>
    <t>MS Degrees</t>
  </si>
  <si>
    <t xml:space="preserve">PhD Degrees </t>
  </si>
  <si>
    <t>Certificates</t>
  </si>
  <si>
    <t>Pell degrees</t>
  </si>
  <si>
    <t>International Degrees</t>
  </si>
  <si>
    <t>URM Degrees</t>
  </si>
  <si>
    <t>Fy17 Adjusted Initial Budget</t>
  </si>
  <si>
    <t>Revenue per change:</t>
  </si>
  <si>
    <t>Assumption</t>
  </si>
  <si>
    <t>Credit Hours:</t>
  </si>
  <si>
    <t>Degrees</t>
  </si>
  <si>
    <t>35% non-resident</t>
  </si>
  <si>
    <t>per SCH</t>
  </si>
  <si>
    <t>5 per degree</t>
  </si>
  <si>
    <t>no impact</t>
  </si>
  <si>
    <t>Enrollment 2x degrees, 40 SCH per yr</t>
  </si>
  <si>
    <t>Enrollment 2x degrees, 36 SCH per year</t>
  </si>
  <si>
    <t>Enrollment 3x degrees, 36 SCH per year</t>
  </si>
  <si>
    <t>Per unit</t>
  </si>
  <si>
    <t>FY17 Adjusted Budget</t>
  </si>
  <si>
    <t>Lower division SCH to Non-majors</t>
  </si>
  <si>
    <t>Lower division SCH to Majors</t>
  </si>
  <si>
    <t>Upper division SCH to Non Majors</t>
  </si>
  <si>
    <t>Upper division SCH to Majors</t>
  </si>
  <si>
    <t>Graduate SCH to non-majors</t>
  </si>
  <si>
    <t>Graduate SCH to majors</t>
  </si>
  <si>
    <t>Assume net new revenues?</t>
  </si>
  <si>
    <t>Yes</t>
  </si>
  <si>
    <t>No</t>
  </si>
  <si>
    <t>Added degrees per year:</t>
  </si>
  <si>
    <t>Added SCH per Year:</t>
  </si>
  <si>
    <t>Interntal Degrees</t>
  </si>
  <si>
    <t>New Revenue</t>
  </si>
  <si>
    <t>33% Non resident</t>
  </si>
  <si>
    <t>New revenues from what if growth:</t>
  </si>
  <si>
    <t>What If Added SCH (3 Yr Total)</t>
  </si>
  <si>
    <t>LD to Majors</t>
  </si>
  <si>
    <t>LD to Non Majors</t>
  </si>
  <si>
    <t>What If Added Revenue</t>
  </si>
  <si>
    <t>What If Added SCH Revenue</t>
  </si>
  <si>
    <t>Ecampus Undergrad SCH per year</t>
  </si>
  <si>
    <t>Ecampus Grad SCH per year</t>
  </si>
  <si>
    <t>Summer Grad SCH per year</t>
  </si>
  <si>
    <t>Summer Undergrad SCH per year</t>
  </si>
  <si>
    <t>Summer Grad</t>
  </si>
  <si>
    <t>Ecampus Undergrad</t>
  </si>
  <si>
    <t>Ecampus Grad</t>
  </si>
  <si>
    <t>Summer Undergrad</t>
  </si>
  <si>
    <t>Ecampus UG</t>
  </si>
  <si>
    <t>Summer UG</t>
  </si>
  <si>
    <t xml:space="preserve">If the net new revenues is set to "yes" all the incremental revenue is going into the academic pool, so other </t>
  </si>
  <si>
    <t>colleges benefit from the growth as well.  In the actual case, some of the revenue growth would likely go</t>
  </si>
  <si>
    <t>to central or service functions to improve facilities, the library, business centers, etc.</t>
  </si>
  <si>
    <t>What If Additions</t>
  </si>
  <si>
    <t>Change (and % of total new revenues if on)</t>
  </si>
  <si>
    <t>Original FY18 E&amp;G Budget before new revenues:</t>
  </si>
  <si>
    <t>DON'T CHANGE ME PLEASE.</t>
  </si>
  <si>
    <t>THESE FEED FROM OTHER PLACES&gt;&gt;&gt;&gt;USE THE "WHAT IF TOOL" TAB.</t>
  </si>
  <si>
    <t>Honors College credit hours</t>
  </si>
  <si>
    <t>Honors Degrees</t>
  </si>
  <si>
    <t>Honors Credit Hours</t>
  </si>
  <si>
    <t>CREIDT HOUR CHANGES</t>
  </si>
  <si>
    <t>What if Tool Added</t>
  </si>
  <si>
    <t>1.  Highlight the cell above and pick your unit from the drop down list</t>
  </si>
  <si>
    <t>2.  "No" mean's it is a zero sum calculation.  "Yes" assumes the growth is new enrollment we would not otherwise have.</t>
  </si>
  <si>
    <t>Taught by you to non-majors (service teaching)</t>
  </si>
  <si>
    <t>Taught by you to non-majors (300- and 400-level)</t>
  </si>
  <si>
    <t>Taught by you to your majors (100- and 200-level)</t>
  </si>
  <si>
    <t>Taught by you to majors (300- and 400-level)</t>
  </si>
  <si>
    <t>Taught by you to majors (500-level and above)</t>
  </si>
  <si>
    <t>Taught by you to non-majors (500-level and above)</t>
  </si>
  <si>
    <t>Undergraduate Ecampus credits, any level, major or non</t>
  </si>
  <si>
    <t>Graduate Ecampus credits, any level, major or non</t>
  </si>
  <si>
    <t>All summer undergraduate credit hour growh</t>
  </si>
  <si>
    <t>All summer graduate credit hour growth</t>
  </si>
  <si>
    <t>How many additional degrees you award per year by level.  Include interdisciplinary degrees your faculty supervise and double degrees (as for Education) your College awards.</t>
  </si>
  <si>
    <t>Any added Honors college credits you plan to add</t>
  </si>
  <si>
    <t>Degrees to Pell recipients (any degree level)</t>
  </si>
  <si>
    <t>Degrees to any international student (all degrees)</t>
  </si>
  <si>
    <t>Degrees to URM students (any degree level)</t>
  </si>
  <si>
    <t>Change per Year</t>
  </si>
  <si>
    <r>
      <t xml:space="preserve">3.  Add the growth you want </t>
    </r>
    <r>
      <rPr>
        <b/>
        <sz val="12"/>
        <color theme="1"/>
        <rFont val="Calibri"/>
        <family val="2"/>
        <charset val="238"/>
        <scheme val="minor"/>
      </rPr>
      <t>PER YEAR</t>
    </r>
    <r>
      <rPr>
        <sz val="12"/>
        <color theme="1"/>
        <rFont val="Calibri"/>
        <family val="2"/>
        <scheme val="minor"/>
      </rPr>
      <t xml:space="preserve"> (the calculation adds this to each of the three years used in the model automatically--so it realls you what the budget impact is once the growth has been in place for three full years). </t>
    </r>
  </si>
  <si>
    <t>Some notes on the assumptions and the revenue calculation:
If you assume additional degrees, you should probably also assume additional credit hours taught by your college.  This would be based on how many students you need in the "pipeline" to increase the number of degrees and what proportion of the credit hours in the degree you teach.  For example, if you were going to concentrate on transfer students and increase the number of degrees awarded annually by 25, you might assume 50 students total (25 juniors and 25 seniors) taking 45 credit hours per year from you, if you are delivering all of the junior and senior year credit hours for those students.  Just worry about the credit hours for your college not those taught by other colleges for those additional students.
The revenue model assumes that your increased production is steady-state---that is it is added to each of the three years the model uses for credit hour and degree calculations.
The net new revenue calculation makes some general assumptions about the pipeline issue noted above and as such is just a rough estimates.  It assumes that each new UG degree corresponds to 2 extra enrolled students (one junior and one senior) in a given year taking an average of 40 credits per year, each new MS corresponds  to 2 extra students enrolled per year taking an average of 32 credits per year, and each PhD degree corresponds to 3 extra students enrolled per term taking 36 credits per year (but it is assumed that PhD students are all on E&amp;G assistantship and don't generate net revenue).  So if you grow degrees, add credit hours taught to majors by your college proportionately (so if you add 10 new BS degrees per year, and you teach all of the credit hours, you would add 2 enrolled students per degree times 40 credits per year per student times 10 degrees per year).  You get the idea---if the assumptions in your program are different, adjust accordingly or give a shout to talk about it.</t>
  </si>
  <si>
    <t>FY19</t>
  </si>
  <si>
    <t>Increments</t>
  </si>
  <si>
    <t>FY18 IM</t>
  </si>
  <si>
    <t>FY19 Changes</t>
  </si>
  <si>
    <t>Net Portland, Gateway, Innovation hub</t>
  </si>
  <si>
    <t>FY18 Unit Budget Request</t>
  </si>
  <si>
    <t>FY19 Total</t>
  </si>
  <si>
    <t>2018 Project Nov 17</t>
  </si>
  <si>
    <t>2018 Projected</t>
  </si>
  <si>
    <t>FY19  Foundations</t>
  </si>
  <si>
    <t>FY19 Weighted UD SCH</t>
  </si>
  <si>
    <t>FY19 Weighted UG Degrees</t>
  </si>
  <si>
    <t>FY19 Share</t>
  </si>
  <si>
    <t>FY18 Projected</t>
  </si>
  <si>
    <t>1.0% of undergraduate &amp; Ecampus  tuition revenue</t>
  </si>
  <si>
    <t>FY19 Model Adjusted Initial Budget</t>
  </si>
  <si>
    <t>FY2019 Education &amp; General Initial Budget---Hybrid Model Development</t>
  </si>
  <si>
    <t>TallWood Design Institute</t>
  </si>
  <si>
    <t>Molluscan Brood Stock</t>
  </si>
  <si>
    <t xml:space="preserve">Sales &amp; Services </t>
  </si>
  <si>
    <t>Miscellaneous income</t>
  </si>
  <si>
    <t>FY18 Trend</t>
  </si>
  <si>
    <t>FY19 Trend</t>
  </si>
  <si>
    <t>FY19 Scaled</t>
  </si>
  <si>
    <t>overseas studies</t>
  </si>
  <si>
    <t>Net tuition to central</t>
  </si>
  <si>
    <t>Reserve</t>
  </si>
  <si>
    <t>90% budget</t>
  </si>
  <si>
    <t>90% Budget</t>
  </si>
  <si>
    <t>Settleup fund</t>
  </si>
  <si>
    <t>FY19 Budget Allocation</t>
  </si>
  <si>
    <t>Settleup Reserve</t>
  </si>
  <si>
    <t>Central allocation</t>
  </si>
  <si>
    <t>Fee portion</t>
  </si>
  <si>
    <t>Ecampus Actual allocations after settle ups</t>
  </si>
  <si>
    <t>Summer Actual allocations after settle ups</t>
  </si>
  <si>
    <t>SCH FY17 to FY18</t>
  </si>
  <si>
    <t>SCH FY18 to FY19</t>
  </si>
  <si>
    <t>From Credit Hour worksheet projections</t>
  </si>
  <si>
    <t>2018 Projected April 2018</t>
  </si>
  <si>
    <t>2018 Projected April 2017</t>
  </si>
  <si>
    <t>FY18 Projected April 2017</t>
  </si>
  <si>
    <t>2018 Projected  April 2017</t>
  </si>
  <si>
    <t>PAC</t>
  </si>
  <si>
    <t>Degrees by Home of Major Professor---FY17</t>
  </si>
  <si>
    <t>Degrees by Home of Major Professor---FY16</t>
  </si>
  <si>
    <t>Degrees by Home of Major Professor---FY15</t>
  </si>
  <si>
    <t>Degrees by Home of Major Professor---FY14</t>
  </si>
  <si>
    <t>Degrees 2017-18</t>
  </si>
  <si>
    <t>Degrees 2016-17</t>
  </si>
  <si>
    <t>Degrees 2015-16</t>
  </si>
  <si>
    <t>MS totals</t>
  </si>
  <si>
    <t>PhD Totals</t>
  </si>
  <si>
    <t>Cert Totals</t>
  </si>
  <si>
    <t>FY8 Weighted Degrees</t>
  </si>
  <si>
    <t>FY19 Weighted Degrees</t>
  </si>
  <si>
    <t>FY17 Weighted Degrees</t>
  </si>
  <si>
    <t>2018P</t>
  </si>
  <si>
    <t>FY19 LD Foundation</t>
  </si>
  <si>
    <t>FY19UD Foundation</t>
  </si>
  <si>
    <t>FY19 Grad Foundation</t>
  </si>
  <si>
    <t>FY19 UD Foundation</t>
  </si>
  <si>
    <t>FY17 LD Foundation</t>
  </si>
  <si>
    <t>FY17 UD Foundation</t>
  </si>
  <si>
    <t>FY17 Grad Foundation</t>
  </si>
  <si>
    <t>Correct for PAC fee charges?</t>
  </si>
  <si>
    <t>FY17  Foundations</t>
  </si>
  <si>
    <t xml:space="preserve">FY17 Allocation </t>
  </si>
  <si>
    <t xml:space="preserve">FY18 Allocation </t>
  </si>
  <si>
    <t>FY19  Allocation</t>
  </si>
  <si>
    <t>FY19 Project</t>
  </si>
  <si>
    <t>FY17 Budget Share</t>
  </si>
  <si>
    <t>FY19 Budget  Share</t>
  </si>
  <si>
    <t>FY19 per SCH</t>
  </si>
  <si>
    <t>FY19 Dollars</t>
  </si>
  <si>
    <t>Using Total Dollars:</t>
  </si>
  <si>
    <t>Per SCH</t>
  </si>
  <si>
    <t>Per Degree</t>
  </si>
  <si>
    <t>FY17 Share of SCH</t>
  </si>
  <si>
    <t>FY18 Share of SCH</t>
  </si>
  <si>
    <t>FY19 Share of SCH</t>
  </si>
  <si>
    <t>FY17 Weighted UG Degrees</t>
  </si>
  <si>
    <t>FY17 Weighted UD SCH</t>
  </si>
  <si>
    <t>FY18 Weighted UD SCH</t>
  </si>
  <si>
    <t>FY17 Budget SCH</t>
  </si>
  <si>
    <t>FY19 Budget SCH</t>
  </si>
  <si>
    <t>FY17 Graduate Degrees</t>
  </si>
  <si>
    <t>FY19 Graduate Degrees</t>
  </si>
  <si>
    <t>FY19 Graduate Share</t>
  </si>
  <si>
    <t>FY17 Gradute Share</t>
  </si>
  <si>
    <t>FY17 Graduate Allocation</t>
  </si>
  <si>
    <t>FY19 Allocation</t>
  </si>
  <si>
    <t>16-17-18</t>
  </si>
  <si>
    <t>FY19 Unit Share</t>
  </si>
  <si>
    <t>FY19 Degrees</t>
  </si>
  <si>
    <t>FY19 Budget</t>
  </si>
  <si>
    <t xml:space="preserve">Graduate Completions </t>
  </si>
  <si>
    <t>FY18 Total Initial Budget</t>
  </si>
  <si>
    <t>FY19 Net to Fund</t>
  </si>
  <si>
    <t>FY19 Metric</t>
  </si>
  <si>
    <t>FY19 $ per measure</t>
  </si>
  <si>
    <t xml:space="preserve">    Research (Centers / Institutes)</t>
  </si>
  <si>
    <t>Raise Rollup</t>
  </si>
  <si>
    <t>Notes</t>
  </si>
  <si>
    <t>Sales and service revenues (put elsewhere)</t>
  </si>
  <si>
    <t>FY18 Centrally Managed Funds</t>
  </si>
  <si>
    <t>FY19- FY18 Incremental Difference</t>
  </si>
  <si>
    <t xml:space="preserve">FY19 Centrally Managed Funds </t>
  </si>
  <si>
    <t>x</t>
  </si>
  <si>
    <t>Capital Renewal and Repair Funds</t>
  </si>
  <si>
    <t>Pools and Reserves to distribute to Units:</t>
  </si>
  <si>
    <t>Returned Overhead Rsv (Dept Admin on $41.2 million base)</t>
  </si>
  <si>
    <t>Reserve for differential revenue settle-ups</t>
  </si>
  <si>
    <t>Graduate Assistant Insurance Funds</t>
  </si>
  <si>
    <t>Grad Fee Remission for PhD candidacy program</t>
  </si>
  <si>
    <t>FY19 Unclassified Mid-Year Raise</t>
  </si>
  <si>
    <t>FY19 Classified Mid-year Step &amp; COLA</t>
  </si>
  <si>
    <t>Management Reserves for Business Costs</t>
  </si>
  <si>
    <t>Financial Advisor Consulting (PFM Future Perfect)</t>
  </si>
  <si>
    <t>Contracts, Fees to External Agencies:</t>
  </si>
  <si>
    <t>Debt Service and Leases</t>
  </si>
  <si>
    <t>Strategic Initiatives Funded Centrally</t>
  </si>
  <si>
    <t>Strategic Increment-Student Success</t>
  </si>
  <si>
    <t>Portland Hub, Innovation Studio, Gateway</t>
  </si>
  <si>
    <t>Contingency and Reserve Funding</t>
  </si>
  <si>
    <t>F&amp;A Recovery contrib - central reserve</t>
  </si>
  <si>
    <t xml:space="preserve">Total Institutional Management Allocation </t>
  </si>
  <si>
    <t>FY18 Raise Rollups</t>
  </si>
  <si>
    <t>FY18 Initial Budget</t>
  </si>
  <si>
    <t>Forestry, Business, Engineering, MPH by credit hours times charge</t>
  </si>
  <si>
    <t>MPH prior to FY19 adjusted for graduate plateau</t>
  </si>
  <si>
    <t>Honors by headcount times charge per term</t>
  </si>
  <si>
    <t>Vet Med and Pharmacy by total tuition revenue less base tuition for graduate students</t>
  </si>
  <si>
    <t>Totals</t>
  </si>
  <si>
    <t>Adjust for move to Registrar</t>
  </si>
  <si>
    <t>Collection inflation</t>
  </si>
  <si>
    <t>$110K, student success, $200K registrar from SSI to APLI and Science</t>
  </si>
  <si>
    <t>SSI allocation from FY18</t>
  </si>
  <si>
    <t>APA Curricular Approval FTE</t>
  </si>
  <si>
    <t>Faculty Affairs Associate Position ($ from International $?)</t>
  </si>
  <si>
    <t>Accreditation coordinator and admin</t>
  </si>
  <si>
    <t>various software license increases</t>
  </si>
  <si>
    <t>Employee training system</t>
  </si>
  <si>
    <t>Document management system project</t>
  </si>
  <si>
    <t>O&amp;M Nypro operations as core repository</t>
  </si>
  <si>
    <t>1/2 year O&amp;M operations Research Way building</t>
  </si>
  <si>
    <t>Custodial contract increase</t>
  </si>
  <si>
    <t>City water charge increase</t>
  </si>
  <si>
    <t>Senior Assoc VP</t>
  </si>
  <si>
    <t>IT Technology coordinator</t>
  </si>
  <si>
    <t>S&amp;S for two positions above</t>
  </si>
  <si>
    <t>PCCM salary equity increases</t>
  </si>
  <si>
    <t>Waste disposal charges increases</t>
  </si>
  <si>
    <t>Portland regional engagement</t>
  </si>
  <si>
    <t>remove one position Budget and Fiscal Planning</t>
  </si>
  <si>
    <t>vacate Director Shared Services Position</t>
  </si>
  <si>
    <t>One senior, one junior ELR positions</t>
  </si>
  <si>
    <t>Benny Hire parttime project positions</t>
  </si>
  <si>
    <t>increment for new CHRO position</t>
  </si>
  <si>
    <t>Critical development training costs</t>
  </si>
  <si>
    <t>S&amp;S for new HR positions</t>
  </si>
  <si>
    <t>2 dispatchers, Public Safety</t>
  </si>
  <si>
    <t>2 Sergeants, Public Safety</t>
  </si>
  <si>
    <t>backfill Accelerator support</t>
  </si>
  <si>
    <t>Faculty Fellows pilot</t>
  </si>
  <si>
    <t>FY19 Total rollup Initial Budget</t>
  </si>
  <si>
    <t>From Service and Support Pool</t>
  </si>
  <si>
    <t>Excess commitments over pool:</t>
  </si>
  <si>
    <t>Net central balance</t>
  </si>
  <si>
    <t>Provost's Bridge Funding</t>
  </si>
  <si>
    <t>FY2019 Education &amp; General Initial Budget ---Hybrid Model Development</t>
  </si>
  <si>
    <t>FY19 Initial Budget</t>
  </si>
  <si>
    <t>Capital Renewal Funding</t>
  </si>
  <si>
    <t>FY2019 Education &amp; General Initial Budget  ---Hybrid Model Development</t>
  </si>
  <si>
    <t>Revenues after Dedicated Funds including Capital Renewal</t>
  </si>
  <si>
    <t>Portion of funds to Academic Pool:</t>
  </si>
  <si>
    <t>Reserves to distribute to academic units</t>
  </si>
  <si>
    <t>Academic unit settle-up reserves:</t>
  </si>
  <si>
    <t>Tuition settleups (Ecampus, Summer, differential)</t>
  </si>
  <si>
    <t>Academic productivity pool</t>
  </si>
  <si>
    <t>Community Support Funding Pool</t>
  </si>
  <si>
    <t>Capital renewal and Depreciation Funds</t>
  </si>
  <si>
    <t>Community Support Funds for Colleges</t>
  </si>
  <si>
    <t>Productivity Split, 59% to Academic Pool</t>
  </si>
  <si>
    <t>Academic Productivity Funds</t>
  </si>
  <si>
    <t>Strategic Investments funds</t>
  </si>
  <si>
    <t>Institutional Support Funds</t>
  </si>
  <si>
    <t>Academic Productivity Pool</t>
  </si>
  <si>
    <t>Service, Support, Management Distribution Pool</t>
  </si>
  <si>
    <t>President's Offices</t>
  </si>
  <si>
    <t>Institutional Diversity NAGRPA position</t>
  </si>
  <si>
    <t>Audit services, personnel adjustments</t>
  </si>
  <si>
    <t>Audit services, external contracts costs</t>
  </si>
  <si>
    <t>Ombuds office personnel adjustments</t>
  </si>
  <si>
    <t>Presidential salary adjustments</t>
  </si>
  <si>
    <t>First floor Kerr support staff</t>
  </si>
  <si>
    <t>FY19 Preliminary Total</t>
  </si>
  <si>
    <t>Provost's Offices</t>
  </si>
  <si>
    <t>Provost's Passthrough</t>
  </si>
  <si>
    <t>Athletics Increment</t>
  </si>
  <si>
    <t>Commencement expenses</t>
  </si>
  <si>
    <t>Student Success Phase 2</t>
  </si>
  <si>
    <t>Total Inst. Management</t>
  </si>
  <si>
    <t>Remaining</t>
  </si>
  <si>
    <t>FY19 Productivity, Strategic,  and Dedicated</t>
  </si>
  <si>
    <t>Gross differential tuition revenue (Corvallis courses; Ecampus differentials distributed with Ecampus revenues)</t>
  </si>
  <si>
    <t>FY19 Adjustment to Correct Professional Tuition*</t>
  </si>
  <si>
    <t>*in the FY19 run, an error was corrected in the diffeential</t>
  </si>
  <si>
    <t>tuition calculation.  Pharmacy should have had $568K more differential, Vet Med $410K less.  These corrections are offset by corrections here</t>
  </si>
  <si>
    <t>Bridge and Settleup Reserve</t>
  </si>
  <si>
    <t>Remaining pooled tuition and public university support fund dollars after Dedicated Funds and Capital Renewal Funds are allocated</t>
  </si>
  <si>
    <t>Strategic Funding</t>
  </si>
  <si>
    <t>Community Support Funding</t>
  </si>
  <si>
    <t>Community Fund &amp; Strategic Funds</t>
  </si>
  <si>
    <t>Contingency, Reserve, Initiative Funds</t>
  </si>
  <si>
    <t>Academic Productivity Allocations</t>
  </si>
  <si>
    <t>FY19 Distribution Pools and Net Tuition Rates for Reference</t>
  </si>
  <si>
    <t>FY2019 Education &amp; General Initial Budget</t>
  </si>
  <si>
    <t>FY19 Model Allocation</t>
  </si>
  <si>
    <t>FY18 Adjusted Initial Budget</t>
  </si>
  <si>
    <t>Difference: FY19minus FY18</t>
  </si>
  <si>
    <t>Actual FY19 E&amp;G Budget:</t>
  </si>
  <si>
    <t>Model FY19 E&amp;G Budget</t>
  </si>
  <si>
    <t>FY19 Tuition Rates:</t>
  </si>
  <si>
    <t>2-Year Average:</t>
  </si>
  <si>
    <t>Ecampus about 95% undergraduate or postbacc</t>
  </si>
  <si>
    <t>Academic unit adjustments</t>
  </si>
  <si>
    <t>President's Offices, Provost's Offices, Provost's passthrough account, Athletics in Strategic funding line</t>
  </si>
  <si>
    <t>Adjustments (Floor, Bridge, Contingency Distribution)</t>
  </si>
  <si>
    <t>Service and Support Unit Increments</t>
  </si>
  <si>
    <t>Contracting and risk assessment position</t>
  </si>
  <si>
    <t>Executive Office Changes</t>
  </si>
  <si>
    <t>Percentage of tuition:</t>
  </si>
  <si>
    <t>Undergraduate resident</t>
  </si>
  <si>
    <t>Ecampus and summer</t>
  </si>
  <si>
    <t>Overhead percentage components</t>
  </si>
  <si>
    <t>Graduate Cost Reserves (GTA/GRA health insurance)</t>
  </si>
  <si>
    <t>FY19 Initial Institutional management by estimated distribution in major categories</t>
  </si>
  <si>
    <t>FY19 Initial Institutional management detailed allocation (Budget reserve net is treated elsewhere in this model approach)</t>
  </si>
  <si>
    <t>FY19 Estimated Institutional Management (Centrally Held Reserves, pools, and obligations)</t>
  </si>
  <si>
    <t>Institutional Management Pool</t>
  </si>
  <si>
    <t>Enrollment projection reserve</t>
  </si>
  <si>
    <t>Mid-year raise pool</t>
  </si>
  <si>
    <t>Service, support, administrative balance</t>
  </si>
  <si>
    <t>Contingency funding</t>
  </si>
  <si>
    <t>Strategic funding</t>
  </si>
  <si>
    <t>Executive funding</t>
  </si>
  <si>
    <t>Increment from Reserves and Enrollment holdback</t>
  </si>
  <si>
    <t>VPFA, Provost  Adjustments</t>
  </si>
  <si>
    <t xml:space="preserve"> Community Support Funding</t>
  </si>
  <si>
    <t>FY19 Estimated Central Institutional management by model distribution category</t>
  </si>
  <si>
    <t>Community Suport Funding</t>
  </si>
  <si>
    <t>Central Pools, Executive, Executive</t>
  </si>
  <si>
    <t>Central Pools &amp; Executive</t>
  </si>
  <si>
    <t>Support</t>
  </si>
  <si>
    <t>OSU Shared Responsibility Budget Model FY19 Version</t>
  </si>
  <si>
    <t>*the adjusted FY18 initial budget is the July initial budget plus the mid-year allocations to colleges to align with the model.</t>
  </si>
  <si>
    <t>Summary Settings in Model:</t>
  </si>
  <si>
    <t>Distribution of academic productivity pools</t>
  </si>
  <si>
    <t>Service and support allocations</t>
  </si>
  <si>
    <t>These are currently allocated by incremental commitments; detail on Service-Support Detail tab</t>
  </si>
  <si>
    <t>by actuals</t>
  </si>
  <si>
    <t>Difference: FY19-FY18 adjusted</t>
  </si>
  <si>
    <t>FY18 to FY19 Initial Education and General Budget Comparisons</t>
  </si>
  <si>
    <t>Increment FY18 to FY19</t>
  </si>
  <si>
    <t>FY19 Initial Budget May 2018</t>
  </si>
  <si>
    <t>FY18 Adjusted Initial Budget*</t>
  </si>
  <si>
    <t>Dedicated Funds**</t>
  </si>
  <si>
    <t>Model Funds</t>
  </si>
  <si>
    <t>THIS METRIC BASED MEASURE OF S&amp;S UNITS IS IN PROGRESS</t>
  </si>
  <si>
    <t xml:space="preserve">Revenue Detail </t>
  </si>
  <si>
    <t>Overhead:</t>
  </si>
  <si>
    <t>This is used to check if any unit is below FY17 floor</t>
  </si>
  <si>
    <t>FY19 Commmunity Subsidy Amount, Forward Version</t>
  </si>
  <si>
    <t>This shows where all the budget went by type of function (columns) and type of pool (rows)</t>
  </si>
  <si>
    <t>This provides some summary information on amounts and percentages.</t>
  </si>
  <si>
    <t>This summary information is used to check sums and to feed some other pages.</t>
  </si>
  <si>
    <t>The productivity split was moved to the second step, rather than after setting aside central commitments to</t>
  </si>
  <si>
    <t>contractual obligations, raise pools, and contingency funds.  This insures that the academic productivity</t>
  </si>
  <si>
    <t>pool grows by at least the same proportion of overall revenue growth and that it does not shrink because</t>
  </si>
  <si>
    <t>Portion of funds to "central" or institutional management (contracts, reserves, debt etc.) and service, support, and executive functions:</t>
  </si>
  <si>
    <t>Marine Studies Initiative</t>
  </si>
  <si>
    <t>Commencement</t>
  </si>
  <si>
    <t>Dual Career Hiring Initiative</t>
  </si>
  <si>
    <t>Distinguished Professor support</t>
  </si>
  <si>
    <t>Invest in Excellence Fund</t>
  </si>
  <si>
    <t>Faculty Senate</t>
  </si>
  <si>
    <t>Faculty Athletics Representative</t>
  </si>
  <si>
    <t>Minority Faculty Recruit Fund</t>
  </si>
  <si>
    <t>President's Commission on Status of Women</t>
  </si>
  <si>
    <t>Professional Faculty Development Fund</t>
  </si>
  <si>
    <t>Phi Beta Kappa</t>
  </si>
  <si>
    <t>Unbudgeted balance</t>
  </si>
  <si>
    <t>FY18 Total</t>
  </si>
  <si>
    <t>Service and Support Unit Allocations:  Based on Incremental Adjustments to current budgets</t>
  </si>
  <si>
    <t>Possible metric (TBD)</t>
  </si>
  <si>
    <t>Pool remaining before adjustments:</t>
  </si>
  <si>
    <t>Assistant Provost Policies and Admin</t>
  </si>
  <si>
    <t>TOTALS</t>
  </si>
  <si>
    <t xml:space="preserve">too much is taken "off the top".  Over the last three years of the model the proportion to academic units </t>
  </si>
  <si>
    <t>correspondes to 57.6% to 60.4% of the available pool.  FY19 is set at 59% (the average of the three years).</t>
  </si>
  <si>
    <t>**Dedicated funds include targeted state funding; differential and professional tuition over base tuition (excluding Ecampus); fees, sales and service income; endowment match; and the F&amp;A recovery allocations</t>
  </si>
  <si>
    <t>*FY18 Adjusted Initial Budget includes the mid-year allocations made to true up to the FY18 budget model for academic colleges</t>
  </si>
  <si>
    <t>FY19 Budget Year Distributions</t>
  </si>
  <si>
    <t>What If Added</t>
  </si>
  <si>
    <t>2018 P</t>
  </si>
  <si>
    <t>Total Revenue summary for Professional Schools</t>
  </si>
  <si>
    <t>Resident tuition</t>
  </si>
  <si>
    <t>Non-resident tuition</t>
  </si>
  <si>
    <t>Less 7.4% Overhead</t>
  </si>
  <si>
    <t>WICHE tuition</t>
  </si>
  <si>
    <t>Residents</t>
  </si>
  <si>
    <t>Non-residents</t>
  </si>
  <si>
    <t>FY19 Estimate</t>
  </si>
  <si>
    <t>State Targeted Funds (VDL)</t>
  </si>
  <si>
    <t>Overhead percentage:</t>
  </si>
  <si>
    <t>DELTA</t>
  </si>
  <si>
    <t>Data if we move to budgeting professional schools at 100% of their revenues.</t>
  </si>
  <si>
    <t>FY19 On Campus Program Differentials:</t>
  </si>
  <si>
    <t>FY19 Proposal</t>
  </si>
  <si>
    <t>OSU Budget Unit or Category</t>
  </si>
  <si>
    <t>Component Analysis Percent</t>
  </si>
  <si>
    <t>Proposed Distribution</t>
  </si>
  <si>
    <t xml:space="preserve">Dollar Amount </t>
  </si>
  <si>
    <t>Research Equipment Reserve</t>
  </si>
  <si>
    <t>Building Use Credits</t>
  </si>
  <si>
    <t>Colleges and Centers ROH</t>
  </si>
  <si>
    <t>Centers F&amp;A Allocation</t>
  </si>
  <si>
    <t>Libraries</t>
  </si>
  <si>
    <t>Research Administration</t>
  </si>
  <si>
    <t>Finance and Administration</t>
  </si>
  <si>
    <t>Enterprise Risk Services</t>
  </si>
  <si>
    <t>University Business Centers</t>
  </si>
  <si>
    <t>University Infrastructure</t>
  </si>
  <si>
    <t>Facilities Services</t>
  </si>
  <si>
    <t xml:space="preserve">Capital Planning </t>
  </si>
  <si>
    <t>Central Reserves</t>
  </si>
  <si>
    <t>Equipment Depreciation</t>
  </si>
  <si>
    <t>Facilities Depreciation</t>
  </si>
  <si>
    <t>Institutional Management funds</t>
  </si>
  <si>
    <t>Academic Colleges</t>
  </si>
  <si>
    <t>Finance and Admin</t>
  </si>
  <si>
    <t>Internatonal Programs</t>
  </si>
  <si>
    <t>Facilities O&amp;M, Energy, Custodial</t>
  </si>
  <si>
    <t>Risk</t>
  </si>
  <si>
    <t>Institutional management Equipment depreciation</t>
  </si>
  <si>
    <t>Institutional Management Depreciation Fund</t>
  </si>
  <si>
    <t>Capital Planning</t>
  </si>
  <si>
    <t>Institutional Management</t>
  </si>
  <si>
    <t>F&amp;A Recovery by Unit</t>
  </si>
  <si>
    <t>RCRV Trend line:</t>
  </si>
  <si>
    <t xml:space="preserve">Estimated Baseline F&amp;A </t>
  </si>
  <si>
    <t>RCRV estimates</t>
  </si>
  <si>
    <t>PMEC SETS Estimates</t>
  </si>
  <si>
    <t>Total Estimates</t>
  </si>
  <si>
    <t>Actual Totals</t>
  </si>
  <si>
    <t>Last 3 Yrs</t>
  </si>
  <si>
    <t>Contingency</t>
  </si>
  <si>
    <t>Ag Sciences</t>
  </si>
  <si>
    <t>ROH</t>
  </si>
  <si>
    <t>Budget</t>
  </si>
  <si>
    <t>Central</t>
  </si>
  <si>
    <t>This budgets to about 95% of expected</t>
  </si>
  <si>
    <t>Updated April 23rd to Cindy's actuals for ROH distribution</t>
  </si>
  <si>
    <t>Balance to 43,000,000</t>
  </si>
  <si>
    <t>Settleup</t>
  </si>
  <si>
    <t>Balance</t>
  </si>
  <si>
    <t>FY19 Targeted and Dedicated*</t>
  </si>
  <si>
    <t>Enrollment Mgt</t>
  </si>
  <si>
    <t>Recruitment of VP for Enrollment Management</t>
  </si>
  <si>
    <t>Institutional Diversity MLK event</t>
  </si>
  <si>
    <t>One visitor position to Provost</t>
  </si>
  <si>
    <t>One visitor position from President</t>
  </si>
  <si>
    <t>Labor relations management resources as needed</t>
  </si>
  <si>
    <t>Cybersecurity initiative Information Technology</t>
  </si>
  <si>
    <t>Cybersecuity initiative</t>
  </si>
  <si>
    <t>Enrollment management recruitment/initiative</t>
  </si>
  <si>
    <t>Labor relations resources</t>
  </si>
  <si>
    <t>IT</t>
  </si>
  <si>
    <t>PCCM</t>
  </si>
  <si>
    <t>PMECS contract position from added F&amp;A</t>
  </si>
  <si>
    <t>MSI as needed, capital or operating</t>
  </si>
  <si>
    <t>Athletics to separate line</t>
  </si>
  <si>
    <t>Summer session operations allocation</t>
  </si>
  <si>
    <t>Summer session programs allocation</t>
  </si>
  <si>
    <t>Ecampus portion of Summer initial budget allocation</t>
  </si>
  <si>
    <t>To match projected fee revenue increase</t>
  </si>
  <si>
    <t>budget to Student Affairs for Faculty/Student Services</t>
  </si>
  <si>
    <t>budget to DUE for OSU GO</t>
  </si>
  <si>
    <t>Budget for OSU GO from International Programs</t>
  </si>
  <si>
    <t>budget from IP for Faculty Scholar Services</t>
  </si>
  <si>
    <t>SSI from FY18 faculty engagement from Faculty Affairs SSI originally</t>
  </si>
  <si>
    <t>Hayes (0.5 FTE) to Data Analytics</t>
  </si>
  <si>
    <t>Shellhammer (0.5 FTE) to Data Analytics</t>
  </si>
  <si>
    <t>Institutional Research to IT Data Analytics</t>
  </si>
  <si>
    <t>Marketing Cloud implementation project (in the above we believe)</t>
  </si>
  <si>
    <t>IR from Faculty Affairs</t>
  </si>
  <si>
    <t>CORE and Hansen from Budget and Fiscal Planning</t>
  </si>
  <si>
    <t>Hayes (0.5 FTE) from DUE</t>
  </si>
  <si>
    <t>Shellhammer (0.5 FTE) from DUE</t>
  </si>
  <si>
    <t>CORE and Hansen from Budget and Fiscal Planning to IT</t>
  </si>
  <si>
    <t>Child Safety position</t>
  </si>
  <si>
    <t>Proactive advising, originally SSI to DUE, now in SA</t>
  </si>
  <si>
    <t>FYE/SYE originally SSI to DUE now in SA</t>
  </si>
  <si>
    <t>Contracts position formerly funded by International Programs</t>
  </si>
  <si>
    <t>Executive assistant, Senior AVP positions</t>
  </si>
  <si>
    <t>S&amp;S for Public Safety Postions</t>
  </si>
  <si>
    <t xml:space="preserve">FY18 Raises rolled to FY19 </t>
  </si>
  <si>
    <t>Academic Success Center</t>
  </si>
  <si>
    <t>Educational Opportunities Program</t>
  </si>
  <si>
    <t>Acad Svcs for Student Athletes</t>
  </si>
  <si>
    <t>TRiO/Student Support Services</t>
  </si>
  <si>
    <t>Writing Center</t>
  </si>
  <si>
    <t>College Assistance Migrant Program</t>
  </si>
  <si>
    <t>Moves from DUE:</t>
  </si>
  <si>
    <t>to Student Affairs, academic achievement, detail in Student Affairs</t>
  </si>
  <si>
    <t>Moves of units from Academic Affairs (Faculty Affairs)</t>
  </si>
  <si>
    <t>Difference, Power, Discrimination</t>
  </si>
  <si>
    <t>Writing Intensive Program</t>
  </si>
  <si>
    <t>WIC Student Support</t>
  </si>
  <si>
    <t>FY18 Raises for the above</t>
  </si>
  <si>
    <t>Center for Teaching and Learning</t>
  </si>
  <si>
    <t>Acdemic Programs and Assessment</t>
  </si>
  <si>
    <t>Academic units DPD, WIC, CTL, Assessment to DUE, see detail under DUE above</t>
  </si>
  <si>
    <t>Gross Tuition Revs by Category</t>
  </si>
  <si>
    <t>Differential Tuition Gross</t>
  </si>
  <si>
    <t>Business Undergraduate</t>
  </si>
  <si>
    <t>Resident</t>
  </si>
  <si>
    <t>Non-Resident</t>
  </si>
  <si>
    <t>Design Undergraduate</t>
  </si>
  <si>
    <t>Engineering Undergraduate-Pre</t>
  </si>
  <si>
    <t>Engineering Undergraduate-Pro</t>
  </si>
  <si>
    <t>Forestry Undergraduate</t>
  </si>
  <si>
    <t>Honors College (includes a couple cascade students) FYI</t>
  </si>
  <si>
    <t>Business Graduate - MBA</t>
  </si>
  <si>
    <t>Engineering Graduate</t>
  </si>
  <si>
    <t>Pharmacy Graduate</t>
  </si>
  <si>
    <t>Pharmacy Graduate (With Summer)</t>
  </si>
  <si>
    <t>Public Health Graduate</t>
  </si>
  <si>
    <t>Vet Med Graduate</t>
  </si>
  <si>
    <t>Vet Med Graduate (With Summer)</t>
  </si>
  <si>
    <t>Budget Office Detail Estimates July, 2018</t>
  </si>
  <si>
    <t>Use Pharmacy and Vet Med estimates that include summer</t>
  </si>
  <si>
    <t>FY18 Actual</t>
  </si>
  <si>
    <t>2018A</t>
  </si>
  <si>
    <t>2018 Actual</t>
  </si>
  <si>
    <t>FY18 Atual</t>
  </si>
  <si>
    <t>Degrees by Home of Major Professor---FY18</t>
  </si>
  <si>
    <t>CORE  RES0001</t>
  </si>
  <si>
    <t>FY18 Budget Share</t>
  </si>
  <si>
    <t>OSU Marine Engery Center</t>
  </si>
  <si>
    <t>FY18 Initial Budget less Strategic</t>
  </si>
  <si>
    <t>VER19.8</t>
  </si>
  <si>
    <t>FY17Grad Foundation</t>
  </si>
  <si>
    <t>FY19 actuals</t>
  </si>
  <si>
    <t>Vet Med was corrected for a revision to the differential tuition calculation.</t>
  </si>
  <si>
    <t>Fiscal Year 2019</t>
  </si>
  <si>
    <t>FY18 Amount</t>
  </si>
  <si>
    <t>FY19 Change</t>
  </si>
  <si>
    <t>OSU-Cascades</t>
  </si>
  <si>
    <t>OSU Total</t>
  </si>
  <si>
    <t>Outcomes</t>
  </si>
  <si>
    <t>BA/BS - Non-Transfers</t>
  </si>
  <si>
    <t>BA/BS - Transfers</t>
  </si>
  <si>
    <t>Masters</t>
  </si>
  <si>
    <t>PhD</t>
  </si>
  <si>
    <t>Professional</t>
  </si>
  <si>
    <t>Grad. Certificate</t>
  </si>
  <si>
    <t>Area of Study</t>
  </si>
  <si>
    <t>Student Populations</t>
  </si>
  <si>
    <t>SCH</t>
  </si>
  <si>
    <t>1_fr_so</t>
  </si>
  <si>
    <t>2_jr_sr</t>
  </si>
  <si>
    <t>3_ma</t>
  </si>
  <si>
    <t>4_phd</t>
  </si>
  <si>
    <t>Mission 
Differentiation</t>
  </si>
  <si>
    <t>MD - Regional Support</t>
  </si>
  <si>
    <t>MD - Mission</t>
  </si>
  <si>
    <t>MD - Research</t>
  </si>
  <si>
    <t>Dual Credit</t>
  </si>
  <si>
    <t>MD - Total</t>
  </si>
  <si>
    <t>Stop Loss/Stop Gain</t>
  </si>
  <si>
    <t>PY Allocation:</t>
  </si>
  <si>
    <t>Final allocation</t>
  </si>
  <si>
    <t>% Change</t>
  </si>
  <si>
    <t>Stop Loss Contributed</t>
  </si>
  <si>
    <t>Stop Loss Received</t>
  </si>
  <si>
    <t>Post-SL % Allocation</t>
  </si>
  <si>
    <t>Post-SL % Change</t>
  </si>
  <si>
    <t>Stop Gain Contributed</t>
  </si>
  <si>
    <t>Stop Gain Received</t>
  </si>
  <si>
    <t>Post-SG % Allocation</t>
  </si>
  <si>
    <t>Post-SG % Change</t>
  </si>
  <si>
    <t>Stop Loss - Calc Only</t>
  </si>
  <si>
    <t>SL Change - Calc Only</t>
  </si>
  <si>
    <t>Stop Gain Calc Only</t>
  </si>
  <si>
    <t>Stop Loss % setting</t>
  </si>
  <si>
    <t>Stop Gain % setting</t>
  </si>
  <si>
    <t>Public University State Programs</t>
  </si>
  <si>
    <t>Statewide Public Services Programs</t>
  </si>
  <si>
    <t>Targeted and One-time Appropriations</t>
  </si>
  <si>
    <t>FY 19 OSU STATE PROGRAMS</t>
  </si>
  <si>
    <t>OSU Fermentation Science</t>
  </si>
  <si>
    <t>Signature Research</t>
  </si>
  <si>
    <t>OSU Ocean Vessels Research</t>
  </si>
  <si>
    <t>Institute for Natural Resources (OSU Only)</t>
  </si>
  <si>
    <t>Oregon Climate Change Research Institute (OSU)</t>
  </si>
  <si>
    <t>OSU Marine Energy Center</t>
  </si>
  <si>
    <t>FY 19 OSU STATEWIDE PUBLIC SERVICES</t>
  </si>
  <si>
    <t>FY 19 OSU ALLOCATION SUMMARY</t>
  </si>
  <si>
    <t xml:space="preserve">Ag. Experiment Station                                                   </t>
  </si>
  <si>
    <t xml:space="preserve">OSU Extension Service                                                  </t>
  </si>
  <si>
    <t xml:space="preserve">Outdoor Schools Program Funded w/ Lottery                       </t>
  </si>
  <si>
    <t xml:space="preserve"> OSU Forest Research                                                         </t>
  </si>
  <si>
    <t>FY 19 OSU TARGETED &amp; ONE-TIME APPROPRIATIONS</t>
  </si>
  <si>
    <t>AES North Willamette (HB5006)                                         $61,200</t>
  </si>
  <si>
    <t>AES - Potato Research (HB5006)                                      </t>
  </si>
  <si>
    <t xml:space="preserve">Molluskan Brood Stock (HB5006)                                      </t>
  </si>
  <si>
    <t>Ocean Acidification (HB5006)                                           </t>
  </si>
  <si>
    <t xml:space="preserve">TOTAL                                                                                  </t>
  </si>
  <si>
    <t>  $627,300</t>
  </si>
  <si>
    <t>FY 19 OSU OTHER FUNDING</t>
  </si>
  <si>
    <t>Sports Lottery</t>
  </si>
  <si>
    <t>SELP</t>
  </si>
  <si>
    <t>Cascades Grad &amp; Research Renovation (HB5006)</t>
  </si>
  <si>
    <t>Ocean Vessels Research, OCCRI, Marine Energy Center, Ocean Acidification</t>
  </si>
  <si>
    <t>Signature Research Centers, Institute for Natural Resources</t>
  </si>
  <si>
    <t>Part of general resource recurring budget now</t>
  </si>
  <si>
    <t>FY18 Athletics from Provost</t>
  </si>
  <si>
    <t>FY19 Athletics increment</t>
  </si>
  <si>
    <t>Diversity funding part of general fund resources</t>
  </si>
  <si>
    <t>Year 3 of 3  of Env. Humanities</t>
  </si>
  <si>
    <t>faculty line from FY16 allocations</t>
  </si>
  <si>
    <t>last year of ADA assessment funding to EOA</t>
  </si>
  <si>
    <t>PHHA</t>
  </si>
  <si>
    <t>Year 3 of increments to Dean</t>
  </si>
  <si>
    <t>Valley chair incumbents support</t>
  </si>
  <si>
    <t>Higgnebotham support</t>
  </si>
  <si>
    <t>Pantula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</si>
</sst>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0000_);_(* \(#,##0.0000\);_(* &quot;-&quot;??_);_(@_)"/>
    <numFmt numFmtId="168" formatCode="0.0000"/>
    <numFmt numFmtId="169" formatCode="_(&quot;$&quot;* #,##0.0000_);_(&quot;$&quot;* \(#,##0.0000\);_(&quot;$&quot;* &quot;-&quot;??_);_(@_)"/>
    <numFmt numFmtId="170" formatCode="0.0"/>
    <numFmt numFmtId="171" formatCode="0.000"/>
    <numFmt numFmtId="172" formatCode="[$-10409]#,##0;\(#,##0\)"/>
    <numFmt numFmtId="173" formatCode="[$-10409]#,##0.00;\(#,##0.00\)"/>
    <numFmt numFmtId="174" formatCode="0.00000000000000%"/>
    <numFmt numFmtId="175" formatCode="[$-10409]#,##0.000;\(#,##0.000\)"/>
    <numFmt numFmtId="176" formatCode="_(* #,##0.000_);_(* \(#,##0.000\);_(* &quot;-&quot;??_);_(@_)"/>
    <numFmt numFmtId="177" formatCode="#,##0.000_);\(#,##0.000\)"/>
    <numFmt numFmtId="178" formatCode="[$-10409]#,##0.0;\(#,##0.0\)"/>
    <numFmt numFmtId="179" formatCode="_(* #,##0_);_(* \(#,##0\);_(* &quot;-&quot;?_);_(@_)"/>
  </numFmts>
  <fonts count="133">
    <font>
      <sz val="12"/>
      <color theme="1"/>
      <name val="Calibri"/>
      <family val="2"/>
      <scheme val="minor"/>
    </font>
    <font>
      <sz val="12"/>
      <color theme="1"/>
      <name val="Calibri"/>
      <family val="2"/>
      <scheme val="minor"/>
    </font>
    <font>
      <sz val="12"/>
      <color theme="1"/>
      <name val="Calibri"/>
      <family val="2"/>
      <charset val="238"/>
      <scheme val="minor"/>
    </font>
    <font>
      <b/>
      <sz val="12"/>
      <color theme="1"/>
      <name val="Calibri"/>
      <family val="2"/>
      <charset val="238"/>
      <scheme val="minor"/>
    </font>
    <font>
      <b/>
      <sz val="11"/>
      <color theme="1"/>
      <name val="Calibri"/>
      <family val="2"/>
      <scheme val="minor"/>
    </font>
    <font>
      <sz val="11"/>
      <color theme="1"/>
      <name val="Calibri"/>
      <family val="2"/>
      <scheme val="minor"/>
    </font>
    <font>
      <sz val="11"/>
      <color indexed="8"/>
      <name val="Calibri"/>
      <family val="2"/>
      <scheme val="minor"/>
    </font>
    <font>
      <b/>
      <i/>
      <sz val="11"/>
      <color rgb="FFFF0000"/>
      <name val="Calibri"/>
      <family val="2"/>
      <scheme val="minor"/>
    </font>
    <font>
      <sz val="11"/>
      <color rgb="FFFF0000"/>
      <name val="Calibri"/>
      <family val="2"/>
      <scheme val="minor"/>
    </font>
    <font>
      <b/>
      <sz val="12"/>
      <name val="Calibri"/>
      <family val="2"/>
      <scheme val="minor"/>
    </font>
    <font>
      <b/>
      <sz val="11"/>
      <name val="Calibri"/>
      <family val="2"/>
      <scheme val="minor"/>
    </font>
    <font>
      <b/>
      <i/>
      <sz val="11"/>
      <color theme="1"/>
      <name val="Calibri"/>
      <family val="2"/>
      <scheme val="minor"/>
    </font>
    <font>
      <u/>
      <sz val="12"/>
      <color theme="10"/>
      <name val="Calibri"/>
      <family val="2"/>
      <charset val="238"/>
      <scheme val="minor"/>
    </font>
    <font>
      <u/>
      <sz val="12"/>
      <color theme="11"/>
      <name val="Calibri"/>
      <family val="2"/>
      <charset val="238"/>
      <scheme val="minor"/>
    </font>
    <font>
      <i/>
      <sz val="12"/>
      <color theme="1"/>
      <name val="Calibri"/>
      <family val="2"/>
      <scheme val="minor"/>
    </font>
    <font>
      <sz val="9"/>
      <name val="Geneva"/>
      <family val="2"/>
    </font>
    <font>
      <b/>
      <sz val="14"/>
      <name val="Trebuchet MS"/>
      <family val="2"/>
    </font>
    <font>
      <sz val="9"/>
      <name val="Trebuchet MS"/>
      <family val="2"/>
    </font>
    <font>
      <b/>
      <sz val="12"/>
      <name val="Trebuchet MS"/>
      <family val="2"/>
    </font>
    <font>
      <b/>
      <sz val="12"/>
      <color rgb="FFFF0000"/>
      <name val="Trebuchet MS"/>
      <family val="2"/>
    </font>
    <font>
      <b/>
      <sz val="10"/>
      <color indexed="8"/>
      <name val="Trebuchet MS"/>
      <family val="2"/>
    </font>
    <font>
      <b/>
      <sz val="10"/>
      <name val="Trebuchet MS"/>
      <family val="2"/>
    </font>
    <font>
      <b/>
      <sz val="10"/>
      <color indexed="8"/>
      <name val="Arial"/>
      <family val="2"/>
    </font>
    <font>
      <sz val="10"/>
      <name val="Arial"/>
      <family val="2"/>
    </font>
    <font>
      <b/>
      <sz val="10"/>
      <name val="Arial"/>
      <family val="2"/>
    </font>
    <font>
      <sz val="10"/>
      <name val="Trebuchet MS"/>
      <family val="2"/>
    </font>
    <font>
      <b/>
      <sz val="10"/>
      <color rgb="FFFF0000"/>
      <name val="Trebuchet MS"/>
      <family val="2"/>
    </font>
    <font>
      <b/>
      <sz val="10"/>
      <color theme="3" tint="0.39997558519241921"/>
      <name val="Trebuchet MS"/>
      <family val="2"/>
    </font>
    <font>
      <b/>
      <sz val="9"/>
      <color indexed="81"/>
      <name val="Tahoma"/>
      <family val="2"/>
    </font>
    <font>
      <sz val="9"/>
      <color indexed="81"/>
      <name val="Tahoma"/>
      <family val="2"/>
    </font>
    <font>
      <b/>
      <sz val="12"/>
      <name val="Arial"/>
      <family val="2"/>
    </font>
    <font>
      <b/>
      <u/>
      <sz val="10"/>
      <name val="Arial"/>
      <family val="2"/>
    </font>
    <font>
      <b/>
      <sz val="8"/>
      <color indexed="81"/>
      <name val="Tahoma"/>
      <family val="2"/>
    </font>
    <font>
      <sz val="8"/>
      <color indexed="81"/>
      <name val="Tahoma"/>
      <family val="2"/>
    </font>
    <font>
      <sz val="16"/>
      <name val="Trebuchet MS"/>
      <family val="2"/>
    </font>
    <font>
      <sz val="12"/>
      <name val="Trebuchet MS"/>
      <family val="2"/>
    </font>
    <font>
      <sz val="12"/>
      <name val="Geneva"/>
      <family val="2"/>
    </font>
    <font>
      <sz val="12"/>
      <name val="Arial"/>
      <family val="2"/>
    </font>
    <font>
      <sz val="12"/>
      <color rgb="FFFF0000"/>
      <name val="Trebuchet MS"/>
      <family val="2"/>
    </font>
    <font>
      <b/>
      <sz val="12"/>
      <name val="Geneva"/>
      <family val="2"/>
    </font>
    <font>
      <sz val="11"/>
      <color rgb="FF00000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2"/>
      <color theme="1"/>
      <name val="Arial"/>
      <family val="2"/>
    </font>
    <font>
      <b/>
      <sz val="8"/>
      <name val="Arial"/>
      <family val="2"/>
    </font>
    <font>
      <sz val="10"/>
      <color theme="1"/>
      <name val="Arial"/>
      <family val="2"/>
    </font>
    <font>
      <sz val="12"/>
      <color rgb="FF000000"/>
      <name val="Calibri"/>
      <family val="2"/>
      <charset val="238"/>
      <scheme val="minor"/>
    </font>
    <font>
      <sz val="10"/>
      <color rgb="FF000000"/>
      <name val="Arial"/>
      <family val="2"/>
    </font>
    <font>
      <b/>
      <sz val="14"/>
      <color theme="1"/>
      <name val="Calibri"/>
      <family val="2"/>
      <scheme val="minor"/>
    </font>
    <font>
      <b/>
      <i/>
      <sz val="12"/>
      <color theme="1"/>
      <name val="Calibri"/>
      <family val="2"/>
      <scheme val="minor"/>
    </font>
    <font>
      <sz val="8"/>
      <name val="Calibri"/>
      <family val="2"/>
      <charset val="238"/>
      <scheme val="minor"/>
    </font>
    <font>
      <sz val="13"/>
      <color theme="1"/>
      <name val="Calibri"/>
      <family val="2"/>
      <scheme val="minor"/>
    </font>
    <font>
      <b/>
      <sz val="11"/>
      <name val="Arial"/>
      <family val="2"/>
    </font>
    <font>
      <sz val="11"/>
      <name val="Arial"/>
      <family val="2"/>
    </font>
    <font>
      <sz val="9"/>
      <color theme="1"/>
      <name val="TimesNewRomanPSMT"/>
    </font>
    <font>
      <sz val="10"/>
      <color theme="1"/>
      <name val="TimesNewRomanPSMT"/>
    </font>
    <font>
      <sz val="10"/>
      <color rgb="FF000000"/>
      <name val="TimesNewRomanPSMT"/>
    </font>
    <font>
      <sz val="9"/>
      <color rgb="FF000000"/>
      <name val="TimesNewRomanPSMT"/>
    </font>
    <font>
      <b/>
      <sz val="10"/>
      <color theme="1"/>
      <name val="Arial"/>
      <family val="2"/>
    </font>
    <font>
      <b/>
      <vertAlign val="superscript"/>
      <sz val="10"/>
      <name val="Arial"/>
      <family val="2"/>
    </font>
    <font>
      <vertAlign val="superscript"/>
      <sz val="12"/>
      <color theme="1"/>
      <name val="Calibri"/>
      <family val="2"/>
      <scheme val="minor"/>
    </font>
    <font>
      <b/>
      <i/>
      <sz val="14"/>
      <color theme="1"/>
      <name val="Calibri"/>
      <family val="2"/>
      <scheme val="minor"/>
    </font>
    <font>
      <sz val="12"/>
      <color theme="0"/>
      <name val="Calibri"/>
      <family val="2"/>
      <charset val="136"/>
      <scheme val="minor"/>
    </font>
    <font>
      <b/>
      <u/>
      <sz val="12"/>
      <name val="Trebuchet MS"/>
      <family val="2"/>
    </font>
    <font>
      <sz val="11"/>
      <color indexed="81"/>
      <name val="Tahoma"/>
      <family val="2"/>
    </font>
    <font>
      <i/>
      <sz val="10"/>
      <color rgb="FF000000"/>
      <name val="Calibri"/>
      <family val="2"/>
      <scheme val="minor"/>
    </font>
    <font>
      <sz val="10"/>
      <name val="Calibri"/>
      <family val="2"/>
      <scheme val="minor"/>
    </font>
    <font>
      <sz val="10"/>
      <color theme="0"/>
      <name val="Arial"/>
      <family val="2"/>
    </font>
    <font>
      <i/>
      <sz val="10"/>
      <color theme="1"/>
      <name val="Arial"/>
      <family val="2"/>
    </font>
    <font>
      <i/>
      <sz val="10"/>
      <color rgb="FF000000"/>
      <name val="Arial"/>
      <family val="2"/>
    </font>
    <font>
      <b/>
      <sz val="16"/>
      <color theme="1"/>
      <name val="Calibri"/>
      <family val="2"/>
      <scheme val="minor"/>
    </font>
    <font>
      <b/>
      <sz val="10"/>
      <color indexed="8"/>
      <name val="Calibri"/>
      <family val="2"/>
      <scheme val="minor"/>
    </font>
    <font>
      <b/>
      <sz val="7.75"/>
      <color indexed="8"/>
      <name val="Roboto"/>
    </font>
    <font>
      <b/>
      <sz val="10"/>
      <name val="Calibri"/>
      <family val="2"/>
      <scheme val="minor"/>
    </font>
    <font>
      <b/>
      <sz val="10"/>
      <color rgb="FF000000"/>
      <name val="Calibri"/>
      <family val="2"/>
    </font>
    <font>
      <sz val="10"/>
      <color rgb="FF000000"/>
      <name val="Calibri"/>
      <family val="2"/>
    </font>
    <font>
      <i/>
      <sz val="10"/>
      <color theme="1"/>
      <name val="Calibri"/>
      <family val="2"/>
      <scheme val="minor"/>
    </font>
    <font>
      <b/>
      <sz val="8"/>
      <color rgb="FF000000"/>
      <name val="Roboto"/>
    </font>
    <font>
      <sz val="9"/>
      <color theme="1"/>
      <name val="Calibri"/>
      <family val="2"/>
      <scheme val="minor"/>
    </font>
    <font>
      <b/>
      <sz val="9"/>
      <name val="Arial"/>
      <family val="2"/>
    </font>
    <font>
      <sz val="24"/>
      <name val="Calibri"/>
      <family val="2"/>
      <scheme val="minor"/>
    </font>
    <font>
      <b/>
      <sz val="24"/>
      <name val="Calibri"/>
      <family val="2"/>
      <scheme val="minor"/>
    </font>
    <font>
      <sz val="12"/>
      <name val="Calibri"/>
      <family val="2"/>
      <scheme val="minor"/>
    </font>
    <font>
      <b/>
      <sz val="10"/>
      <color theme="0"/>
      <name val="Calibri"/>
      <family val="2"/>
      <scheme val="minor"/>
    </font>
    <font>
      <b/>
      <i/>
      <sz val="10"/>
      <color theme="0"/>
      <name val="Calibri"/>
      <family val="2"/>
      <scheme val="minor"/>
    </font>
    <font>
      <b/>
      <i/>
      <sz val="11"/>
      <name val="Calibri"/>
      <family val="2"/>
      <scheme val="minor"/>
    </font>
    <font>
      <b/>
      <i/>
      <sz val="11"/>
      <color indexed="8"/>
      <name val="Calibri"/>
      <family val="2"/>
      <scheme val="minor"/>
    </font>
    <font>
      <b/>
      <i/>
      <sz val="10"/>
      <name val="Calibri"/>
      <family val="2"/>
      <scheme val="minor"/>
    </font>
    <font>
      <b/>
      <sz val="10"/>
      <color rgb="FFFF0000"/>
      <name val="Calibri"/>
      <family val="2"/>
      <scheme val="minor"/>
    </font>
    <font>
      <b/>
      <i/>
      <sz val="10"/>
      <color indexed="8"/>
      <name val="Calibri"/>
      <family val="2"/>
      <scheme val="minor"/>
    </font>
    <font>
      <i/>
      <sz val="10"/>
      <name val="Calibri"/>
      <family val="2"/>
      <scheme val="minor"/>
    </font>
    <font>
      <b/>
      <i/>
      <sz val="10"/>
      <color rgb="FFFF0000"/>
      <name val="Calibri"/>
      <family val="2"/>
      <scheme val="minor"/>
    </font>
    <font>
      <b/>
      <i/>
      <sz val="11"/>
      <color theme="0"/>
      <name val="Calibri"/>
      <family val="2"/>
      <scheme val="minor"/>
    </font>
    <font>
      <b/>
      <i/>
      <sz val="10"/>
      <color theme="1"/>
      <name val="Calibri"/>
      <family val="2"/>
      <scheme val="minor"/>
    </font>
    <font>
      <sz val="10"/>
      <color indexed="8"/>
      <name val="Calibri"/>
      <family val="2"/>
      <scheme val="minor"/>
    </font>
    <font>
      <b/>
      <sz val="10"/>
      <color rgb="FF000000"/>
      <name val="Arial"/>
      <family val="2"/>
    </font>
    <font>
      <sz val="14"/>
      <color theme="1"/>
      <name val="Calibri"/>
      <family val="2"/>
      <scheme val="minor"/>
    </font>
    <font>
      <b/>
      <sz val="12"/>
      <color rgb="FF000000"/>
      <name val="Calibri"/>
      <family val="2"/>
      <scheme val="minor"/>
    </font>
    <font>
      <sz val="10"/>
      <color rgb="FFFF0000"/>
      <name val="Calibri"/>
      <family val="2"/>
      <charset val="136"/>
      <scheme val="minor"/>
    </font>
    <font>
      <b/>
      <u/>
      <sz val="10"/>
      <color theme="1"/>
      <name val="Arial"/>
      <family val="2"/>
    </font>
    <font>
      <sz val="8"/>
      <color theme="1"/>
      <name val="Calibri"/>
      <family val="2"/>
      <scheme val="minor"/>
    </font>
    <font>
      <sz val="8"/>
      <name val="Trebuchet MS"/>
      <family val="2"/>
    </font>
    <font>
      <i/>
      <sz val="10"/>
      <name val="Arial"/>
      <family val="2"/>
    </font>
    <font>
      <sz val="11"/>
      <color theme="1"/>
      <name val="Arial"/>
      <family val="2"/>
    </font>
    <font>
      <b/>
      <u/>
      <sz val="11"/>
      <name val="Arial"/>
      <family val="2"/>
    </font>
    <font>
      <i/>
      <sz val="10"/>
      <color rgb="FFFF0000"/>
      <name val="Calibri"/>
      <family val="2"/>
      <scheme val="minor"/>
    </font>
    <font>
      <sz val="12"/>
      <color rgb="FFFF0000"/>
      <name val="Calibri"/>
      <family val="2"/>
      <scheme val="minor"/>
    </font>
    <font>
      <sz val="11"/>
      <color theme="1"/>
      <name val="Calibri"/>
      <family val="2"/>
    </font>
    <font>
      <sz val="11"/>
      <color rgb="FF7030A0"/>
      <name val="Calibri"/>
      <family val="2"/>
    </font>
    <font>
      <b/>
      <sz val="11"/>
      <color theme="1"/>
      <name val="Calibri"/>
      <family val="2"/>
    </font>
    <font>
      <i/>
      <sz val="12"/>
      <color rgb="FFFF0000"/>
      <name val="Calibri"/>
      <family val="2"/>
      <scheme val="minor"/>
    </font>
    <font>
      <sz val="10"/>
      <color rgb="FFFF0000"/>
      <name val="Arial"/>
      <family val="2"/>
    </font>
    <font>
      <i/>
      <sz val="10"/>
      <color rgb="FFFF0000"/>
      <name val="Arial"/>
      <family val="2"/>
    </font>
    <font>
      <sz val="10"/>
      <color indexed="81"/>
      <name val="Calibri"/>
      <family val="2"/>
    </font>
    <font>
      <b/>
      <sz val="10"/>
      <color indexed="81"/>
      <name val="Calibri"/>
      <family val="2"/>
    </font>
    <font>
      <i/>
      <sz val="11"/>
      <color theme="1"/>
      <name val="Calibri"/>
      <family val="2"/>
      <scheme val="minor"/>
    </font>
    <font>
      <sz val="9"/>
      <color theme="1"/>
      <name val="Arial"/>
      <family val="2"/>
    </font>
    <font>
      <sz val="10"/>
      <color theme="1"/>
      <name val="Trebuchet MS"/>
      <family val="2"/>
    </font>
    <font>
      <b/>
      <sz val="9"/>
      <color theme="1"/>
      <name val="Arial"/>
      <family val="2"/>
    </font>
    <font>
      <b/>
      <sz val="11"/>
      <color rgb="FF000000"/>
      <name val="Calibri"/>
      <family val="2"/>
      <scheme val="minor"/>
    </font>
    <font>
      <b/>
      <sz val="13"/>
      <color theme="1"/>
      <name val="Calibri"/>
      <family val="2"/>
      <scheme val="minor"/>
    </font>
    <font>
      <sz val="10"/>
      <color theme="1"/>
      <name val="Arial"/>
      <family val="2"/>
    </font>
    <font>
      <sz val="10"/>
      <color rgb="FF000000"/>
      <name val="Tahoma"/>
      <family val="2"/>
    </font>
    <font>
      <b/>
      <sz val="10"/>
      <color rgb="FF000000"/>
      <name val="Tahoma"/>
      <family val="2"/>
    </font>
    <font>
      <i/>
      <sz val="11"/>
      <color theme="1"/>
      <name val="Calibri"/>
      <family val="2"/>
      <scheme val="minor"/>
    </font>
    <font>
      <sz val="10"/>
      <color theme="1"/>
      <name val="Calibri"/>
      <family val="2"/>
      <charset val="136"/>
      <scheme val="minor"/>
    </font>
    <font>
      <b/>
      <sz val="8"/>
      <color rgb="FF000000"/>
      <name val="Tahoma"/>
      <family val="2"/>
    </font>
    <font>
      <sz val="8"/>
      <color rgb="FF000000"/>
      <name val="Tahoma"/>
      <family val="2"/>
    </font>
    <font>
      <b/>
      <sz val="9"/>
      <color rgb="FF000000"/>
      <name val="Tahoma"/>
      <family val="2"/>
    </font>
    <font>
      <sz val="9"/>
      <color rgb="FF000000"/>
      <name val="Tahoma"/>
      <family val="2"/>
    </font>
    <font>
      <sz val="11"/>
      <name val="Calibri"/>
      <family val="2"/>
      <scheme val="minor"/>
    </font>
  </fonts>
  <fills count="5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bgColor indexed="64"/>
      </patternFill>
    </fill>
    <fill>
      <patternFill patternType="solid">
        <fgColor rgb="FFC0C0C0"/>
        <bgColor rgb="FF000000"/>
      </patternFill>
    </fill>
    <fill>
      <patternFill patternType="solid">
        <fgColor rgb="FFD9D9D9"/>
        <bgColor rgb="FF000000"/>
      </patternFill>
    </fill>
    <fill>
      <patternFill patternType="solid">
        <fgColor theme="0" tint="-0.249977111117893"/>
        <bgColor rgb="FF000000"/>
      </patternFill>
    </fill>
    <fill>
      <patternFill patternType="solid">
        <fgColor rgb="FFFF6600"/>
        <bgColor indexed="64"/>
      </patternFill>
    </fill>
    <fill>
      <patternFill patternType="solid">
        <fgColor rgb="FFFFFF00"/>
        <bgColor rgb="FF000000"/>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1" tint="4.9989318521683403E-2"/>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1" tint="0.14999847407452621"/>
        <bgColor indexed="64"/>
      </patternFill>
    </fill>
    <fill>
      <patternFill patternType="solid">
        <fgColor theme="0" tint="-0.14999847407452621"/>
        <bgColor indexed="0"/>
      </patternFill>
    </fill>
    <fill>
      <patternFill patternType="solid">
        <fgColor rgb="FFFFFFFF"/>
        <bgColor rgb="FF000000"/>
      </patternFill>
    </fill>
    <fill>
      <patternFill patternType="solid">
        <fgColor theme="0" tint="-0.249977111117893"/>
        <bgColor indexed="0"/>
      </patternFill>
    </fill>
    <fill>
      <patternFill patternType="solid">
        <fgColor theme="4"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D454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CCCC00"/>
        <bgColor indexed="64"/>
      </patternFill>
    </fill>
    <fill>
      <patternFill patternType="solid">
        <fgColor rgb="FF00B050"/>
        <bgColor indexed="64"/>
      </patternFill>
    </fill>
    <fill>
      <patternFill patternType="solid">
        <fgColor theme="1" tint="0.14999847407452621"/>
        <bgColor rgb="FF000000"/>
      </patternFill>
    </fill>
    <fill>
      <patternFill patternType="solid">
        <fgColor theme="1" tint="0.249977111117893"/>
        <bgColor indexed="64"/>
      </patternFill>
    </fill>
    <fill>
      <patternFill patternType="solid">
        <fgColor theme="1" tint="0.249977111117893"/>
        <bgColor rgb="FF000000"/>
      </patternFill>
    </fill>
    <fill>
      <patternFill patternType="solid">
        <fgColor rgb="FFFFC00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0.499984740745262"/>
        <bgColor indexed="64"/>
      </patternFill>
    </fill>
  </fills>
  <borders count="70">
    <border>
      <left/>
      <right/>
      <top/>
      <bottom/>
      <diagonal/>
    </border>
    <border>
      <left/>
      <right/>
      <top style="thin">
        <color auto="1"/>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diagonal/>
    </border>
    <border>
      <left/>
      <right/>
      <top style="thin">
        <color rgb="FFD3D3D3"/>
      </top>
      <bottom style="thin">
        <color rgb="FFD3D3D3"/>
      </bottom>
      <diagonal/>
    </border>
    <border>
      <left/>
      <right/>
      <top/>
      <bottom style="thin">
        <color rgb="FFD3D3D3"/>
      </bottom>
      <diagonal/>
    </border>
    <border>
      <left style="thin">
        <color indexed="15"/>
      </left>
      <right style="thin">
        <color indexed="15"/>
      </right>
      <top style="thin">
        <color indexed="15"/>
      </top>
      <bottom style="thin">
        <color indexed="15"/>
      </bottom>
      <diagonal/>
    </border>
    <border>
      <left style="thin">
        <color indexed="15"/>
      </left>
      <right/>
      <top style="thin">
        <color indexed="15"/>
      </top>
      <bottom style="thin">
        <color indexed="15"/>
      </bottom>
      <diagonal/>
    </border>
    <border>
      <left/>
      <right/>
      <top style="thin">
        <color rgb="FFD3D3D3"/>
      </top>
      <bottom/>
      <diagonal/>
    </border>
    <border>
      <left style="thin">
        <color indexed="15"/>
      </left>
      <right style="thin">
        <color indexed="15"/>
      </right>
      <top style="thin">
        <color indexed="15"/>
      </top>
      <bottom/>
      <diagonal/>
    </border>
    <border>
      <left/>
      <right/>
      <top style="thin">
        <color rgb="FFD3D3D3"/>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diagonal/>
    </border>
    <border>
      <left style="thin">
        <color indexed="15"/>
      </left>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indexed="15"/>
      </left>
      <right style="thin">
        <color indexed="15"/>
      </right>
      <top style="thin">
        <color auto="1"/>
      </top>
      <bottom style="thin">
        <color auto="1"/>
      </bottom>
      <diagonal/>
    </border>
    <border>
      <left/>
      <right/>
      <top/>
      <bottom style="thin">
        <color indexed="15"/>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5617">
    <xf numFmtId="0" fontId="0" fillId="0" borderId="0"/>
    <xf numFmtId="43"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xf numFmtId="0" fontId="15" fillId="0" borderId="0"/>
    <xf numFmtId="0" fontId="23"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23"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 fillId="0" borderId="0"/>
  </cellStyleXfs>
  <cellXfs count="1846">
    <xf numFmtId="0" fontId="0" fillId="0" borderId="0" xfId="0"/>
    <xf numFmtId="0" fontId="5" fillId="0" borderId="0" xfId="0" applyFont="1"/>
    <xf numFmtId="0" fontId="6" fillId="0" borderId="1" xfId="0" applyFont="1" applyBorder="1"/>
    <xf numFmtId="0" fontId="6" fillId="0" borderId="1" xfId="0" applyFont="1" applyBorder="1" applyAlignment="1">
      <alignment horizontal="center"/>
    </xf>
    <xf numFmtId="164" fontId="7" fillId="0" borderId="0" xfId="1" applyNumberFormat="1" applyFont="1"/>
    <xf numFmtId="164" fontId="8" fillId="0" borderId="0" xfId="1" applyNumberFormat="1" applyFont="1" applyFill="1"/>
    <xf numFmtId="164" fontId="8" fillId="0" borderId="0" xfId="1" applyNumberFormat="1" applyFont="1"/>
    <xf numFmtId="0" fontId="8" fillId="0" borderId="0" xfId="0" applyFont="1"/>
    <xf numFmtId="164" fontId="5" fillId="0" borderId="0" xfId="0" applyNumberFormat="1" applyFont="1"/>
    <xf numFmtId="164" fontId="8" fillId="0" borderId="0" xfId="0" applyNumberFormat="1" applyFont="1"/>
    <xf numFmtId="0" fontId="3" fillId="0" borderId="0" xfId="0" applyFont="1"/>
    <xf numFmtId="0" fontId="5" fillId="0" borderId="0" xfId="0" applyFont="1" applyFill="1" applyBorder="1" applyAlignment="1">
      <alignment horizontal="center"/>
    </xf>
    <xf numFmtId="164" fontId="0" fillId="0" borderId="0" xfId="0" applyNumberFormat="1"/>
    <xf numFmtId="0" fontId="5" fillId="0" borderId="0" xfId="0" applyFont="1" applyAlignment="1">
      <alignment horizontal="left" indent="1"/>
    </xf>
    <xf numFmtId="0" fontId="0" fillId="0" borderId="4" xfId="0" applyBorder="1"/>
    <xf numFmtId="0" fontId="0" fillId="0" borderId="2" xfId="0" applyBorder="1"/>
    <xf numFmtId="165" fontId="0" fillId="0" borderId="0" xfId="0" applyNumberFormat="1"/>
    <xf numFmtId="0" fontId="4" fillId="0" borderId="3" xfId="0" applyFont="1" applyBorder="1"/>
    <xf numFmtId="0" fontId="17" fillId="0" borderId="0" xfId="142" applyFont="1"/>
    <xf numFmtId="0" fontId="20" fillId="0" borderId="7" xfId="142" applyFont="1" applyBorder="1" applyAlignment="1">
      <alignment horizontal="center"/>
    </xf>
    <xf numFmtId="0" fontId="20" fillId="0" borderId="3" xfId="142" applyFont="1" applyBorder="1" applyAlignment="1">
      <alignment horizontal="left"/>
    </xf>
    <xf numFmtId="0" fontId="21" fillId="0" borderId="8" xfId="142" applyFont="1" applyBorder="1" applyAlignment="1"/>
    <xf numFmtId="0" fontId="22" fillId="0" borderId="9" xfId="143" applyFont="1" applyBorder="1" applyAlignment="1">
      <alignment horizontal="center" wrapText="1"/>
    </xf>
    <xf numFmtId="0" fontId="22" fillId="0" borderId="9" xfId="143" applyFont="1" applyFill="1" applyBorder="1" applyAlignment="1">
      <alignment horizontal="center" wrapText="1"/>
    </xf>
    <xf numFmtId="0" fontId="20" fillId="0" borderId="0" xfId="142" applyFont="1" applyBorder="1" applyAlignment="1">
      <alignment horizontal="center"/>
    </xf>
    <xf numFmtId="49" fontId="17" fillId="0" borderId="0" xfId="142" applyNumberFormat="1" applyFont="1" applyFill="1" applyAlignment="1">
      <alignment vertical="center"/>
    </xf>
    <xf numFmtId="0" fontId="25" fillId="0" borderId="0" xfId="142" applyFont="1" applyFill="1" applyAlignment="1">
      <alignment vertical="center"/>
    </xf>
    <xf numFmtId="49" fontId="17" fillId="0" borderId="0" xfId="142" applyNumberFormat="1" applyFont="1" applyAlignment="1">
      <alignment vertical="center"/>
    </xf>
    <xf numFmtId="41" fontId="17" fillId="0" borderId="0" xfId="142" applyNumberFormat="1" applyFont="1"/>
    <xf numFmtId="0" fontId="17" fillId="0" borderId="0" xfId="142" applyFont="1" applyFill="1"/>
    <xf numFmtId="0" fontId="25" fillId="0" borderId="0" xfId="142" applyFont="1" applyFill="1" applyBorder="1" applyAlignment="1">
      <alignment vertical="center"/>
    </xf>
    <xf numFmtId="41" fontId="17" fillId="0" borderId="0" xfId="142" applyNumberFormat="1" applyFont="1" applyFill="1"/>
    <xf numFmtId="49" fontId="17" fillId="0" borderId="0" xfId="142" applyNumberFormat="1" applyFont="1" applyBorder="1" applyAlignment="1">
      <alignment vertical="center"/>
    </xf>
    <xf numFmtId="0" fontId="21" fillId="0" borderId="0" xfId="142" applyFont="1"/>
    <xf numFmtId="0" fontId="23" fillId="0" borderId="0" xfId="0" applyFont="1"/>
    <xf numFmtId="0" fontId="25" fillId="0" borderId="0" xfId="142" applyFont="1"/>
    <xf numFmtId="49" fontId="25" fillId="0" borderId="0" xfId="142" applyNumberFormat="1" applyFont="1" applyAlignment="1">
      <alignment vertical="center"/>
    </xf>
    <xf numFmtId="0" fontId="17" fillId="0" borderId="0" xfId="142" applyFont="1" applyFill="1" applyBorder="1" applyAlignment="1">
      <alignment vertical="center"/>
    </xf>
    <xf numFmtId="49" fontId="21" fillId="0" borderId="0" xfId="142" applyNumberFormat="1" applyFont="1" applyAlignment="1">
      <alignment vertical="center"/>
    </xf>
    <xf numFmtId="0" fontId="21" fillId="0" borderId="0" xfId="142" applyFont="1" applyFill="1"/>
    <xf numFmtId="49" fontId="21" fillId="0" borderId="0" xfId="142" applyNumberFormat="1" applyFont="1" applyFill="1" applyAlignment="1">
      <alignment vertical="center"/>
    </xf>
    <xf numFmtId="0" fontId="25" fillId="0" borderId="0" xfId="142" applyFont="1" applyFill="1"/>
    <xf numFmtId="164" fontId="0" fillId="0" borderId="0" xfId="0" applyNumberFormat="1" applyBorder="1"/>
    <xf numFmtId="164" fontId="23" fillId="5" borderId="0" xfId="1" applyNumberFormat="1" applyFont="1" applyFill="1" applyBorder="1"/>
    <xf numFmtId="164" fontId="23" fillId="5" borderId="0" xfId="1" applyNumberFormat="1" applyFont="1" applyFill="1"/>
    <xf numFmtId="0" fontId="23" fillId="5" borderId="0" xfId="0" applyFont="1" applyFill="1"/>
    <xf numFmtId="0" fontId="0" fillId="0" borderId="0" xfId="0" applyFill="1"/>
    <xf numFmtId="0" fontId="0" fillId="0" borderId="0" xfId="0" applyFill="1" applyBorder="1"/>
    <xf numFmtId="164" fontId="23" fillId="0" borderId="0" xfId="1" applyNumberFormat="1" applyFont="1" applyFill="1"/>
    <xf numFmtId="0" fontId="23" fillId="0" borderId="0" xfId="0" applyFont="1" applyFill="1"/>
    <xf numFmtId="164" fontId="0" fillId="0" borderId="0" xfId="0" applyNumberFormat="1" applyFill="1"/>
    <xf numFmtId="0" fontId="31" fillId="0" borderId="0" xfId="0" applyFont="1"/>
    <xf numFmtId="0" fontId="23" fillId="0" borderId="0" xfId="0" applyFont="1" applyBorder="1"/>
    <xf numFmtId="164" fontId="23" fillId="0" borderId="0" xfId="1" applyNumberFormat="1" applyFont="1"/>
    <xf numFmtId="0" fontId="23" fillId="0" borderId="0" xfId="0" applyFont="1" applyFill="1" applyBorder="1"/>
    <xf numFmtId="164" fontId="23" fillId="0" borderId="0" xfId="1" applyNumberFormat="1" applyFont="1" applyFill="1" applyBorder="1"/>
    <xf numFmtId="164" fontId="0" fillId="0" borderId="0" xfId="1" applyNumberFormat="1" applyFont="1" applyFill="1"/>
    <xf numFmtId="164" fontId="23" fillId="5" borderId="1" xfId="1" applyNumberFormat="1" applyFont="1" applyFill="1" applyBorder="1"/>
    <xf numFmtId="0" fontId="18" fillId="0" borderId="0" xfId="0" applyFont="1" applyBorder="1" applyAlignment="1">
      <alignment horizontal="left"/>
    </xf>
    <xf numFmtId="0" fontId="21" fillId="0" borderId="0" xfId="0" applyFont="1" applyFill="1"/>
    <xf numFmtId="0" fontId="0" fillId="0" borderId="10" xfId="0" applyBorder="1"/>
    <xf numFmtId="164" fontId="21" fillId="0" borderId="0" xfId="1" applyNumberFormat="1" applyFont="1" applyBorder="1" applyAlignment="1">
      <alignment horizontal="center"/>
    </xf>
    <xf numFmtId="0" fontId="0" fillId="0" borderId="0" xfId="0" applyBorder="1"/>
    <xf numFmtId="0" fontId="21" fillId="0" borderId="0" xfId="0" applyFont="1" applyFill="1" applyBorder="1"/>
    <xf numFmtId="164" fontId="21" fillId="0" borderId="11" xfId="1" applyNumberFormat="1" applyFont="1" applyBorder="1" applyAlignment="1">
      <alignment horizontal="center"/>
    </xf>
    <xf numFmtId="0" fontId="21" fillId="0" borderId="4" xfId="0" applyFont="1" applyBorder="1"/>
    <xf numFmtId="0" fontId="21" fillId="0" borderId="4" xfId="0" applyFont="1" applyBorder="1" applyAlignment="1">
      <alignment horizontal="center"/>
    </xf>
    <xf numFmtId="0" fontId="25" fillId="0" borderId="4" xfId="0" applyFont="1" applyBorder="1"/>
    <xf numFmtId="0" fontId="25" fillId="0" borderId="10" xfId="0" applyFont="1" applyBorder="1"/>
    <xf numFmtId="0" fontId="21" fillId="0" borderId="0" xfId="0" applyFont="1" applyBorder="1" applyAlignment="1">
      <alignment horizontal="center"/>
    </xf>
    <xf numFmtId="0" fontId="19" fillId="0" borderId="0" xfId="0" applyFont="1"/>
    <xf numFmtId="0" fontId="18" fillId="0" borderId="0" xfId="0" applyFont="1"/>
    <xf numFmtId="0" fontId="25" fillId="0" borderId="0" xfId="0" applyFont="1"/>
    <xf numFmtId="0" fontId="25" fillId="0" borderId="0" xfId="0" applyFont="1" applyBorder="1"/>
    <xf numFmtId="164" fontId="21" fillId="0" borderId="13" xfId="1" applyNumberFormat="1" applyFont="1" applyBorder="1" applyAlignment="1">
      <alignment horizontal="center"/>
    </xf>
    <xf numFmtId="0" fontId="21" fillId="0" borderId="2" xfId="0" applyFont="1" applyBorder="1"/>
    <xf numFmtId="0" fontId="21" fillId="0" borderId="2" xfId="0" applyFont="1" applyBorder="1" applyAlignment="1">
      <alignment horizontal="center"/>
    </xf>
    <xf numFmtId="0" fontId="21" fillId="0" borderId="10" xfId="0" applyFont="1" applyBorder="1" applyAlignment="1">
      <alignment horizontal="center"/>
    </xf>
    <xf numFmtId="0" fontId="25" fillId="0" borderId="0" xfId="0" applyFont="1" applyFill="1" applyBorder="1"/>
    <xf numFmtId="0" fontId="25" fillId="0" borderId="11" xfId="0" applyFont="1" applyBorder="1" applyAlignment="1">
      <alignment horizontal="right"/>
    </xf>
    <xf numFmtId="0" fontId="25" fillId="0" borderId="0" xfId="0" applyFont="1" applyBorder="1" applyAlignment="1">
      <alignment horizontal="right"/>
    </xf>
    <xf numFmtId="0" fontId="0" fillId="0" borderId="16" xfId="0" applyBorder="1"/>
    <xf numFmtId="0" fontId="35" fillId="0" borderId="0" xfId="0" applyFont="1"/>
    <xf numFmtId="164" fontId="35" fillId="0" borderId="0" xfId="1" applyNumberFormat="1" applyFont="1" applyFill="1" applyBorder="1"/>
    <xf numFmtId="164" fontId="35" fillId="0" borderId="16" xfId="1" applyNumberFormat="1" applyFont="1" applyFill="1" applyBorder="1"/>
    <xf numFmtId="164" fontId="35" fillId="0" borderId="0" xfId="1" applyNumberFormat="1" applyFont="1" applyBorder="1"/>
    <xf numFmtId="164" fontId="35" fillId="0" borderId="10" xfId="1" applyNumberFormat="1" applyFont="1" applyFill="1" applyBorder="1"/>
    <xf numFmtId="0" fontId="36" fillId="0" borderId="0" xfId="0" applyFont="1" applyBorder="1"/>
    <xf numFmtId="164" fontId="35" fillId="0" borderId="0" xfId="0" applyNumberFormat="1" applyFont="1" applyBorder="1"/>
    <xf numFmtId="9" fontId="37" fillId="0" borderId="0" xfId="2" applyFont="1" applyBorder="1"/>
    <xf numFmtId="164" fontId="35" fillId="0" borderId="17" xfId="1" applyNumberFormat="1" applyFont="1" applyBorder="1"/>
    <xf numFmtId="164" fontId="35" fillId="0" borderId="17" xfId="1" applyNumberFormat="1" applyFont="1" applyFill="1" applyBorder="1"/>
    <xf numFmtId="164" fontId="35" fillId="0" borderId="13" xfId="1" applyNumberFormat="1" applyFont="1" applyFill="1" applyBorder="1"/>
    <xf numFmtId="164" fontId="35" fillId="0" borderId="2" xfId="1" applyNumberFormat="1" applyFont="1" applyBorder="1"/>
    <xf numFmtId="164" fontId="18" fillId="0" borderId="0" xfId="1" applyNumberFormat="1" applyFont="1" applyFill="1" applyBorder="1"/>
    <xf numFmtId="164" fontId="18" fillId="0" borderId="11" xfId="1" applyNumberFormat="1" applyFont="1" applyFill="1" applyBorder="1"/>
    <xf numFmtId="164" fontId="18" fillId="0" borderId="10" xfId="1" applyNumberFormat="1" applyFont="1" applyFill="1" applyBorder="1"/>
    <xf numFmtId="164" fontId="18" fillId="0" borderId="16" xfId="1" applyNumberFormat="1" applyFont="1" applyFill="1" applyBorder="1"/>
    <xf numFmtId="41" fontId="35" fillId="0" borderId="17" xfId="1" applyNumberFormat="1" applyFont="1" applyBorder="1"/>
    <xf numFmtId="0" fontId="35" fillId="0" borderId="0" xfId="0" applyFont="1" applyBorder="1"/>
    <xf numFmtId="164" fontId="38" fillId="0" borderId="0" xfId="1" applyNumberFormat="1" applyFont="1" applyFill="1" applyBorder="1"/>
    <xf numFmtId="0" fontId="35" fillId="0" borderId="0" xfId="0" applyFont="1" applyFill="1" applyBorder="1"/>
    <xf numFmtId="164" fontId="35" fillId="0" borderId="17" xfId="0" applyNumberFormat="1" applyFont="1" applyFill="1" applyBorder="1"/>
    <xf numFmtId="164" fontId="35" fillId="0" borderId="0" xfId="0" applyNumberFormat="1" applyFont="1" applyFill="1" applyBorder="1"/>
    <xf numFmtId="0" fontId="37" fillId="0" borderId="0" xfId="0" applyFont="1" applyBorder="1"/>
    <xf numFmtId="165" fontId="35" fillId="0" borderId="0" xfId="2" applyNumberFormat="1" applyFont="1" applyFill="1" applyBorder="1"/>
    <xf numFmtId="0" fontId="18" fillId="0" borderId="0" xfId="0" applyFont="1" applyBorder="1"/>
    <xf numFmtId="164" fontId="18" fillId="0" borderId="16" xfId="1" applyNumberFormat="1" applyFont="1" applyBorder="1"/>
    <xf numFmtId="164" fontId="18" fillId="0" borderId="17" xfId="1" applyNumberFormat="1" applyFont="1" applyBorder="1"/>
    <xf numFmtId="37" fontId="18" fillId="0" borderId="10" xfId="1" applyNumberFormat="1" applyFont="1" applyBorder="1"/>
    <xf numFmtId="37" fontId="18" fillId="0" borderId="0" xfId="1" applyNumberFormat="1" applyFont="1" applyFill="1" applyBorder="1"/>
    <xf numFmtId="0" fontId="18" fillId="6" borderId="7" xfId="0" applyFont="1" applyFill="1" applyBorder="1"/>
    <xf numFmtId="0" fontId="18" fillId="6" borderId="3" xfId="0" applyFont="1" applyFill="1" applyBorder="1"/>
    <xf numFmtId="0" fontId="35" fillId="6" borderId="3" xfId="0" applyFont="1" applyFill="1" applyBorder="1"/>
    <xf numFmtId="164" fontId="18" fillId="6" borderId="7" xfId="0" applyNumberFormat="1" applyFont="1" applyFill="1" applyBorder="1"/>
    <xf numFmtId="0" fontId="39" fillId="0" borderId="0" xfId="0" applyFont="1" applyFill="1" applyBorder="1"/>
    <xf numFmtId="164" fontId="18" fillId="6" borderId="3" xfId="0" applyNumberFormat="1" applyFont="1" applyFill="1" applyBorder="1"/>
    <xf numFmtId="164" fontId="18" fillId="0" borderId="10" xfId="0" applyNumberFormat="1" applyFont="1" applyFill="1" applyBorder="1"/>
    <xf numFmtId="164" fontId="18" fillId="0" borderId="0" xfId="0" applyNumberFormat="1" applyFont="1" applyFill="1" applyBorder="1"/>
    <xf numFmtId="0" fontId="18" fillId="0" borderId="0" xfId="0" applyFont="1" applyFill="1" applyBorder="1"/>
    <xf numFmtId="10" fontId="35" fillId="0" borderId="0" xfId="1" applyNumberFormat="1" applyFont="1" applyFill="1" applyBorder="1"/>
    <xf numFmtId="164" fontId="18" fillId="0" borderId="16" xfId="0" applyNumberFormat="1" applyFont="1" applyFill="1" applyBorder="1"/>
    <xf numFmtId="164" fontId="18" fillId="0" borderId="17" xfId="0" applyNumberFormat="1" applyFont="1" applyFill="1" applyBorder="1"/>
    <xf numFmtId="164" fontId="35" fillId="0" borderId="16" xfId="1" applyNumberFormat="1" applyFont="1" applyBorder="1"/>
    <xf numFmtId="0" fontId="36" fillId="0" borderId="0" xfId="0" applyFont="1" applyFill="1" applyBorder="1"/>
    <xf numFmtId="164" fontId="37" fillId="0" borderId="0" xfId="0" applyNumberFormat="1" applyFont="1" applyBorder="1"/>
    <xf numFmtId="0" fontId="35" fillId="6" borderId="7" xfId="0" applyFont="1" applyFill="1" applyBorder="1"/>
    <xf numFmtId="164" fontId="35" fillId="6" borderId="3" xfId="1" applyNumberFormat="1" applyFont="1" applyFill="1" applyBorder="1"/>
    <xf numFmtId="164" fontId="18" fillId="6" borderId="7" xfId="1" applyNumberFormat="1" applyFont="1" applyFill="1" applyBorder="1"/>
    <xf numFmtId="164" fontId="18" fillId="6" borderId="8" xfId="1" applyNumberFormat="1" applyFont="1" applyFill="1" applyBorder="1"/>
    <xf numFmtId="41" fontId="18" fillId="6" borderId="8" xfId="1" applyNumberFormat="1" applyFont="1" applyFill="1" applyBorder="1"/>
    <xf numFmtId="164" fontId="37" fillId="0" borderId="0" xfId="1" applyNumberFormat="1" applyFont="1" applyBorder="1"/>
    <xf numFmtId="164" fontId="35" fillId="0" borderId="4" xfId="1" applyNumberFormat="1" applyFont="1" applyFill="1" applyBorder="1"/>
    <xf numFmtId="41" fontId="18" fillId="0" borderId="12" xfId="1" applyNumberFormat="1" applyFont="1" applyFill="1" applyBorder="1"/>
    <xf numFmtId="164" fontId="18" fillId="0" borderId="15" xfId="1" applyNumberFormat="1" applyFont="1" applyFill="1" applyBorder="1"/>
    <xf numFmtId="164" fontId="18" fillId="6" borderId="13" xfId="1" applyNumberFormat="1" applyFont="1" applyFill="1" applyBorder="1"/>
    <xf numFmtId="164" fontId="18" fillId="6" borderId="3" xfId="1" applyNumberFormat="1" applyFont="1" applyFill="1" applyBorder="1"/>
    <xf numFmtId="164" fontId="18" fillId="6" borderId="2" xfId="1" applyNumberFormat="1" applyFont="1" applyFill="1" applyBorder="1"/>
    <xf numFmtId="41" fontId="18" fillId="0" borderId="16" xfId="1" applyNumberFormat="1" applyFont="1" applyFill="1" applyBorder="1" applyAlignment="1">
      <alignment horizontal="left"/>
    </xf>
    <xf numFmtId="37" fontId="18" fillId="0" borderId="17" xfId="1" applyNumberFormat="1" applyFont="1" applyFill="1" applyBorder="1"/>
    <xf numFmtId="164" fontId="35" fillId="0" borderId="16" xfId="0" applyNumberFormat="1" applyFont="1" applyBorder="1"/>
    <xf numFmtId="0" fontId="35" fillId="0" borderId="16" xfId="0" applyFont="1" applyBorder="1"/>
    <xf numFmtId="0" fontId="35" fillId="0" borderId="10" xfId="0" applyFont="1" applyFill="1" applyBorder="1"/>
    <xf numFmtId="5" fontId="18" fillId="0" borderId="10" xfId="1" applyNumberFormat="1" applyFont="1" applyFill="1" applyBorder="1"/>
    <xf numFmtId="5" fontId="18" fillId="0" borderId="0" xfId="1" applyNumberFormat="1" applyFont="1" applyFill="1" applyBorder="1"/>
    <xf numFmtId="164" fontId="25" fillId="0" borderId="0" xfId="1" applyNumberFormat="1" applyFont="1" applyFill="1" applyBorder="1"/>
    <xf numFmtId="0" fontId="37" fillId="0" borderId="0" xfId="0" applyFont="1"/>
    <xf numFmtId="5" fontId="0" fillId="0" borderId="0" xfId="0" applyNumberFormat="1" applyBorder="1"/>
    <xf numFmtId="0" fontId="17" fillId="0" borderId="0" xfId="142" applyFont="1" applyFill="1" applyAlignment="1">
      <alignment horizontal="left" indent="1"/>
    </xf>
    <xf numFmtId="164" fontId="41" fillId="0" borderId="0" xfId="0" applyNumberFormat="1" applyFont="1"/>
    <xf numFmtId="0" fontId="23" fillId="13" borderId="0" xfId="0" applyFont="1" applyFill="1"/>
    <xf numFmtId="0" fontId="6" fillId="0" borderId="0" xfId="0" applyFont="1" applyBorder="1" applyAlignment="1">
      <alignment horizontal="center"/>
    </xf>
    <xf numFmtId="0" fontId="0" fillId="0" borderId="1" xfId="0" applyBorder="1"/>
    <xf numFmtId="164" fontId="42" fillId="0" borderId="0" xfId="1" applyNumberFormat="1" applyFont="1"/>
    <xf numFmtId="0" fontId="42" fillId="0" borderId="0" xfId="0" applyFont="1"/>
    <xf numFmtId="0" fontId="42" fillId="0" borderId="0" xfId="0" applyFont="1" applyFill="1"/>
    <xf numFmtId="0" fontId="42" fillId="7" borderId="0" xfId="0" applyFont="1" applyFill="1"/>
    <xf numFmtId="164" fontId="41" fillId="7" borderId="0" xfId="0" applyNumberFormat="1" applyFont="1" applyFill="1"/>
    <xf numFmtId="0" fontId="42" fillId="0" borderId="1" xfId="0" applyFont="1" applyBorder="1"/>
    <xf numFmtId="164" fontId="42" fillId="0" borderId="1" xfId="0" applyNumberFormat="1" applyFont="1" applyBorder="1"/>
    <xf numFmtId="0" fontId="25" fillId="0" borderId="0" xfId="142" applyFont="1" applyFill="1" applyAlignment="1">
      <alignment horizontal="left" indent="2"/>
    </xf>
    <xf numFmtId="0" fontId="25" fillId="7" borderId="0" xfId="142" applyFont="1" applyFill="1"/>
    <xf numFmtId="0" fontId="25" fillId="0" borderId="0" xfId="0" applyFont="1" applyAlignment="1">
      <alignment horizontal="left" indent="2"/>
    </xf>
    <xf numFmtId="167" fontId="42" fillId="0" borderId="0" xfId="0" applyNumberFormat="1" applyFont="1"/>
    <xf numFmtId="0" fontId="43" fillId="0" borderId="0" xfId="0" applyFont="1"/>
    <xf numFmtId="0" fontId="45" fillId="0" borderId="0" xfId="0" applyFont="1"/>
    <xf numFmtId="41" fontId="47" fillId="5" borderId="0" xfId="0" applyNumberFormat="1" applyFont="1" applyFill="1"/>
    <xf numFmtId="0" fontId="47" fillId="0" borderId="0" xfId="0" applyFont="1"/>
    <xf numFmtId="0" fontId="47" fillId="0" borderId="0" xfId="0" applyFont="1" applyFill="1"/>
    <xf numFmtId="164" fontId="47" fillId="0" borderId="0" xfId="0" applyNumberFormat="1" applyFont="1"/>
    <xf numFmtId="164" fontId="23" fillId="5" borderId="0" xfId="144" applyNumberFormat="1" applyFont="1" applyFill="1" applyBorder="1"/>
    <xf numFmtId="164" fontId="47" fillId="5" borderId="0" xfId="1" applyNumberFormat="1" applyFont="1" applyFill="1"/>
    <xf numFmtId="164" fontId="23" fillId="0" borderId="0" xfId="144" applyNumberFormat="1" applyFont="1" applyFill="1" applyBorder="1"/>
    <xf numFmtId="164" fontId="47" fillId="0" borderId="0" xfId="1" applyNumberFormat="1" applyFont="1" applyFill="1"/>
    <xf numFmtId="164" fontId="23" fillId="0" borderId="3" xfId="144" applyNumberFormat="1" applyFont="1" applyFill="1" applyBorder="1"/>
    <xf numFmtId="0" fontId="30" fillId="0" borderId="0" xfId="0" applyFont="1" applyAlignment="1"/>
    <xf numFmtId="37" fontId="24" fillId="0" borderId="0" xfId="0" applyNumberFormat="1" applyFont="1" applyBorder="1" applyAlignment="1">
      <alignment vertical="center"/>
    </xf>
    <xf numFmtId="0" fontId="47" fillId="5" borderId="0" xfId="0" applyFont="1" applyFill="1"/>
    <xf numFmtId="0" fontId="47" fillId="0" borderId="0" xfId="0" applyFont="1" applyFill="1" applyBorder="1"/>
    <xf numFmtId="0" fontId="47" fillId="5" borderId="0" xfId="0" applyFont="1" applyFill="1" applyBorder="1"/>
    <xf numFmtId="41" fontId="0" fillId="0" borderId="0" xfId="0" applyNumberFormat="1"/>
    <xf numFmtId="164" fontId="47" fillId="0" borderId="0" xfId="0" applyNumberFormat="1" applyFont="1" applyFill="1" applyBorder="1"/>
    <xf numFmtId="41" fontId="23" fillId="5" borderId="0" xfId="1" applyNumberFormat="1" applyFont="1" applyFill="1"/>
    <xf numFmtId="41" fontId="23" fillId="0" borderId="0" xfId="1" applyNumberFormat="1" applyFont="1" applyFill="1"/>
    <xf numFmtId="41" fontId="23" fillId="0" borderId="0" xfId="1" applyNumberFormat="1" applyFont="1" applyFill="1" applyBorder="1"/>
    <xf numFmtId="41" fontId="47" fillId="0" borderId="0" xfId="0" applyNumberFormat="1" applyFont="1"/>
    <xf numFmtId="0" fontId="24" fillId="0" borderId="0" xfId="0" applyFont="1" applyAlignment="1">
      <alignment wrapText="1"/>
    </xf>
    <xf numFmtId="0" fontId="24" fillId="0" borderId="2" xfId="0" applyFont="1" applyBorder="1" applyAlignment="1">
      <alignment horizontal="center" wrapText="1"/>
    </xf>
    <xf numFmtId="0" fontId="0" fillId="0" borderId="0" xfId="0" applyAlignment="1">
      <alignment wrapText="1"/>
    </xf>
    <xf numFmtId="0" fontId="47" fillId="0" borderId="0" xfId="0" applyFont="1" applyAlignment="1">
      <alignment wrapText="1"/>
    </xf>
    <xf numFmtId="9" fontId="30" fillId="0" borderId="0" xfId="0" applyNumberFormat="1" applyFont="1" applyAlignment="1"/>
    <xf numFmtId="166" fontId="0" fillId="0" borderId="0" xfId="0" applyNumberFormat="1"/>
    <xf numFmtId="0" fontId="48" fillId="0" borderId="0" xfId="0" applyFont="1"/>
    <xf numFmtId="0" fontId="49" fillId="0" borderId="0" xfId="0" applyFont="1"/>
    <xf numFmtId="164" fontId="0" fillId="0" borderId="0" xfId="1" applyNumberFormat="1" applyFont="1"/>
    <xf numFmtId="37" fontId="24" fillId="3" borderId="0" xfId="0" applyNumberFormat="1" applyFont="1" applyFill="1" applyBorder="1" applyAlignment="1">
      <alignment vertical="center"/>
    </xf>
    <xf numFmtId="37" fontId="24" fillId="0" borderId="0" xfId="0" applyNumberFormat="1" applyFont="1" applyFill="1" applyBorder="1" applyAlignment="1">
      <alignment horizontal="center" vertical="center"/>
    </xf>
    <xf numFmtId="0" fontId="5" fillId="0" borderId="3" xfId="0" applyFont="1" applyBorder="1"/>
    <xf numFmtId="0" fontId="50" fillId="0" borderId="0" xfId="0" applyFont="1"/>
    <xf numFmtId="0" fontId="51" fillId="0" borderId="0" xfId="0" applyFont="1"/>
    <xf numFmtId="164" fontId="23" fillId="0" borderId="1" xfId="1" applyNumberFormat="1" applyFont="1" applyFill="1" applyBorder="1"/>
    <xf numFmtId="37" fontId="24" fillId="0" borderId="0" xfId="0" applyNumberFormat="1" applyFont="1" applyFill="1" applyBorder="1" applyAlignment="1">
      <alignment vertical="center"/>
    </xf>
    <xf numFmtId="0" fontId="54" fillId="21" borderId="19" xfId="0" applyFont="1" applyFill="1" applyBorder="1" applyAlignment="1"/>
    <xf numFmtId="0" fontId="54" fillId="21" borderId="25" xfId="0" applyFont="1" applyFill="1" applyBorder="1" applyAlignment="1"/>
    <xf numFmtId="0" fontId="54" fillId="21" borderId="21" xfId="0" applyFont="1" applyFill="1" applyBorder="1" applyAlignment="1"/>
    <xf numFmtId="0" fontId="54" fillId="21" borderId="28" xfId="0" applyFont="1" applyFill="1" applyBorder="1" applyAlignment="1"/>
    <xf numFmtId="164" fontId="54" fillId="21" borderId="22" xfId="0" applyNumberFormat="1" applyFont="1" applyFill="1" applyBorder="1" applyAlignment="1"/>
    <xf numFmtId="164" fontId="55" fillId="21" borderId="20" xfId="1" applyNumberFormat="1" applyFont="1" applyFill="1" applyBorder="1"/>
    <xf numFmtId="2" fontId="0" fillId="0" borderId="0" xfId="0" applyNumberFormat="1"/>
    <xf numFmtId="0" fontId="56" fillId="0" borderId="0" xfId="0" applyFont="1" applyBorder="1" applyAlignment="1">
      <alignment vertical="center" wrapText="1"/>
    </xf>
    <xf numFmtId="3" fontId="57" fillId="0" borderId="0" xfId="0" applyNumberFormat="1" applyFont="1" applyBorder="1" applyAlignment="1">
      <alignment vertical="center" wrapText="1"/>
    </xf>
    <xf numFmtId="0" fontId="0" fillId="0" borderId="0" xfId="0" applyBorder="1" applyAlignment="1">
      <alignment vertical="center" wrapText="1"/>
    </xf>
    <xf numFmtId="3" fontId="58" fillId="0" borderId="0" xfId="0" applyNumberFormat="1" applyFont="1" applyAlignment="1">
      <alignment vertical="center" wrapText="1"/>
    </xf>
    <xf numFmtId="3" fontId="59" fillId="0" borderId="0" xfId="0" applyNumberFormat="1" applyFont="1" applyAlignment="1">
      <alignment vertical="center" wrapText="1"/>
    </xf>
    <xf numFmtId="0" fontId="3" fillId="0" borderId="0" xfId="0" applyFont="1" applyBorder="1"/>
    <xf numFmtId="0" fontId="3" fillId="0" borderId="3" xfId="0" applyFont="1" applyBorder="1"/>
    <xf numFmtId="0" fontId="0" fillId="10" borderId="0" xfId="0" applyFill="1"/>
    <xf numFmtId="0" fontId="0" fillId="3" borderId="0" xfId="0" applyFill="1"/>
    <xf numFmtId="3" fontId="0" fillId="3" borderId="0" xfId="0" applyNumberFormat="1" applyFill="1"/>
    <xf numFmtId="166" fontId="0" fillId="0" borderId="0" xfId="87" applyNumberFormat="1" applyFont="1"/>
    <xf numFmtId="0" fontId="0" fillId="0" borderId="3" xfId="0" applyBorder="1"/>
    <xf numFmtId="164" fontId="44" fillId="0" borderId="3" xfId="0" applyNumberFormat="1" applyFont="1" applyBorder="1"/>
    <xf numFmtId="0" fontId="49" fillId="13" borderId="0" xfId="0" applyFont="1" applyFill="1"/>
    <xf numFmtId="164" fontId="49" fillId="0" borderId="0" xfId="1" applyNumberFormat="1" applyFont="1"/>
    <xf numFmtId="164" fontId="49" fillId="13" borderId="0" xfId="1" applyNumberFormat="1" applyFont="1" applyFill="1"/>
    <xf numFmtId="164" fontId="49" fillId="7" borderId="0" xfId="1" applyNumberFormat="1" applyFont="1" applyFill="1"/>
    <xf numFmtId="0" fontId="0" fillId="7" borderId="0" xfId="0" applyFill="1"/>
    <xf numFmtId="164" fontId="47" fillId="7" borderId="0" xfId="1" applyNumberFormat="1" applyFont="1" applyFill="1"/>
    <xf numFmtId="164" fontId="23" fillId="7" borderId="0" xfId="1" applyNumberFormat="1" applyFont="1" applyFill="1"/>
    <xf numFmtId="164" fontId="23" fillId="7" borderId="0" xfId="1" applyNumberFormat="1" applyFont="1" applyFill="1" applyBorder="1"/>
    <xf numFmtId="0" fontId="0" fillId="0" borderId="0" xfId="0" applyAlignment="1">
      <alignment horizontal="center"/>
    </xf>
    <xf numFmtId="0" fontId="24" fillId="0" borderId="2" xfId="0" applyFont="1" applyBorder="1" applyAlignment="1">
      <alignment horizontal="center" vertical="center" wrapText="1"/>
    </xf>
    <xf numFmtId="0" fontId="47" fillId="7" borderId="0" xfId="0" applyFont="1" applyFill="1"/>
    <xf numFmtId="0" fontId="60" fillId="0" borderId="4" xfId="0" applyFont="1" applyBorder="1"/>
    <xf numFmtId="0" fontId="24" fillId="0" borderId="3" xfId="0" applyFont="1" applyBorder="1" applyAlignment="1">
      <alignment horizontal="center" vertical="center" wrapText="1"/>
    </xf>
    <xf numFmtId="164" fontId="44" fillId="21" borderId="0" xfId="0" applyNumberFormat="1" applyFont="1" applyFill="1"/>
    <xf numFmtId="0" fontId="24" fillId="18"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0" xfId="0" applyFont="1" applyBorder="1" applyAlignment="1">
      <alignment horizontal="center" vertical="center" wrapText="1"/>
    </xf>
    <xf numFmtId="0" fontId="5" fillId="0" borderId="9" xfId="0" applyFont="1" applyBorder="1"/>
    <xf numFmtId="0" fontId="24" fillId="0" borderId="3" xfId="0" applyFont="1" applyBorder="1" applyAlignment="1">
      <alignment horizontal="center" vertical="center" wrapText="1"/>
    </xf>
    <xf numFmtId="41" fontId="47" fillId="7" borderId="0" xfId="0" applyNumberFormat="1" applyFont="1" applyFill="1"/>
    <xf numFmtId="0" fontId="0" fillId="11" borderId="0" xfId="0" applyFill="1"/>
    <xf numFmtId="164" fontId="0" fillId="11" borderId="0" xfId="1" applyNumberFormat="1" applyFont="1" applyFill="1"/>
    <xf numFmtId="0" fontId="62" fillId="0" borderId="0" xfId="0" applyFont="1"/>
    <xf numFmtId="0" fontId="0" fillId="0" borderId="0" xfId="0" applyAlignment="1">
      <alignment horizontal="center"/>
    </xf>
    <xf numFmtId="0" fontId="0" fillId="0" borderId="0" xfId="0" applyAlignment="1">
      <alignment horizontal="center" vertical="center"/>
    </xf>
    <xf numFmtId="15" fontId="0" fillId="0" borderId="0" xfId="0" applyNumberFormat="1" applyAlignment="1">
      <alignment horizontal="center"/>
    </xf>
    <xf numFmtId="0" fontId="3" fillId="0" borderId="9" xfId="0" applyFont="1" applyBorder="1"/>
    <xf numFmtId="0" fontId="3" fillId="0" borderId="9" xfId="0" applyFont="1" applyBorder="1" applyAlignment="1">
      <alignment horizontal="center"/>
    </xf>
    <xf numFmtId="0" fontId="3" fillId="0" borderId="9" xfId="0" applyFont="1" applyBorder="1" applyAlignment="1">
      <alignment horizontal="center" vertical="center"/>
    </xf>
    <xf numFmtId="0" fontId="5" fillId="0" borderId="9" xfId="0" applyFont="1" applyBorder="1" applyAlignment="1">
      <alignment vertical="center" wrapText="1"/>
    </xf>
    <xf numFmtId="0" fontId="5" fillId="0" borderId="9" xfId="0" applyFont="1" applyBorder="1" applyAlignment="1">
      <alignment horizontal="center"/>
    </xf>
    <xf numFmtId="0" fontId="5" fillId="0" borderId="18" xfId="0" applyFont="1" applyBorder="1" applyAlignment="1">
      <alignment vertical="center" wrapText="1"/>
    </xf>
    <xf numFmtId="0" fontId="5" fillId="0" borderId="9" xfId="0" applyFont="1" applyBorder="1" applyAlignment="1">
      <alignment horizontal="center" wrapText="1"/>
    </xf>
    <xf numFmtId="10" fontId="5" fillId="0" borderId="9" xfId="0" applyNumberFormat="1"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xf numFmtId="0" fontId="5" fillId="0" borderId="3" xfId="0" applyFont="1" applyBorder="1" applyAlignment="1">
      <alignment horizontal="center"/>
    </xf>
    <xf numFmtId="10" fontId="5" fillId="0" borderId="8" xfId="0" applyNumberFormat="1"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wrapText="1"/>
    </xf>
    <xf numFmtId="0" fontId="40" fillId="0" borderId="9" xfId="0" applyFont="1" applyBorder="1"/>
    <xf numFmtId="0" fontId="5" fillId="0" borderId="3" xfId="0" applyFont="1" applyBorder="1" applyAlignment="1">
      <alignment horizontal="center" vertical="center"/>
    </xf>
    <xf numFmtId="10" fontId="5" fillId="0" borderId="8" xfId="0" applyNumberFormat="1" applyFont="1" applyBorder="1" applyAlignment="1">
      <alignment horizontal="center" vertical="center" wrapText="1"/>
    </xf>
    <xf numFmtId="10" fontId="5" fillId="0" borderId="9" xfId="0" applyNumberFormat="1"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5" fillId="0" borderId="9" xfId="0" applyFont="1" applyFill="1" applyBorder="1" applyAlignment="1">
      <alignment horizontal="center"/>
    </xf>
    <xf numFmtId="10" fontId="5" fillId="0" borderId="0" xfId="0" applyNumberFormat="1" applyFont="1" applyAlignment="1">
      <alignment horizontal="center" vertical="center"/>
    </xf>
    <xf numFmtId="0" fontId="0" fillId="0" borderId="19" xfId="0" applyBorder="1"/>
    <xf numFmtId="10" fontId="0" fillId="0" borderId="20" xfId="0" applyNumberFormat="1" applyBorder="1"/>
    <xf numFmtId="0" fontId="0" fillId="0" borderId="26" xfId="0" applyBorder="1"/>
    <xf numFmtId="10" fontId="0" fillId="0" borderId="27" xfId="0" applyNumberFormat="1" applyBorder="1"/>
    <xf numFmtId="0" fontId="3" fillId="19" borderId="21" xfId="0" applyFont="1" applyFill="1" applyBorder="1"/>
    <xf numFmtId="10" fontId="3" fillId="19" borderId="22" xfId="0" applyNumberFormat="1" applyFont="1" applyFill="1" applyBorder="1"/>
    <xf numFmtId="164" fontId="5" fillId="0" borderId="0" xfId="0" applyNumberFormat="1" applyFont="1" applyFill="1"/>
    <xf numFmtId="0" fontId="50" fillId="0" borderId="0" xfId="0" applyFont="1" applyProtection="1">
      <protection locked="0"/>
    </xf>
    <xf numFmtId="0" fontId="0" fillId="0" borderId="0" xfId="0" applyProtection="1">
      <protection locked="0"/>
    </xf>
    <xf numFmtId="0" fontId="4" fillId="10" borderId="0" xfId="0" applyFont="1" applyFill="1" applyAlignment="1" applyProtection="1">
      <alignment horizontal="center" vertical="center"/>
      <protection locked="0"/>
    </xf>
    <xf numFmtId="166" fontId="4" fillId="10" borderId="0" xfId="0" applyNumberFormat="1" applyFont="1" applyFill="1" applyAlignment="1" applyProtection="1">
      <alignment vertical="center"/>
      <protection locked="0"/>
    </xf>
    <xf numFmtId="166" fontId="4" fillId="20" borderId="0" xfId="0" applyNumberFormat="1" applyFont="1" applyFill="1" applyAlignment="1" applyProtection="1">
      <alignment vertical="center"/>
      <protection locked="0"/>
    </xf>
    <xf numFmtId="0" fontId="5" fillId="0" borderId="0" xfId="0" applyFont="1" applyProtection="1">
      <protection locked="0"/>
    </xf>
    <xf numFmtId="0" fontId="5" fillId="0" borderId="0" xfId="0" applyFont="1" applyBorder="1" applyProtection="1">
      <protection locked="0"/>
    </xf>
    <xf numFmtId="9" fontId="0" fillId="0" borderId="0" xfId="0" applyNumberFormat="1" applyProtection="1">
      <protection locked="0"/>
    </xf>
    <xf numFmtId="9" fontId="0" fillId="0" borderId="0" xfId="2" applyFont="1" applyProtection="1">
      <protection locked="0"/>
    </xf>
    <xf numFmtId="0" fontId="4" fillId="0" borderId="21" xfId="0" applyFont="1" applyBorder="1" applyAlignment="1" applyProtection="1">
      <alignment vertical="center"/>
      <protection locked="0"/>
    </xf>
    <xf numFmtId="0" fontId="5" fillId="0" borderId="28" xfId="0" applyFont="1" applyBorder="1" applyAlignment="1" applyProtection="1">
      <alignment horizontal="left" vertical="center"/>
      <protection locked="0"/>
    </xf>
    <xf numFmtId="44" fontId="0" fillId="0" borderId="0" xfId="0" applyNumberFormat="1" applyProtection="1">
      <protection locked="0"/>
    </xf>
    <xf numFmtId="0" fontId="3" fillId="9" borderId="0" xfId="0" applyFont="1" applyFill="1" applyProtection="1">
      <protection locked="0"/>
    </xf>
    <xf numFmtId="165" fontId="5" fillId="0" borderId="0" xfId="0" applyNumberFormat="1" applyFont="1" applyProtection="1">
      <protection locked="0"/>
    </xf>
    <xf numFmtId="169" fontId="4" fillId="0" borderId="0" xfId="87" applyNumberFormat="1" applyFont="1" applyProtection="1">
      <protection locked="0"/>
    </xf>
    <xf numFmtId="165" fontId="4" fillId="0" borderId="0" xfId="2" applyNumberFormat="1" applyFont="1" applyProtection="1">
      <protection locked="0"/>
    </xf>
    <xf numFmtId="44" fontId="4" fillId="0" borderId="0" xfId="87" applyNumberFormat="1" applyFont="1" applyProtection="1">
      <protection locked="0"/>
    </xf>
    <xf numFmtId="44" fontId="5" fillId="0" borderId="0" xfId="87" applyNumberFormat="1" applyFont="1" applyProtection="1">
      <protection locked="0"/>
    </xf>
    <xf numFmtId="165" fontId="5" fillId="0" borderId="0" xfId="2" applyNumberFormat="1" applyFont="1" applyProtection="1">
      <protection locked="0"/>
    </xf>
    <xf numFmtId="0" fontId="0" fillId="11" borderId="0" xfId="0" applyFill="1" applyProtection="1">
      <protection locked="0"/>
    </xf>
    <xf numFmtId="166" fontId="0" fillId="11" borderId="0" xfId="87" applyNumberFormat="1" applyFont="1" applyFill="1" applyProtection="1">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center" vertical="center" wrapText="1"/>
      <protection locked="0"/>
    </xf>
    <xf numFmtId="0" fontId="10" fillId="0" borderId="0" xfId="0" applyFont="1" applyAlignment="1" applyProtection="1">
      <alignment wrapText="1"/>
      <protection locked="0"/>
    </xf>
    <xf numFmtId="164" fontId="40" fillId="0" borderId="0" xfId="1" applyNumberFormat="1" applyFont="1" applyFill="1" applyProtection="1">
      <protection locked="0"/>
    </xf>
    <xf numFmtId="164" fontId="40" fillId="7" borderId="0" xfId="1" applyNumberFormat="1" applyFont="1" applyFill="1" applyProtection="1">
      <protection locked="0"/>
    </xf>
    <xf numFmtId="164" fontId="40" fillId="0" borderId="5" xfId="1" applyNumberFormat="1" applyFont="1" applyFill="1" applyBorder="1" applyProtection="1">
      <protection locked="0"/>
    </xf>
    <xf numFmtId="0" fontId="53" fillId="0" borderId="0" xfId="0" applyFont="1" applyFill="1" applyAlignment="1" applyProtection="1">
      <alignment horizontal="left" vertical="center"/>
      <protection locked="0"/>
    </xf>
    <xf numFmtId="166" fontId="5" fillId="0" borderId="0" xfId="0" applyNumberFormat="1" applyFont="1" applyProtection="1">
      <protection locked="0"/>
    </xf>
    <xf numFmtId="0" fontId="47" fillId="0" borderId="19" xfId="0" applyFont="1" applyBorder="1"/>
    <xf numFmtId="0" fontId="47" fillId="0" borderId="26" xfId="0" applyFont="1" applyBorder="1"/>
    <xf numFmtId="164" fontId="47" fillId="0" borderId="0" xfId="0" applyNumberFormat="1" applyFont="1" applyBorder="1"/>
    <xf numFmtId="164" fontId="47" fillId="0" borderId="27" xfId="0" applyNumberFormat="1" applyFont="1" applyBorder="1" applyAlignment="1">
      <alignment horizontal="center"/>
    </xf>
    <xf numFmtId="0" fontId="47" fillId="0" borderId="21" xfId="0" applyFont="1" applyBorder="1"/>
    <xf numFmtId="41" fontId="47" fillId="0" borderId="28" xfId="0" applyNumberFormat="1" applyFont="1" applyBorder="1"/>
    <xf numFmtId="0" fontId="47" fillId="0" borderId="22" xfId="0" applyFont="1" applyBorder="1"/>
    <xf numFmtId="0" fontId="0" fillId="0" borderId="0" xfId="0" applyFont="1" applyProtection="1">
      <protection locked="0"/>
    </xf>
    <xf numFmtId="0" fontId="63" fillId="0" borderId="0" xfId="0" applyFont="1" applyProtection="1">
      <protection locked="0"/>
    </xf>
    <xf numFmtId="170" fontId="0" fillId="0" borderId="0" xfId="0" applyNumberFormat="1"/>
    <xf numFmtId="165" fontId="0" fillId="0" borderId="0" xfId="0" applyNumberFormat="1" applyBorder="1"/>
    <xf numFmtId="165" fontId="0" fillId="0" borderId="0" xfId="0" applyNumberFormat="1" applyProtection="1">
      <protection locked="0"/>
    </xf>
    <xf numFmtId="165" fontId="0" fillId="0" borderId="0" xfId="2" applyNumberFormat="1" applyFont="1" applyProtection="1">
      <protection locked="0"/>
    </xf>
    <xf numFmtId="166" fontId="42" fillId="0" borderId="0" xfId="0" applyNumberFormat="1" applyFont="1" applyProtection="1">
      <protection locked="0"/>
    </xf>
    <xf numFmtId="166" fontId="0" fillId="0" borderId="0" xfId="0" applyNumberFormat="1" applyProtection="1">
      <protection locked="0"/>
    </xf>
    <xf numFmtId="0" fontId="0" fillId="0" borderId="0" xfId="0" applyAlignment="1">
      <alignment horizontal="center"/>
    </xf>
    <xf numFmtId="164" fontId="42" fillId="0" borderId="0" xfId="0" applyNumberFormat="1" applyFont="1"/>
    <xf numFmtId="41" fontId="21" fillId="0" borderId="0" xfId="142" applyNumberFormat="1" applyFont="1" applyFill="1" applyAlignment="1">
      <alignment vertical="center"/>
    </xf>
    <xf numFmtId="41" fontId="21" fillId="5" borderId="0" xfId="142" applyNumberFormat="1" applyFont="1" applyFill="1" applyBorder="1" applyAlignment="1">
      <alignment vertical="center"/>
    </xf>
    <xf numFmtId="0" fontId="25" fillId="0" borderId="0" xfId="142" applyFont="1" applyAlignment="1">
      <alignment vertical="center"/>
    </xf>
    <xf numFmtId="41" fontId="21" fillId="0" borderId="0" xfId="142" applyNumberFormat="1" applyFont="1" applyFill="1" applyBorder="1" applyAlignment="1">
      <alignment vertical="center"/>
    </xf>
    <xf numFmtId="0" fontId="65" fillId="0" borderId="0" xfId="0" applyFont="1"/>
    <xf numFmtId="0" fontId="25" fillId="0" borderId="16" xfId="0" applyFont="1" applyBorder="1" applyAlignment="1">
      <alignment horizontal="right"/>
    </xf>
    <xf numFmtId="164" fontId="35" fillId="0" borderId="7" xfId="1" applyNumberFormat="1" applyFont="1" applyFill="1" applyBorder="1"/>
    <xf numFmtId="164" fontId="35" fillId="0" borderId="3" xfId="1" applyNumberFormat="1" applyFont="1" applyFill="1" applyBorder="1"/>
    <xf numFmtId="164" fontId="35" fillId="0" borderId="8" xfId="1" applyNumberFormat="1" applyFont="1" applyFill="1" applyBorder="1"/>
    <xf numFmtId="164" fontId="35" fillId="0" borderId="9" xfId="1" applyNumberFormat="1" applyFont="1" applyFill="1" applyBorder="1"/>
    <xf numFmtId="0" fontId="65" fillId="0" borderId="0" xfId="0" applyFont="1" applyFill="1" applyBorder="1"/>
    <xf numFmtId="164" fontId="35" fillId="0" borderId="11" xfId="1" applyNumberFormat="1" applyFont="1" applyFill="1" applyBorder="1"/>
    <xf numFmtId="164" fontId="35" fillId="0" borderId="12" xfId="1" applyNumberFormat="1" applyFont="1" applyFill="1" applyBorder="1"/>
    <xf numFmtId="164" fontId="35" fillId="0" borderId="15" xfId="1" applyNumberFormat="1" applyFont="1" applyFill="1" applyBorder="1"/>
    <xf numFmtId="164" fontId="5" fillId="0" borderId="3" xfId="1" applyNumberFormat="1" applyFont="1" applyBorder="1"/>
    <xf numFmtId="0" fontId="0" fillId="0" borderId="3" xfId="0" applyFill="1" applyBorder="1"/>
    <xf numFmtId="164" fontId="5" fillId="0" borderId="0" xfId="1" applyNumberFormat="1" applyFont="1" applyFill="1"/>
    <xf numFmtId="37" fontId="18" fillId="0" borderId="4" xfId="1" applyNumberFormat="1" applyFont="1" applyFill="1" applyBorder="1"/>
    <xf numFmtId="37" fontId="18" fillId="0" borderId="4" xfId="1" applyNumberFormat="1" applyFont="1" applyBorder="1"/>
    <xf numFmtId="37" fontId="18" fillId="0" borderId="11" xfId="1" applyNumberFormat="1" applyFont="1" applyBorder="1"/>
    <xf numFmtId="0" fontId="5" fillId="0" borderId="2" xfId="0" applyFont="1" applyBorder="1" applyAlignment="1">
      <alignment horizontal="left" indent="1"/>
    </xf>
    <xf numFmtId="0" fontId="0" fillId="0" borderId="17" xfId="0" applyBorder="1"/>
    <xf numFmtId="164" fontId="35" fillId="0" borderId="13" xfId="1" applyNumberFormat="1" applyFont="1" applyBorder="1"/>
    <xf numFmtId="0" fontId="0" fillId="0" borderId="14" xfId="0" applyBorder="1"/>
    <xf numFmtId="0" fontId="5" fillId="0" borderId="1" xfId="0" applyFont="1" applyBorder="1" applyAlignment="1">
      <alignment horizontal="left"/>
    </xf>
    <xf numFmtId="164" fontId="4" fillId="0" borderId="1" xfId="0" applyNumberFormat="1" applyFont="1" applyBorder="1"/>
    <xf numFmtId="164" fontId="35" fillId="6" borderId="2" xfId="1" applyNumberFormat="1" applyFont="1" applyFill="1" applyBorder="1"/>
    <xf numFmtId="165" fontId="37" fillId="0" borderId="0" xfId="2" applyNumberFormat="1" applyFont="1" applyBorder="1"/>
    <xf numFmtId="0" fontId="0" fillId="0" borderId="0" xfId="0" applyAlignment="1">
      <alignment horizontal="left" indent="1"/>
    </xf>
    <xf numFmtId="0" fontId="17" fillId="0" borderId="0" xfId="0" applyFont="1" applyAlignment="1">
      <alignment horizontal="left" indent="1"/>
    </xf>
    <xf numFmtId="41" fontId="17" fillId="0" borderId="0" xfId="0" applyNumberFormat="1" applyFont="1"/>
    <xf numFmtId="0" fontId="14" fillId="0" borderId="0" xfId="0" applyFont="1"/>
    <xf numFmtId="164" fontId="67" fillId="0" borderId="0" xfId="0" applyNumberFormat="1" applyFont="1"/>
    <xf numFmtId="164" fontId="44" fillId="0" borderId="0" xfId="0" applyNumberFormat="1" applyFont="1" applyFill="1"/>
    <xf numFmtId="164" fontId="44" fillId="27" borderId="0" xfId="0" applyNumberFormat="1" applyFont="1" applyFill="1"/>
    <xf numFmtId="164" fontId="44" fillId="19" borderId="0" xfId="0" applyNumberFormat="1" applyFont="1" applyFill="1" applyBorder="1"/>
    <xf numFmtId="0" fontId="42" fillId="0" borderId="0" xfId="0" applyFont="1" applyAlignment="1">
      <alignment horizontal="left" indent="1"/>
    </xf>
    <xf numFmtId="0" fontId="68" fillId="0" borderId="0" xfId="142" applyFont="1" applyAlignment="1">
      <alignment horizontal="left" indent="1"/>
    </xf>
    <xf numFmtId="0" fontId="68" fillId="0" borderId="0" xfId="142" applyFont="1" applyFill="1" applyAlignment="1">
      <alignment horizontal="left" indent="1"/>
    </xf>
    <xf numFmtId="0" fontId="68" fillId="0" borderId="0" xfId="142" applyFont="1" applyFill="1" applyBorder="1" applyAlignment="1">
      <alignment horizontal="left" indent="1"/>
    </xf>
    <xf numFmtId="0" fontId="0" fillId="0" borderId="5" xfId="0" applyBorder="1"/>
    <xf numFmtId="164" fontId="41" fillId="28" borderId="0" xfId="0" applyNumberFormat="1" applyFont="1" applyFill="1"/>
    <xf numFmtId="164" fontId="41" fillId="0" borderId="0" xfId="0" applyNumberFormat="1" applyFont="1" applyFill="1"/>
    <xf numFmtId="164" fontId="41" fillId="0" borderId="0" xfId="0" applyNumberFormat="1" applyFont="1" applyFill="1" applyBorder="1"/>
    <xf numFmtId="0" fontId="47" fillId="0" borderId="0" xfId="0" applyFont="1" applyFill="1" applyBorder="1" applyAlignment="1">
      <alignment horizontal="left" indent="1"/>
    </xf>
    <xf numFmtId="0" fontId="47" fillId="7" borderId="0" xfId="0" applyFont="1" applyFill="1" applyBorder="1"/>
    <xf numFmtId="41" fontId="23" fillId="7" borderId="0" xfId="1" applyNumberFormat="1" applyFont="1" applyFill="1"/>
    <xf numFmtId="164" fontId="47" fillId="7" borderId="0" xfId="0" applyNumberFormat="1" applyFont="1" applyFill="1" applyBorder="1"/>
    <xf numFmtId="0" fontId="23" fillId="29" borderId="0" xfId="0" applyFont="1" applyFill="1" applyBorder="1"/>
    <xf numFmtId="164" fontId="47" fillId="29" borderId="3" xfId="0" applyNumberFormat="1" applyFont="1" applyFill="1" applyBorder="1"/>
    <xf numFmtId="0" fontId="0" fillId="29" borderId="0" xfId="0" applyFill="1"/>
    <xf numFmtId="0" fontId="47" fillId="29" borderId="0" xfId="0" applyFont="1" applyFill="1"/>
    <xf numFmtId="0" fontId="47" fillId="29" borderId="0" xfId="0" applyFont="1" applyFill="1" applyBorder="1"/>
    <xf numFmtId="164" fontId="23" fillId="29" borderId="3" xfId="144" applyNumberFormat="1" applyFont="1" applyFill="1" applyBorder="1"/>
    <xf numFmtId="0" fontId="69" fillId="30" borderId="0" xfId="0" applyFont="1" applyFill="1" applyBorder="1"/>
    <xf numFmtId="164" fontId="69" fillId="30" borderId="1" xfId="1" applyNumberFormat="1" applyFont="1" applyFill="1" applyBorder="1"/>
    <xf numFmtId="0" fontId="64" fillId="30" borderId="0" xfId="0" applyFont="1" applyFill="1"/>
    <xf numFmtId="0" fontId="69" fillId="30" borderId="0" xfId="0" applyFont="1" applyFill="1"/>
    <xf numFmtId="164" fontId="23" fillId="5" borderId="0" xfId="2281" applyNumberFormat="1" applyFont="1" applyFill="1"/>
    <xf numFmtId="164" fontId="23" fillId="0" borderId="0" xfId="2281" applyNumberFormat="1" applyFont="1" applyFill="1"/>
    <xf numFmtId="164" fontId="23" fillId="0" borderId="0" xfId="2281" applyNumberFormat="1" applyFont="1" applyFill="1" applyBorder="1"/>
    <xf numFmtId="164" fontId="23" fillId="7" borderId="0" xfId="2281" applyNumberFormat="1" applyFont="1" applyFill="1"/>
    <xf numFmtId="41" fontId="23" fillId="7" borderId="0" xfId="1" applyNumberFormat="1" applyFont="1" applyFill="1" applyBorder="1"/>
    <xf numFmtId="0" fontId="47" fillId="7" borderId="0" xfId="0" applyFont="1" applyFill="1" applyBorder="1" applyAlignment="1">
      <alignment horizontal="left" indent="1"/>
    </xf>
    <xf numFmtId="164" fontId="23" fillId="7" borderId="0" xfId="144" applyNumberFormat="1" applyFont="1" applyFill="1" applyBorder="1"/>
    <xf numFmtId="164" fontId="0" fillId="0" borderId="0" xfId="2281" applyNumberFormat="1" applyFont="1" applyFill="1"/>
    <xf numFmtId="0" fontId="0" fillId="0" borderId="0" xfId="0" applyFont="1"/>
    <xf numFmtId="0" fontId="47" fillId="0" borderId="0" xfId="0" applyFont="1" applyBorder="1"/>
    <xf numFmtId="0" fontId="47" fillId="0" borderId="5" xfId="0" applyFont="1" applyBorder="1"/>
    <xf numFmtId="164" fontId="23" fillId="0" borderId="2" xfId="2281" applyNumberFormat="1" applyFont="1" applyFill="1" applyBorder="1"/>
    <xf numFmtId="164" fontId="23" fillId="5" borderId="0" xfId="2281" applyNumberFormat="1" applyFont="1" applyFill="1" applyBorder="1"/>
    <xf numFmtId="164" fontId="46" fillId="0" borderId="0" xfId="0" applyNumberFormat="1" applyFont="1" applyAlignment="1"/>
    <xf numFmtId="0" fontId="43" fillId="0" borderId="0" xfId="0" applyFont="1" applyAlignment="1">
      <alignment horizontal="center" wrapText="1"/>
    </xf>
    <xf numFmtId="166" fontId="0" fillId="7" borderId="0" xfId="87" applyNumberFormat="1" applyFont="1" applyFill="1"/>
    <xf numFmtId="166" fontId="0" fillId="0" borderId="0" xfId="87" applyNumberFormat="1" applyFont="1" applyFill="1"/>
    <xf numFmtId="166" fontId="0" fillId="29" borderId="0" xfId="87" applyNumberFormat="1" applyFont="1" applyFill="1"/>
    <xf numFmtId="0" fontId="0" fillId="0" borderId="25" xfId="0" applyBorder="1"/>
    <xf numFmtId="0" fontId="0" fillId="0" borderId="20" xfId="0" applyBorder="1"/>
    <xf numFmtId="0" fontId="0" fillId="0" borderId="27" xfId="0" applyBorder="1"/>
    <xf numFmtId="0" fontId="3" fillId="0" borderId="26" xfId="0" applyFont="1" applyBorder="1"/>
    <xf numFmtId="166" fontId="3" fillId="0" borderId="0" xfId="87" applyNumberFormat="1" applyFont="1" applyBorder="1"/>
    <xf numFmtId="0" fontId="0" fillId="0" borderId="21" xfId="0" applyBorder="1"/>
    <xf numFmtId="0" fontId="0" fillId="0" borderId="28" xfId="0" applyBorder="1"/>
    <xf numFmtId="0" fontId="0" fillId="0" borderId="22" xfId="0" applyBorder="1"/>
    <xf numFmtId="0" fontId="49" fillId="0" borderId="0" xfId="0" applyFont="1" applyFill="1"/>
    <xf numFmtId="164" fontId="49" fillId="0" borderId="0" xfId="1" applyNumberFormat="1" applyFont="1" applyFill="1"/>
    <xf numFmtId="4" fontId="0" fillId="0" borderId="0" xfId="0" applyNumberFormat="1"/>
    <xf numFmtId="49" fontId="0" fillId="0" borderId="0" xfId="0" applyNumberFormat="1"/>
    <xf numFmtId="43" fontId="0" fillId="0" borderId="0" xfId="1" applyFont="1"/>
    <xf numFmtId="0" fontId="60" fillId="0" borderId="1" xfId="0" applyFont="1" applyBorder="1" applyAlignment="1">
      <alignment vertical="center" wrapText="1"/>
    </xf>
    <xf numFmtId="0" fontId="60" fillId="0" borderId="1" xfId="0" applyFont="1" applyBorder="1" applyAlignment="1">
      <alignment horizontal="center" vertical="center" wrapText="1"/>
    </xf>
    <xf numFmtId="41" fontId="47" fillId="0" borderId="0" xfId="0" applyNumberFormat="1" applyFont="1" applyFill="1"/>
    <xf numFmtId="0" fontId="60" fillId="0" borderId="1" xfId="0" applyFont="1" applyBorder="1" applyAlignment="1">
      <alignment horizontal="center"/>
    </xf>
    <xf numFmtId="0" fontId="47" fillId="0" borderId="1" xfId="0" applyFont="1" applyBorder="1"/>
    <xf numFmtId="0" fontId="49" fillId="7" borderId="0" xfId="0" applyFont="1" applyFill="1"/>
    <xf numFmtId="0" fontId="47" fillId="0" borderId="0" xfId="0" applyFont="1" applyFill="1" applyAlignment="1">
      <alignment horizontal="left" indent="1"/>
    </xf>
    <xf numFmtId="0" fontId="47" fillId="0" borderId="5" xfId="0" applyFont="1" applyFill="1" applyBorder="1" applyAlignment="1">
      <alignment horizontal="left" indent="1"/>
    </xf>
    <xf numFmtId="0" fontId="49" fillId="0" borderId="5" xfId="0" applyFont="1" applyBorder="1"/>
    <xf numFmtId="0" fontId="70" fillId="0" borderId="0" xfId="0" applyFont="1"/>
    <xf numFmtId="0" fontId="70" fillId="0" borderId="5" xfId="0" applyFont="1" applyBorder="1"/>
    <xf numFmtId="164" fontId="47" fillId="7" borderId="0" xfId="0" applyNumberFormat="1" applyFont="1" applyFill="1"/>
    <xf numFmtId="0" fontId="49" fillId="29" borderId="0" xfId="0" applyFont="1" applyFill="1"/>
    <xf numFmtId="164" fontId="49" fillId="29" borderId="0" xfId="1" applyNumberFormat="1" applyFont="1" applyFill="1"/>
    <xf numFmtId="43" fontId="49" fillId="29" borderId="0" xfId="1" applyNumberFormat="1" applyFont="1" applyFill="1"/>
    <xf numFmtId="164" fontId="71" fillId="0" borderId="0" xfId="1" applyNumberFormat="1" applyFont="1" applyFill="1"/>
    <xf numFmtId="10" fontId="47" fillId="0" borderId="0" xfId="0" applyNumberFormat="1" applyFont="1"/>
    <xf numFmtId="1" fontId="47" fillId="0" borderId="0" xfId="0" applyNumberFormat="1" applyFont="1"/>
    <xf numFmtId="0" fontId="48" fillId="0" borderId="5" xfId="0" applyFont="1" applyBorder="1" applyAlignment="1">
      <alignment horizontal="left"/>
    </xf>
    <xf numFmtId="164" fontId="42" fillId="0" borderId="5" xfId="1" applyNumberFormat="1" applyFont="1" applyBorder="1"/>
    <xf numFmtId="164" fontId="42" fillId="0" borderId="5" xfId="0" applyNumberFormat="1" applyFont="1" applyBorder="1"/>
    <xf numFmtId="164" fontId="42" fillId="0" borderId="0" xfId="0" applyNumberFormat="1" applyFont="1" applyBorder="1"/>
    <xf numFmtId="164" fontId="8" fillId="0" borderId="0" xfId="1" applyNumberFormat="1" applyFont="1" applyBorder="1"/>
    <xf numFmtId="14" fontId="6" fillId="0" borderId="1" xfId="0" quotePrefix="1" applyNumberFormat="1" applyFont="1" applyBorder="1" applyAlignment="1">
      <alignment horizontal="center"/>
    </xf>
    <xf numFmtId="165" fontId="42" fillId="0" borderId="0" xfId="2" applyNumberFormat="1" applyFont="1"/>
    <xf numFmtId="0" fontId="72" fillId="0" borderId="0" xfId="0" applyFont="1"/>
    <xf numFmtId="0" fontId="42" fillId="0" borderId="30" xfId="0" applyFont="1" applyBorder="1" applyProtection="1">
      <protection locked="0"/>
    </xf>
    <xf numFmtId="0" fontId="42" fillId="0" borderId="31" xfId="0" applyFont="1" applyBorder="1" applyProtection="1">
      <protection locked="0"/>
    </xf>
    <xf numFmtId="0" fontId="42" fillId="0" borderId="31" xfId="0" applyFont="1" applyBorder="1" applyAlignment="1" applyProtection="1">
      <alignment horizontal="center"/>
      <protection locked="0"/>
    </xf>
    <xf numFmtId="9" fontId="42" fillId="0" borderId="0" xfId="0" applyNumberFormat="1" applyFont="1" applyFill="1" applyBorder="1"/>
    <xf numFmtId="0" fontId="43" fillId="0" borderId="19" xfId="0" applyFont="1" applyBorder="1" applyAlignment="1" applyProtection="1">
      <alignment vertical="center"/>
      <protection locked="0"/>
    </xf>
    <xf numFmtId="0" fontId="41" fillId="0" borderId="25" xfId="0" applyFont="1" applyBorder="1" applyAlignment="1" applyProtection="1">
      <alignment horizontal="left" vertical="center" wrapText="1"/>
      <protection locked="0"/>
    </xf>
    <xf numFmtId="0" fontId="42" fillId="21" borderId="19" xfId="0" applyFont="1" applyFill="1" applyBorder="1"/>
    <xf numFmtId="0" fontId="43" fillId="0" borderId="26" xfId="0" applyFont="1" applyBorder="1" applyAlignment="1" applyProtection="1">
      <alignment vertical="center"/>
      <protection locked="0"/>
    </xf>
    <xf numFmtId="0" fontId="41" fillId="0" borderId="0" xfId="0" applyFont="1" applyBorder="1" applyAlignment="1" applyProtection="1">
      <alignment horizontal="left" vertical="center" wrapText="1"/>
      <protection locked="0"/>
    </xf>
    <xf numFmtId="0" fontId="42" fillId="21" borderId="21" xfId="0" applyFont="1" applyFill="1" applyBorder="1"/>
    <xf numFmtId="0" fontId="42" fillId="21" borderId="26" xfId="0" applyFont="1" applyFill="1" applyBorder="1"/>
    <xf numFmtId="171" fontId="42" fillId="21" borderId="20" xfId="0" applyNumberFormat="1" applyFont="1" applyFill="1" applyBorder="1"/>
    <xf numFmtId="171" fontId="42" fillId="21" borderId="27" xfId="0" applyNumberFormat="1" applyFont="1" applyFill="1" applyBorder="1"/>
    <xf numFmtId="171" fontId="42" fillId="21" borderId="22" xfId="0" applyNumberFormat="1" applyFont="1" applyFill="1" applyBorder="1"/>
    <xf numFmtId="0" fontId="42" fillId="0" borderId="0" xfId="0" applyFont="1" applyBorder="1"/>
    <xf numFmtId="0" fontId="73" fillId="31" borderId="0" xfId="0" applyFont="1" applyFill="1" applyBorder="1" applyAlignment="1" applyProtection="1">
      <alignment horizontal="center" vertical="top" wrapText="1" readingOrder="1"/>
      <protection locked="0"/>
    </xf>
    <xf numFmtId="0" fontId="42" fillId="0" borderId="0" xfId="0" applyFont="1" applyBorder="1" applyAlignment="1" applyProtection="1">
      <alignment vertical="top" wrapText="1"/>
      <protection locked="0"/>
    </xf>
    <xf numFmtId="172" fontId="42" fillId="0" borderId="0" xfId="0" applyNumberFormat="1" applyFont="1" applyBorder="1" applyAlignment="1" applyProtection="1">
      <alignment vertical="top" wrapText="1"/>
      <protection locked="0"/>
    </xf>
    <xf numFmtId="172" fontId="43" fillId="0" borderId="0" xfId="0" applyNumberFormat="1" applyFont="1"/>
    <xf numFmtId="0" fontId="42" fillId="0" borderId="0" xfId="0" applyFont="1" applyBorder="1" applyAlignment="1" applyProtection="1">
      <alignment vertical="top"/>
      <protection locked="0"/>
    </xf>
    <xf numFmtId="172" fontId="43" fillId="0" borderId="0" xfId="0" applyNumberFormat="1" applyFont="1" applyBorder="1" applyAlignment="1" applyProtection="1">
      <alignment vertical="top" wrapText="1"/>
      <protection locked="0"/>
    </xf>
    <xf numFmtId="0" fontId="44" fillId="17" borderId="33" xfId="0" applyFont="1" applyFill="1" applyBorder="1" applyAlignment="1" applyProtection="1">
      <alignment horizontal="left" vertical="top"/>
      <protection locked="0"/>
    </xf>
    <xf numFmtId="0" fontId="42" fillId="3" borderId="0" xfId="0" applyFont="1" applyFill="1" applyBorder="1" applyAlignment="1" applyProtection="1">
      <alignment vertical="top" wrapText="1"/>
      <protection locked="0"/>
    </xf>
    <xf numFmtId="0" fontId="44" fillId="0" borderId="34" xfId="0" applyFont="1" applyFill="1" applyBorder="1" applyAlignment="1" applyProtection="1">
      <alignment horizontal="left" vertical="top" indent="1"/>
      <protection locked="0"/>
    </xf>
    <xf numFmtId="0" fontId="44" fillId="10" borderId="34" xfId="0" applyFont="1" applyFill="1" applyBorder="1" applyAlignment="1" applyProtection="1">
      <alignment horizontal="left" vertical="top" indent="1"/>
      <protection locked="0"/>
    </xf>
    <xf numFmtId="172" fontId="42" fillId="10" borderId="0" xfId="0" applyNumberFormat="1" applyFont="1" applyFill="1" applyBorder="1" applyAlignment="1" applyProtection="1">
      <alignment vertical="top" wrapText="1"/>
      <protection locked="0"/>
    </xf>
    <xf numFmtId="0" fontId="42" fillId="10" borderId="0" xfId="0" applyFont="1" applyFill="1" applyBorder="1" applyAlignment="1" applyProtection="1">
      <alignment vertical="top" wrapText="1"/>
      <protection locked="0"/>
    </xf>
    <xf numFmtId="0" fontId="44" fillId="0" borderId="0" xfId="0" applyFont="1" applyFill="1" applyBorder="1" applyAlignment="1" applyProtection="1">
      <alignment horizontal="left" vertical="top" indent="1"/>
      <protection locked="0"/>
    </xf>
    <xf numFmtId="0" fontId="43" fillId="0" borderId="3" xfId="0" applyFont="1" applyBorder="1" applyAlignment="1" applyProtection="1">
      <alignment horizontal="left" vertical="top" wrapText="1" indent="1"/>
      <protection locked="0"/>
    </xf>
    <xf numFmtId="172" fontId="43" fillId="0" borderId="3" xfId="0" applyNumberFormat="1" applyFont="1" applyBorder="1" applyAlignment="1" applyProtection="1">
      <alignment vertical="top" wrapText="1"/>
      <protection locked="0"/>
    </xf>
    <xf numFmtId="0" fontId="42" fillId="0" borderId="0" xfId="0" applyFont="1" applyBorder="1" applyAlignment="1" applyProtection="1">
      <alignment horizontal="left" vertical="top" wrapText="1" indent="1"/>
      <protection locked="0"/>
    </xf>
    <xf numFmtId="1" fontId="42" fillId="0" borderId="0" xfId="0" applyNumberFormat="1" applyFont="1" applyBorder="1" applyAlignment="1" applyProtection="1">
      <alignment vertical="top" wrapText="1"/>
      <protection locked="0"/>
    </xf>
    <xf numFmtId="0" fontId="41" fillId="32" borderId="0" xfId="0" applyFont="1" applyFill="1" applyBorder="1" applyAlignment="1" applyProtection="1">
      <alignment horizontal="left" vertical="top" indent="1"/>
      <protection locked="0"/>
    </xf>
    <xf numFmtId="172" fontId="42" fillId="17" borderId="0" xfId="0" applyNumberFormat="1" applyFont="1" applyFill="1" applyAlignment="1" applyProtection="1">
      <alignment vertical="top" wrapText="1"/>
      <protection locked="0"/>
    </xf>
    <xf numFmtId="0" fontId="42" fillId="0" borderId="0" xfId="0" applyFont="1" applyFill="1" applyBorder="1" applyAlignment="1" applyProtection="1">
      <alignment vertical="top" wrapText="1"/>
      <protection locked="0"/>
    </xf>
    <xf numFmtId="172" fontId="0" fillId="0" borderId="0" xfId="0" applyNumberFormat="1" applyBorder="1" applyAlignment="1" applyProtection="1">
      <alignment vertical="top" wrapText="1"/>
      <protection locked="0"/>
    </xf>
    <xf numFmtId="0" fontId="42" fillId="0" borderId="0" xfId="0" applyFont="1" applyFill="1" applyAlignment="1">
      <alignment horizontal="center" vertical="center"/>
    </xf>
    <xf numFmtId="172" fontId="0" fillId="0" borderId="0" xfId="0" applyNumberFormat="1"/>
    <xf numFmtId="0" fontId="9" fillId="3" borderId="0" xfId="0" applyFont="1" applyFill="1"/>
    <xf numFmtId="0" fontId="73" fillId="31" borderId="3" xfId="0" applyFont="1" applyFill="1" applyBorder="1" applyAlignment="1" applyProtection="1">
      <alignment horizontal="center" vertical="top" wrapText="1" readingOrder="1"/>
      <protection locked="0"/>
    </xf>
    <xf numFmtId="0" fontId="9" fillId="17" borderId="0" xfId="0" applyFont="1" applyFill="1"/>
    <xf numFmtId="0" fontId="48" fillId="0" borderId="3" xfId="0" applyFont="1" applyBorder="1"/>
    <xf numFmtId="0" fontId="44" fillId="14" borderId="3" xfId="0" applyFont="1" applyFill="1" applyBorder="1" applyAlignment="1" applyProtection="1">
      <alignment horizontal="center" vertical="top" wrapText="1"/>
      <protection locked="0"/>
    </xf>
    <xf numFmtId="0" fontId="44" fillId="0" borderId="34" xfId="0" applyFont="1" applyBorder="1" applyAlignment="1" applyProtection="1">
      <alignment horizontal="left" vertical="top" indent="1"/>
      <protection locked="0"/>
    </xf>
    <xf numFmtId="172" fontId="41" fillId="0" borderId="0" xfId="0" applyNumberFormat="1" applyFont="1" applyAlignment="1" applyProtection="1">
      <alignment vertical="top" wrapText="1"/>
      <protection locked="0"/>
    </xf>
    <xf numFmtId="0" fontId="44" fillId="14" borderId="34" xfId="0" applyFont="1" applyFill="1" applyBorder="1" applyAlignment="1" applyProtection="1">
      <alignment horizontal="left" vertical="top" indent="1"/>
      <protection locked="0"/>
    </xf>
    <xf numFmtId="172" fontId="41" fillId="14" borderId="0" xfId="0" applyNumberFormat="1" applyFont="1" applyFill="1" applyAlignment="1" applyProtection="1">
      <alignment vertical="top" wrapText="1"/>
      <protection locked="0"/>
    </xf>
    <xf numFmtId="0" fontId="41" fillId="0" borderId="0" xfId="0" applyFont="1" applyAlignment="1" applyProtection="1">
      <alignment vertical="top" wrapText="1"/>
      <protection locked="0"/>
    </xf>
    <xf numFmtId="0" fontId="41" fillId="14" borderId="0" xfId="0" applyFont="1" applyFill="1" applyAlignment="1" applyProtection="1">
      <alignment vertical="top" wrapText="1"/>
      <protection locked="0"/>
    </xf>
    <xf numFmtId="0" fontId="44" fillId="0" borderId="0" xfId="0" applyFont="1" applyAlignment="1" applyProtection="1">
      <alignment horizontal="left" vertical="top" indent="1"/>
      <protection locked="0"/>
    </xf>
    <xf numFmtId="0" fontId="44" fillId="0" borderId="3" xfId="0" applyFont="1" applyBorder="1" applyAlignment="1" applyProtection="1">
      <alignment horizontal="left" vertical="top" wrapText="1" indent="1"/>
      <protection locked="0"/>
    </xf>
    <xf numFmtId="172" fontId="44" fillId="0" borderId="3" xfId="0" applyNumberFormat="1" applyFont="1" applyBorder="1" applyAlignment="1" applyProtection="1">
      <alignment vertical="top" wrapText="1"/>
      <protection locked="0"/>
    </xf>
    <xf numFmtId="10" fontId="41" fillId="0" borderId="0" xfId="2" applyNumberFormat="1" applyFont="1" applyAlignment="1" applyProtection="1">
      <alignment vertical="top" wrapText="1"/>
      <protection locked="0"/>
    </xf>
    <xf numFmtId="10" fontId="43" fillId="0" borderId="3" xfId="2" applyNumberFormat="1" applyFont="1" applyBorder="1" applyAlignment="1" applyProtection="1">
      <alignment vertical="top" wrapText="1"/>
      <protection locked="0"/>
    </xf>
    <xf numFmtId="10" fontId="41" fillId="10" borderId="0" xfId="2" applyNumberFormat="1" applyFont="1" applyFill="1" applyAlignment="1" applyProtection="1">
      <alignment vertical="top" wrapText="1"/>
      <protection locked="0"/>
    </xf>
    <xf numFmtId="0" fontId="42" fillId="0" borderId="0" xfId="0" applyFont="1" applyFill="1" applyBorder="1" applyAlignment="1" applyProtection="1">
      <alignment horizontal="center"/>
      <protection locked="0"/>
    </xf>
    <xf numFmtId="10" fontId="42" fillId="0" borderId="0" xfId="0" applyNumberFormat="1" applyFont="1" applyFill="1" applyBorder="1" applyAlignment="1" applyProtection="1">
      <alignment horizontal="center" vertical="center"/>
      <protection locked="0"/>
    </xf>
    <xf numFmtId="10" fontId="5" fillId="0" borderId="0" xfId="2" applyNumberFormat="1" applyFont="1" applyFill="1" applyBorder="1" applyAlignment="1" applyProtection="1">
      <alignment horizontal="center" vertical="center"/>
      <protection locked="0"/>
    </xf>
    <xf numFmtId="0" fontId="44" fillId="0" borderId="3" xfId="0" applyFont="1" applyFill="1" applyBorder="1" applyAlignment="1" applyProtection="1">
      <alignment horizontal="center" vertical="top" wrapText="1"/>
      <protection locked="0"/>
    </xf>
    <xf numFmtId="0" fontId="43" fillId="0" borderId="23" xfId="0" applyFont="1" applyBorder="1" applyAlignment="1">
      <alignment vertical="center"/>
    </xf>
    <xf numFmtId="0" fontId="43" fillId="0" borderId="29" xfId="0" applyFont="1" applyBorder="1" applyAlignment="1">
      <alignment vertical="center"/>
    </xf>
    <xf numFmtId="3" fontId="43" fillId="0" borderId="24" xfId="0" applyNumberFormat="1" applyFont="1" applyBorder="1" applyAlignment="1">
      <alignment vertical="center"/>
    </xf>
    <xf numFmtId="0" fontId="0" fillId="0" borderId="0" xfId="0" applyBorder="1" applyAlignment="1" applyProtection="1">
      <alignment vertical="top" wrapText="1"/>
      <protection locked="0"/>
    </xf>
    <xf numFmtId="0" fontId="68" fillId="0" borderId="0" xfId="0" applyFont="1" applyBorder="1" applyAlignment="1" applyProtection="1">
      <alignment vertical="top" wrapText="1"/>
      <protection locked="0"/>
    </xf>
    <xf numFmtId="172" fontId="68" fillId="0" borderId="0" xfId="0" applyNumberFormat="1" applyFont="1" applyBorder="1" applyAlignment="1" applyProtection="1">
      <alignment vertical="top" wrapText="1"/>
      <protection locked="0"/>
    </xf>
    <xf numFmtId="0" fontId="68" fillId="0" borderId="0" xfId="0" applyFont="1" applyFill="1" applyBorder="1" applyAlignment="1" applyProtection="1">
      <alignment vertical="top" wrapText="1"/>
      <protection locked="0"/>
    </xf>
    <xf numFmtId="0" fontId="42" fillId="0" borderId="0" xfId="0" applyFont="1" applyAlignment="1">
      <alignment horizontal="center"/>
    </xf>
    <xf numFmtId="0" fontId="44" fillId="0" borderId="5" xfId="0" applyFont="1" applyBorder="1" applyAlignment="1" applyProtection="1">
      <alignment horizontal="left" vertical="top" indent="1"/>
      <protection locked="0"/>
    </xf>
    <xf numFmtId="0" fontId="68" fillId="0" borderId="5" xfId="0" applyFont="1" applyBorder="1" applyAlignment="1" applyProtection="1">
      <alignment vertical="top" wrapText="1"/>
      <protection locked="0"/>
    </xf>
    <xf numFmtId="10" fontId="42" fillId="0" borderId="0" xfId="2" applyNumberFormat="1" applyFont="1"/>
    <xf numFmtId="10" fontId="42" fillId="0" borderId="3" xfId="0" applyNumberFormat="1" applyFont="1" applyBorder="1"/>
    <xf numFmtId="10" fontId="42" fillId="10" borderId="0" xfId="2" applyNumberFormat="1" applyFont="1" applyFill="1"/>
    <xf numFmtId="0" fontId="42" fillId="0" borderId="24" xfId="0" applyFont="1" applyFill="1" applyBorder="1" applyAlignment="1" applyProtection="1">
      <alignment horizontal="center"/>
      <protection locked="0"/>
    </xf>
    <xf numFmtId="0" fontId="43" fillId="0" borderId="21" xfId="0" applyFont="1" applyBorder="1" applyAlignment="1" applyProtection="1">
      <alignment vertical="center"/>
      <protection locked="0"/>
    </xf>
    <xf numFmtId="0" fontId="41" fillId="0" borderId="28" xfId="0" applyFont="1" applyBorder="1" applyAlignment="1" applyProtection="1">
      <alignment horizontal="left" vertical="center" wrapText="1"/>
      <protection locked="0"/>
    </xf>
    <xf numFmtId="9" fontId="42" fillId="0" borderId="28" xfId="0" applyNumberFormat="1" applyFont="1" applyBorder="1"/>
    <xf numFmtId="165" fontId="42" fillId="0" borderId="22" xfId="0" applyNumberFormat="1" applyFont="1" applyBorder="1"/>
    <xf numFmtId="0" fontId="73" fillId="31" borderId="35" xfId="0" applyFont="1" applyFill="1" applyBorder="1" applyAlignment="1" applyProtection="1">
      <alignment horizontal="center" vertical="center" wrapText="1" readingOrder="1"/>
      <protection locked="0"/>
    </xf>
    <xf numFmtId="172" fontId="42" fillId="0" borderId="0" xfId="0" applyNumberFormat="1" applyFont="1" applyFill="1"/>
    <xf numFmtId="172" fontId="42" fillId="0" borderId="0" xfId="0" applyNumberFormat="1" applyFont="1"/>
    <xf numFmtId="0" fontId="76" fillId="0" borderId="33" xfId="0" applyFont="1" applyBorder="1" applyAlignment="1" applyProtection="1">
      <alignment horizontal="left" vertical="top"/>
      <protection locked="0"/>
    </xf>
    <xf numFmtId="0" fontId="77" fillId="0" borderId="0" xfId="0" applyFont="1" applyAlignment="1" applyProtection="1">
      <alignment vertical="top" wrapText="1"/>
      <protection locked="0"/>
    </xf>
    <xf numFmtId="1" fontId="0" fillId="0" borderId="0" xfId="0" applyNumberFormat="1" applyBorder="1" applyAlignment="1" applyProtection="1">
      <alignment vertical="top" wrapText="1"/>
      <protection locked="0"/>
    </xf>
    <xf numFmtId="0" fontId="74" fillId="33" borderId="35" xfId="0" applyFont="1" applyFill="1" applyBorder="1" applyAlignment="1" applyProtection="1">
      <alignment horizontal="center" vertical="top" wrapText="1" readingOrder="1"/>
      <protection locked="0"/>
    </xf>
    <xf numFmtId="0" fontId="74" fillId="33" borderId="36" xfId="0" applyFont="1" applyFill="1" applyBorder="1" applyAlignment="1" applyProtection="1">
      <alignment vertical="top" wrapText="1" readingOrder="1"/>
      <protection locked="0"/>
    </xf>
    <xf numFmtId="0" fontId="0" fillId="7" borderId="0" xfId="0" applyFill="1" applyBorder="1" applyAlignment="1" applyProtection="1">
      <alignment vertical="top" wrapText="1"/>
      <protection locked="0"/>
    </xf>
    <xf numFmtId="2" fontId="42" fillId="0" borderId="0" xfId="0" applyNumberFormat="1" applyFont="1"/>
    <xf numFmtId="0" fontId="42" fillId="0" borderId="0" xfId="0" applyFont="1" applyFill="1" applyBorder="1"/>
    <xf numFmtId="0" fontId="42" fillId="0" borderId="3" xfId="0" applyFont="1" applyBorder="1" applyAlignment="1">
      <alignment vertical="center"/>
    </xf>
    <xf numFmtId="0" fontId="42" fillId="0" borderId="3" xfId="0" applyFont="1" applyBorder="1" applyAlignment="1">
      <alignment horizontal="center" wrapText="1"/>
    </xf>
    <xf numFmtId="172" fontId="42" fillId="0" borderId="0" xfId="0" applyNumberFormat="1" applyFont="1" applyFill="1" applyBorder="1"/>
    <xf numFmtId="172" fontId="42" fillId="0" borderId="0" xfId="0" applyNumberFormat="1" applyFont="1" applyBorder="1"/>
    <xf numFmtId="172" fontId="0" fillId="0" borderId="0" xfId="0" applyNumberFormat="1" applyBorder="1"/>
    <xf numFmtId="0" fontId="44" fillId="0" borderId="2" xfId="0" applyFont="1" applyBorder="1" applyAlignment="1" applyProtection="1">
      <alignment horizontal="left" vertical="top" indent="1"/>
      <protection locked="0"/>
    </xf>
    <xf numFmtId="0" fontId="42" fillId="0" borderId="2" xfId="0" applyFont="1" applyFill="1" applyBorder="1"/>
    <xf numFmtId="0" fontId="42" fillId="0" borderId="2" xfId="0" applyFont="1" applyBorder="1"/>
    <xf numFmtId="0" fontId="0" fillId="0" borderId="2" xfId="0" applyBorder="1" applyAlignment="1" applyProtection="1">
      <alignment vertical="top" wrapText="1"/>
      <protection locked="0"/>
    </xf>
    <xf numFmtId="1" fontId="0" fillId="0" borderId="2" xfId="0" applyNumberFormat="1" applyBorder="1" applyAlignment="1" applyProtection="1">
      <alignment vertical="top" wrapText="1"/>
      <protection locked="0"/>
    </xf>
    <xf numFmtId="172" fontId="42" fillId="0" borderId="0" xfId="0" applyNumberFormat="1" applyFont="1" applyFill="1" applyBorder="1" applyAlignment="1" applyProtection="1">
      <alignment vertical="top" wrapText="1"/>
      <protection locked="0"/>
    </xf>
    <xf numFmtId="10" fontId="42" fillId="0" borderId="0" xfId="0" applyNumberFormat="1" applyFont="1"/>
    <xf numFmtId="0" fontId="42" fillId="0" borderId="3" xfId="0" applyFont="1" applyBorder="1"/>
    <xf numFmtId="0" fontId="44" fillId="14" borderId="5" xfId="0" applyFont="1" applyFill="1" applyBorder="1" applyAlignment="1" applyProtection="1">
      <alignment horizontal="left" vertical="top" indent="1"/>
      <protection locked="0"/>
    </xf>
    <xf numFmtId="10" fontId="42" fillId="0" borderId="5" xfId="0" applyNumberFormat="1" applyFont="1" applyBorder="1"/>
    <xf numFmtId="10" fontId="41" fillId="0" borderId="5" xfId="2" applyNumberFormat="1" applyFont="1" applyBorder="1" applyAlignment="1" applyProtection="1">
      <alignment vertical="top" wrapText="1"/>
      <protection locked="0"/>
    </xf>
    <xf numFmtId="0" fontId="42" fillId="0" borderId="3" xfId="0" applyFont="1" applyBorder="1" applyAlignment="1">
      <alignment horizontal="center"/>
    </xf>
    <xf numFmtId="10" fontId="42" fillId="0" borderId="0" xfId="2" applyNumberFormat="1" applyFont="1" applyBorder="1" applyAlignment="1" applyProtection="1">
      <alignment vertical="top" wrapText="1"/>
      <protection locked="0"/>
    </xf>
    <xf numFmtId="10" fontId="42" fillId="10" borderId="0" xfId="2" applyNumberFormat="1" applyFont="1" applyFill="1" applyBorder="1" applyAlignment="1" applyProtection="1">
      <alignment vertical="top" wrapText="1"/>
      <protection locked="0"/>
    </xf>
    <xf numFmtId="10" fontId="42" fillId="0" borderId="0" xfId="2" applyNumberFormat="1" applyFont="1" applyFill="1" applyBorder="1" applyAlignment="1" applyProtection="1">
      <alignment vertical="top" wrapText="1"/>
      <protection locked="0"/>
    </xf>
    <xf numFmtId="0" fontId="42" fillId="0" borderId="3" xfId="0" applyFont="1" applyBorder="1" applyAlignment="1">
      <alignment wrapText="1"/>
    </xf>
    <xf numFmtId="0" fontId="44" fillId="0" borderId="0" xfId="0" applyFont="1" applyBorder="1" applyAlignment="1" applyProtection="1">
      <alignment horizontal="left" vertical="top" indent="1"/>
      <protection locked="0"/>
    </xf>
    <xf numFmtId="0" fontId="0" fillId="0" borderId="2" xfId="0" applyFill="1" applyBorder="1"/>
    <xf numFmtId="172" fontId="42" fillId="0" borderId="2" xfId="0" applyNumberFormat="1" applyFont="1" applyFill="1" applyBorder="1"/>
    <xf numFmtId="0" fontId="73" fillId="0" borderId="2" xfId="0" applyFont="1" applyFill="1" applyBorder="1" applyAlignment="1" applyProtection="1">
      <alignment horizontal="left" vertical="top" indent="1" readingOrder="1"/>
      <protection locked="0"/>
    </xf>
    <xf numFmtId="172" fontId="43" fillId="0" borderId="2" xfId="0" applyNumberFormat="1" applyFont="1" applyFill="1" applyBorder="1"/>
    <xf numFmtId="0" fontId="9" fillId="0" borderId="0" xfId="0" applyFont="1" applyFill="1"/>
    <xf numFmtId="0" fontId="9" fillId="0" borderId="0" xfId="0" applyFont="1" applyFill="1" applyBorder="1"/>
    <xf numFmtId="0" fontId="48" fillId="0" borderId="0" xfId="0" applyFont="1" applyBorder="1"/>
    <xf numFmtId="0" fontId="44" fillId="0" borderId="0" xfId="0" applyFont="1" applyFill="1" applyBorder="1" applyAlignment="1" applyProtection="1">
      <alignment horizontal="center" vertical="top" wrapText="1"/>
      <protection locked="0"/>
    </xf>
    <xf numFmtId="0" fontId="0" fillId="3" borderId="0" xfId="0" applyFill="1" applyBorder="1" applyAlignment="1" applyProtection="1">
      <alignment vertical="top" wrapText="1"/>
      <protection locked="0"/>
    </xf>
    <xf numFmtId="0" fontId="79" fillId="17" borderId="33" xfId="0" applyFont="1" applyFill="1" applyBorder="1" applyAlignment="1" applyProtection="1">
      <alignment horizontal="left" vertical="top"/>
      <protection locked="0"/>
    </xf>
    <xf numFmtId="0" fontId="48" fillId="0" borderId="2" xfId="0" applyFont="1" applyBorder="1"/>
    <xf numFmtId="0" fontId="0" fillId="0" borderId="29" xfId="0" applyBorder="1"/>
    <xf numFmtId="9" fontId="42" fillId="0" borderId="0" xfId="0" applyNumberFormat="1" applyFont="1" applyBorder="1"/>
    <xf numFmtId="0" fontId="42" fillId="0" borderId="19" xfId="0" applyFont="1" applyBorder="1" applyProtection="1">
      <protection locked="0"/>
    </xf>
    <xf numFmtId="0" fontId="42" fillId="0" borderId="25" xfId="0" applyFont="1" applyBorder="1" applyProtection="1">
      <protection locked="0"/>
    </xf>
    <xf numFmtId="0" fontId="42" fillId="0" borderId="25" xfId="0" applyFont="1" applyBorder="1" applyAlignment="1" applyProtection="1">
      <alignment horizontal="center"/>
      <protection locked="0"/>
    </xf>
    <xf numFmtId="0" fontId="42" fillId="0" borderId="20" xfId="0" applyFont="1" applyFill="1" applyBorder="1" applyAlignment="1" applyProtection="1">
      <alignment horizontal="center"/>
      <protection locked="0"/>
    </xf>
    <xf numFmtId="165" fontId="42" fillId="0" borderId="27" xfId="0" applyNumberFormat="1" applyFont="1" applyBorder="1"/>
    <xf numFmtId="172" fontId="42" fillId="3" borderId="0" xfId="0" applyNumberFormat="1" applyFont="1" applyFill="1" applyBorder="1" applyAlignment="1" applyProtection="1">
      <alignment vertical="top" wrapText="1"/>
      <protection locked="0"/>
    </xf>
    <xf numFmtId="0" fontId="42" fillId="0" borderId="2" xfId="0" applyFont="1" applyBorder="1" applyAlignment="1" applyProtection="1">
      <alignment horizontal="left" vertical="top" wrapText="1" indent="1"/>
      <protection locked="0"/>
    </xf>
    <xf numFmtId="172" fontId="42" fillId="0" borderId="2" xfId="0" applyNumberFormat="1" applyFont="1" applyFill="1" applyBorder="1" applyAlignment="1" applyProtection="1">
      <alignment vertical="top" wrapText="1"/>
      <protection locked="0"/>
    </xf>
    <xf numFmtId="0" fontId="44" fillId="17" borderId="37" xfId="0" applyFont="1" applyFill="1" applyBorder="1" applyAlignment="1" applyProtection="1">
      <alignment horizontal="left" vertical="top"/>
      <protection locked="0"/>
    </xf>
    <xf numFmtId="0" fontId="43" fillId="10" borderId="3" xfId="0" applyFont="1" applyFill="1" applyBorder="1"/>
    <xf numFmtId="0" fontId="43" fillId="10" borderId="3" xfId="0" applyFont="1" applyFill="1" applyBorder="1" applyAlignment="1">
      <alignment horizontal="center" vertical="center" wrapText="1"/>
    </xf>
    <xf numFmtId="0" fontId="44" fillId="10" borderId="3" xfId="0" applyFont="1" applyFill="1" applyBorder="1" applyAlignment="1">
      <alignment horizontal="center" vertical="center" wrapText="1"/>
    </xf>
    <xf numFmtId="172" fontId="43" fillId="0" borderId="3" xfId="0" applyNumberFormat="1" applyFont="1" applyFill="1" applyBorder="1" applyAlignment="1" applyProtection="1">
      <alignment vertical="top" wrapText="1"/>
      <protection locked="0"/>
    </xf>
    <xf numFmtId="0" fontId="41" fillId="0" borderId="0" xfId="0" applyFont="1" applyBorder="1" applyAlignment="1" applyProtection="1">
      <alignment horizontal="left" vertical="center"/>
      <protection locked="0"/>
    </xf>
    <xf numFmtId="0" fontId="24" fillId="0" borderId="0" xfId="0" applyFont="1" applyAlignment="1">
      <alignment horizontal="left"/>
    </xf>
    <xf numFmtId="0" fontId="74" fillId="31" borderId="0" xfId="0" applyFont="1" applyFill="1" applyBorder="1" applyAlignment="1" applyProtection="1">
      <alignment horizontal="center" vertical="top" wrapText="1" readingOrder="1"/>
      <protection locked="0"/>
    </xf>
    <xf numFmtId="0" fontId="42" fillId="10" borderId="0" xfId="0" applyFont="1" applyFill="1" applyAlignment="1">
      <alignment vertical="center" textRotation="90"/>
    </xf>
    <xf numFmtId="0" fontId="74" fillId="31" borderId="38" xfId="0" applyFont="1" applyFill="1" applyBorder="1" applyAlignment="1" applyProtection="1">
      <alignment horizontal="center" vertical="top" wrapText="1" readingOrder="1"/>
      <protection locked="0"/>
    </xf>
    <xf numFmtId="0" fontId="24" fillId="0" borderId="4" xfId="0" applyFont="1" applyBorder="1"/>
    <xf numFmtId="172" fontId="0" fillId="0" borderId="4" xfId="0" applyNumberFormat="1" applyBorder="1"/>
    <xf numFmtId="0" fontId="24" fillId="0" borderId="0" xfId="0" applyFont="1" applyBorder="1"/>
    <xf numFmtId="0" fontId="0" fillId="0" borderId="0" xfId="0" applyBorder="1" applyAlignment="1">
      <alignment horizontal="left" indent="1"/>
    </xf>
    <xf numFmtId="0" fontId="0" fillId="0" borderId="2" xfId="0" applyBorder="1" applyAlignment="1">
      <alignment horizontal="left" indent="1"/>
    </xf>
    <xf numFmtId="172" fontId="0" fillId="0" borderId="2" xfId="0" applyNumberFormat="1" applyBorder="1"/>
    <xf numFmtId="0" fontId="24" fillId="0" borderId="4" xfId="0" applyFont="1" applyBorder="1" applyAlignment="1">
      <alignment horizontal="left"/>
    </xf>
    <xf numFmtId="172" fontId="42" fillId="0" borderId="4" xfId="0" applyNumberFormat="1" applyFont="1" applyBorder="1"/>
    <xf numFmtId="172" fontId="42" fillId="0" borderId="2" xfId="0" applyNumberFormat="1" applyFont="1" applyBorder="1"/>
    <xf numFmtId="0" fontId="42" fillId="0" borderId="0" xfId="0" applyFont="1" applyAlignment="1">
      <alignment horizontal="center" wrapText="1"/>
    </xf>
    <xf numFmtId="0" fontId="42" fillId="0" borderId="0" xfId="0" applyFont="1" applyAlignment="1">
      <alignment horizontal="center" vertical="center" wrapText="1"/>
    </xf>
    <xf numFmtId="0" fontId="0" fillId="10" borderId="4" xfId="0" applyFill="1" applyBorder="1"/>
    <xf numFmtId="0" fontId="0" fillId="10" borderId="0" xfId="0" applyFill="1" applyBorder="1"/>
    <xf numFmtId="0" fontId="42" fillId="10" borderId="0" xfId="0" applyFont="1" applyFill="1" applyBorder="1"/>
    <xf numFmtId="0" fontId="0" fillId="10" borderId="2" xfId="0" applyFill="1" applyBorder="1"/>
    <xf numFmtId="0" fontId="78" fillId="10" borderId="0" xfId="0" applyFont="1" applyFill="1"/>
    <xf numFmtId="172" fontId="42" fillId="10" borderId="0" xfId="0" applyNumberFormat="1" applyFont="1" applyFill="1"/>
    <xf numFmtId="0" fontId="42" fillId="10" borderId="0" xfId="0" applyFont="1" applyFill="1"/>
    <xf numFmtId="0" fontId="78" fillId="10" borderId="0" xfId="0" applyFont="1" applyFill="1" applyBorder="1"/>
    <xf numFmtId="172" fontId="42" fillId="10" borderId="4" xfId="0" applyNumberFormat="1" applyFont="1" applyFill="1" applyBorder="1"/>
    <xf numFmtId="172" fontId="42" fillId="10" borderId="0" xfId="0" applyNumberFormat="1" applyFont="1" applyFill="1" applyBorder="1"/>
    <xf numFmtId="172" fontId="42" fillId="10" borderId="2" xfId="0" applyNumberFormat="1" applyFont="1" applyFill="1" applyBorder="1"/>
    <xf numFmtId="172" fontId="0" fillId="10" borderId="0" xfId="0" applyNumberFormat="1" applyFill="1"/>
    <xf numFmtId="0" fontId="78" fillId="10" borderId="4" xfId="0" applyFont="1" applyFill="1" applyBorder="1"/>
    <xf numFmtId="172" fontId="0" fillId="10" borderId="4" xfId="0" applyNumberFormat="1" applyFill="1" applyBorder="1"/>
    <xf numFmtId="172" fontId="0" fillId="10" borderId="0" xfId="0" applyNumberFormat="1" applyFill="1" applyBorder="1"/>
    <xf numFmtId="0" fontId="78" fillId="10" borderId="2" xfId="0" applyFont="1" applyFill="1" applyBorder="1"/>
    <xf numFmtId="172" fontId="0" fillId="10" borderId="2" xfId="0" applyNumberFormat="1" applyFill="1" applyBorder="1"/>
    <xf numFmtId="0" fontId="42" fillId="0" borderId="26" xfId="0" applyFont="1" applyBorder="1"/>
    <xf numFmtId="0" fontId="42" fillId="0" borderId="21" xfId="0" applyFont="1" applyBorder="1"/>
    <xf numFmtId="9" fontId="42" fillId="0" borderId="22" xfId="2" applyFont="1" applyBorder="1"/>
    <xf numFmtId="0" fontId="42" fillId="0" borderId="23" xfId="0" applyFont="1" applyBorder="1"/>
    <xf numFmtId="0" fontId="0" fillId="0" borderId="24" xfId="0" applyBorder="1"/>
    <xf numFmtId="9" fontId="42" fillId="4" borderId="27" xfId="2" applyFont="1" applyFill="1" applyBorder="1"/>
    <xf numFmtId="172" fontId="0" fillId="0" borderId="11" xfId="0" applyNumberFormat="1" applyBorder="1"/>
    <xf numFmtId="0" fontId="0" fillId="0" borderId="12" xfId="0" applyBorder="1"/>
    <xf numFmtId="0" fontId="0" fillId="0" borderId="13" xfId="0" applyBorder="1"/>
    <xf numFmtId="0" fontId="43" fillId="0" borderId="19" xfId="0" applyFont="1" applyBorder="1"/>
    <xf numFmtId="0" fontId="42" fillId="0" borderId="26" xfId="0" applyFont="1" applyBorder="1" applyAlignment="1">
      <alignment horizontal="left" indent="1"/>
    </xf>
    <xf numFmtId="0" fontId="42" fillId="0" borderId="21" xfId="0" applyFont="1" applyBorder="1" applyAlignment="1">
      <alignment horizontal="left" indent="1"/>
    </xf>
    <xf numFmtId="0" fontId="42" fillId="0" borderId="3" xfId="0" applyFont="1" applyBorder="1" applyAlignment="1">
      <alignment horizontal="center" vertical="center" wrapText="1"/>
    </xf>
    <xf numFmtId="37" fontId="24" fillId="18" borderId="0" xfId="0" applyNumberFormat="1" applyFont="1" applyFill="1" applyBorder="1" applyAlignment="1">
      <alignment horizontal="center" vertical="center"/>
    </xf>
    <xf numFmtId="3" fontId="50" fillId="0" borderId="0" xfId="0" applyNumberFormat="1" applyFont="1"/>
    <xf numFmtId="0" fontId="50" fillId="0" borderId="19" xfId="0" applyFont="1" applyBorder="1"/>
    <xf numFmtId="0" fontId="50" fillId="0" borderId="26" xfId="0" applyFont="1" applyBorder="1"/>
    <xf numFmtId="0" fontId="50" fillId="0" borderId="21" xfId="0" applyFont="1" applyBorder="1"/>
    <xf numFmtId="164" fontId="23" fillId="23" borderId="0" xfId="1" applyNumberFormat="1" applyFont="1" applyFill="1"/>
    <xf numFmtId="0" fontId="0" fillId="23" borderId="0" xfId="0" applyFill="1"/>
    <xf numFmtId="1" fontId="42" fillId="10" borderId="0" xfId="0" applyNumberFormat="1" applyFont="1" applyFill="1" applyBorder="1" applyAlignment="1" applyProtection="1">
      <alignment vertical="top" wrapText="1"/>
      <protection locked="0"/>
    </xf>
    <xf numFmtId="172" fontId="42" fillId="23" borderId="0" xfId="0" applyNumberFormat="1" applyFont="1" applyFill="1" applyBorder="1" applyAlignment="1" applyProtection="1">
      <alignment vertical="top" wrapText="1"/>
      <protection locked="0"/>
    </xf>
    <xf numFmtId="0" fontId="44" fillId="0" borderId="39" xfId="0" applyFont="1" applyBorder="1" applyAlignment="1" applyProtection="1">
      <alignment horizontal="left" vertical="top" indent="1"/>
      <protection locked="0"/>
    </xf>
    <xf numFmtId="172" fontId="42" fillId="0" borderId="3" xfId="0" applyNumberFormat="1" applyFont="1" applyBorder="1"/>
    <xf numFmtId="0" fontId="42" fillId="0" borderId="2" xfId="0" applyFont="1" applyBorder="1" applyAlignment="1">
      <alignment horizontal="center" vertical="center" wrapText="1"/>
    </xf>
    <xf numFmtId="0" fontId="42" fillId="0" borderId="11" xfId="0" applyFont="1" applyBorder="1"/>
    <xf numFmtId="0" fontId="42" fillId="0" borderId="17" xfId="0" applyFont="1" applyBorder="1"/>
    <xf numFmtId="0" fontId="42" fillId="0" borderId="4" xfId="0" applyFont="1" applyBorder="1"/>
    <xf numFmtId="172" fontId="42" fillId="0" borderId="12" xfId="0" applyNumberFormat="1" applyFont="1" applyFill="1" applyBorder="1" applyAlignment="1" applyProtection="1">
      <alignment vertical="top" wrapText="1"/>
      <protection locked="0"/>
    </xf>
    <xf numFmtId="0" fontId="42" fillId="0" borderId="16" xfId="0" applyFont="1" applyBorder="1"/>
    <xf numFmtId="172" fontId="42" fillId="0" borderId="17" xfId="0" applyNumberFormat="1" applyFont="1" applyFill="1" applyBorder="1" applyAlignment="1" applyProtection="1">
      <alignment vertical="top" wrapText="1"/>
      <protection locked="0"/>
    </xf>
    <xf numFmtId="6" fontId="42" fillId="0" borderId="17" xfId="0" applyNumberFormat="1" applyFont="1" applyBorder="1"/>
    <xf numFmtId="9" fontId="42" fillId="0" borderId="17" xfId="0" applyNumberFormat="1" applyFont="1" applyBorder="1"/>
    <xf numFmtId="165" fontId="42" fillId="0" borderId="17" xfId="2" applyNumberFormat="1" applyFont="1" applyBorder="1"/>
    <xf numFmtId="0" fontId="42" fillId="0" borderId="13" xfId="0" applyFont="1" applyBorder="1"/>
    <xf numFmtId="165" fontId="42" fillId="0" borderId="14" xfId="2" applyNumberFormat="1" applyFont="1" applyBorder="1"/>
    <xf numFmtId="164" fontId="23" fillId="34" borderId="3" xfId="144" applyNumberFormat="1" applyFont="1" applyFill="1" applyBorder="1"/>
    <xf numFmtId="164" fontId="47" fillId="34" borderId="3" xfId="0" applyNumberFormat="1" applyFont="1" applyFill="1" applyBorder="1"/>
    <xf numFmtId="164" fontId="80" fillId="0" borderId="0" xfId="0" applyNumberFormat="1" applyFont="1"/>
    <xf numFmtId="0" fontId="68" fillId="0" borderId="2" xfId="0" applyFont="1" applyFill="1" applyBorder="1" applyAlignment="1">
      <alignment horizontal="center" vertical="center" wrapText="1"/>
    </xf>
    <xf numFmtId="164" fontId="5" fillId="0" borderId="2" xfId="0" applyNumberFormat="1" applyFont="1" applyBorder="1"/>
    <xf numFmtId="165" fontId="42" fillId="0" borderId="0" xfId="0" applyNumberFormat="1" applyFont="1"/>
    <xf numFmtId="164" fontId="42" fillId="0" borderId="0" xfId="0" applyNumberFormat="1" applyFont="1" applyFill="1"/>
    <xf numFmtId="165" fontId="42" fillId="0" borderId="0" xfId="0" applyNumberFormat="1" applyFont="1" applyFill="1"/>
    <xf numFmtId="0" fontId="42" fillId="0" borderId="1" xfId="0" applyFont="1" applyBorder="1" applyAlignment="1">
      <alignment horizontal="right"/>
    </xf>
    <xf numFmtId="0" fontId="43" fillId="0" borderId="3" xfId="0" applyFont="1" applyFill="1" applyBorder="1"/>
    <xf numFmtId="0" fontId="43" fillId="0" borderId="3" xfId="0" applyFont="1" applyBorder="1"/>
    <xf numFmtId="164" fontId="43" fillId="0" borderId="3" xfId="0" applyNumberFormat="1" applyFont="1" applyFill="1" applyBorder="1"/>
    <xf numFmtId="164" fontId="5" fillId="0" borderId="2" xfId="0" applyNumberFormat="1" applyFont="1" applyFill="1" applyBorder="1"/>
    <xf numFmtId="37" fontId="24" fillId="20" borderId="0" xfId="0" applyNumberFormat="1" applyFont="1" applyFill="1" applyBorder="1" applyAlignment="1">
      <alignment vertical="center"/>
    </xf>
    <xf numFmtId="0" fontId="30" fillId="0" borderId="0" xfId="0" applyFont="1"/>
    <xf numFmtId="164" fontId="23" fillId="29" borderId="0" xfId="1" applyNumberFormat="1" applyFont="1" applyFill="1" applyBorder="1"/>
    <xf numFmtId="164" fontId="47" fillId="29" borderId="0" xfId="0" applyNumberFormat="1" applyFont="1" applyFill="1" applyBorder="1"/>
    <xf numFmtId="0" fontId="69" fillId="0" borderId="0" xfId="0" applyFont="1" applyFill="1"/>
    <xf numFmtId="0" fontId="23" fillId="0" borderId="2" xfId="0" applyFont="1" applyFill="1" applyBorder="1" applyAlignment="1">
      <alignment horizontal="center" vertical="center" wrapText="1"/>
    </xf>
    <xf numFmtId="166" fontId="0" fillId="0" borderId="0" xfId="0" applyNumberFormat="1" applyFont="1"/>
    <xf numFmtId="0" fontId="43" fillId="3" borderId="0" xfId="0" applyFont="1" applyFill="1"/>
    <xf numFmtId="172" fontId="78" fillId="0" borderId="0" xfId="0" applyNumberFormat="1" applyFont="1" applyBorder="1" applyAlignment="1" applyProtection="1">
      <alignment vertical="top" wrapText="1"/>
      <protection locked="0"/>
    </xf>
    <xf numFmtId="172" fontId="78" fillId="10" borderId="0" xfId="0" applyNumberFormat="1" applyFont="1" applyFill="1" applyBorder="1" applyAlignment="1" applyProtection="1">
      <alignment vertical="top" wrapText="1"/>
      <protection locked="0"/>
    </xf>
    <xf numFmtId="0" fontId="78" fillId="0" borderId="0" xfId="0" applyFont="1" applyBorder="1" applyAlignment="1" applyProtection="1">
      <alignment vertical="top" wrapText="1"/>
      <protection locked="0"/>
    </xf>
    <xf numFmtId="2" fontId="42" fillId="4" borderId="27" xfId="0" applyNumberFormat="1" applyFont="1" applyFill="1" applyBorder="1"/>
    <xf numFmtId="0" fontId="49" fillId="15" borderId="0" xfId="0" applyFont="1" applyFill="1"/>
    <xf numFmtId="164" fontId="49" fillId="15" borderId="0" xfId="1" applyNumberFormat="1" applyFont="1" applyFill="1"/>
    <xf numFmtId="0" fontId="23" fillId="34" borderId="0" xfId="0" applyFont="1" applyFill="1"/>
    <xf numFmtId="164" fontId="23" fillId="34" borderId="0" xfId="1" applyNumberFormat="1" applyFont="1" applyFill="1"/>
    <xf numFmtId="0" fontId="47" fillId="34" borderId="0" xfId="0" applyFont="1" applyFill="1"/>
    <xf numFmtId="0" fontId="24" fillId="0" borderId="3" xfId="0" applyFont="1" applyBorder="1" applyAlignment="1">
      <alignment wrapText="1"/>
    </xf>
    <xf numFmtId="164" fontId="0" fillId="0" borderId="0" xfId="0" applyNumberFormat="1" applyProtection="1">
      <protection locked="0"/>
    </xf>
    <xf numFmtId="0" fontId="82" fillId="0" borderId="0" xfId="0" applyFont="1" applyFill="1"/>
    <xf numFmtId="0" fontId="84" fillId="0" borderId="0" xfId="0" applyFont="1" applyFill="1"/>
    <xf numFmtId="6" fontId="3" fillId="0" borderId="0" xfId="0" applyNumberFormat="1" applyFont="1"/>
    <xf numFmtId="0" fontId="85" fillId="24" borderId="40" xfId="0" applyFont="1" applyFill="1" applyBorder="1" applyAlignment="1"/>
    <xf numFmtId="3" fontId="85" fillId="24" borderId="40" xfId="0" applyNumberFormat="1" applyFont="1" applyFill="1" applyBorder="1" applyAlignment="1">
      <alignment horizontal="center"/>
    </xf>
    <xf numFmtId="165" fontId="86" fillId="24" borderId="40" xfId="0" applyNumberFormat="1" applyFont="1" applyFill="1" applyBorder="1" applyAlignment="1"/>
    <xf numFmtId="0" fontId="85" fillId="24" borderId="32" xfId="0" applyFont="1" applyFill="1" applyBorder="1" applyAlignment="1"/>
    <xf numFmtId="3" fontId="85" fillId="24" borderId="26" xfId="0" applyNumberFormat="1" applyFont="1" applyFill="1" applyBorder="1" applyAlignment="1">
      <alignment horizontal="center"/>
    </xf>
    <xf numFmtId="3" fontId="85" fillId="24" borderId="27" xfId="0" applyNumberFormat="1" applyFont="1" applyFill="1" applyBorder="1" applyAlignment="1">
      <alignment horizontal="center"/>
    </xf>
    <xf numFmtId="3" fontId="85" fillId="24" borderId="32" xfId="0" applyNumberFormat="1" applyFont="1" applyFill="1" applyBorder="1" applyAlignment="1">
      <alignment horizontal="center"/>
    </xf>
    <xf numFmtId="165" fontId="86" fillId="24" borderId="32" xfId="0" applyNumberFormat="1" applyFont="1" applyFill="1" applyBorder="1" applyAlignment="1"/>
    <xf numFmtId="0" fontId="87" fillId="9" borderId="7" xfId="0" applyFont="1" applyFill="1" applyBorder="1" applyAlignment="1"/>
    <xf numFmtId="0" fontId="87" fillId="9" borderId="3" xfId="0" applyFont="1" applyFill="1" applyBorder="1" applyAlignment="1"/>
    <xf numFmtId="3" fontId="88" fillId="9" borderId="9" xfId="0" applyNumberFormat="1" applyFont="1" applyFill="1" applyBorder="1" applyAlignment="1"/>
    <xf numFmtId="165" fontId="7" fillId="9" borderId="9" xfId="2" applyNumberFormat="1" applyFont="1" applyFill="1" applyBorder="1" applyAlignment="1"/>
    <xf numFmtId="3" fontId="87" fillId="9" borderId="7" xfId="0" applyNumberFormat="1" applyFont="1" applyFill="1" applyBorder="1" applyAlignment="1"/>
    <xf numFmtId="164" fontId="87" fillId="9" borderId="42" xfId="1" applyNumberFormat="1" applyFont="1" applyFill="1" applyBorder="1" applyAlignment="1"/>
    <xf numFmtId="0" fontId="89" fillId="35" borderId="0" xfId="0" applyFont="1" applyFill="1" applyBorder="1" applyAlignment="1"/>
    <xf numFmtId="3" fontId="73" fillId="35" borderId="0" xfId="0" applyNumberFormat="1" applyFont="1" applyFill="1" applyBorder="1" applyAlignment="1"/>
    <xf numFmtId="3" fontId="75" fillId="35" borderId="0" xfId="0" applyNumberFormat="1" applyFont="1" applyFill="1" applyBorder="1" applyAlignment="1"/>
    <xf numFmtId="164" fontId="75" fillId="35" borderId="0" xfId="1" applyNumberFormat="1" applyFont="1" applyFill="1" applyBorder="1" applyAlignment="1"/>
    <xf numFmtId="165" fontId="90" fillId="35" borderId="0" xfId="2" applyNumberFormat="1" applyFont="1" applyFill="1" applyBorder="1" applyAlignment="1"/>
    <xf numFmtId="3" fontId="91" fillId="35" borderId="0" xfId="0" applyNumberFormat="1" applyFont="1" applyFill="1" applyBorder="1" applyAlignment="1"/>
    <xf numFmtId="1" fontId="68" fillId="35" borderId="0" xfId="0" applyNumberFormat="1" applyFont="1" applyFill="1" applyBorder="1" applyAlignment="1"/>
    <xf numFmtId="0" fontId="87" fillId="36" borderId="7" xfId="0" applyFont="1" applyFill="1" applyBorder="1" applyAlignment="1"/>
    <xf numFmtId="0" fontId="87" fillId="36" borderId="3" xfId="0" applyFont="1" applyFill="1" applyBorder="1" applyAlignment="1"/>
    <xf numFmtId="0" fontId="87" fillId="36" borderId="9" xfId="0" applyFont="1" applyFill="1" applyBorder="1" applyAlignment="1"/>
    <xf numFmtId="3" fontId="87" fillId="0" borderId="9" xfId="0" applyNumberFormat="1" applyFont="1" applyFill="1" applyBorder="1" applyAlignment="1"/>
    <xf numFmtId="3" fontId="88" fillId="0" borderId="9" xfId="0" applyNumberFormat="1" applyFont="1" applyFill="1" applyBorder="1" applyAlignment="1"/>
    <xf numFmtId="3" fontId="87" fillId="0" borderId="8" xfId="0" applyNumberFormat="1" applyFont="1" applyFill="1" applyBorder="1" applyAlignment="1"/>
    <xf numFmtId="3" fontId="0" fillId="0" borderId="9" xfId="0" applyNumberFormat="1" applyFont="1" applyFill="1" applyBorder="1"/>
    <xf numFmtId="3" fontId="87" fillId="36" borderId="8" xfId="0" applyNumberFormat="1" applyFont="1" applyFill="1" applyBorder="1" applyAlignment="1"/>
    <xf numFmtId="3" fontId="87" fillId="36" borderId="3" xfId="0" applyNumberFormat="1" applyFont="1" applyFill="1" applyBorder="1" applyAlignment="1"/>
    <xf numFmtId="165" fontId="7" fillId="36" borderId="9" xfId="2" applyNumberFormat="1" applyFont="1" applyFill="1" applyBorder="1" applyAlignment="1"/>
    <xf numFmtId="3" fontId="87" fillId="0" borderId="9" xfId="2" applyNumberFormat="1" applyFont="1" applyFill="1" applyBorder="1" applyAlignment="1"/>
    <xf numFmtId="3" fontId="87" fillId="0" borderId="7" xfId="0" applyNumberFormat="1" applyFont="1" applyFill="1" applyBorder="1" applyAlignment="1"/>
    <xf numFmtId="0" fontId="87" fillId="37" borderId="7" xfId="0" applyFont="1" applyFill="1" applyBorder="1" applyAlignment="1"/>
    <xf numFmtId="0" fontId="87" fillId="37" borderId="3" xfId="0" applyFont="1" applyFill="1" applyBorder="1" applyAlignment="1"/>
    <xf numFmtId="0" fontId="87" fillId="37" borderId="9" xfId="0" applyFont="1" applyFill="1" applyBorder="1" applyAlignment="1"/>
    <xf numFmtId="3" fontId="75" fillId="37" borderId="9" xfId="0" applyNumberFormat="1" applyFont="1" applyFill="1" applyBorder="1" applyAlignment="1"/>
    <xf numFmtId="165" fontId="75" fillId="37" borderId="9" xfId="2" applyNumberFormat="1" applyFont="1" applyFill="1" applyBorder="1" applyAlignment="1"/>
    <xf numFmtId="3" fontId="75" fillId="37" borderId="9" xfId="2" applyNumberFormat="1" applyFont="1" applyFill="1" applyBorder="1" applyAlignment="1"/>
    <xf numFmtId="3" fontId="91" fillId="37" borderId="9" xfId="0" applyNumberFormat="1" applyFont="1" applyFill="1" applyBorder="1" applyAlignment="1"/>
    <xf numFmtId="3" fontId="75" fillId="37" borderId="42" xfId="0" applyNumberFormat="1" applyFont="1" applyFill="1" applyBorder="1" applyAlignment="1"/>
    <xf numFmtId="0" fontId="87" fillId="29" borderId="7" xfId="0" applyFont="1" applyFill="1" applyBorder="1" applyAlignment="1"/>
    <xf numFmtId="0" fontId="87" fillId="29" borderId="3" xfId="0" applyFont="1" applyFill="1" applyBorder="1" applyAlignment="1"/>
    <xf numFmtId="0" fontId="87" fillId="29" borderId="9" xfId="0" applyFont="1" applyFill="1" applyBorder="1" applyAlignment="1"/>
    <xf numFmtId="3" fontId="87" fillId="29" borderId="9" xfId="0" applyNumberFormat="1" applyFont="1" applyFill="1" applyBorder="1" applyAlignment="1"/>
    <xf numFmtId="10" fontId="7" fillId="29" borderId="9" xfId="0" applyNumberFormat="1" applyFont="1" applyFill="1" applyBorder="1" applyAlignment="1"/>
    <xf numFmtId="3" fontId="87" fillId="29" borderId="42" xfId="0" applyNumberFormat="1" applyFont="1" applyFill="1" applyBorder="1" applyAlignment="1"/>
    <xf numFmtId="0" fontId="87" fillId="19" borderId="7" xfId="0" applyFont="1" applyFill="1" applyBorder="1" applyAlignment="1"/>
    <xf numFmtId="0" fontId="87" fillId="19" borderId="3" xfId="0" applyFont="1" applyFill="1" applyBorder="1" applyAlignment="1"/>
    <xf numFmtId="3" fontId="87" fillId="19" borderId="9" xfId="0" applyNumberFormat="1" applyFont="1" applyFill="1" applyBorder="1" applyAlignment="1"/>
    <xf numFmtId="165" fontId="7" fillId="19" borderId="9" xfId="2" applyNumberFormat="1" applyFont="1" applyFill="1" applyBorder="1" applyAlignment="1"/>
    <xf numFmtId="3" fontId="87" fillId="19" borderId="42" xfId="0" applyNumberFormat="1" applyFont="1" applyFill="1" applyBorder="1" applyAlignment="1"/>
    <xf numFmtId="0" fontId="78" fillId="0" borderId="0" xfId="0" applyFont="1" applyAlignment="1"/>
    <xf numFmtId="0" fontId="42" fillId="0" borderId="0" xfId="0" applyFont="1" applyAlignment="1"/>
    <xf numFmtId="0" fontId="87" fillId="38" borderId="7" xfId="0" applyFont="1" applyFill="1" applyBorder="1" applyAlignment="1"/>
    <xf numFmtId="0" fontId="87" fillId="38" borderId="3" xfId="0" applyFont="1" applyFill="1" applyBorder="1" applyAlignment="1"/>
    <xf numFmtId="0" fontId="87" fillId="38" borderId="9" xfId="0" applyFont="1" applyFill="1" applyBorder="1" applyAlignment="1"/>
    <xf numFmtId="3" fontId="87" fillId="38" borderId="7" xfId="0" applyNumberFormat="1" applyFont="1" applyFill="1" applyBorder="1" applyAlignment="1"/>
    <xf numFmtId="165" fontId="7" fillId="38" borderId="18" xfId="2" applyNumberFormat="1" applyFont="1" applyFill="1" applyBorder="1" applyAlignment="1"/>
    <xf numFmtId="3" fontId="87" fillId="38" borderId="42" xfId="0" applyNumberFormat="1" applyFont="1" applyFill="1" applyBorder="1" applyAlignment="1"/>
    <xf numFmtId="0" fontId="92" fillId="0" borderId="0" xfId="0" applyFont="1" applyFill="1" applyBorder="1" applyAlignment="1"/>
    <xf numFmtId="3" fontId="89" fillId="0" borderId="4" xfId="0" applyNumberFormat="1" applyFont="1" applyFill="1" applyBorder="1" applyAlignment="1"/>
    <xf numFmtId="165" fontId="93" fillId="0" borderId="4" xfId="2" applyNumberFormat="1" applyFont="1" applyFill="1" applyBorder="1" applyAlignment="1"/>
    <xf numFmtId="0" fontId="87" fillId="39" borderId="13" xfId="0" applyFont="1" applyFill="1" applyBorder="1" applyAlignment="1"/>
    <xf numFmtId="0" fontId="87" fillId="39" borderId="2" xfId="0" applyFont="1" applyFill="1" applyBorder="1" applyAlignment="1"/>
    <xf numFmtId="0" fontId="87" fillId="39" borderId="7" xfId="0" applyFont="1" applyFill="1" applyBorder="1" applyAlignment="1"/>
    <xf numFmtId="3" fontId="91" fillId="39" borderId="9" xfId="0" applyNumberFormat="1" applyFont="1" applyFill="1" applyBorder="1" applyAlignment="1"/>
    <xf numFmtId="3" fontId="88" fillId="39" borderId="9" xfId="0" applyNumberFormat="1" applyFont="1" applyFill="1" applyBorder="1" applyAlignment="1"/>
    <xf numFmtId="165" fontId="87" fillId="39" borderId="9" xfId="2" applyNumberFormat="1" applyFont="1" applyFill="1" applyBorder="1" applyAlignment="1"/>
    <xf numFmtId="3" fontId="88" fillId="39" borderId="42" xfId="0" applyNumberFormat="1" applyFont="1" applyFill="1" applyBorder="1" applyAlignment="1"/>
    <xf numFmtId="0" fontId="87" fillId="22" borderId="7" xfId="0" applyFont="1" applyFill="1" applyBorder="1" applyAlignment="1"/>
    <xf numFmtId="0" fontId="87" fillId="22" borderId="3" xfId="0" applyFont="1" applyFill="1" applyBorder="1" applyAlignment="1"/>
    <xf numFmtId="0" fontId="87" fillId="22" borderId="9" xfId="0" applyFont="1" applyFill="1" applyBorder="1" applyAlignment="1"/>
    <xf numFmtId="3" fontId="87" fillId="22" borderId="18" xfId="0" applyNumberFormat="1" applyFont="1" applyFill="1" applyBorder="1" applyAlignment="1"/>
    <xf numFmtId="165" fontId="7" fillId="22" borderId="9" xfId="2" applyNumberFormat="1" applyFont="1" applyFill="1" applyBorder="1" applyAlignment="1"/>
    <xf numFmtId="0" fontId="87" fillId="40" borderId="7" xfId="0" applyFont="1" applyFill="1" applyBorder="1" applyAlignment="1"/>
    <xf numFmtId="0" fontId="87" fillId="40" borderId="3" xfId="0" applyFont="1" applyFill="1" applyBorder="1" applyAlignment="1"/>
    <xf numFmtId="0" fontId="87" fillId="40" borderId="9" xfId="0" applyFont="1" applyFill="1" applyBorder="1" applyAlignment="1"/>
    <xf numFmtId="3" fontId="87" fillId="40" borderId="8" xfId="0" applyNumberFormat="1" applyFont="1" applyFill="1" applyBorder="1" applyAlignment="1"/>
    <xf numFmtId="3" fontId="87" fillId="40" borderId="3" xfId="0" applyNumberFormat="1" applyFont="1" applyFill="1" applyBorder="1" applyAlignment="1"/>
    <xf numFmtId="165" fontId="7" fillId="40" borderId="9" xfId="2" applyNumberFormat="1" applyFont="1" applyFill="1" applyBorder="1" applyAlignment="1"/>
    <xf numFmtId="0" fontId="11" fillId="21" borderId="7" xfId="0" applyFont="1" applyFill="1" applyBorder="1" applyAlignment="1"/>
    <xf numFmtId="0" fontId="11" fillId="21" borderId="3" xfId="0" applyFont="1" applyFill="1" applyBorder="1" applyAlignment="1"/>
    <xf numFmtId="0" fontId="87" fillId="21" borderId="9" xfId="0" applyFont="1" applyFill="1" applyBorder="1" applyAlignment="1">
      <alignment horizontal="left"/>
    </xf>
    <xf numFmtId="3" fontId="89" fillId="21" borderId="7" xfId="0" applyNumberFormat="1" applyFont="1" applyFill="1" applyBorder="1" applyAlignment="1"/>
    <xf numFmtId="3" fontId="87" fillId="21" borderId="7" xfId="0" applyNumberFormat="1" applyFont="1" applyFill="1" applyBorder="1" applyAlignment="1"/>
    <xf numFmtId="165" fontId="87" fillId="21" borderId="7" xfId="2" applyNumberFormat="1" applyFont="1" applyFill="1" applyBorder="1" applyAlignment="1"/>
    <xf numFmtId="3" fontId="87" fillId="21" borderId="3" xfId="0" applyNumberFormat="1" applyFont="1" applyFill="1" applyBorder="1" applyAlignment="1"/>
    <xf numFmtId="0" fontId="87" fillId="41" borderId="7" xfId="0" applyFont="1" applyFill="1" applyBorder="1" applyAlignment="1"/>
    <xf numFmtId="0" fontId="87" fillId="41" borderId="3" xfId="0" applyFont="1" applyFill="1" applyBorder="1" applyAlignment="1"/>
    <xf numFmtId="0" fontId="87" fillId="41" borderId="9" xfId="0" applyFont="1" applyFill="1" applyBorder="1" applyAlignment="1"/>
    <xf numFmtId="3" fontId="89" fillId="0" borderId="9" xfId="0" applyNumberFormat="1" applyFont="1" applyFill="1" applyBorder="1" applyAlignment="1"/>
    <xf numFmtId="3" fontId="91" fillId="0" borderId="9" xfId="0" applyNumberFormat="1" applyFont="1" applyFill="1" applyBorder="1" applyAlignment="1"/>
    <xf numFmtId="3" fontId="89" fillId="0" borderId="8" xfId="0" applyNumberFormat="1" applyFont="1" applyFill="1" applyBorder="1" applyAlignment="1"/>
    <xf numFmtId="3" fontId="89" fillId="41" borderId="8" xfId="0" applyNumberFormat="1" applyFont="1" applyFill="1" applyBorder="1" applyAlignment="1"/>
    <xf numFmtId="3" fontId="89" fillId="41" borderId="3" xfId="0" applyNumberFormat="1" applyFont="1" applyFill="1" applyBorder="1" applyAlignment="1"/>
    <xf numFmtId="165" fontId="93" fillId="41" borderId="9" xfId="2" applyNumberFormat="1" applyFont="1" applyFill="1" applyBorder="1" applyAlignment="1"/>
    <xf numFmtId="3" fontId="89" fillId="0" borderId="9" xfId="2" applyNumberFormat="1" applyFont="1" applyFill="1" applyBorder="1" applyAlignment="1"/>
    <xf numFmtId="3" fontId="89" fillId="0" borderId="7" xfId="0" applyNumberFormat="1" applyFont="1" applyFill="1" applyBorder="1" applyAlignment="1"/>
    <xf numFmtId="3" fontId="42" fillId="0" borderId="0" xfId="0" applyNumberFormat="1" applyFont="1" applyAlignment="1"/>
    <xf numFmtId="0" fontId="94" fillId="24" borderId="9" xfId="0" applyFont="1" applyFill="1" applyBorder="1" applyAlignment="1"/>
    <xf numFmtId="3" fontId="94" fillId="24" borderId="7" xfId="0" applyNumberFormat="1" applyFont="1" applyFill="1" applyBorder="1" applyAlignment="1"/>
    <xf numFmtId="165" fontId="7" fillId="24" borderId="0" xfId="2" applyNumberFormat="1" applyFont="1" applyFill="1" applyBorder="1" applyAlignment="1"/>
    <xf numFmtId="3" fontId="94" fillId="24" borderId="3" xfId="0" applyNumberFormat="1" applyFont="1" applyFill="1" applyBorder="1" applyAlignment="1"/>
    <xf numFmtId="0" fontId="89" fillId="0" borderId="4" xfId="0" applyFont="1" applyFill="1" applyBorder="1" applyAlignment="1"/>
    <xf numFmtId="10" fontId="93" fillId="0" borderId="0" xfId="0" applyNumberFormat="1" applyFont="1" applyFill="1" applyBorder="1" applyAlignment="1"/>
    <xf numFmtId="0" fontId="89" fillId="0" borderId="0" xfId="0" applyFont="1" applyFill="1" applyBorder="1" applyAlignment="1"/>
    <xf numFmtId="3" fontId="89" fillId="0" borderId="0" xfId="0" applyNumberFormat="1" applyFont="1" applyFill="1" applyBorder="1" applyAlignment="1"/>
    <xf numFmtId="9" fontId="89" fillId="0" borderId="0" xfId="2" applyFont="1" applyFill="1" applyBorder="1" applyAlignment="1"/>
    <xf numFmtId="0" fontId="95" fillId="0" borderId="0" xfId="0" applyFont="1" applyAlignment="1"/>
    <xf numFmtId="4" fontId="42" fillId="0" borderId="0" xfId="0" applyNumberFormat="1" applyFont="1" applyAlignment="1"/>
    <xf numFmtId="0" fontId="42" fillId="0" borderId="0" xfId="0" applyFont="1" applyBorder="1" applyAlignment="1"/>
    <xf numFmtId="3" fontId="68" fillId="0" borderId="0" xfId="0" applyNumberFormat="1" applyFont="1" applyFill="1" applyBorder="1" applyAlignment="1"/>
    <xf numFmtId="3" fontId="96" fillId="0" borderId="0" xfId="0" applyNumberFormat="1" applyFont="1" applyFill="1" applyBorder="1" applyAlignment="1"/>
    <xf numFmtId="9" fontId="42" fillId="0" borderId="0" xfId="2" applyFont="1" applyAlignment="1"/>
    <xf numFmtId="43" fontId="97" fillId="0" borderId="0" xfId="1" applyNumberFormat="1" applyFont="1" applyFill="1"/>
    <xf numFmtId="43" fontId="97" fillId="15" borderId="0" xfId="1" applyNumberFormat="1" applyFont="1" applyFill="1"/>
    <xf numFmtId="43" fontId="60" fillId="0" borderId="0" xfId="0" applyNumberFormat="1" applyFont="1" applyFill="1"/>
    <xf numFmtId="43" fontId="97" fillId="7" borderId="0" xfId="1" applyNumberFormat="1" applyFont="1" applyFill="1"/>
    <xf numFmtId="43" fontId="24" fillId="34" borderId="0" xfId="1" applyNumberFormat="1" applyFont="1" applyFill="1"/>
    <xf numFmtId="43" fontId="60" fillId="0" borderId="0" xfId="0" applyNumberFormat="1" applyFont="1"/>
    <xf numFmtId="43" fontId="24" fillId="0" borderId="0" xfId="1" applyNumberFormat="1" applyFont="1" applyFill="1"/>
    <xf numFmtId="164" fontId="49" fillId="0" borderId="0" xfId="0" applyNumberFormat="1" applyFont="1"/>
    <xf numFmtId="164" fontId="47" fillId="5" borderId="0" xfId="1" applyNumberFormat="1" applyFont="1" applyFill="1" applyBorder="1"/>
    <xf numFmtId="164" fontId="47" fillId="0" borderId="0" xfId="1" applyNumberFormat="1" applyFont="1" applyFill="1" applyBorder="1"/>
    <xf numFmtId="164" fontId="47" fillId="7" borderId="0" xfId="1" applyNumberFormat="1" applyFont="1" applyFill="1" applyBorder="1"/>
    <xf numFmtId="164" fontId="47" fillId="0" borderId="0" xfId="1" applyNumberFormat="1" applyFont="1" applyFill="1" applyBorder="1" applyAlignment="1">
      <alignment horizontal="left" indent="1"/>
    </xf>
    <xf numFmtId="164" fontId="69" fillId="30" borderId="0" xfId="1" applyNumberFormat="1" applyFont="1" applyFill="1" applyBorder="1"/>
    <xf numFmtId="172" fontId="0" fillId="0" borderId="0" xfId="0" applyNumberFormat="1" applyFill="1"/>
    <xf numFmtId="0" fontId="4" fillId="0" borderId="1" xfId="0" applyFont="1" applyBorder="1" applyAlignment="1" applyProtection="1">
      <alignment horizontal="center" vertical="center"/>
      <protection locked="0"/>
    </xf>
    <xf numFmtId="43" fontId="40" fillId="0" borderId="0" xfId="1" applyNumberFormat="1" applyFont="1" applyFill="1" applyProtection="1">
      <protection locked="0"/>
    </xf>
    <xf numFmtId="43" fontId="40" fillId="7" borderId="0" xfId="1" applyNumberFormat="1" applyFont="1" applyFill="1" applyProtection="1">
      <protection locked="0"/>
    </xf>
    <xf numFmtId="0" fontId="47" fillId="0" borderId="5" xfId="0" applyFont="1" applyFill="1" applyBorder="1"/>
    <xf numFmtId="43" fontId="40" fillId="0" borderId="5" xfId="1" applyNumberFormat="1" applyFont="1" applyFill="1" applyBorder="1" applyProtection="1">
      <protection locked="0"/>
    </xf>
    <xf numFmtId="0" fontId="42" fillId="0" borderId="3" xfId="0" applyFont="1" applyFill="1" applyBorder="1" applyAlignment="1">
      <alignment horizontal="center" wrapText="1"/>
    </xf>
    <xf numFmtId="9" fontId="3" fillId="20" borderId="24" xfId="0" applyNumberFormat="1" applyFont="1" applyFill="1" applyBorder="1"/>
    <xf numFmtId="41" fontId="42" fillId="0" borderId="0" xfId="0" applyNumberFormat="1" applyFont="1" applyBorder="1"/>
    <xf numFmtId="164" fontId="41" fillId="0" borderId="0" xfId="0" applyNumberFormat="1" applyFont="1" applyBorder="1"/>
    <xf numFmtId="164" fontId="44" fillId="0" borderId="0" xfId="0" applyNumberFormat="1" applyFont="1" applyBorder="1"/>
    <xf numFmtId="164" fontId="23" fillId="29" borderId="3" xfId="1" applyNumberFormat="1" applyFont="1" applyFill="1" applyBorder="1"/>
    <xf numFmtId="0" fontId="30" fillId="0" borderId="23" xfId="0" applyFont="1" applyFill="1" applyBorder="1" applyAlignment="1"/>
    <xf numFmtId="0" fontId="30" fillId="0" borderId="29" xfId="0" applyFont="1" applyFill="1" applyBorder="1" applyAlignment="1"/>
    <xf numFmtId="165" fontId="30" fillId="8" borderId="24" xfId="0" applyNumberFormat="1" applyFont="1" applyFill="1" applyBorder="1" applyAlignment="1"/>
    <xf numFmtId="164" fontId="23" fillId="2" borderId="0" xfId="1" applyNumberFormat="1" applyFont="1" applyFill="1"/>
    <xf numFmtId="0" fontId="5" fillId="0" borderId="0" xfId="0" applyFont="1" applyBorder="1" applyAlignment="1" applyProtection="1">
      <protection locked="0"/>
    </xf>
    <xf numFmtId="0" fontId="5" fillId="0" borderId="0" xfId="0" applyFont="1" applyFill="1" applyBorder="1" applyAlignment="1" applyProtection="1">
      <protection locked="0"/>
    </xf>
    <xf numFmtId="164" fontId="5" fillId="0" borderId="0" xfId="1" applyNumberFormat="1" applyFont="1" applyBorder="1" applyAlignment="1" applyProtection="1">
      <alignment vertical="center"/>
      <protection locked="0"/>
    </xf>
    <xf numFmtId="0" fontId="5" fillId="0" borderId="1" xfId="0" applyFont="1" applyBorder="1" applyAlignment="1" applyProtection="1">
      <protection locked="0"/>
    </xf>
    <xf numFmtId="165" fontId="5" fillId="0" borderId="1" xfId="2" applyNumberFormat="1" applyFont="1" applyBorder="1" applyAlignment="1" applyProtection="1">
      <alignment vertical="center"/>
      <protection locked="0"/>
    </xf>
    <xf numFmtId="0" fontId="5" fillId="0" borderId="1" xfId="0" applyFont="1" applyBorder="1" applyAlignment="1" applyProtection="1">
      <alignment horizontal="center"/>
      <protection locked="0"/>
    </xf>
    <xf numFmtId="164" fontId="4" fillId="0" borderId="3" xfId="0" applyNumberFormat="1" applyFont="1" applyBorder="1"/>
    <xf numFmtId="165" fontId="4" fillId="0" borderId="3" xfId="2" applyNumberFormat="1" applyFont="1" applyBorder="1"/>
    <xf numFmtId="164" fontId="5" fillId="0" borderId="0" xfId="1" applyNumberFormat="1" applyFont="1" applyBorder="1" applyProtection="1">
      <protection locked="0"/>
    </xf>
    <xf numFmtId="165" fontId="5" fillId="0" borderId="0" xfId="2" applyNumberFormat="1" applyFont="1" applyBorder="1" applyAlignment="1" applyProtection="1">
      <alignment horizontal="right" vertical="center"/>
      <protection locked="0"/>
    </xf>
    <xf numFmtId="0" fontId="5" fillId="0" borderId="0" xfId="0" applyFont="1" applyBorder="1"/>
    <xf numFmtId="165" fontId="5" fillId="0" borderId="0" xfId="2" applyNumberFormat="1" applyFont="1" applyBorder="1" applyAlignment="1" applyProtection="1">
      <alignment horizontal="center" vertical="center"/>
      <protection locked="0"/>
    </xf>
    <xf numFmtId="1" fontId="5" fillId="0" borderId="0" xfId="0" applyNumberFormat="1" applyFont="1" applyProtection="1">
      <protection locked="0"/>
    </xf>
    <xf numFmtId="1" fontId="5" fillId="0" borderId="0" xfId="0" applyNumberFormat="1" applyFont="1"/>
    <xf numFmtId="0" fontId="5" fillId="0" borderId="3" xfId="0" applyFont="1" applyBorder="1" applyProtection="1">
      <protection locked="0"/>
    </xf>
    <xf numFmtId="164" fontId="5" fillId="0" borderId="3" xfId="0" applyNumberFormat="1" applyFont="1" applyBorder="1" applyProtection="1">
      <protection locked="0"/>
    </xf>
    <xf numFmtId="165" fontId="5" fillId="0" borderId="3" xfId="2" applyNumberFormat="1" applyFont="1" applyBorder="1" applyAlignment="1" applyProtection="1">
      <alignment horizontal="right"/>
      <protection locked="0"/>
    </xf>
    <xf numFmtId="0" fontId="5" fillId="0" borderId="4" xfId="0" applyFont="1" applyBorder="1" applyProtection="1">
      <protection locked="0"/>
    </xf>
    <xf numFmtId="0" fontId="5" fillId="0" borderId="4" xfId="0" applyFont="1" applyBorder="1"/>
    <xf numFmtId="165" fontId="5" fillId="0" borderId="4" xfId="2" applyNumberFormat="1" applyFont="1" applyBorder="1"/>
    <xf numFmtId="165" fontId="5" fillId="0" borderId="0" xfId="2" applyNumberFormat="1" applyFont="1" applyBorder="1"/>
    <xf numFmtId="0" fontId="5" fillId="0" borderId="2" xfId="0" applyFont="1" applyFill="1" applyBorder="1" applyAlignment="1" applyProtection="1">
      <protection locked="0"/>
    </xf>
    <xf numFmtId="0" fontId="5" fillId="0" borderId="2" xfId="0" applyFont="1" applyBorder="1"/>
    <xf numFmtId="165" fontId="5" fillId="0" borderId="2" xfId="2" applyNumberFormat="1" applyFont="1" applyBorder="1"/>
    <xf numFmtId="0" fontId="5" fillId="0" borderId="2" xfId="0" applyFont="1" applyBorder="1" applyProtection="1">
      <protection locked="0"/>
    </xf>
    <xf numFmtId="1" fontId="5" fillId="0" borderId="2" xfId="0" applyNumberFormat="1" applyFont="1" applyBorder="1" applyProtection="1">
      <protection locked="0"/>
    </xf>
    <xf numFmtId="165" fontId="5" fillId="0" borderId="2" xfId="2" applyNumberFormat="1" applyFont="1" applyBorder="1" applyProtection="1">
      <protection locked="0"/>
    </xf>
    <xf numFmtId="0" fontId="3" fillId="10" borderId="0" xfId="0" applyFont="1" applyFill="1"/>
    <xf numFmtId="0" fontId="5" fillId="10" borderId="0" xfId="0" applyFont="1" applyFill="1" applyBorder="1" applyProtection="1">
      <protection locked="0"/>
    </xf>
    <xf numFmtId="0" fontId="5" fillId="10" borderId="0" xfId="0" applyFont="1" applyFill="1" applyProtection="1">
      <protection locked="0"/>
    </xf>
    <xf numFmtId="0" fontId="5" fillId="10" borderId="0" xfId="0" applyFont="1" applyFill="1"/>
    <xf numFmtId="0" fontId="4" fillId="10" borderId="0" xfId="0" applyFont="1" applyFill="1" applyBorder="1" applyProtection="1">
      <protection locked="0"/>
    </xf>
    <xf numFmtId="0" fontId="5" fillId="0" borderId="0" xfId="0" applyFont="1" applyBorder="1" applyAlignment="1" applyProtection="1">
      <alignment horizontal="left" indent="1"/>
      <protection locked="0"/>
    </xf>
    <xf numFmtId="0" fontId="5" fillId="0" borderId="0" xfId="0" applyFont="1" applyFill="1" applyBorder="1" applyAlignment="1" applyProtection="1">
      <alignment horizontal="left" indent="1"/>
      <protection locked="0"/>
    </xf>
    <xf numFmtId="165" fontId="42" fillId="0" borderId="0" xfId="2" applyNumberFormat="1" applyFont="1" applyFill="1" applyBorder="1" applyAlignment="1" applyProtection="1">
      <alignment vertical="top" wrapText="1"/>
      <protection locked="0"/>
    </xf>
    <xf numFmtId="165" fontId="42" fillId="0" borderId="0" xfId="0" applyNumberFormat="1" applyFont="1" applyFill="1" applyBorder="1"/>
    <xf numFmtId="164" fontId="4" fillId="0" borderId="3" xfId="1" applyNumberFormat="1" applyFont="1" applyBorder="1" applyAlignment="1" applyProtection="1">
      <alignment vertical="center"/>
      <protection locked="0"/>
    </xf>
    <xf numFmtId="165" fontId="4" fillId="0" borderId="3" xfId="2" applyNumberFormat="1" applyFont="1" applyBorder="1" applyProtection="1">
      <protection locked="0"/>
    </xf>
    <xf numFmtId="0" fontId="5" fillId="0" borderId="4" xfId="0" applyFont="1" applyFill="1" applyBorder="1" applyAlignment="1" applyProtection="1">
      <protection locked="0"/>
    </xf>
    <xf numFmtId="164" fontId="5" fillId="0" borderId="4" xfId="0" applyNumberFormat="1" applyFont="1" applyBorder="1"/>
    <xf numFmtId="165" fontId="5" fillId="0" borderId="4" xfId="2" applyNumberFormat="1" applyFont="1" applyBorder="1" applyProtection="1">
      <protection locked="0"/>
    </xf>
    <xf numFmtId="164" fontId="5" fillId="0" borderId="0" xfId="0" applyNumberFormat="1" applyFont="1" applyBorder="1"/>
    <xf numFmtId="165" fontId="5" fillId="0" borderId="0" xfId="2" applyNumberFormat="1" applyFont="1" applyBorder="1" applyProtection="1">
      <protection locked="0"/>
    </xf>
    <xf numFmtId="165" fontId="0" fillId="0" borderId="4" xfId="0" applyNumberFormat="1" applyBorder="1"/>
    <xf numFmtId="165" fontId="0" fillId="0" borderId="2" xfId="0" applyNumberFormat="1" applyBorder="1"/>
    <xf numFmtId="0" fontId="30" fillId="20" borderId="23" xfId="0" applyFont="1" applyFill="1" applyBorder="1" applyAlignment="1"/>
    <xf numFmtId="0" fontId="30" fillId="20" borderId="29" xfId="0" applyFont="1" applyFill="1" applyBorder="1" applyAlignment="1"/>
    <xf numFmtId="0" fontId="30" fillId="20" borderId="24" xfId="0" applyFont="1" applyFill="1" applyBorder="1" applyAlignment="1"/>
    <xf numFmtId="173" fontId="42" fillId="0" borderId="0" xfId="0" applyNumberFormat="1" applyFont="1" applyBorder="1" applyAlignment="1" applyProtection="1">
      <alignment vertical="top" wrapText="1"/>
      <protection locked="0"/>
    </xf>
    <xf numFmtId="173" fontId="42" fillId="10" borderId="0" xfId="0" applyNumberFormat="1" applyFont="1" applyFill="1" applyBorder="1" applyAlignment="1" applyProtection="1">
      <alignment vertical="top" wrapText="1"/>
      <protection locked="0"/>
    </xf>
    <xf numFmtId="0" fontId="44" fillId="7" borderId="0" xfId="0" applyFont="1" applyFill="1" applyAlignment="1" applyProtection="1">
      <alignment horizontal="left" vertical="top" indent="1"/>
      <protection locked="0"/>
    </xf>
    <xf numFmtId="173" fontId="42" fillId="7" borderId="0" xfId="0" applyNumberFormat="1" applyFont="1" applyFill="1" applyBorder="1" applyAlignment="1" applyProtection="1">
      <alignment vertical="top" wrapText="1"/>
      <protection locked="0"/>
    </xf>
    <xf numFmtId="0" fontId="44" fillId="7" borderId="5" xfId="0" applyFont="1" applyFill="1" applyBorder="1" applyAlignment="1" applyProtection="1">
      <alignment horizontal="left" vertical="top" indent="1"/>
      <protection locked="0"/>
    </xf>
    <xf numFmtId="173" fontId="42" fillId="7" borderId="5" xfId="0" applyNumberFormat="1" applyFont="1" applyFill="1" applyBorder="1" applyAlignment="1" applyProtection="1">
      <alignment vertical="top" wrapText="1"/>
      <protection locked="0"/>
    </xf>
    <xf numFmtId="0" fontId="0" fillId="0" borderId="0" xfId="0" applyFont="1" applyFill="1"/>
    <xf numFmtId="164" fontId="5" fillId="0" borderId="0" xfId="1" applyNumberFormat="1" applyFont="1"/>
    <xf numFmtId="0" fontId="3" fillId="0" borderId="3" xfId="0" applyFont="1" applyBorder="1" applyAlignment="1">
      <alignment horizontal="center"/>
    </xf>
    <xf numFmtId="0" fontId="5" fillId="0" borderId="5" xfId="0" applyFont="1" applyBorder="1"/>
    <xf numFmtId="0" fontId="3" fillId="19" borderId="6" xfId="0" applyFont="1" applyFill="1" applyBorder="1" applyAlignment="1" applyProtection="1">
      <alignment horizontal="center" vertical="center"/>
      <protection locked="0"/>
    </xf>
    <xf numFmtId="165" fontId="42" fillId="0" borderId="0" xfId="2" applyNumberFormat="1" applyFont="1" applyBorder="1" applyAlignment="1" applyProtection="1">
      <alignment vertical="top" wrapText="1"/>
      <protection locked="0"/>
    </xf>
    <xf numFmtId="9" fontId="0" fillId="0" borderId="0" xfId="2" applyFont="1"/>
    <xf numFmtId="174" fontId="5" fillId="0" borderId="0" xfId="0" applyNumberFormat="1" applyFont="1"/>
    <xf numFmtId="15" fontId="0" fillId="0" borderId="0" xfId="0" applyNumberFormat="1" applyAlignment="1" applyProtection="1">
      <alignment horizontal="center" vertical="center"/>
      <protection locked="0"/>
    </xf>
    <xf numFmtId="165" fontId="0" fillId="0" borderId="0" xfId="2" applyNumberFormat="1" applyFont="1" applyBorder="1" applyProtection="1">
      <protection locked="0"/>
    </xf>
    <xf numFmtId="0" fontId="0" fillId="0" borderId="19" xfId="0" applyFont="1" applyBorder="1" applyProtection="1">
      <protection locked="0"/>
    </xf>
    <xf numFmtId="0" fontId="0" fillId="0" borderId="25" xfId="0" applyFont="1" applyBorder="1" applyProtection="1">
      <protection locked="0"/>
    </xf>
    <xf numFmtId="0" fontId="0" fillId="0" borderId="26" xfId="0" applyFont="1" applyBorder="1" applyProtection="1">
      <protection locked="0"/>
    </xf>
    <xf numFmtId="0" fontId="0" fillId="0" borderId="0" xfId="0" applyFont="1" applyBorder="1" applyProtection="1">
      <protection locked="0"/>
    </xf>
    <xf numFmtId="0" fontId="0" fillId="0" borderId="21" xfId="0" applyFont="1" applyBorder="1" applyProtection="1">
      <protection locked="0"/>
    </xf>
    <xf numFmtId="0" fontId="0" fillId="0" borderId="28" xfId="0" applyFont="1" applyBorder="1" applyProtection="1">
      <protection locked="0"/>
    </xf>
    <xf numFmtId="0" fontId="3" fillId="10" borderId="0" xfId="0" applyFont="1" applyFill="1" applyProtection="1">
      <protection locked="0"/>
    </xf>
    <xf numFmtId="165" fontId="0" fillId="0" borderId="25" xfId="2" applyNumberFormat="1" applyFont="1" applyBorder="1" applyProtection="1">
      <protection locked="0"/>
    </xf>
    <xf numFmtId="165" fontId="0" fillId="0" borderId="28" xfId="2" applyNumberFormat="1" applyFont="1" applyBorder="1" applyProtection="1">
      <protection locked="0"/>
    </xf>
    <xf numFmtId="0" fontId="5" fillId="0" borderId="19" xfId="0" applyFont="1" applyFill="1" applyBorder="1" applyProtection="1">
      <protection locked="0"/>
    </xf>
    <xf numFmtId="0" fontId="5" fillId="0" borderId="25" xfId="0" applyFont="1" applyFill="1" applyBorder="1" applyProtection="1">
      <protection locked="0"/>
    </xf>
    <xf numFmtId="0" fontId="5" fillId="0" borderId="21" xfId="0" applyFont="1" applyFill="1" applyBorder="1" applyProtection="1">
      <protection locked="0"/>
    </xf>
    <xf numFmtId="0" fontId="5" fillId="0" borderId="28" xfId="0" applyFont="1" applyFill="1" applyBorder="1" applyProtection="1">
      <protection locked="0"/>
    </xf>
    <xf numFmtId="0" fontId="50" fillId="0" borderId="0" xfId="0" applyFont="1" applyAlignment="1" applyProtection="1">
      <alignment vertical="center"/>
      <protection locked="0"/>
    </xf>
    <xf numFmtId="0" fontId="47" fillId="0" borderId="4" xfId="0" applyFont="1" applyFill="1" applyBorder="1"/>
    <xf numFmtId="164" fontId="23" fillId="0" borderId="4" xfId="1" applyNumberFormat="1" applyFont="1" applyFill="1" applyBorder="1"/>
    <xf numFmtId="0" fontId="47" fillId="0" borderId="2" xfId="0" applyFont="1" applyFill="1" applyBorder="1"/>
    <xf numFmtId="166" fontId="3" fillId="0" borderId="9" xfId="0" applyNumberFormat="1" applyFont="1" applyFill="1" applyBorder="1"/>
    <xf numFmtId="0" fontId="0" fillId="0" borderId="9" xfId="0" applyFont="1" applyFill="1" applyBorder="1" applyAlignment="1">
      <alignment horizontal="left" indent="1"/>
    </xf>
    <xf numFmtId="0" fontId="3" fillId="0" borderId="0" xfId="0" applyFont="1" applyFill="1"/>
    <xf numFmtId="166" fontId="0" fillId="0" borderId="9" xfId="0" applyNumberFormat="1" applyFont="1" applyFill="1" applyBorder="1"/>
    <xf numFmtId="0" fontId="0" fillId="0" borderId="9" xfId="0" applyFont="1" applyFill="1" applyBorder="1" applyAlignment="1"/>
    <xf numFmtId="0" fontId="0" fillId="0" borderId="20" xfId="0" applyFont="1" applyBorder="1"/>
    <xf numFmtId="0" fontId="0" fillId="0" borderId="26" xfId="0" applyFont="1" applyBorder="1"/>
    <xf numFmtId="0" fontId="0" fillId="0" borderId="27" xfId="0" applyFont="1" applyBorder="1"/>
    <xf numFmtId="0" fontId="0" fillId="0" borderId="26" xfId="0" applyFont="1" applyBorder="1" applyAlignment="1">
      <alignment horizontal="left" indent="1"/>
    </xf>
    <xf numFmtId="44" fontId="0" fillId="0" borderId="27" xfId="87" applyNumberFormat="1" applyFont="1" applyBorder="1"/>
    <xf numFmtId="0" fontId="0" fillId="0" borderId="21" xfId="0" applyFont="1" applyBorder="1" applyAlignment="1">
      <alignment horizontal="left" indent="1"/>
    </xf>
    <xf numFmtId="44" fontId="0" fillId="0" borderId="22" xfId="87" applyNumberFormat="1" applyFont="1" applyBorder="1"/>
    <xf numFmtId="0" fontId="3" fillId="0" borderId="19" xfId="0" applyFont="1" applyBorder="1"/>
    <xf numFmtId="0" fontId="0" fillId="0" borderId="0" xfId="0" applyAlignment="1">
      <alignment horizontal="right"/>
    </xf>
    <xf numFmtId="41" fontId="47" fillId="0" borderId="0" xfId="87" applyNumberFormat="1" applyFont="1" applyFill="1"/>
    <xf numFmtId="166" fontId="5" fillId="21" borderId="20" xfId="87" applyNumberFormat="1" applyFont="1" applyFill="1" applyBorder="1" applyProtection="1">
      <protection locked="0"/>
    </xf>
    <xf numFmtId="166" fontId="5" fillId="21" borderId="22" xfId="87" applyNumberFormat="1" applyFont="1" applyFill="1" applyBorder="1" applyProtection="1">
      <protection locked="0"/>
    </xf>
    <xf numFmtId="41" fontId="60" fillId="0" borderId="0" xfId="0" applyNumberFormat="1" applyFont="1" applyFill="1"/>
    <xf numFmtId="165" fontId="60" fillId="0" borderId="0" xfId="2" applyNumberFormat="1" applyFont="1"/>
    <xf numFmtId="165" fontId="60" fillId="0" borderId="0" xfId="2" applyNumberFormat="1" applyFont="1" applyFill="1"/>
    <xf numFmtId="0" fontId="60" fillId="0" borderId="0" xfId="0" applyFont="1" applyFill="1"/>
    <xf numFmtId="0" fontId="3" fillId="11" borderId="3" xfId="0" applyFont="1" applyFill="1" applyBorder="1"/>
    <xf numFmtId="0" fontId="3" fillId="11" borderId="3" xfId="0" applyFont="1" applyFill="1" applyBorder="1" applyAlignment="1">
      <alignment horizontal="center"/>
    </xf>
    <xf numFmtId="0" fontId="0" fillId="11" borderId="2" xfId="0" applyFill="1" applyBorder="1"/>
    <xf numFmtId="164" fontId="0" fillId="11" borderId="2" xfId="1" applyNumberFormat="1" applyFont="1" applyFill="1" applyBorder="1"/>
    <xf numFmtId="0" fontId="50" fillId="7" borderId="0" xfId="0" applyFont="1" applyFill="1"/>
    <xf numFmtId="0" fontId="98" fillId="7" borderId="0" xfId="0" applyFont="1" applyFill="1"/>
    <xf numFmtId="9" fontId="42" fillId="21" borderId="24" xfId="0" applyNumberFormat="1" applyFont="1" applyFill="1" applyBorder="1"/>
    <xf numFmtId="0" fontId="0" fillId="21" borderId="29" xfId="0" applyFill="1" applyBorder="1"/>
    <xf numFmtId="9" fontId="3" fillId="21" borderId="24" xfId="0" applyNumberFormat="1" applyFont="1" applyFill="1" applyBorder="1"/>
    <xf numFmtId="171" fontId="42" fillId="4" borderId="20" xfId="0" applyNumberFormat="1" applyFont="1" applyFill="1" applyBorder="1"/>
    <xf numFmtId="171" fontId="42" fillId="4" borderId="27" xfId="0" applyNumberFormat="1" applyFont="1" applyFill="1" applyBorder="1"/>
    <xf numFmtId="171" fontId="42" fillId="4" borderId="22" xfId="0" applyNumberFormat="1" applyFont="1" applyFill="1" applyBorder="1"/>
    <xf numFmtId="0" fontId="5" fillId="0" borderId="0" xfId="0" applyFont="1" applyFill="1" applyAlignment="1">
      <alignment horizontal="center"/>
    </xf>
    <xf numFmtId="10" fontId="5" fillId="21" borderId="28" xfId="2" applyNumberFormat="1" applyFont="1" applyFill="1" applyBorder="1" applyAlignment="1" applyProtection="1">
      <alignment horizontal="center" vertical="center"/>
      <protection locked="0"/>
    </xf>
    <xf numFmtId="3" fontId="43" fillId="21" borderId="24" xfId="0" applyNumberFormat="1" applyFont="1" applyFill="1" applyBorder="1" applyAlignment="1">
      <alignment vertical="center"/>
    </xf>
    <xf numFmtId="0" fontId="42" fillId="0" borderId="23" xfId="0" applyFont="1" applyFill="1" applyBorder="1"/>
    <xf numFmtId="0" fontId="42" fillId="0" borderId="29" xfId="0" applyFont="1" applyFill="1" applyBorder="1"/>
    <xf numFmtId="0" fontId="43" fillId="0" borderId="23" xfId="0" applyFont="1" applyFill="1" applyBorder="1"/>
    <xf numFmtId="0" fontId="0" fillId="0" borderId="29" xfId="0" applyFill="1" applyBorder="1"/>
    <xf numFmtId="0" fontId="3" fillId="3" borderId="0" xfId="0" applyFont="1" applyFill="1"/>
    <xf numFmtId="9" fontId="42" fillId="21" borderId="25" xfId="0" applyNumberFormat="1" applyFont="1" applyFill="1" applyBorder="1"/>
    <xf numFmtId="165" fontId="42" fillId="21" borderId="20" xfId="2" applyNumberFormat="1" applyFont="1" applyFill="1" applyBorder="1"/>
    <xf numFmtId="9" fontId="42" fillId="21" borderId="28" xfId="0" applyNumberFormat="1" applyFont="1" applyFill="1" applyBorder="1"/>
    <xf numFmtId="165" fontId="42" fillId="21" borderId="22" xfId="0" applyNumberFormat="1" applyFont="1" applyFill="1" applyBorder="1"/>
    <xf numFmtId="0" fontId="3" fillId="0" borderId="23" xfId="0" applyFont="1" applyFill="1" applyBorder="1"/>
    <xf numFmtId="2" fontId="42" fillId="21" borderId="0" xfId="0" applyNumberFormat="1" applyFont="1" applyFill="1"/>
    <xf numFmtId="0" fontId="0" fillId="0" borderId="19" xfId="0" applyFill="1" applyBorder="1"/>
    <xf numFmtId="0" fontId="0" fillId="0" borderId="25" xfId="0" applyFill="1" applyBorder="1"/>
    <xf numFmtId="0" fontId="0" fillId="0" borderId="28" xfId="0" applyFill="1" applyBorder="1"/>
    <xf numFmtId="2" fontId="0" fillId="0" borderId="22" xfId="0" applyNumberFormat="1" applyBorder="1"/>
    <xf numFmtId="9" fontId="0" fillId="4" borderId="20" xfId="0" applyNumberFormat="1" applyFill="1" applyBorder="1"/>
    <xf numFmtId="171" fontId="42" fillId="21" borderId="0" xfId="0" applyNumberFormat="1" applyFont="1" applyFill="1"/>
    <xf numFmtId="0" fontId="0" fillId="21" borderId="0" xfId="0" applyFill="1"/>
    <xf numFmtId="0" fontId="0" fillId="21" borderId="23" xfId="0" applyFill="1" applyBorder="1"/>
    <xf numFmtId="9" fontId="3" fillId="21" borderId="24" xfId="0" applyNumberFormat="1" applyFont="1" applyFill="1" applyBorder="1" applyAlignment="1">
      <alignment horizontal="right"/>
    </xf>
    <xf numFmtId="9" fontId="42" fillId="21" borderId="25" xfId="0" applyNumberFormat="1" applyFont="1" applyFill="1" applyBorder="1" applyAlignment="1">
      <alignment horizontal="center"/>
    </xf>
    <xf numFmtId="9" fontId="42" fillId="21" borderId="28" xfId="0" applyNumberFormat="1" applyFont="1" applyFill="1" applyBorder="1" applyAlignment="1">
      <alignment horizontal="center"/>
    </xf>
    <xf numFmtId="0" fontId="0" fillId="0" borderId="0" xfId="0" applyAlignment="1">
      <alignment horizontal="left"/>
    </xf>
    <xf numFmtId="2" fontId="0" fillId="0" borderId="25" xfId="0" applyNumberFormat="1" applyBorder="1"/>
    <xf numFmtId="170" fontId="42" fillId="21" borderId="0" xfId="0" applyNumberFormat="1" applyFont="1" applyFill="1" applyBorder="1"/>
    <xf numFmtId="170" fontId="42" fillId="21" borderId="28" xfId="0" applyNumberFormat="1" applyFont="1" applyFill="1" applyBorder="1"/>
    <xf numFmtId="172" fontId="42" fillId="0" borderId="19" xfId="0" applyNumberFormat="1" applyFont="1" applyBorder="1" applyAlignment="1" applyProtection="1">
      <alignment vertical="top" wrapText="1"/>
      <protection locked="0"/>
    </xf>
    <xf numFmtId="172" fontId="42" fillId="0" borderId="26" xfId="0" applyNumberFormat="1" applyFont="1" applyBorder="1" applyAlignment="1" applyProtection="1">
      <alignment vertical="top" wrapText="1"/>
      <protection locked="0"/>
    </xf>
    <xf numFmtId="172" fontId="42" fillId="0" borderId="27" xfId="0" applyNumberFormat="1" applyFont="1" applyBorder="1" applyAlignment="1" applyProtection="1">
      <alignment vertical="top" wrapText="1"/>
      <protection locked="0"/>
    </xf>
    <xf numFmtId="172" fontId="42" fillId="0" borderId="21" xfId="0" applyNumberFormat="1" applyFont="1" applyBorder="1" applyAlignment="1" applyProtection="1">
      <alignment vertical="top" wrapText="1"/>
      <protection locked="0"/>
    </xf>
    <xf numFmtId="165" fontId="42" fillId="0" borderId="28" xfId="2" applyNumberFormat="1" applyFont="1" applyBorder="1" applyAlignment="1" applyProtection="1">
      <alignment vertical="top" wrapText="1"/>
      <protection locked="0"/>
    </xf>
    <xf numFmtId="172" fontId="42" fillId="0" borderId="28" xfId="0" applyNumberFormat="1" applyFont="1" applyBorder="1" applyAlignment="1" applyProtection="1">
      <alignment vertical="top" wrapText="1"/>
      <protection locked="0"/>
    </xf>
    <xf numFmtId="172" fontId="42" fillId="0" borderId="22" xfId="0" applyNumberFormat="1" applyFont="1" applyBorder="1" applyAlignment="1" applyProtection="1">
      <alignment vertical="top" wrapText="1"/>
      <protection locked="0"/>
    </xf>
    <xf numFmtId="172" fontId="43" fillId="0" borderId="0" xfId="0" applyNumberFormat="1" applyFont="1" applyFill="1" applyBorder="1" applyAlignment="1" applyProtection="1">
      <alignment vertical="top" wrapText="1"/>
      <protection locked="0"/>
    </xf>
    <xf numFmtId="0" fontId="42" fillId="0" borderId="3" xfId="0" applyFont="1" applyBorder="1" applyAlignment="1" applyProtection="1">
      <alignment vertical="top" wrapText="1"/>
      <protection locked="0"/>
    </xf>
    <xf numFmtId="0" fontId="3" fillId="3" borderId="3" xfId="0" applyFont="1" applyFill="1" applyBorder="1"/>
    <xf numFmtId="0" fontId="9" fillId="17" borderId="3" xfId="0" applyFont="1" applyFill="1" applyBorder="1"/>
    <xf numFmtId="0" fontId="73" fillId="3" borderId="3" xfId="0" applyFont="1" applyFill="1" applyBorder="1" applyAlignment="1" applyProtection="1">
      <alignment horizontal="left" vertical="top" readingOrder="1"/>
      <protection locked="0"/>
    </xf>
    <xf numFmtId="0" fontId="9" fillId="3" borderId="3" xfId="0" applyFont="1" applyFill="1" applyBorder="1"/>
    <xf numFmtId="0" fontId="0" fillId="21" borderId="27" xfId="0" applyFill="1" applyBorder="1"/>
    <xf numFmtId="0" fontId="0" fillId="21" borderId="22" xfId="0" applyFill="1" applyBorder="1"/>
    <xf numFmtId="9" fontId="50" fillId="21" borderId="20" xfId="0" applyNumberFormat="1" applyFont="1" applyFill="1" applyBorder="1"/>
    <xf numFmtId="9" fontId="50" fillId="21" borderId="27" xfId="0" applyNumberFormat="1" applyFont="1" applyFill="1" applyBorder="1"/>
    <xf numFmtId="9" fontId="50" fillId="21" borderId="22" xfId="0" applyNumberFormat="1" applyFont="1" applyFill="1" applyBorder="1"/>
    <xf numFmtId="0" fontId="3" fillId="0" borderId="1" xfId="0" applyFont="1" applyBorder="1" applyAlignment="1">
      <alignment horizontal="center" wrapText="1"/>
    </xf>
    <xf numFmtId="171" fontId="84" fillId="0" borderId="0" xfId="0" applyNumberFormat="1" applyFont="1" applyFill="1" applyBorder="1" applyAlignment="1">
      <alignment vertical="center" wrapText="1"/>
    </xf>
    <xf numFmtId="0" fontId="0" fillId="0" borderId="3" xfId="0" applyFont="1" applyBorder="1" applyAlignment="1">
      <alignment horizontal="center" wrapText="1"/>
    </xf>
    <xf numFmtId="0" fontId="0" fillId="0" borderId="3" xfId="0" applyFont="1" applyFill="1" applyBorder="1" applyAlignment="1">
      <alignment horizontal="center" wrapText="1"/>
    </xf>
    <xf numFmtId="171" fontId="0" fillId="0" borderId="0" xfId="0" applyNumberFormat="1" applyFont="1"/>
    <xf numFmtId="0" fontId="84" fillId="0" borderId="0" xfId="0" applyFont="1" applyFill="1" applyBorder="1" applyAlignment="1">
      <alignment vertical="center" wrapText="1"/>
    </xf>
    <xf numFmtId="0" fontId="99" fillId="0" borderId="34" xfId="0" applyFont="1" applyBorder="1" applyAlignment="1" applyProtection="1">
      <alignment horizontal="left" vertical="top" indent="1"/>
      <protection locked="0"/>
    </xf>
    <xf numFmtId="0" fontId="99" fillId="14" borderId="34" xfId="0" applyFont="1" applyFill="1" applyBorder="1" applyAlignment="1" applyProtection="1">
      <alignment horizontal="left" vertical="top" indent="1"/>
      <protection locked="0"/>
    </xf>
    <xf numFmtId="0" fontId="99" fillId="0" borderId="0" xfId="0" applyFont="1" applyAlignment="1" applyProtection="1">
      <alignment horizontal="left" vertical="top" indent="1"/>
      <protection locked="0"/>
    </xf>
    <xf numFmtId="0" fontId="99" fillId="0" borderId="5" xfId="0" applyFont="1" applyBorder="1" applyAlignment="1" applyProtection="1">
      <alignment horizontal="left" vertical="top" indent="1"/>
      <protection locked="0"/>
    </xf>
    <xf numFmtId="0" fontId="0" fillId="7" borderId="0" xfId="0" applyFont="1" applyFill="1"/>
    <xf numFmtId="166" fontId="0" fillId="21" borderId="0" xfId="87" applyNumberFormat="1" applyFont="1" applyFill="1" applyProtection="1">
      <protection locked="0"/>
    </xf>
    <xf numFmtId="171" fontId="0" fillId="0" borderId="0" xfId="0" applyNumberFormat="1"/>
    <xf numFmtId="171" fontId="0" fillId="0" borderId="0" xfId="0" applyNumberFormat="1" applyFill="1"/>
    <xf numFmtId="171" fontId="0" fillId="21" borderId="0" xfId="0" applyNumberFormat="1" applyFill="1"/>
    <xf numFmtId="164" fontId="0" fillId="7" borderId="0" xfId="1" applyNumberFormat="1" applyFont="1" applyFill="1"/>
    <xf numFmtId="37" fontId="18" fillId="0" borderId="0" xfId="1" applyNumberFormat="1" applyFont="1" applyBorder="1"/>
    <xf numFmtId="43" fontId="42" fillId="0" borderId="0" xfId="0" applyNumberFormat="1" applyFont="1" applyFill="1"/>
    <xf numFmtId="164" fontId="35" fillId="0" borderId="17" xfId="2281" applyNumberFormat="1" applyFont="1" applyBorder="1"/>
    <xf numFmtId="164" fontId="35" fillId="0" borderId="14" xfId="2281" applyNumberFormat="1" applyFont="1" applyBorder="1"/>
    <xf numFmtId="164" fontId="35" fillId="0" borderId="16" xfId="2281" applyNumberFormat="1" applyFont="1" applyFill="1" applyBorder="1"/>
    <xf numFmtId="164" fontId="35" fillId="0" borderId="0" xfId="2281" applyNumberFormat="1" applyFont="1" applyFill="1" applyBorder="1"/>
    <xf numFmtId="164" fontId="35" fillId="0" borderId="17" xfId="2281" applyNumberFormat="1" applyFont="1" applyFill="1" applyBorder="1"/>
    <xf numFmtId="164" fontId="35" fillId="0" borderId="0" xfId="2281" applyNumberFormat="1" applyFont="1" applyBorder="1"/>
    <xf numFmtId="164" fontId="35" fillId="0" borderId="16" xfId="2281" applyNumberFormat="1" applyFont="1" applyBorder="1"/>
    <xf numFmtId="0" fontId="15" fillId="5" borderId="9" xfId="2281" applyNumberFormat="1" applyFont="1" applyFill="1" applyBorder="1" applyAlignment="1">
      <alignment horizontal="center" wrapText="1"/>
    </xf>
    <xf numFmtId="41" fontId="21" fillId="7" borderId="0" xfId="142" applyNumberFormat="1" applyFont="1" applyFill="1" applyBorder="1" applyAlignment="1">
      <alignment vertical="center"/>
    </xf>
    <xf numFmtId="164" fontId="21" fillId="0" borderId="3" xfId="2281" applyNumberFormat="1" applyFont="1" applyFill="1" applyBorder="1" applyAlignment="1">
      <alignment vertical="center"/>
    </xf>
    <xf numFmtId="164" fontId="17" fillId="5" borderId="0" xfId="2281" applyNumberFormat="1" applyFont="1" applyFill="1" applyBorder="1" applyAlignment="1">
      <alignment vertical="center"/>
    </xf>
    <xf numFmtId="164" fontId="21" fillId="0" borderId="0" xfId="2281" applyNumberFormat="1" applyFont="1" applyFill="1" applyBorder="1" applyAlignment="1">
      <alignment vertical="center"/>
    </xf>
    <xf numFmtId="44" fontId="0" fillId="0" borderId="0" xfId="0" applyNumberFormat="1"/>
    <xf numFmtId="164" fontId="30" fillId="0" borderId="0" xfId="0" applyNumberFormat="1" applyFont="1" applyAlignment="1"/>
    <xf numFmtId="164" fontId="70" fillId="0" borderId="0" xfId="0" applyNumberFormat="1" applyFont="1"/>
    <xf numFmtId="172" fontId="100" fillId="0" borderId="0" xfId="0" applyNumberFormat="1" applyFont="1" applyBorder="1" applyAlignment="1" applyProtection="1">
      <alignment vertical="top" wrapText="1"/>
      <protection locked="0"/>
    </xf>
    <xf numFmtId="0" fontId="100" fillId="0" borderId="0" xfId="0" applyFont="1" applyBorder="1" applyAlignment="1" applyProtection="1">
      <alignment vertical="top" wrapText="1"/>
      <protection locked="0"/>
    </xf>
    <xf numFmtId="0" fontId="100" fillId="3" borderId="0" xfId="0" applyFont="1" applyFill="1" applyBorder="1" applyAlignment="1" applyProtection="1">
      <alignment vertical="top" wrapText="1"/>
      <protection locked="0"/>
    </xf>
    <xf numFmtId="172" fontId="100" fillId="10" borderId="0" xfId="0" applyNumberFormat="1" applyFont="1" applyFill="1" applyBorder="1" applyAlignment="1" applyProtection="1">
      <alignment vertical="top" wrapText="1"/>
      <protection locked="0"/>
    </xf>
    <xf numFmtId="0" fontId="100" fillId="10" borderId="0" xfId="0" applyFont="1" applyFill="1" applyBorder="1" applyAlignment="1" applyProtection="1">
      <alignment vertical="top" wrapText="1"/>
      <protection locked="0"/>
    </xf>
    <xf numFmtId="172" fontId="90" fillId="0" borderId="3" xfId="0" applyNumberFormat="1" applyFont="1" applyBorder="1" applyAlignment="1" applyProtection="1">
      <alignment vertical="top" wrapText="1"/>
      <protection locked="0"/>
    </xf>
    <xf numFmtId="172" fontId="100" fillId="10" borderId="6" xfId="0" applyNumberFormat="1" applyFont="1" applyFill="1" applyBorder="1" applyAlignment="1" applyProtection="1">
      <alignment vertical="top" wrapText="1"/>
      <protection locked="0"/>
    </xf>
    <xf numFmtId="0" fontId="0" fillId="42" borderId="0" xfId="0" applyFill="1"/>
    <xf numFmtId="168" fontId="0" fillId="0" borderId="0" xfId="0" applyNumberFormat="1" applyFill="1"/>
    <xf numFmtId="168" fontId="0" fillId="0" borderId="0" xfId="0" applyNumberFormat="1"/>
    <xf numFmtId="168" fontId="0" fillId="3" borderId="0" xfId="0" applyNumberFormat="1" applyFill="1"/>
    <xf numFmtId="168" fontId="42" fillId="0" borderId="0" xfId="0" applyNumberFormat="1" applyFont="1" applyBorder="1" applyAlignment="1" applyProtection="1">
      <alignment vertical="top" wrapText="1"/>
      <protection locked="0"/>
    </xf>
    <xf numFmtId="168" fontId="42" fillId="10" borderId="0" xfId="0" applyNumberFormat="1" applyFont="1" applyFill="1" applyBorder="1" applyAlignment="1" applyProtection="1">
      <alignment vertical="top" wrapText="1"/>
      <protection locked="0"/>
    </xf>
    <xf numFmtId="168" fontId="42" fillId="7" borderId="0" xfId="0" applyNumberFormat="1" applyFont="1" applyFill="1" applyBorder="1" applyAlignment="1" applyProtection="1">
      <alignment vertical="top" wrapText="1"/>
      <protection locked="0"/>
    </xf>
    <xf numFmtId="168" fontId="42" fillId="7" borderId="5" xfId="0" applyNumberFormat="1" applyFont="1" applyFill="1" applyBorder="1" applyAlignment="1" applyProtection="1">
      <alignment vertical="top" wrapText="1"/>
      <protection locked="0"/>
    </xf>
    <xf numFmtId="0" fontId="73" fillId="31" borderId="0" xfId="0" applyFont="1" applyFill="1" applyBorder="1" applyAlignment="1" applyProtection="1">
      <alignment horizontal="center" vertical="center" wrapText="1" readingOrder="1"/>
      <protection locked="0"/>
    </xf>
    <xf numFmtId="172" fontId="100" fillId="0" borderId="0" xfId="0" applyNumberFormat="1" applyFont="1"/>
    <xf numFmtId="0" fontId="100" fillId="0" borderId="0" xfId="0" applyFont="1"/>
    <xf numFmtId="1" fontId="100" fillId="0" borderId="0" xfId="0" applyNumberFormat="1" applyFont="1" applyBorder="1"/>
    <xf numFmtId="1" fontId="100" fillId="0" borderId="0" xfId="0" applyNumberFormat="1" applyFont="1" applyFill="1" applyBorder="1"/>
    <xf numFmtId="172" fontId="100" fillId="0" borderId="0" xfId="0" applyNumberFormat="1" applyFont="1" applyFill="1" applyBorder="1"/>
    <xf numFmtId="164" fontId="100" fillId="0" borderId="0" xfId="1" applyNumberFormat="1" applyFont="1" applyBorder="1" applyAlignment="1" applyProtection="1">
      <alignment vertical="top" wrapText="1"/>
      <protection locked="0"/>
    </xf>
    <xf numFmtId="164" fontId="100" fillId="10" borderId="0" xfId="1" applyNumberFormat="1" applyFont="1" applyFill="1" applyBorder="1" applyAlignment="1" applyProtection="1">
      <alignment vertical="top" wrapText="1"/>
      <protection locked="0"/>
    </xf>
    <xf numFmtId="172" fontId="100" fillId="0" borderId="0" xfId="0" applyNumberFormat="1" applyFont="1" applyFill="1" applyBorder="1" applyAlignment="1" applyProtection="1">
      <alignment vertical="top" wrapText="1"/>
      <protection locked="0"/>
    </xf>
    <xf numFmtId="172" fontId="100" fillId="10" borderId="0" xfId="0" applyNumberFormat="1" applyFont="1" applyFill="1" applyBorder="1"/>
    <xf numFmtId="0" fontId="0" fillId="30" borderId="0" xfId="0" applyFill="1"/>
    <xf numFmtId="0" fontId="9" fillId="43" borderId="0" xfId="0" applyFont="1" applyFill="1"/>
    <xf numFmtId="0" fontId="44" fillId="43" borderId="37" xfId="0" applyFont="1" applyFill="1" applyBorder="1" applyAlignment="1" applyProtection="1">
      <alignment horizontal="left" vertical="top"/>
      <protection locked="0"/>
    </xf>
    <xf numFmtId="0" fontId="44" fillId="43" borderId="3" xfId="0" applyFont="1" applyFill="1" applyBorder="1" applyAlignment="1" applyProtection="1">
      <alignment horizontal="center" vertical="top" wrapText="1"/>
      <protection locked="0"/>
    </xf>
    <xf numFmtId="0" fontId="43" fillId="30" borderId="3" xfId="0" applyFont="1" applyFill="1" applyBorder="1"/>
    <xf numFmtId="0" fontId="43" fillId="30" borderId="3" xfId="0" applyFont="1" applyFill="1" applyBorder="1" applyAlignment="1">
      <alignment horizontal="center" vertical="center" wrapText="1"/>
    </xf>
    <xf numFmtId="0" fontId="44" fillId="30" borderId="3" xfId="0" applyFont="1" applyFill="1" applyBorder="1" applyAlignment="1">
      <alignment horizontal="center" vertical="center" wrapText="1"/>
    </xf>
    <xf numFmtId="0" fontId="43" fillId="30" borderId="0" xfId="0" applyFont="1" applyFill="1" applyBorder="1" applyAlignment="1">
      <alignment horizontal="center" vertical="center" wrapText="1"/>
    </xf>
    <xf numFmtId="172" fontId="42" fillId="30" borderId="0" xfId="0" applyNumberFormat="1" applyFont="1" applyFill="1" applyBorder="1" applyAlignment="1" applyProtection="1">
      <alignment vertical="top" wrapText="1"/>
      <protection locked="0"/>
    </xf>
    <xf numFmtId="172" fontId="41" fillId="30" borderId="0" xfId="0" applyNumberFormat="1" applyFont="1" applyFill="1" applyAlignment="1" applyProtection="1">
      <alignment vertical="top" wrapText="1"/>
      <protection locked="0"/>
    </xf>
    <xf numFmtId="2" fontId="42" fillId="30" borderId="0" xfId="0" applyNumberFormat="1" applyFont="1" applyFill="1"/>
    <xf numFmtId="0" fontId="44" fillId="30" borderId="34" xfId="0" applyFont="1" applyFill="1" applyBorder="1" applyAlignment="1" applyProtection="1">
      <alignment horizontal="left" vertical="top" indent="1"/>
      <protection locked="0"/>
    </xf>
    <xf numFmtId="172" fontId="42" fillId="30" borderId="0" xfId="0" applyNumberFormat="1" applyFont="1" applyFill="1"/>
    <xf numFmtId="0" fontId="42" fillId="30" borderId="0" xfId="0" applyFont="1" applyFill="1" applyBorder="1"/>
    <xf numFmtId="172" fontId="42" fillId="30" borderId="0" xfId="0" applyNumberFormat="1" applyFont="1" applyFill="1" applyBorder="1"/>
    <xf numFmtId="0" fontId="44" fillId="43" borderId="34" xfId="0" applyFont="1" applyFill="1" applyBorder="1" applyAlignment="1" applyProtection="1">
      <alignment horizontal="left" vertical="top" indent="1"/>
      <protection locked="0"/>
    </xf>
    <xf numFmtId="0" fontId="42" fillId="30" borderId="0" xfId="0" applyFont="1" applyFill="1" applyBorder="1" applyAlignment="1" applyProtection="1">
      <alignment vertical="top" wrapText="1"/>
      <protection locked="0"/>
    </xf>
    <xf numFmtId="0" fontId="44" fillId="30" borderId="0" xfId="0" applyFont="1" applyFill="1" applyAlignment="1" applyProtection="1">
      <alignment horizontal="left" vertical="top" indent="1"/>
      <protection locked="0"/>
    </xf>
    <xf numFmtId="172" fontId="43" fillId="30" borderId="3" xfId="0" applyNumberFormat="1" applyFont="1" applyFill="1" applyBorder="1" applyAlignment="1" applyProtection="1">
      <alignment vertical="top" wrapText="1"/>
      <protection locked="0"/>
    </xf>
    <xf numFmtId="172" fontId="44" fillId="30" borderId="3" xfId="0" applyNumberFormat="1" applyFont="1" applyFill="1" applyBorder="1" applyAlignment="1" applyProtection="1">
      <alignment vertical="top" wrapText="1"/>
      <protection locked="0"/>
    </xf>
    <xf numFmtId="0" fontId="43" fillId="30" borderId="3" xfId="0" applyFont="1" applyFill="1" applyBorder="1" applyAlignment="1" applyProtection="1">
      <alignment horizontal="left" vertical="top" wrapText="1" indent="1"/>
      <protection locked="0"/>
    </xf>
    <xf numFmtId="172" fontId="43" fillId="30" borderId="0" xfId="0" applyNumberFormat="1" applyFont="1" applyFill="1" applyBorder="1" applyAlignment="1" applyProtection="1">
      <alignment vertical="top" wrapText="1"/>
      <protection locked="0"/>
    </xf>
    <xf numFmtId="0" fontId="3" fillId="30" borderId="4" xfId="0" applyFont="1" applyFill="1" applyBorder="1"/>
    <xf numFmtId="0" fontId="0" fillId="30" borderId="4" xfId="0" applyFill="1" applyBorder="1"/>
    <xf numFmtId="0" fontId="0" fillId="30" borderId="0" xfId="0" applyFill="1" applyBorder="1"/>
    <xf numFmtId="172" fontId="100" fillId="10" borderId="0" xfId="0" applyNumberFormat="1" applyFont="1" applyFill="1"/>
    <xf numFmtId="0" fontId="43" fillId="10" borderId="0" xfId="0" applyFont="1" applyFill="1" applyBorder="1" applyAlignment="1">
      <alignment horizontal="center" vertical="center" wrapText="1"/>
    </xf>
    <xf numFmtId="0" fontId="3" fillId="0" borderId="5" xfId="0" applyFont="1" applyBorder="1"/>
    <xf numFmtId="0" fontId="0" fillId="0" borderId="0" xfId="0" applyAlignment="1">
      <alignment vertical="center" wrapText="1"/>
    </xf>
    <xf numFmtId="0" fontId="24" fillId="0" borderId="0" xfId="0" applyFont="1" applyAlignment="1">
      <alignment vertical="center"/>
    </xf>
    <xf numFmtId="0" fontId="43" fillId="0" borderId="0" xfId="0" applyFont="1" applyAlignment="1">
      <alignment horizontal="center" vertical="center" wrapText="1"/>
    </xf>
    <xf numFmtId="0" fontId="101" fillId="0" borderId="0" xfId="0" applyFont="1"/>
    <xf numFmtId="172" fontId="0" fillId="0" borderId="3" xfId="0" applyNumberFormat="1" applyFill="1" applyBorder="1"/>
    <xf numFmtId="0" fontId="44" fillId="14" borderId="0" xfId="0" applyFont="1" applyFill="1" applyBorder="1" applyAlignment="1" applyProtection="1">
      <alignment horizontal="center" vertical="top" wrapText="1"/>
      <protection locked="0"/>
    </xf>
    <xf numFmtId="172" fontId="44" fillId="0" borderId="0" xfId="0" applyNumberFormat="1" applyFont="1" applyBorder="1" applyAlignment="1" applyProtection="1">
      <alignment vertical="top" wrapText="1"/>
      <protection locked="0"/>
    </xf>
    <xf numFmtId="175" fontId="41" fillId="0" borderId="0" xfId="0" applyNumberFormat="1" applyFont="1" applyAlignment="1" applyProtection="1">
      <alignment vertical="top" wrapText="1"/>
      <protection locked="0"/>
    </xf>
    <xf numFmtId="171" fontId="42" fillId="0" borderId="0" xfId="0" applyNumberFormat="1" applyFont="1" applyFill="1"/>
    <xf numFmtId="172" fontId="42" fillId="11" borderId="0" xfId="0" applyNumberFormat="1" applyFont="1" applyFill="1" applyBorder="1" applyAlignment="1" applyProtection="1">
      <alignment vertical="top" wrapText="1"/>
      <protection locked="0"/>
    </xf>
    <xf numFmtId="175" fontId="41" fillId="11" borderId="0" xfId="0" applyNumberFormat="1" applyFont="1" applyFill="1" applyAlignment="1" applyProtection="1">
      <alignment vertical="top" wrapText="1"/>
      <protection locked="0"/>
    </xf>
    <xf numFmtId="0" fontId="3" fillId="0" borderId="0" xfId="0" applyFont="1" applyFill="1" applyBorder="1"/>
    <xf numFmtId="0" fontId="4" fillId="0" borderId="23" xfId="0" applyFont="1" applyBorder="1"/>
    <xf numFmtId="0" fontId="4" fillId="0" borderId="29" xfId="0" applyFont="1" applyBorder="1"/>
    <xf numFmtId="175" fontId="41" fillId="3" borderId="0" xfId="0" applyNumberFormat="1" applyFont="1" applyFill="1" applyAlignment="1" applyProtection="1">
      <alignment vertical="top" wrapText="1"/>
      <protection locked="0"/>
    </xf>
    <xf numFmtId="171" fontId="42" fillId="3" borderId="0" xfId="0" applyNumberFormat="1" applyFont="1" applyFill="1"/>
    <xf numFmtId="0" fontId="3" fillId="0" borderId="0" xfId="0" applyFont="1" applyBorder="1" applyAlignment="1">
      <alignment horizontal="center" wrapText="1"/>
    </xf>
    <xf numFmtId="164" fontId="23" fillId="29" borderId="0" xfId="144" applyNumberFormat="1" applyFont="1" applyFill="1" applyBorder="1"/>
    <xf numFmtId="166" fontId="0" fillId="0" borderId="0" xfId="0" applyNumberFormat="1" applyAlignment="1">
      <alignment vertical="center" wrapText="1"/>
    </xf>
    <xf numFmtId="44" fontId="0" fillId="0" borderId="0" xfId="0" applyNumberFormat="1" applyAlignment="1">
      <alignment vertical="center" wrapText="1"/>
    </xf>
    <xf numFmtId="43" fontId="0" fillId="0" borderId="0" xfId="0" applyNumberFormat="1"/>
    <xf numFmtId="0" fontId="102" fillId="7" borderId="0" xfId="0" applyFont="1" applyFill="1"/>
    <xf numFmtId="0" fontId="102" fillId="0" borderId="0" xfId="0" applyFont="1"/>
    <xf numFmtId="43" fontId="102" fillId="0" borderId="0" xfId="0" applyNumberFormat="1" applyFont="1"/>
    <xf numFmtId="0" fontId="103" fillId="0" borderId="0" xfId="0" applyFont="1" applyFill="1" applyBorder="1" applyAlignment="1">
      <alignment horizontal="center" wrapText="1"/>
    </xf>
    <xf numFmtId="0" fontId="31" fillId="0" borderId="0" xfId="0" applyFont="1" applyFill="1"/>
    <xf numFmtId="0" fontId="42" fillId="0" borderId="0" xfId="0" applyFont="1" applyFill="1" applyBorder="1" applyAlignment="1">
      <alignment horizontal="center" wrapText="1"/>
    </xf>
    <xf numFmtId="177" fontId="24" fillId="0" borderId="0" xfId="0" applyNumberFormat="1" applyFont="1" applyBorder="1" applyAlignment="1">
      <alignment vertical="center"/>
    </xf>
    <xf numFmtId="9" fontId="4" fillId="20" borderId="24" xfId="0" applyNumberFormat="1" applyFont="1" applyFill="1" applyBorder="1" applyAlignment="1">
      <alignment horizontal="right"/>
    </xf>
    <xf numFmtId="37" fontId="24" fillId="0" borderId="0" xfId="0" applyNumberFormat="1" applyFont="1" applyFill="1" applyBorder="1" applyAlignment="1">
      <alignment horizontal="center" vertical="center" wrapText="1"/>
    </xf>
    <xf numFmtId="165" fontId="3" fillId="4" borderId="0" xfId="0" applyNumberFormat="1" applyFont="1" applyFill="1" applyBorder="1"/>
    <xf numFmtId="165" fontId="3" fillId="0" borderId="0" xfId="0" applyNumberFormat="1" applyFont="1" applyBorder="1"/>
    <xf numFmtId="164" fontId="35" fillId="0" borderId="10" xfId="2281" applyNumberFormat="1" applyFont="1" applyFill="1" applyBorder="1"/>
    <xf numFmtId="164" fontId="35" fillId="0" borderId="18" xfId="2281" applyNumberFormat="1" applyFont="1" applyFill="1" applyBorder="1"/>
    <xf numFmtId="0" fontId="23" fillId="0" borderId="0" xfId="0" applyFont="1" applyFill="1" applyAlignment="1">
      <alignment horizontal="center"/>
    </xf>
    <xf numFmtId="164" fontId="0" fillId="0" borderId="0" xfId="2281" applyNumberFormat="1" applyFont="1"/>
    <xf numFmtId="164" fontId="0" fillId="0" borderId="1" xfId="2281" applyNumberFormat="1" applyFont="1" applyFill="1" applyBorder="1"/>
    <xf numFmtId="164" fontId="0" fillId="0" borderId="0" xfId="2281" applyNumberFormat="1" applyFont="1" applyBorder="1"/>
    <xf numFmtId="0" fontId="25" fillId="0" borderId="0" xfId="142" applyFont="1" applyFill="1" applyAlignment="1">
      <alignment horizontal="right" vertical="center"/>
    </xf>
    <xf numFmtId="0" fontId="47" fillId="5" borderId="0" xfId="0" applyFont="1" applyFill="1" applyAlignment="1">
      <alignment horizontal="center"/>
    </xf>
    <xf numFmtId="0" fontId="0" fillId="3" borderId="3" xfId="0" applyFill="1" applyBorder="1"/>
    <xf numFmtId="41" fontId="42" fillId="3" borderId="3" xfId="0" applyNumberFormat="1" applyFont="1" applyFill="1" applyBorder="1"/>
    <xf numFmtId="0" fontId="69" fillId="0" borderId="0" xfId="0" applyFont="1" applyFill="1" applyBorder="1"/>
    <xf numFmtId="164" fontId="69" fillId="0" borderId="0" xfId="1" applyNumberFormat="1" applyFont="1" applyFill="1" applyBorder="1"/>
    <xf numFmtId="165" fontId="30" fillId="0" borderId="0" xfId="0" applyNumberFormat="1" applyFont="1" applyAlignment="1">
      <alignment horizontal="center"/>
    </xf>
    <xf numFmtId="9" fontId="4" fillId="20" borderId="24" xfId="0" applyNumberFormat="1" applyFont="1" applyFill="1" applyBorder="1"/>
    <xf numFmtId="0" fontId="4" fillId="0" borderId="3" xfId="5616" applyFont="1" applyFill="1" applyBorder="1" applyAlignment="1">
      <alignment vertical="center"/>
    </xf>
    <xf numFmtId="0" fontId="0" fillId="0" borderId="3" xfId="0" applyBorder="1" applyAlignment="1">
      <alignment horizontal="center"/>
    </xf>
    <xf numFmtId="0" fontId="4" fillId="0" borderId="0" xfId="5616" applyFont="1" applyFill="1" applyBorder="1" applyAlignment="1">
      <alignment vertical="center"/>
    </xf>
    <xf numFmtId="42" fontId="5" fillId="0" borderId="0" xfId="5616" applyNumberFormat="1" applyFont="1" applyFill="1" applyBorder="1" applyAlignment="1"/>
    <xf numFmtId="42" fontId="42" fillId="0" borderId="0" xfId="0" applyNumberFormat="1" applyFont="1" applyBorder="1"/>
    <xf numFmtId="42" fontId="5" fillId="0" borderId="0" xfId="5616" applyNumberFormat="1" applyFont="1" applyFill="1" applyBorder="1" applyAlignment="1">
      <alignment wrapText="1"/>
    </xf>
    <xf numFmtId="0" fontId="5" fillId="0" borderId="0" xfId="5616" applyFill="1" applyBorder="1"/>
    <xf numFmtId="165" fontId="42" fillId="0" borderId="0" xfId="2" applyNumberFormat="1" applyFont="1" applyBorder="1"/>
    <xf numFmtId="166" fontId="42" fillId="0" borderId="0" xfId="0" applyNumberFormat="1" applyFont="1" applyBorder="1"/>
    <xf numFmtId="164" fontId="47" fillId="0" borderId="0" xfId="1" applyNumberFormat="1" applyFont="1"/>
    <xf numFmtId="2" fontId="0" fillId="0" borderId="20" xfId="0" applyNumberFormat="1" applyBorder="1"/>
    <xf numFmtId="2" fontId="0" fillId="0" borderId="27" xfId="0" applyNumberFormat="1" applyBorder="1"/>
    <xf numFmtId="176" fontId="0" fillId="0" borderId="27" xfId="0" applyNumberFormat="1" applyBorder="1"/>
    <xf numFmtId="172" fontId="0" fillId="0" borderId="27" xfId="0" applyNumberFormat="1" applyBorder="1"/>
    <xf numFmtId="0" fontId="0" fillId="3" borderId="27" xfId="0" applyFill="1" applyBorder="1"/>
    <xf numFmtId="37" fontId="24" fillId="0" borderId="3" xfId="0" applyNumberFormat="1" applyFont="1" applyBorder="1" applyAlignment="1">
      <alignment horizontal="center" vertical="center" wrapText="1"/>
    </xf>
    <xf numFmtId="0" fontId="60" fillId="0" borderId="3" xfId="0" applyFont="1" applyBorder="1" applyAlignment="1">
      <alignment horizontal="center" wrapText="1"/>
    </xf>
    <xf numFmtId="0" fontId="3" fillId="0" borderId="0" xfId="0" applyFont="1" applyFill="1" applyAlignment="1">
      <alignment horizontal="center"/>
    </xf>
    <xf numFmtId="0" fontId="24" fillId="0" borderId="0" xfId="0" applyFont="1" applyFill="1" applyAlignment="1">
      <alignment wrapText="1"/>
    </xf>
    <xf numFmtId="0" fontId="47" fillId="0" borderId="0" xfId="0" applyFont="1" applyFill="1" applyAlignment="1">
      <alignment horizontal="center"/>
    </xf>
    <xf numFmtId="37" fontId="24" fillId="0" borderId="3" xfId="0" applyNumberFormat="1" applyFont="1" applyFill="1" applyBorder="1" applyAlignment="1">
      <alignment horizontal="center" vertical="center" wrapText="1"/>
    </xf>
    <xf numFmtId="0" fontId="0" fillId="2" borderId="23" xfId="0" applyFill="1" applyBorder="1"/>
    <xf numFmtId="0" fontId="0" fillId="2" borderId="29" xfId="0" applyFill="1" applyBorder="1"/>
    <xf numFmtId="0" fontId="0" fillId="2" borderId="24" xfId="0" applyFill="1" applyBorder="1"/>
    <xf numFmtId="0" fontId="0" fillId="2" borderId="6" xfId="0" applyFill="1" applyBorder="1"/>
    <xf numFmtId="0" fontId="47" fillId="0" borderId="0" xfId="0" applyFont="1" applyAlignment="1">
      <alignment vertical="center" wrapText="1"/>
    </xf>
    <xf numFmtId="0" fontId="24" fillId="2" borderId="2" xfId="0" applyFont="1" applyFill="1" applyBorder="1" applyAlignment="1">
      <alignment horizontal="center" vertical="center" wrapText="1"/>
    </xf>
    <xf numFmtId="0" fontId="60" fillId="0" borderId="0" xfId="0" applyFont="1"/>
    <xf numFmtId="1" fontId="42" fillId="0" borderId="0" xfId="0" applyNumberFormat="1" applyFont="1" applyBorder="1"/>
    <xf numFmtId="1" fontId="42" fillId="0" borderId="0" xfId="0" applyNumberFormat="1" applyFont="1" applyFill="1" applyBorder="1"/>
    <xf numFmtId="164" fontId="42" fillId="0" borderId="0" xfId="1" applyNumberFormat="1" applyFont="1" applyBorder="1" applyAlignment="1" applyProtection="1">
      <alignment vertical="top" wrapText="1"/>
      <protection locked="0"/>
    </xf>
    <xf numFmtId="164" fontId="42" fillId="10" borderId="0" xfId="1" applyNumberFormat="1" applyFont="1" applyFill="1" applyBorder="1" applyAlignment="1" applyProtection="1">
      <alignment vertical="top" wrapText="1"/>
      <protection locked="0"/>
    </xf>
    <xf numFmtId="0" fontId="42" fillId="3" borderId="3" xfId="0" applyFont="1" applyFill="1" applyBorder="1" applyAlignment="1" applyProtection="1">
      <alignment vertical="top" wrapText="1"/>
      <protection locked="0"/>
    </xf>
    <xf numFmtId="172" fontId="43" fillId="3" borderId="3" xfId="0" applyNumberFormat="1" applyFont="1" applyFill="1" applyBorder="1" applyAlignment="1" applyProtection="1">
      <alignment vertical="top" wrapText="1"/>
      <protection locked="0"/>
    </xf>
    <xf numFmtId="0" fontId="44" fillId="44" borderId="34" xfId="0" applyFont="1" applyFill="1" applyBorder="1" applyAlignment="1" applyProtection="1">
      <alignment horizontal="left" vertical="top" indent="1"/>
      <protection locked="0"/>
    </xf>
    <xf numFmtId="172" fontId="42" fillId="44" borderId="0" xfId="0" applyNumberFormat="1" applyFont="1" applyFill="1" applyBorder="1" applyAlignment="1" applyProtection="1">
      <alignment vertical="top" wrapText="1"/>
      <protection locked="0"/>
    </xf>
    <xf numFmtId="172" fontId="42" fillId="44" borderId="0" xfId="0" applyNumberFormat="1" applyFont="1" applyFill="1"/>
    <xf numFmtId="0" fontId="0" fillId="44" borderId="0" xfId="0" applyFill="1"/>
    <xf numFmtId="0" fontId="42" fillId="44" borderId="0" xfId="0" applyFont="1" applyFill="1" applyBorder="1"/>
    <xf numFmtId="172" fontId="42" fillId="44" borderId="0" xfId="0" applyNumberFormat="1" applyFont="1" applyFill="1" applyBorder="1"/>
    <xf numFmtId="0" fontId="44" fillId="45" borderId="34" xfId="0" applyFont="1" applyFill="1" applyBorder="1" applyAlignment="1" applyProtection="1">
      <alignment horizontal="left" vertical="top" indent="1"/>
      <protection locked="0"/>
    </xf>
    <xf numFmtId="0" fontId="42" fillId="44" borderId="0" xfId="0" applyFont="1" applyFill="1" applyBorder="1" applyAlignment="1" applyProtection="1">
      <alignment vertical="top" wrapText="1"/>
      <protection locked="0"/>
    </xf>
    <xf numFmtId="0" fontId="44" fillId="44" borderId="0" xfId="0" applyFont="1" applyFill="1" applyAlignment="1" applyProtection="1">
      <alignment horizontal="left" vertical="top" indent="1"/>
      <protection locked="0"/>
    </xf>
    <xf numFmtId="0" fontId="43" fillId="44" borderId="3" xfId="0" applyFont="1" applyFill="1" applyBorder="1" applyAlignment="1" applyProtection="1">
      <alignment horizontal="left" vertical="top" wrapText="1" indent="1"/>
      <protection locked="0"/>
    </xf>
    <xf numFmtId="172" fontId="43" fillId="44" borderId="3" xfId="0" applyNumberFormat="1" applyFont="1" applyFill="1" applyBorder="1" applyAlignment="1" applyProtection="1">
      <alignment vertical="top" wrapText="1"/>
      <protection locked="0"/>
    </xf>
    <xf numFmtId="0" fontId="43" fillId="44" borderId="4" xfId="0" applyFont="1" applyFill="1" applyBorder="1" applyAlignment="1" applyProtection="1">
      <alignment horizontal="left" vertical="top" wrapText="1" indent="1"/>
      <protection locked="0"/>
    </xf>
    <xf numFmtId="172" fontId="43" fillId="44" borderId="4" xfId="0" applyNumberFormat="1" applyFont="1" applyFill="1" applyBorder="1" applyAlignment="1" applyProtection="1">
      <alignment vertical="top" wrapText="1"/>
      <protection locked="0"/>
    </xf>
    <xf numFmtId="171" fontId="30" fillId="8" borderId="5" xfId="0" applyNumberFormat="1" applyFont="1" applyFill="1" applyBorder="1" applyAlignment="1">
      <alignment vertical="center" wrapText="1"/>
    </xf>
    <xf numFmtId="0" fontId="99" fillId="0" borderId="5" xfId="0" applyFont="1" applyFill="1" applyBorder="1" applyAlignment="1" applyProtection="1">
      <alignment horizontal="left" vertical="top" indent="1"/>
      <protection locked="0"/>
    </xf>
    <xf numFmtId="171" fontId="0" fillId="0" borderId="5" xfId="0" applyNumberFormat="1" applyBorder="1"/>
    <xf numFmtId="2" fontId="0" fillId="0" borderId="0" xfId="0" applyNumberFormat="1" applyFont="1"/>
    <xf numFmtId="171" fontId="0" fillId="7" borderId="0" xfId="0" applyNumberFormat="1" applyFont="1" applyFill="1"/>
    <xf numFmtId="2" fontId="0" fillId="7" borderId="0" xfId="0" applyNumberFormat="1" applyFont="1" applyFill="1"/>
    <xf numFmtId="171" fontId="84" fillId="0" borderId="5" xfId="0" applyNumberFormat="1" applyFont="1" applyFill="1" applyBorder="1" applyAlignment="1">
      <alignment vertical="center" wrapText="1"/>
    </xf>
    <xf numFmtId="0" fontId="0" fillId="0" borderId="5" xfId="0" applyFont="1" applyBorder="1"/>
    <xf numFmtId="178" fontId="42" fillId="0" borderId="0" xfId="0" applyNumberFormat="1" applyFont="1" applyBorder="1" applyAlignment="1" applyProtection="1">
      <alignment vertical="top" wrapText="1"/>
      <protection locked="0"/>
    </xf>
    <xf numFmtId="1" fontId="0" fillId="0" borderId="0" xfId="0" applyNumberFormat="1"/>
    <xf numFmtId="173" fontId="43" fillId="0" borderId="3" xfId="0" applyNumberFormat="1" applyFont="1" applyBorder="1" applyAlignment="1" applyProtection="1">
      <alignment vertical="top" wrapText="1"/>
      <protection locked="0"/>
    </xf>
    <xf numFmtId="0" fontId="23" fillId="0" borderId="0" xfId="0" applyFont="1" applyAlignment="1">
      <alignment horizontal="center"/>
    </xf>
    <xf numFmtId="43" fontId="0" fillId="0" borderId="0" xfId="0" applyNumberFormat="1" applyFill="1"/>
    <xf numFmtId="10" fontId="0" fillId="0" borderId="0" xfId="0" applyNumberFormat="1"/>
    <xf numFmtId="0" fontId="6" fillId="0" borderId="1" xfId="0" applyFont="1" applyBorder="1" applyAlignment="1">
      <alignment horizontal="center" wrapText="1"/>
    </xf>
    <xf numFmtId="164" fontId="104" fillId="0" borderId="0" xfId="2281" applyNumberFormat="1" applyFont="1" applyFill="1" applyBorder="1"/>
    <xf numFmtId="0" fontId="105" fillId="0" borderId="0" xfId="0" applyFont="1"/>
    <xf numFmtId="0" fontId="54" fillId="0" borderId="0" xfId="0" applyFont="1" applyAlignment="1">
      <alignment horizontal="center"/>
    </xf>
    <xf numFmtId="0" fontId="54" fillId="0" borderId="2" xfId="0" applyFont="1" applyBorder="1" applyAlignment="1">
      <alignment horizontal="center"/>
    </xf>
    <xf numFmtId="0" fontId="54" fillId="0" borderId="0" xfId="0" applyFont="1"/>
    <xf numFmtId="164" fontId="55" fillId="0" borderId="0" xfId="2281" applyNumberFormat="1" applyFont="1" applyFill="1"/>
    <xf numFmtId="0" fontId="105" fillId="5" borderId="0" xfId="0" applyFont="1" applyFill="1"/>
    <xf numFmtId="164" fontId="55" fillId="5" borderId="0" xfId="2281" applyNumberFormat="1" applyFont="1" applyFill="1" applyBorder="1"/>
    <xf numFmtId="0" fontId="105" fillId="0" borderId="0" xfId="0" applyFont="1" applyFill="1"/>
    <xf numFmtId="0" fontId="106" fillId="0" borderId="0" xfId="0" applyFont="1"/>
    <xf numFmtId="0" fontId="55" fillId="0" borderId="0" xfId="0" applyFont="1" applyBorder="1"/>
    <xf numFmtId="0" fontId="105" fillId="5" borderId="0" xfId="0" applyFont="1" applyFill="1" applyBorder="1"/>
    <xf numFmtId="0" fontId="55" fillId="0" borderId="0" xfId="0" applyFont="1" applyFill="1" applyBorder="1"/>
    <xf numFmtId="164" fontId="55" fillId="0" borderId="0" xfId="2281" applyNumberFormat="1" applyFont="1" applyFill="1" applyBorder="1"/>
    <xf numFmtId="0" fontId="105" fillId="0" borderId="0" xfId="0" applyFont="1" applyFill="1" applyBorder="1"/>
    <xf numFmtId="0" fontId="55" fillId="5" borderId="0" xfId="0" applyFont="1" applyFill="1" applyBorder="1"/>
    <xf numFmtId="0" fontId="105" fillId="7" borderId="0" xfId="0" applyFont="1" applyFill="1" applyBorder="1"/>
    <xf numFmtId="164" fontId="55" fillId="7" borderId="0" xfId="2281" applyNumberFormat="1" applyFont="1" applyFill="1" applyBorder="1"/>
    <xf numFmtId="0" fontId="54" fillId="0" borderId="0" xfId="0" applyFont="1" applyFill="1" applyBorder="1"/>
    <xf numFmtId="164" fontId="54" fillId="0" borderId="3" xfId="144" applyNumberFormat="1" applyFont="1" applyFill="1" applyBorder="1"/>
    <xf numFmtId="0" fontId="106" fillId="0" borderId="0" xfId="0" applyFont="1" applyFill="1"/>
    <xf numFmtId="0" fontId="55" fillId="7" borderId="0" xfId="0" applyFont="1" applyFill="1" applyBorder="1"/>
    <xf numFmtId="0" fontId="54" fillId="7" borderId="0" xfId="0" applyFont="1" applyFill="1" applyBorder="1"/>
    <xf numFmtId="164" fontId="54" fillId="7" borderId="3" xfId="2281" applyNumberFormat="1" applyFont="1" applyFill="1" applyBorder="1"/>
    <xf numFmtId="164" fontId="54" fillId="0" borderId="1" xfId="2281" applyNumberFormat="1" applyFont="1" applyFill="1" applyBorder="1"/>
    <xf numFmtId="0" fontId="0" fillId="0" borderId="3" xfId="0" applyBorder="1" applyAlignment="1"/>
    <xf numFmtId="0" fontId="0" fillId="0" borderId="0" xfId="0" applyBorder="1" applyAlignment="1">
      <alignment horizontal="center"/>
    </xf>
    <xf numFmtId="0" fontId="0" fillId="0" borderId="0" xfId="0" applyBorder="1" applyAlignment="1">
      <alignment horizontal="left"/>
    </xf>
    <xf numFmtId="171" fontId="48" fillId="0" borderId="0" xfId="0" applyNumberFormat="1" applyFont="1"/>
    <xf numFmtId="49" fontId="0" fillId="0" borderId="0" xfId="0" quotePrefix="1" applyNumberFormat="1"/>
    <xf numFmtId="49" fontId="0" fillId="26" borderId="0" xfId="0" quotePrefix="1" applyNumberFormat="1" applyFill="1"/>
    <xf numFmtId="0" fontId="0" fillId="26" borderId="0" xfId="0" applyFill="1"/>
    <xf numFmtId="49" fontId="0" fillId="8" borderId="0" xfId="0" quotePrefix="1" applyNumberFormat="1" applyFill="1"/>
    <xf numFmtId="0" fontId="3" fillId="26" borderId="0" xfId="0" applyFont="1" applyFill="1"/>
    <xf numFmtId="171" fontId="48" fillId="21" borderId="0" xfId="0" applyNumberFormat="1" applyFont="1" applyFill="1"/>
    <xf numFmtId="49" fontId="0" fillId="0" borderId="0" xfId="0" quotePrefix="1" applyNumberFormat="1" applyFill="1"/>
    <xf numFmtId="49" fontId="0" fillId="26" borderId="0" xfId="0" quotePrefix="1" applyNumberFormat="1" applyFill="1" applyAlignment="1">
      <alignment horizontal="left" indent="1"/>
    </xf>
    <xf numFmtId="0" fontId="3" fillId="26" borderId="0" xfId="0" applyFont="1" applyFill="1" applyAlignment="1">
      <alignment horizontal="left" indent="1"/>
    </xf>
    <xf numFmtId="49" fontId="0" fillId="0" borderId="0" xfId="0" quotePrefix="1" applyNumberFormat="1" applyAlignment="1">
      <alignment horizontal="left" indent="1"/>
    </xf>
    <xf numFmtId="0" fontId="3" fillId="0" borderId="0" xfId="0" applyFont="1" applyAlignment="1">
      <alignment horizontal="left" indent="1"/>
    </xf>
    <xf numFmtId="49" fontId="48" fillId="0" borderId="0" xfId="0" applyNumberFormat="1" applyFont="1" applyFill="1"/>
    <xf numFmtId="49" fontId="0" fillId="0" borderId="5" xfId="0" quotePrefix="1" applyNumberFormat="1" applyBorder="1"/>
    <xf numFmtId="0" fontId="0" fillId="0" borderId="0" xfId="0" quotePrefix="1"/>
    <xf numFmtId="0" fontId="48" fillId="0" borderId="2" xfId="0" applyFont="1" applyBorder="1" applyAlignment="1">
      <alignment horizontal="center"/>
    </xf>
    <xf numFmtId="0" fontId="48" fillId="0" borderId="1" xfId="0" applyFont="1" applyBorder="1"/>
    <xf numFmtId="0" fontId="48" fillId="17" borderId="1" xfId="0" applyFont="1" applyFill="1" applyBorder="1"/>
    <xf numFmtId="171" fontId="0" fillId="3" borderId="0" xfId="0" applyNumberFormat="1" applyFont="1" applyFill="1"/>
    <xf numFmtId="0" fontId="70" fillId="7" borderId="0" xfId="0" applyFont="1" applyFill="1"/>
    <xf numFmtId="0" fontId="47" fillId="5" borderId="0" xfId="0" applyFont="1" applyFill="1" applyAlignment="1">
      <alignment horizontal="center"/>
    </xf>
    <xf numFmtId="0" fontId="24" fillId="0" borderId="0" xfId="0" applyFont="1" applyFill="1" applyBorder="1" applyAlignment="1">
      <alignment horizontal="center" vertical="center" wrapText="1"/>
    </xf>
    <xf numFmtId="0" fontId="0" fillId="0" borderId="0" xfId="0" applyAlignment="1">
      <alignment horizontal="center" wrapText="1"/>
    </xf>
    <xf numFmtId="0" fontId="0" fillId="0" borderId="3" xfId="0" applyBorder="1" applyAlignment="1">
      <alignment horizontal="center" wrapText="1"/>
    </xf>
    <xf numFmtId="0" fontId="0" fillId="0" borderId="3" xfId="0" applyBorder="1" applyAlignment="1">
      <alignment wrapText="1"/>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Border="1" applyAlignment="1">
      <alignment horizontal="left" wrapText="1" indent="1"/>
    </xf>
    <xf numFmtId="0" fontId="0" fillId="0" borderId="0" xfId="0" applyFill="1" applyBorder="1" applyAlignment="1">
      <alignment horizontal="center" wrapText="1"/>
    </xf>
    <xf numFmtId="0" fontId="0" fillId="0" borderId="0" xfId="0" applyFill="1" applyBorder="1" applyAlignment="1">
      <alignment horizontal="left" wrapText="1" indent="1"/>
    </xf>
    <xf numFmtId="0" fontId="0" fillId="0" borderId="3" xfId="0" applyFill="1" applyBorder="1" applyAlignment="1">
      <alignment horizontal="center" wrapText="1"/>
    </xf>
    <xf numFmtId="166" fontId="0" fillId="0" borderId="4" xfId="87" applyNumberFormat="1" applyFont="1" applyBorder="1"/>
    <xf numFmtId="166" fontId="0" fillId="0" borderId="0" xfId="87" applyNumberFormat="1" applyFont="1" applyBorder="1"/>
    <xf numFmtId="166" fontId="0" fillId="0" borderId="2" xfId="87" applyNumberFormat="1" applyFont="1" applyBorder="1"/>
    <xf numFmtId="0" fontId="3" fillId="46" borderId="3" xfId="0" applyFont="1" applyFill="1" applyBorder="1" applyAlignment="1">
      <alignment vertical="center"/>
    </xf>
    <xf numFmtId="0" fontId="3" fillId="46" borderId="0" xfId="0" applyFont="1" applyFill="1" applyBorder="1" applyAlignment="1">
      <alignment vertical="center"/>
    </xf>
    <xf numFmtId="0" fontId="0" fillId="0" borderId="5" xfId="0" applyBorder="1" applyAlignment="1">
      <alignment horizontal="center"/>
    </xf>
    <xf numFmtId="0" fontId="0" fillId="4" borderId="0" xfId="0" applyFill="1"/>
    <xf numFmtId="44" fontId="0" fillId="0" borderId="0" xfId="87" applyFont="1"/>
    <xf numFmtId="44" fontId="0" fillId="3" borderId="6" xfId="87" applyFont="1" applyFill="1" applyBorder="1"/>
    <xf numFmtId="0" fontId="5" fillId="0" borderId="0" xfId="0" applyFont="1" applyBorder="1" applyAlignment="1">
      <alignment horizontal="left"/>
    </xf>
    <xf numFmtId="164" fontId="4" fillId="0" borderId="0" xfId="0" applyNumberFormat="1" applyFont="1" applyBorder="1"/>
    <xf numFmtId="0" fontId="35" fillId="0" borderId="0" xfId="0" applyFont="1" applyFill="1" applyBorder="1" applyAlignment="1">
      <alignment horizontal="left" indent="1"/>
    </xf>
    <xf numFmtId="172" fontId="43" fillId="0" borderId="0" xfId="0" applyNumberFormat="1" applyFont="1" applyFill="1" applyBorder="1"/>
    <xf numFmtId="0" fontId="0" fillId="3" borderId="0" xfId="0" applyFill="1" applyAlignment="1">
      <alignment horizontal="center"/>
    </xf>
    <xf numFmtId="0" fontId="3" fillId="2" borderId="0" xfId="0" applyFont="1" applyFill="1"/>
    <xf numFmtId="0" fontId="0" fillId="2" borderId="0" xfId="0" applyFill="1"/>
    <xf numFmtId="0" fontId="3" fillId="2" borderId="0" xfId="0" applyFont="1" applyFill="1" applyAlignment="1">
      <alignment horizontal="center"/>
    </xf>
    <xf numFmtId="0" fontId="0" fillId="2" borderId="3" xfId="0" applyFill="1" applyBorder="1" applyAlignment="1">
      <alignment horizontal="left" wrapText="1" indent="1"/>
    </xf>
    <xf numFmtId="0" fontId="0" fillId="2" borderId="3" xfId="0" applyFill="1" applyBorder="1" applyAlignment="1">
      <alignment horizontal="center" wrapText="1"/>
    </xf>
    <xf numFmtId="0" fontId="3" fillId="2" borderId="3" xfId="0" applyFont="1" applyFill="1" applyBorder="1" applyAlignment="1">
      <alignment horizontal="left" wrapText="1"/>
    </xf>
    <xf numFmtId="0" fontId="98" fillId="46" borderId="6" xfId="0" applyFont="1" applyFill="1" applyBorder="1"/>
    <xf numFmtId="164" fontId="0" fillId="2" borderId="9" xfId="1" applyNumberFormat="1" applyFont="1" applyFill="1" applyBorder="1" applyAlignment="1">
      <alignment horizontal="left" wrapText="1" indent="1"/>
    </xf>
    <xf numFmtId="164" fontId="0" fillId="2" borderId="9" xfId="1" applyNumberFormat="1" applyFont="1" applyFill="1" applyBorder="1" applyAlignment="1">
      <alignment horizontal="center" wrapText="1"/>
    </xf>
    <xf numFmtId="164" fontId="3" fillId="2" borderId="9" xfId="1" applyNumberFormat="1" applyFont="1" applyFill="1" applyBorder="1" applyAlignment="1">
      <alignment horizontal="left" wrapText="1"/>
    </xf>
    <xf numFmtId="0" fontId="0" fillId="0" borderId="0" xfId="0" applyBorder="1" applyAlignment="1">
      <alignment wrapText="1"/>
    </xf>
    <xf numFmtId="0" fontId="0" fillId="0" borderId="9" xfId="0" applyBorder="1"/>
    <xf numFmtId="41" fontId="42" fillId="3" borderId="0" xfId="0" applyNumberFormat="1" applyFont="1" applyFill="1" applyBorder="1"/>
    <xf numFmtId="175" fontId="43" fillId="0" borderId="0" xfId="0" applyNumberFormat="1" applyFont="1" applyBorder="1" applyAlignment="1" applyProtection="1">
      <alignment vertical="top" wrapText="1"/>
      <protection locked="0"/>
    </xf>
    <xf numFmtId="172" fontId="8" fillId="0" borderId="0" xfId="0" applyNumberFormat="1" applyFont="1"/>
    <xf numFmtId="42" fontId="78" fillId="0" borderId="0" xfId="0" applyNumberFormat="1" applyFont="1" applyBorder="1"/>
    <xf numFmtId="176" fontId="42" fillId="0" borderId="0" xfId="1" applyNumberFormat="1" applyFont="1" applyBorder="1"/>
    <xf numFmtId="166" fontId="0" fillId="0" borderId="0" xfId="0" applyNumberFormat="1" applyBorder="1"/>
    <xf numFmtId="43" fontId="0" fillId="0" borderId="0" xfId="0" applyNumberFormat="1" applyBorder="1"/>
    <xf numFmtId="172" fontId="78" fillId="0" borderId="0" xfId="0" applyNumberFormat="1" applyFont="1" applyFill="1" applyBorder="1" applyAlignment="1" applyProtection="1">
      <alignment vertical="top" wrapText="1"/>
      <protection locked="0"/>
    </xf>
    <xf numFmtId="172" fontId="78" fillId="0" borderId="0" xfId="0" applyNumberFormat="1" applyFont="1" applyFill="1" applyBorder="1"/>
    <xf numFmtId="172" fontId="78" fillId="10" borderId="0" xfId="0" applyNumberFormat="1" applyFont="1" applyFill="1" applyBorder="1"/>
    <xf numFmtId="172" fontId="95" fillId="0" borderId="3" xfId="0" applyNumberFormat="1" applyFont="1" applyFill="1" applyBorder="1" applyAlignment="1" applyProtection="1">
      <alignment vertical="top" wrapText="1"/>
      <protection locked="0"/>
    </xf>
    <xf numFmtId="172" fontId="95" fillId="0" borderId="3" xfId="0" applyNumberFormat="1" applyFont="1" applyBorder="1" applyAlignment="1" applyProtection="1">
      <alignment vertical="top" wrapText="1"/>
      <protection locked="0"/>
    </xf>
    <xf numFmtId="172" fontId="107" fillId="0" borderId="0" xfId="0" applyNumberFormat="1" applyFont="1" applyBorder="1" applyAlignment="1" applyProtection="1">
      <alignment vertical="top" wrapText="1"/>
      <protection locked="0"/>
    </xf>
    <xf numFmtId="172" fontId="107" fillId="10" borderId="0" xfId="0" applyNumberFormat="1" applyFont="1" applyFill="1" applyBorder="1" applyAlignment="1" applyProtection="1">
      <alignment vertical="top" wrapText="1"/>
      <protection locked="0"/>
    </xf>
    <xf numFmtId="0" fontId="107" fillId="0" borderId="0" xfId="0" applyFont="1" applyBorder="1" applyAlignment="1" applyProtection="1">
      <alignment vertical="top" wrapText="1"/>
      <protection locked="0"/>
    </xf>
    <xf numFmtId="0" fontId="107" fillId="10" borderId="0" xfId="0" applyFont="1" applyFill="1" applyBorder="1" applyAlignment="1" applyProtection="1">
      <alignment vertical="top" wrapText="1"/>
      <protection locked="0"/>
    </xf>
    <xf numFmtId="0" fontId="0" fillId="0" borderId="0" xfId="0" applyFill="1" applyBorder="1" applyAlignment="1">
      <alignment horizontal="center"/>
    </xf>
    <xf numFmtId="0" fontId="108" fillId="0" borderId="0" xfId="0" applyFont="1"/>
    <xf numFmtId="172" fontId="100" fillId="17" borderId="0" xfId="0" applyNumberFormat="1" applyFont="1" applyFill="1" applyAlignment="1" applyProtection="1">
      <alignment vertical="top" wrapText="1"/>
      <protection locked="0"/>
    </xf>
    <xf numFmtId="172" fontId="100" fillId="0" borderId="0" xfId="1" applyNumberFormat="1" applyFont="1" applyBorder="1" applyAlignment="1" applyProtection="1">
      <alignment vertical="top" wrapText="1"/>
      <protection locked="0"/>
    </xf>
    <xf numFmtId="172" fontId="100" fillId="10" borderId="0" xfId="1" applyNumberFormat="1" applyFont="1" applyFill="1" applyBorder="1" applyAlignment="1" applyProtection="1">
      <alignment vertical="top" wrapText="1"/>
      <protection locked="0"/>
    </xf>
    <xf numFmtId="164" fontId="18" fillId="0" borderId="0" xfId="0" quotePrefix="1" applyNumberFormat="1" applyFont="1" applyBorder="1"/>
    <xf numFmtId="0" fontId="0" fillId="0" borderId="2" xfId="0" applyBorder="1" applyAlignment="1">
      <alignment horizontal="center"/>
    </xf>
    <xf numFmtId="0" fontId="0" fillId="0" borderId="2" xfId="0" applyFill="1" applyBorder="1" applyAlignment="1">
      <alignment horizontal="center"/>
    </xf>
    <xf numFmtId="164" fontId="109" fillId="0" borderId="0" xfId="1" applyNumberFormat="1" applyFont="1"/>
    <xf numFmtId="164" fontId="110" fillId="0" borderId="0" xfId="1" applyNumberFormat="1" applyFont="1"/>
    <xf numFmtId="164" fontId="109" fillId="38" borderId="0" xfId="1" applyNumberFormat="1" applyFont="1" applyFill="1"/>
    <xf numFmtId="164" fontId="111" fillId="0" borderId="0" xfId="1" applyNumberFormat="1" applyFont="1" applyBorder="1"/>
    <xf numFmtId="0" fontId="5" fillId="0" borderId="0" xfId="5616" applyFont="1" applyFill="1" applyBorder="1"/>
    <xf numFmtId="164" fontId="111" fillId="0" borderId="1" xfId="1" applyNumberFormat="1" applyFont="1" applyBorder="1"/>
    <xf numFmtId="42" fontId="0" fillId="0" borderId="0" xfId="0" applyNumberFormat="1"/>
    <xf numFmtId="42" fontId="42" fillId="4" borderId="0" xfId="0" applyNumberFormat="1" applyFont="1" applyFill="1" applyBorder="1"/>
    <xf numFmtId="0" fontId="107" fillId="0" borderId="5" xfId="0" applyFont="1" applyBorder="1" applyAlignment="1" applyProtection="1">
      <alignment vertical="top" wrapText="1"/>
      <protection locked="0"/>
    </xf>
    <xf numFmtId="172" fontId="108" fillId="0" borderId="0" xfId="0" applyNumberFormat="1" applyFont="1"/>
    <xf numFmtId="1" fontId="107" fillId="0" borderId="0" xfId="0" applyNumberFormat="1" applyFont="1" applyBorder="1" applyAlignment="1" applyProtection="1">
      <alignment vertical="top" wrapText="1"/>
      <protection locked="0"/>
    </xf>
    <xf numFmtId="0" fontId="74" fillId="33" borderId="54" xfId="0" applyFont="1" applyFill="1" applyBorder="1" applyAlignment="1" applyProtection="1">
      <alignment horizontal="center" vertical="top" wrapText="1" readingOrder="1"/>
      <protection locked="0"/>
    </xf>
    <xf numFmtId="172" fontId="112" fillId="0" borderId="0" xfId="0" applyNumberFormat="1" applyFont="1"/>
    <xf numFmtId="0" fontId="112" fillId="0" borderId="0" xfId="0" applyFont="1"/>
    <xf numFmtId="1" fontId="112" fillId="0" borderId="0" xfId="0" applyNumberFormat="1" applyFont="1"/>
    <xf numFmtId="178" fontId="107" fillId="0" borderId="0" xfId="0" applyNumberFormat="1" applyFont="1" applyFill="1" applyBorder="1" applyAlignment="1" applyProtection="1">
      <alignment vertical="top" wrapText="1"/>
      <protection locked="0"/>
    </xf>
    <xf numFmtId="178" fontId="107" fillId="0" borderId="0" xfId="0" applyNumberFormat="1" applyFont="1" applyFill="1" applyBorder="1"/>
    <xf numFmtId="178" fontId="107" fillId="10" borderId="0" xfId="0" applyNumberFormat="1" applyFont="1" applyFill="1" applyBorder="1"/>
    <xf numFmtId="172" fontId="93" fillId="0" borderId="3" xfId="0" applyNumberFormat="1" applyFont="1" applyFill="1" applyBorder="1" applyAlignment="1" applyProtection="1">
      <alignment vertical="top" wrapText="1"/>
      <protection locked="0"/>
    </xf>
    <xf numFmtId="172" fontId="90" fillId="0" borderId="3" xfId="0" applyNumberFormat="1" applyFont="1" applyFill="1" applyBorder="1" applyAlignment="1" applyProtection="1">
      <alignment vertical="top" wrapText="1"/>
      <protection locked="0"/>
    </xf>
    <xf numFmtId="164" fontId="113" fillId="5" borderId="0" xfId="2281" applyNumberFormat="1" applyFont="1" applyFill="1"/>
    <xf numFmtId="164" fontId="113" fillId="0" borderId="0" xfId="2281" applyNumberFormat="1" applyFont="1" applyFill="1"/>
    <xf numFmtId="164" fontId="113" fillId="0" borderId="0" xfId="2281" applyNumberFormat="1" applyFont="1" applyFill="1" applyBorder="1"/>
    <xf numFmtId="164" fontId="114" fillId="5" borderId="0" xfId="2281" applyNumberFormat="1" applyFont="1" applyFill="1"/>
    <xf numFmtId="164" fontId="114" fillId="0" borderId="0" xfId="2281" applyNumberFormat="1" applyFont="1" applyFill="1"/>
    <xf numFmtId="164" fontId="114" fillId="0" borderId="0" xfId="2281" applyNumberFormat="1" applyFont="1" applyFill="1" applyBorder="1"/>
    <xf numFmtId="164" fontId="114" fillId="0" borderId="0" xfId="1" applyNumberFormat="1" applyFont="1" applyFill="1" applyBorder="1"/>
    <xf numFmtId="164" fontId="114" fillId="0" borderId="0" xfId="1" applyNumberFormat="1" applyFont="1" applyFill="1"/>
    <xf numFmtId="164" fontId="114" fillId="7" borderId="0" xfId="1" applyNumberFormat="1" applyFont="1" applyFill="1"/>
    <xf numFmtId="164" fontId="114" fillId="7" borderId="0" xfId="2281" applyNumberFormat="1" applyFont="1" applyFill="1"/>
    <xf numFmtId="164" fontId="114" fillId="29" borderId="3" xfId="0" applyNumberFormat="1" applyFont="1" applyFill="1" applyBorder="1"/>
    <xf numFmtId="0" fontId="112" fillId="0" borderId="0" xfId="0" applyFont="1" applyFill="1"/>
    <xf numFmtId="172" fontId="0" fillId="25" borderId="4" xfId="0" applyNumberFormat="1" applyFill="1" applyBorder="1"/>
    <xf numFmtId="0" fontId="0" fillId="25" borderId="4" xfId="0" applyFill="1" applyBorder="1"/>
    <xf numFmtId="0" fontId="0" fillId="44" borderId="0" xfId="0" applyFill="1" applyBorder="1" applyAlignment="1">
      <alignment horizontal="left" indent="1"/>
    </xf>
    <xf numFmtId="0" fontId="0" fillId="44" borderId="0" xfId="0" applyFill="1" applyBorder="1"/>
    <xf numFmtId="172" fontId="0" fillId="44" borderId="0" xfId="0" applyNumberFormat="1" applyFill="1" applyBorder="1"/>
    <xf numFmtId="172" fontId="0" fillId="0" borderId="0" xfId="0" applyNumberFormat="1" applyFill="1" applyBorder="1"/>
    <xf numFmtId="172" fontId="0" fillId="25" borderId="0" xfId="0" applyNumberFormat="1" applyFill="1" applyBorder="1"/>
    <xf numFmtId="0" fontId="0" fillId="25" borderId="0" xfId="0" applyFill="1" applyBorder="1"/>
    <xf numFmtId="0" fontId="0" fillId="30" borderId="0" xfId="0" applyFill="1" applyBorder="1" applyAlignment="1">
      <alignment horizontal="left" indent="1"/>
    </xf>
    <xf numFmtId="172" fontId="0" fillId="30" borderId="0" xfId="0" applyNumberFormat="1" applyFill="1" applyBorder="1"/>
    <xf numFmtId="0" fontId="0" fillId="44" borderId="0" xfId="0" applyFill="1" applyAlignment="1">
      <alignment horizontal="left" indent="1"/>
    </xf>
    <xf numFmtId="172" fontId="0" fillId="44" borderId="0" xfId="0" applyNumberFormat="1" applyFill="1"/>
    <xf numFmtId="0" fontId="44" fillId="9" borderId="34" xfId="0" applyFont="1" applyFill="1" applyBorder="1" applyAlignment="1" applyProtection="1">
      <alignment horizontal="left" vertical="top" indent="1"/>
      <protection locked="0"/>
    </xf>
    <xf numFmtId="164" fontId="42" fillId="9" borderId="0" xfId="1" applyNumberFormat="1" applyFont="1" applyFill="1" applyBorder="1" applyAlignment="1" applyProtection="1">
      <alignment vertical="top" wrapText="1"/>
      <protection locked="0"/>
    </xf>
    <xf numFmtId="0" fontId="42" fillId="9" borderId="0" xfId="0" applyFont="1" applyFill="1" applyBorder="1" applyAlignment="1" applyProtection="1">
      <alignment vertical="top" wrapText="1"/>
      <protection locked="0"/>
    </xf>
    <xf numFmtId="172" fontId="42" fillId="3" borderId="0" xfId="0" applyNumberFormat="1" applyFont="1" applyFill="1" applyBorder="1" applyAlignment="1" applyProtection="1">
      <alignment vertical="center" wrapText="1"/>
      <protection locked="0"/>
    </xf>
    <xf numFmtId="172" fontId="100" fillId="3" borderId="0" xfId="0" applyNumberFormat="1" applyFont="1" applyFill="1" applyBorder="1" applyAlignment="1" applyProtection="1">
      <alignment vertical="center" wrapText="1"/>
      <protection locked="0"/>
    </xf>
    <xf numFmtId="172" fontId="100" fillId="3" borderId="3" xfId="0" applyNumberFormat="1" applyFont="1" applyFill="1" applyBorder="1" applyAlignment="1" applyProtection="1">
      <alignment vertical="top" wrapText="1"/>
      <protection locked="0"/>
    </xf>
    <xf numFmtId="172" fontId="42" fillId="3" borderId="3" xfId="0" applyNumberFormat="1" applyFont="1" applyFill="1" applyBorder="1" applyAlignment="1" applyProtection="1">
      <alignment vertical="top" wrapText="1"/>
      <protection locked="0"/>
    </xf>
    <xf numFmtId="3" fontId="0" fillId="0" borderId="0" xfId="0" applyNumberFormat="1" applyAlignment="1">
      <alignment horizontal="center"/>
    </xf>
    <xf numFmtId="0" fontId="74" fillId="33" borderId="0" xfId="0" applyFont="1" applyFill="1" applyBorder="1" applyAlignment="1" applyProtection="1">
      <alignment horizontal="center" vertical="top" wrapText="1" readingOrder="1"/>
      <protection locked="0"/>
    </xf>
    <xf numFmtId="164" fontId="67" fillId="0" borderId="0" xfId="0" applyNumberFormat="1" applyFont="1" applyFill="1"/>
    <xf numFmtId="164" fontId="41" fillId="3" borderId="3" xfId="0" applyNumberFormat="1" applyFont="1" applyFill="1" applyBorder="1"/>
    <xf numFmtId="164" fontId="41" fillId="3" borderId="0" xfId="0" applyNumberFormat="1" applyFont="1" applyFill="1" applyBorder="1"/>
    <xf numFmtId="164" fontId="44" fillId="3" borderId="3" xfId="0" applyNumberFormat="1" applyFont="1" applyFill="1" applyBorder="1"/>
    <xf numFmtId="164" fontId="44" fillId="3" borderId="0" xfId="0" applyNumberFormat="1" applyFont="1" applyFill="1" applyBorder="1"/>
    <xf numFmtId="41" fontId="17" fillId="4" borderId="0" xfId="142" applyNumberFormat="1" applyFont="1" applyFill="1"/>
    <xf numFmtId="164" fontId="41" fillId="4" borderId="0" xfId="0" applyNumberFormat="1" applyFont="1" applyFill="1"/>
    <xf numFmtId="41" fontId="17" fillId="4" borderId="0" xfId="0" applyNumberFormat="1" applyFont="1" applyFill="1"/>
    <xf numFmtId="0" fontId="20" fillId="0" borderId="0" xfId="142" applyFont="1" applyBorder="1" applyAlignment="1">
      <alignment horizontal="left"/>
    </xf>
    <xf numFmtId="0" fontId="17" fillId="40" borderId="0" xfId="142" applyFont="1" applyFill="1"/>
    <xf numFmtId="41" fontId="21" fillId="46" borderId="0" xfId="142" applyNumberFormat="1" applyFont="1" applyFill="1" applyBorder="1" applyAlignment="1">
      <alignment vertical="center"/>
    </xf>
    <xf numFmtId="41" fontId="25" fillId="0" borderId="0" xfId="142" applyNumberFormat="1" applyFont="1" applyFill="1"/>
    <xf numFmtId="41" fontId="17" fillId="6" borderId="0" xfId="142" applyNumberFormat="1" applyFont="1" applyFill="1" applyBorder="1" applyAlignment="1">
      <alignment vertical="center"/>
    </xf>
    <xf numFmtId="164" fontId="25" fillId="0" borderId="0" xfId="142" applyNumberFormat="1" applyFont="1" applyFill="1"/>
    <xf numFmtId="165" fontId="47" fillId="0" borderId="0" xfId="2" applyNumberFormat="1" applyFont="1"/>
    <xf numFmtId="165" fontId="47" fillId="0" borderId="0" xfId="0" applyNumberFormat="1" applyFont="1"/>
    <xf numFmtId="164" fontId="47" fillId="34" borderId="0" xfId="1" applyNumberFormat="1" applyFont="1" applyFill="1"/>
    <xf numFmtId="37" fontId="24" fillId="3" borderId="0" xfId="0" applyNumberFormat="1" applyFont="1" applyFill="1" applyAlignment="1">
      <alignment vertical="center"/>
    </xf>
    <xf numFmtId="41" fontId="45" fillId="0" borderId="0" xfId="0" applyNumberFormat="1" applyFont="1"/>
    <xf numFmtId="0" fontId="3" fillId="0" borderId="26" xfId="0" applyFont="1" applyBorder="1" applyAlignment="1">
      <alignment wrapText="1"/>
    </xf>
    <xf numFmtId="0" fontId="3" fillId="0" borderId="26" xfId="0" applyFont="1" applyBorder="1" applyAlignment="1">
      <alignment horizontal="left" indent="1"/>
    </xf>
    <xf numFmtId="165" fontId="3" fillId="0" borderId="0" xfId="0" applyNumberFormat="1" applyFont="1" applyFill="1" applyBorder="1"/>
    <xf numFmtId="166" fontId="3" fillId="0" borderId="0" xfId="0" applyNumberFormat="1" applyFont="1" applyBorder="1"/>
    <xf numFmtId="166" fontId="3" fillId="3" borderId="0" xfId="87" applyNumberFormat="1" applyFont="1" applyFill="1" applyBorder="1"/>
    <xf numFmtId="0" fontId="0" fillId="0" borderId="9" xfId="0" applyFont="1" applyFill="1" applyBorder="1" applyAlignment="1">
      <alignment horizontal="left"/>
    </xf>
    <xf numFmtId="166" fontId="42" fillId="0" borderId="9" xfId="0" applyNumberFormat="1" applyFont="1" applyFill="1" applyBorder="1"/>
    <xf numFmtId="0" fontId="0" fillId="0" borderId="0" xfId="0" applyFont="1" applyFill="1" applyAlignment="1">
      <alignment horizontal="left" indent="1"/>
    </xf>
    <xf numFmtId="166" fontId="42" fillId="0" borderId="9" xfId="0" applyNumberFormat="1" applyFont="1" applyFill="1" applyBorder="1" applyAlignment="1">
      <alignment horizontal="left" indent="1"/>
    </xf>
    <xf numFmtId="166" fontId="3" fillId="10" borderId="9" xfId="0" applyNumberFormat="1" applyFont="1" applyFill="1" applyBorder="1" applyAlignment="1">
      <alignment horizontal="left" indent="1"/>
    </xf>
    <xf numFmtId="0" fontId="3" fillId="10" borderId="9" xfId="0" applyFont="1" applyFill="1" applyBorder="1" applyAlignment="1">
      <alignment horizontal="left"/>
    </xf>
    <xf numFmtId="0" fontId="47" fillId="0" borderId="20" xfId="0" applyFont="1" applyBorder="1"/>
    <xf numFmtId="0" fontId="47" fillId="0" borderId="26" xfId="0" applyFont="1" applyBorder="1" applyAlignment="1">
      <alignment horizontal="left" indent="1"/>
    </xf>
    <xf numFmtId="41" fontId="47" fillId="0" borderId="27" xfId="0" applyNumberFormat="1" applyFont="1" applyBorder="1"/>
    <xf numFmtId="0" fontId="47" fillId="0" borderId="21" xfId="0" applyFont="1" applyBorder="1" applyAlignment="1">
      <alignment horizontal="left" indent="1"/>
    </xf>
    <xf numFmtId="41" fontId="0" fillId="0" borderId="22" xfId="0" applyNumberFormat="1" applyBorder="1"/>
    <xf numFmtId="0" fontId="47" fillId="0" borderId="19" xfId="0" applyFont="1" applyFill="1" applyBorder="1" applyAlignment="1">
      <alignment horizontal="left"/>
    </xf>
    <xf numFmtId="0" fontId="47" fillId="0" borderId="28" xfId="0" applyFont="1" applyBorder="1"/>
    <xf numFmtId="0" fontId="60" fillId="0" borderId="3" xfId="0" applyFont="1" applyFill="1" applyBorder="1"/>
    <xf numFmtId="166" fontId="3" fillId="0" borderId="3" xfId="87" applyNumberFormat="1" applyFont="1" applyBorder="1"/>
    <xf numFmtId="166" fontId="117" fillId="0" borderId="0" xfId="87" applyNumberFormat="1" applyFont="1"/>
    <xf numFmtId="164" fontId="97" fillId="0" borderId="0" xfId="1" applyNumberFormat="1" applyFont="1" applyFill="1"/>
    <xf numFmtId="164" fontId="60" fillId="0" borderId="0" xfId="0" applyNumberFormat="1" applyFont="1" applyFill="1"/>
    <xf numFmtId="164" fontId="104" fillId="0" borderId="0" xfId="1" applyNumberFormat="1" applyFont="1" applyFill="1"/>
    <xf numFmtId="0" fontId="23" fillId="0" borderId="0" xfId="0" applyFont="1" applyFill="1" applyBorder="1" applyAlignment="1">
      <alignment horizontal="left" indent="1"/>
    </xf>
    <xf numFmtId="164" fontId="47" fillId="0" borderId="20" xfId="0" applyNumberFormat="1" applyFont="1" applyBorder="1" applyAlignment="1">
      <alignment horizontal="center"/>
    </xf>
    <xf numFmtId="164" fontId="118" fillId="0" borderId="0" xfId="0" applyNumberFormat="1" applyFont="1"/>
    <xf numFmtId="0" fontId="64" fillId="0" borderId="0" xfId="0" applyFont="1" applyFill="1"/>
    <xf numFmtId="0" fontId="30" fillId="0" borderId="19" xfId="0" applyFont="1" applyBorder="1" applyAlignment="1"/>
    <xf numFmtId="0" fontId="30" fillId="0" borderId="25" xfId="0" applyFont="1" applyBorder="1" applyAlignment="1"/>
    <xf numFmtId="10" fontId="30" fillId="4" borderId="20" xfId="0" applyNumberFormat="1" applyFont="1" applyFill="1" applyBorder="1" applyAlignment="1"/>
    <xf numFmtId="0" fontId="30" fillId="0" borderId="21" xfId="0" applyFont="1" applyBorder="1" applyAlignment="1"/>
    <xf numFmtId="0" fontId="30" fillId="0" borderId="28" xfId="0" applyFont="1" applyBorder="1" applyAlignment="1"/>
    <xf numFmtId="10" fontId="30" fillId="4" borderId="22" xfId="0" applyNumberFormat="1" applyFont="1" applyFill="1" applyBorder="1" applyAlignment="1"/>
    <xf numFmtId="37" fontId="24" fillId="18" borderId="0" xfId="0" applyNumberFormat="1" applyFont="1" applyFill="1" applyBorder="1" applyAlignment="1">
      <alignment horizontal="center" vertical="center"/>
    </xf>
    <xf numFmtId="37" fontId="24" fillId="17" borderId="0" xfId="0" applyNumberFormat="1" applyFont="1" applyFill="1" applyAlignment="1">
      <alignment vertical="center"/>
    </xf>
    <xf numFmtId="37" fontId="24" fillId="17" borderId="0" xfId="0" applyNumberFormat="1" applyFont="1" applyFill="1" applyAlignment="1">
      <alignment horizontal="center" vertical="center" wrapText="1"/>
    </xf>
    <xf numFmtId="164" fontId="5" fillId="0" borderId="0" xfId="0" applyNumberFormat="1" applyFont="1" applyProtection="1">
      <protection locked="0"/>
    </xf>
    <xf numFmtId="0" fontId="49" fillId="0" borderId="0" xfId="0" applyFont="1" applyFill="1" applyBorder="1" applyAlignment="1">
      <alignment horizontal="left" vertical="center" indent="1"/>
    </xf>
    <xf numFmtId="0" fontId="60" fillId="7" borderId="0" xfId="0" applyFont="1" applyFill="1" applyAlignment="1">
      <alignment vertical="center"/>
    </xf>
    <xf numFmtId="41" fontId="60" fillId="0" borderId="4" xfId="0" applyNumberFormat="1" applyFont="1" applyBorder="1"/>
    <xf numFmtId="165" fontId="60" fillId="0" borderId="4" xfId="0" applyNumberFormat="1" applyFont="1" applyBorder="1"/>
    <xf numFmtId="0" fontId="60" fillId="0" borderId="5" xfId="0" applyFont="1" applyBorder="1"/>
    <xf numFmtId="165" fontId="60" fillId="0" borderId="5" xfId="2" applyNumberFormat="1" applyFont="1" applyBorder="1"/>
    <xf numFmtId="10" fontId="60" fillId="0" borderId="5" xfId="2" applyNumberFormat="1" applyFont="1" applyBorder="1"/>
    <xf numFmtId="41" fontId="27" fillId="3" borderId="0" xfId="142" applyNumberFormat="1" applyFont="1" applyFill="1" applyAlignment="1">
      <alignment vertical="center"/>
    </xf>
    <xf numFmtId="0" fontId="24" fillId="25" borderId="9" xfId="143" applyFont="1" applyFill="1" applyBorder="1" applyAlignment="1">
      <alignment horizontal="center" wrapText="1"/>
    </xf>
    <xf numFmtId="41" fontId="26" fillId="25" borderId="0" xfId="142" applyNumberFormat="1" applyFont="1" applyFill="1" applyAlignment="1">
      <alignment vertical="center"/>
    </xf>
    <xf numFmtId="41" fontId="27" fillId="25" borderId="0" xfId="142" applyNumberFormat="1" applyFont="1" applyFill="1" applyAlignment="1">
      <alignment vertical="center"/>
    </xf>
    <xf numFmtId="41" fontId="27" fillId="25" borderId="0" xfId="142" applyNumberFormat="1" applyFont="1" applyFill="1" applyBorder="1" applyAlignment="1">
      <alignment vertical="center"/>
    </xf>
    <xf numFmtId="41" fontId="27" fillId="3" borderId="0" xfId="142" applyNumberFormat="1" applyFont="1" applyFill="1" applyBorder="1" applyAlignment="1">
      <alignment vertical="center"/>
    </xf>
    <xf numFmtId="164" fontId="25" fillId="0" borderId="0" xfId="1" applyNumberFormat="1" applyFont="1" applyFill="1"/>
    <xf numFmtId="164" fontId="25" fillId="3" borderId="0" xfId="1" applyNumberFormat="1" applyFont="1" applyFill="1"/>
    <xf numFmtId="164" fontId="3" fillId="0" borderId="0" xfId="0" applyNumberFormat="1" applyFont="1"/>
    <xf numFmtId="10" fontId="0" fillId="0" borderId="0" xfId="0" applyNumberFormat="1" applyBorder="1"/>
    <xf numFmtId="10" fontId="0" fillId="0" borderId="25" xfId="0" applyNumberFormat="1" applyBorder="1"/>
    <xf numFmtId="10" fontId="3" fillId="19" borderId="28" xfId="0" applyNumberFormat="1" applyFont="1" applyFill="1" applyBorder="1"/>
    <xf numFmtId="43" fontId="23" fillId="5" borderId="0" xfId="1" applyFont="1" applyFill="1"/>
    <xf numFmtId="0" fontId="17" fillId="0" borderId="26" xfId="142" applyFont="1" applyFill="1" applyBorder="1" applyAlignment="1">
      <alignment horizontal="left" indent="1"/>
    </xf>
    <xf numFmtId="41" fontId="17" fillId="4" borderId="27" xfId="142" applyNumberFormat="1" applyFont="1" applyFill="1" applyBorder="1"/>
    <xf numFmtId="164" fontId="41" fillId="4" borderId="27" xfId="0" applyNumberFormat="1" applyFont="1" applyFill="1" applyBorder="1"/>
    <xf numFmtId="0" fontId="17" fillId="0" borderId="21" xfId="142" applyFont="1" applyFill="1" applyBorder="1" applyAlignment="1">
      <alignment horizontal="left" indent="1"/>
    </xf>
    <xf numFmtId="41" fontId="3" fillId="0" borderId="22" xfId="0" applyNumberFormat="1" applyFont="1" applyBorder="1"/>
    <xf numFmtId="0" fontId="17" fillId="0" borderId="23" xfId="142" applyFont="1" applyFill="1" applyBorder="1" applyAlignment="1">
      <alignment horizontal="left" indent="1"/>
    </xf>
    <xf numFmtId="3" fontId="3" fillId="0" borderId="24" xfId="0" applyNumberFormat="1" applyFont="1" applyBorder="1"/>
    <xf numFmtId="0" fontId="43" fillId="0" borderId="0" xfId="0" applyFont="1" applyAlignment="1">
      <alignment horizontal="center"/>
    </xf>
    <xf numFmtId="0" fontId="47" fillId="5" borderId="0" xfId="0" applyFont="1" applyFill="1" applyBorder="1" applyAlignment="1">
      <alignment horizontal="left" indent="1"/>
    </xf>
    <xf numFmtId="0" fontId="47" fillId="0" borderId="0" xfId="0" applyFont="1" applyFill="1" applyBorder="1" applyAlignment="1">
      <alignment horizontal="left" indent="2"/>
    </xf>
    <xf numFmtId="166" fontId="42" fillId="0" borderId="27" xfId="0" applyNumberFormat="1" applyFont="1" applyBorder="1"/>
    <xf numFmtId="37" fontId="81" fillId="0" borderId="0" xfId="0" applyNumberFormat="1" applyFont="1" applyFill="1" applyBorder="1" applyAlignment="1">
      <alignment horizontal="center" vertical="center" wrapText="1"/>
    </xf>
    <xf numFmtId="0" fontId="4" fillId="0" borderId="0" xfId="0" applyFont="1" applyProtection="1">
      <protection locked="0"/>
    </xf>
    <xf numFmtId="0" fontId="0" fillId="11" borderId="0" xfId="0" applyFont="1" applyFill="1" applyProtection="1">
      <protection locked="0"/>
    </xf>
    <xf numFmtId="41" fontId="60" fillId="0" borderId="4" xfId="0" applyNumberFormat="1" applyFont="1" applyFill="1" applyBorder="1"/>
    <xf numFmtId="166" fontId="5" fillId="0" borderId="0" xfId="0" applyNumberFormat="1" applyFont="1"/>
    <xf numFmtId="166" fontId="5" fillId="0" borderId="5" xfId="0" applyNumberFormat="1" applyFont="1" applyBorder="1"/>
    <xf numFmtId="0" fontId="43" fillId="0" borderId="3" xfId="0" applyFont="1" applyBorder="1" applyAlignment="1">
      <alignment horizontal="center" vertical="center" wrapText="1"/>
    </xf>
    <xf numFmtId="0" fontId="43" fillId="0" borderId="3" xfId="0" applyFont="1" applyBorder="1" applyAlignment="1">
      <alignment horizontal="center" vertical="center"/>
    </xf>
    <xf numFmtId="15" fontId="0" fillId="0" borderId="0" xfId="0" applyNumberFormat="1" applyFont="1" applyAlignment="1" applyProtection="1">
      <alignment horizontal="center" vertical="center"/>
      <protection locked="0"/>
    </xf>
    <xf numFmtId="165" fontId="0" fillId="0" borderId="25" xfId="2" applyNumberFormat="1" applyFont="1" applyBorder="1" applyAlignment="1" applyProtection="1">
      <alignment horizontal="center"/>
      <protection locked="0"/>
    </xf>
    <xf numFmtId="165" fontId="0" fillId="0" borderId="20" xfId="2" applyNumberFormat="1" applyFont="1" applyBorder="1" applyAlignment="1" applyProtection="1">
      <alignment horizontal="center"/>
      <protection locked="0"/>
    </xf>
    <xf numFmtId="165" fontId="0" fillId="0" borderId="0" xfId="2" applyNumberFormat="1" applyFont="1" applyBorder="1" applyAlignment="1" applyProtection="1">
      <alignment horizontal="center"/>
      <protection locked="0"/>
    </xf>
    <xf numFmtId="165" fontId="0" fillId="0" borderId="27" xfId="2" applyNumberFormat="1" applyFont="1" applyBorder="1" applyAlignment="1" applyProtection="1">
      <alignment horizontal="center"/>
      <protection locked="0"/>
    </xf>
    <xf numFmtId="165" fontId="0" fillId="0" borderId="28" xfId="2" applyNumberFormat="1" applyFont="1" applyBorder="1" applyAlignment="1" applyProtection="1">
      <alignment horizontal="center"/>
      <protection locked="0"/>
    </xf>
    <xf numFmtId="165" fontId="0" fillId="24" borderId="22" xfId="2" applyNumberFormat="1" applyFont="1" applyFill="1" applyBorder="1" applyAlignment="1" applyProtection="1">
      <alignment horizontal="center"/>
      <protection locked="0"/>
    </xf>
    <xf numFmtId="0" fontId="0" fillId="0" borderId="20" xfId="0" applyFont="1" applyBorder="1" applyProtection="1">
      <protection locked="0"/>
    </xf>
    <xf numFmtId="165" fontId="0" fillId="0" borderId="0" xfId="0" applyNumberFormat="1" applyFont="1" applyBorder="1" applyProtection="1">
      <protection locked="0"/>
    </xf>
    <xf numFmtId="0" fontId="0" fillId="0" borderId="27" xfId="0" applyFont="1" applyBorder="1" applyProtection="1">
      <protection locked="0"/>
    </xf>
    <xf numFmtId="0" fontId="0" fillId="0" borderId="22" xfId="0" applyFont="1" applyBorder="1" applyProtection="1">
      <protection locked="0"/>
    </xf>
    <xf numFmtId="9" fontId="0" fillId="0" borderId="0" xfId="0" applyNumberFormat="1" applyFont="1" applyProtection="1">
      <protection locked="0"/>
    </xf>
    <xf numFmtId="166" fontId="0" fillId="0" borderId="0" xfId="0" applyNumberFormat="1" applyFont="1" applyProtection="1">
      <protection locked="0"/>
    </xf>
    <xf numFmtId="44" fontId="0" fillId="0" borderId="0" xfId="0" applyNumberFormat="1" applyFont="1" applyProtection="1">
      <protection locked="0"/>
    </xf>
    <xf numFmtId="0" fontId="3" fillId="10" borderId="19" xfId="0" applyFont="1" applyFill="1" applyBorder="1" applyAlignment="1" applyProtection="1">
      <alignment horizontal="center" vertical="center"/>
      <protection locked="0"/>
    </xf>
    <xf numFmtId="166" fontId="3" fillId="10" borderId="25" xfId="0" applyNumberFormat="1" applyFont="1" applyFill="1" applyBorder="1" applyAlignment="1" applyProtection="1">
      <alignment vertical="center"/>
      <protection locked="0"/>
    </xf>
    <xf numFmtId="0" fontId="0" fillId="10" borderId="20" xfId="0" applyFont="1" applyFill="1" applyBorder="1" applyAlignment="1" applyProtection="1">
      <alignment horizontal="center" vertical="center"/>
      <protection locked="0"/>
    </xf>
    <xf numFmtId="0" fontId="3" fillId="10" borderId="21" xfId="0" applyFont="1" applyFill="1" applyBorder="1" applyAlignment="1" applyProtection="1">
      <alignment horizontal="center" vertical="center"/>
      <protection locked="0"/>
    </xf>
    <xf numFmtId="166" fontId="3" fillId="21" borderId="28" xfId="0" applyNumberFormat="1" applyFont="1" applyFill="1" applyBorder="1" applyAlignment="1" applyProtection="1">
      <alignment vertical="center"/>
      <protection locked="0"/>
    </xf>
    <xf numFmtId="0" fontId="0" fillId="10" borderId="22" xfId="0" applyFont="1" applyFill="1" applyBorder="1" applyProtection="1">
      <protection locked="0"/>
    </xf>
    <xf numFmtId="0" fontId="0" fillId="0" borderId="19" xfId="0" applyFont="1" applyFill="1" applyBorder="1" applyProtection="1">
      <protection locked="0"/>
    </xf>
    <xf numFmtId="0" fontId="0" fillId="0" borderId="25" xfId="0" applyFont="1" applyFill="1" applyBorder="1" applyProtection="1">
      <protection locked="0"/>
    </xf>
    <xf numFmtId="166" fontId="0" fillId="21" borderId="20" xfId="87" applyNumberFormat="1" applyFont="1" applyFill="1" applyBorder="1" applyProtection="1">
      <protection locked="0"/>
    </xf>
    <xf numFmtId="0" fontId="0" fillId="0" borderId="21" xfId="0" applyFont="1" applyFill="1" applyBorder="1" applyProtection="1">
      <protection locked="0"/>
    </xf>
    <xf numFmtId="0" fontId="0" fillId="0" borderId="28" xfId="0" applyFont="1" applyFill="1" applyBorder="1" applyProtection="1">
      <protection locked="0"/>
    </xf>
    <xf numFmtId="166" fontId="0" fillId="21" borderId="22" xfId="87" applyNumberFormat="1" applyFont="1" applyFill="1" applyBorder="1" applyProtection="1">
      <protection locked="0"/>
    </xf>
    <xf numFmtId="0" fontId="3" fillId="0" borderId="0" xfId="0" applyFont="1" applyProtection="1">
      <protection locked="0"/>
    </xf>
    <xf numFmtId="165" fontId="3" fillId="0" borderId="0" xfId="0" applyNumberFormat="1" applyFont="1" applyFill="1" applyBorder="1" applyAlignment="1" applyProtection="1">
      <alignment horizontal="center"/>
    </xf>
    <xf numFmtId="165" fontId="3" fillId="19" borderId="20" xfId="0" applyNumberFormat="1" applyFont="1" applyFill="1" applyBorder="1" applyAlignment="1" applyProtection="1">
      <alignment horizontal="center"/>
      <protection locked="0"/>
    </xf>
    <xf numFmtId="165" fontId="3" fillId="19" borderId="27" xfId="0" applyNumberFormat="1" applyFont="1" applyFill="1" applyBorder="1" applyAlignment="1" applyProtection="1">
      <alignment horizontal="center"/>
      <protection locked="0"/>
    </xf>
    <xf numFmtId="0" fontId="0" fillId="0" borderId="26" xfId="0" applyFont="1" applyFill="1" applyBorder="1" applyProtection="1">
      <protection locked="0"/>
    </xf>
    <xf numFmtId="0" fontId="0" fillId="0" borderId="0" xfId="0" applyFont="1" applyFill="1" applyBorder="1" applyProtection="1">
      <protection locked="0"/>
    </xf>
    <xf numFmtId="9" fontId="3" fillId="19" borderId="27" xfId="0" applyNumberFormat="1" applyFont="1" applyFill="1" applyBorder="1" applyAlignment="1" applyProtection="1">
      <alignment horizontal="center" vertical="center"/>
      <protection locked="0"/>
    </xf>
    <xf numFmtId="9" fontId="3" fillId="19" borderId="22" xfId="0" applyNumberFormat="1" applyFont="1" applyFill="1" applyBorder="1" applyAlignment="1" applyProtection="1">
      <alignment horizontal="center" vertical="center"/>
      <protection locked="0"/>
    </xf>
    <xf numFmtId="0" fontId="3" fillId="0" borderId="30" xfId="0" applyFont="1" applyBorder="1" applyProtection="1">
      <protection locked="0"/>
    </xf>
    <xf numFmtId="0" fontId="3" fillId="0" borderId="31" xfId="0" applyFont="1" applyBorder="1" applyProtection="1">
      <protection locked="0"/>
    </xf>
    <xf numFmtId="0" fontId="3" fillId="0" borderId="31" xfId="0" applyFont="1" applyBorder="1" applyAlignment="1" applyProtection="1">
      <alignment horizontal="center"/>
      <protection locked="0"/>
    </xf>
    <xf numFmtId="0" fontId="3" fillId="0" borderId="19" xfId="0" applyFont="1" applyBorder="1" applyAlignment="1" applyProtection="1">
      <alignment vertical="center"/>
      <protection locked="0"/>
    </xf>
    <xf numFmtId="0" fontId="48" fillId="0" borderId="25" xfId="0" applyFont="1" applyBorder="1" applyAlignment="1" applyProtection="1">
      <alignment horizontal="left" vertical="center" wrapText="1" indent="1"/>
      <protection locked="0"/>
    </xf>
    <xf numFmtId="0" fontId="3" fillId="0" borderId="26" xfId="0" applyFont="1" applyBorder="1" applyAlignment="1" applyProtection="1">
      <alignment vertical="center"/>
      <protection locked="0"/>
    </xf>
    <xf numFmtId="0" fontId="48" fillId="0" borderId="0" xfId="0" applyFont="1" applyBorder="1" applyAlignment="1" applyProtection="1">
      <alignment horizontal="left" vertical="center" wrapText="1" indent="1"/>
      <protection locked="0"/>
    </xf>
    <xf numFmtId="0" fontId="3" fillId="0" borderId="21" xfId="0" applyFont="1" applyBorder="1" applyAlignment="1" applyProtection="1">
      <alignment vertical="center"/>
      <protection locked="0"/>
    </xf>
    <xf numFmtId="0" fontId="0" fillId="0" borderId="28" xfId="0" applyFont="1" applyBorder="1" applyAlignment="1" applyProtection="1">
      <alignment horizontal="left" vertical="center" indent="1"/>
      <protection locked="0"/>
    </xf>
    <xf numFmtId="10" fontId="0" fillId="29" borderId="50" xfId="2" applyNumberFormat="1" applyFont="1" applyFill="1" applyBorder="1" applyAlignment="1" applyProtection="1">
      <alignment horizontal="center" vertical="center"/>
      <protection locked="0"/>
    </xf>
    <xf numFmtId="166" fontId="0" fillId="9" borderId="50" xfId="87" applyNumberFormat="1" applyFont="1" applyFill="1" applyBorder="1" applyAlignment="1" applyProtection="1">
      <alignment horizontal="left" vertical="center"/>
      <protection locked="0"/>
    </xf>
    <xf numFmtId="10" fontId="0" fillId="29" borderId="45" xfId="0" applyNumberFormat="1" applyFont="1" applyFill="1" applyBorder="1" applyAlignment="1" applyProtection="1">
      <alignment horizontal="center" vertical="center"/>
      <protection locked="0"/>
    </xf>
    <xf numFmtId="166" fontId="0" fillId="9" borderId="45" xfId="87" applyNumberFormat="1" applyFont="1" applyFill="1" applyBorder="1" applyAlignment="1" applyProtection="1">
      <alignment horizontal="left" vertical="center"/>
      <protection locked="0"/>
    </xf>
    <xf numFmtId="0" fontId="48" fillId="0" borderId="28" xfId="0" applyFont="1" applyBorder="1" applyAlignment="1" applyProtection="1">
      <alignment horizontal="left" vertical="center" wrapText="1" indent="1"/>
      <protection locked="0"/>
    </xf>
    <xf numFmtId="10" fontId="0" fillId="29" borderId="45" xfId="2" applyNumberFormat="1" applyFont="1" applyFill="1" applyBorder="1" applyAlignment="1" applyProtection="1">
      <alignment horizontal="center" vertical="center"/>
      <protection locked="0"/>
    </xf>
    <xf numFmtId="10" fontId="0" fillId="29" borderId="10" xfId="2" applyNumberFormat="1" applyFont="1" applyFill="1" applyBorder="1" applyAlignment="1" applyProtection="1">
      <alignment horizontal="center" vertical="center"/>
      <protection locked="0"/>
    </xf>
    <xf numFmtId="166" fontId="0" fillId="9" borderId="10" xfId="87" applyNumberFormat="1" applyFont="1" applyFill="1" applyBorder="1" applyAlignment="1" applyProtection="1">
      <alignment horizontal="left" vertical="center"/>
      <protection locked="0"/>
    </xf>
    <xf numFmtId="10" fontId="0" fillId="24" borderId="50" xfId="0" applyNumberFormat="1" applyFont="1" applyFill="1" applyBorder="1" applyAlignment="1" applyProtection="1">
      <alignment horizontal="center" vertical="center"/>
      <protection locked="0"/>
    </xf>
    <xf numFmtId="166" fontId="0" fillId="24" borderId="50" xfId="87" applyNumberFormat="1" applyFont="1" applyFill="1" applyBorder="1" applyAlignment="1" applyProtection="1">
      <alignment horizontal="left" vertical="center"/>
      <protection locked="0"/>
    </xf>
    <xf numFmtId="0" fontId="3" fillId="0" borderId="23" xfId="0" applyFont="1" applyBorder="1" applyAlignment="1" applyProtection="1">
      <alignment horizontal="left"/>
      <protection locked="0"/>
    </xf>
    <xf numFmtId="0" fontId="48" fillId="0" borderId="29" xfId="0" applyFont="1" applyFill="1" applyBorder="1" applyAlignment="1" applyProtection="1">
      <alignment horizontal="left" vertical="center" wrapText="1" indent="1"/>
      <protection locked="0"/>
    </xf>
    <xf numFmtId="10" fontId="0" fillId="34" borderId="29" xfId="0" applyNumberFormat="1"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48" fillId="0" borderId="46" xfId="0" applyFont="1" applyFill="1" applyBorder="1" applyAlignment="1" applyProtection="1">
      <alignment horizontal="left" vertical="center" wrapText="1" indent="1"/>
      <protection locked="0"/>
    </xf>
    <xf numFmtId="0" fontId="0" fillId="0" borderId="47" xfId="0" applyFont="1" applyBorder="1" applyAlignment="1" applyProtection="1">
      <alignment horizontal="left" indent="1"/>
      <protection locked="0"/>
    </xf>
    <xf numFmtId="170" fontId="48" fillId="4" borderId="9" xfId="0" applyNumberFormat="1" applyFont="1" applyFill="1" applyBorder="1" applyAlignment="1" applyProtection="1">
      <alignment horizontal="left" vertical="center" wrapText="1" indent="3"/>
      <protection locked="0"/>
    </xf>
    <xf numFmtId="170" fontId="48" fillId="0" borderId="9" xfId="0" applyNumberFormat="1" applyFont="1" applyFill="1" applyBorder="1" applyAlignment="1" applyProtection="1">
      <alignment horizontal="left" vertical="center" wrapText="1" indent="3"/>
      <protection locked="0"/>
    </xf>
    <xf numFmtId="0" fontId="0" fillId="0" borderId="48" xfId="0" applyFont="1" applyBorder="1" applyAlignment="1" applyProtection="1">
      <alignment horizontal="left" indent="1"/>
      <protection locked="0"/>
    </xf>
    <xf numFmtId="170" fontId="48" fillId="0" borderId="44" xfId="0" applyNumberFormat="1" applyFont="1" applyFill="1" applyBorder="1" applyAlignment="1" applyProtection="1">
      <alignment horizontal="left" vertical="center" wrapText="1" indent="3"/>
      <protection locked="0"/>
    </xf>
    <xf numFmtId="10" fontId="0" fillId="34" borderId="49" xfId="0" applyNumberFormat="1" applyFont="1" applyFill="1" applyBorder="1" applyAlignment="1" applyProtection="1">
      <alignment horizontal="center" vertical="center"/>
      <protection locked="0"/>
    </xf>
    <xf numFmtId="10" fontId="3" fillId="9" borderId="0" xfId="2" applyNumberFormat="1" applyFont="1" applyFill="1" applyAlignment="1" applyProtection="1">
      <alignment horizontal="center"/>
      <protection locked="0"/>
    </xf>
    <xf numFmtId="166" fontId="3" fillId="9" borderId="0" xfId="87" applyNumberFormat="1" applyFont="1" applyFill="1" applyProtection="1">
      <protection locked="0"/>
    </xf>
    <xf numFmtId="165" fontId="0" fillId="0" borderId="0" xfId="0" applyNumberFormat="1" applyFont="1" applyProtection="1">
      <protection locked="0"/>
    </xf>
    <xf numFmtId="0" fontId="119" fillId="0" borderId="0" xfId="142" applyFont="1" applyAlignment="1">
      <alignment vertical="center"/>
    </xf>
    <xf numFmtId="41" fontId="118" fillId="0" borderId="27" xfId="0" applyNumberFormat="1" applyFont="1" applyBorder="1"/>
    <xf numFmtId="41" fontId="120" fillId="0" borderId="27" xfId="0" applyNumberFormat="1" applyFont="1" applyBorder="1"/>
    <xf numFmtId="0" fontId="47" fillId="0" borderId="26" xfId="0" applyFont="1" applyBorder="1" applyAlignment="1">
      <alignment horizontal="left"/>
    </xf>
    <xf numFmtId="0" fontId="118" fillId="0" borderId="26" xfId="0" applyFont="1" applyBorder="1" applyAlignment="1">
      <alignment horizontal="left" indent="2"/>
    </xf>
    <xf numFmtId="0" fontId="120" fillId="0" borderId="26" xfId="0" applyFont="1" applyBorder="1" applyAlignment="1">
      <alignment horizontal="left" indent="2"/>
    </xf>
    <xf numFmtId="41" fontId="118" fillId="0" borderId="27" xfId="0" applyNumberFormat="1" applyFont="1" applyFill="1" applyBorder="1"/>
    <xf numFmtId="0" fontId="5" fillId="0" borderId="26" xfId="0" applyFont="1" applyBorder="1" applyAlignment="1">
      <alignment horizontal="left" indent="1"/>
    </xf>
    <xf numFmtId="0" fontId="47" fillId="0" borderId="23" xfId="0" applyFont="1" applyBorder="1"/>
    <xf numFmtId="0" fontId="47" fillId="0" borderId="29" xfId="0" applyFont="1" applyBorder="1"/>
    <xf numFmtId="164" fontId="60" fillId="0" borderId="24" xfId="1" applyNumberFormat="1" applyFont="1" applyBorder="1"/>
    <xf numFmtId="0" fontId="60" fillId="0" borderId="1" xfId="0" applyFont="1" applyFill="1" applyBorder="1" applyAlignment="1">
      <alignment horizontal="center" vertical="center" wrapText="1"/>
    </xf>
    <xf numFmtId="41" fontId="47" fillId="0" borderId="23" xfId="0" applyNumberFormat="1" applyFont="1" applyBorder="1"/>
    <xf numFmtId="164" fontId="47" fillId="0" borderId="24" xfId="0" applyNumberFormat="1" applyFont="1" applyBorder="1"/>
    <xf numFmtId="165" fontId="47" fillId="0" borderId="0" xfId="2" applyNumberFormat="1" applyFont="1" applyFill="1"/>
    <xf numFmtId="165" fontId="47" fillId="0" borderId="0" xfId="0" applyNumberFormat="1" applyFont="1" applyFill="1"/>
    <xf numFmtId="164" fontId="97" fillId="7" borderId="0" xfId="1" applyNumberFormat="1" applyFont="1" applyFill="1"/>
    <xf numFmtId="0" fontId="47" fillId="0" borderId="1" xfId="0" applyFont="1" applyBorder="1" applyAlignment="1">
      <alignment horizontal="center" wrapText="1"/>
    </xf>
    <xf numFmtId="0" fontId="47" fillId="0" borderId="1" xfId="0" applyFont="1" applyBorder="1" applyAlignment="1">
      <alignment horizontal="center"/>
    </xf>
    <xf numFmtId="164" fontId="49" fillId="10" borderId="0" xfId="1" applyNumberFormat="1" applyFont="1" applyFill="1"/>
    <xf numFmtId="0" fontId="47" fillId="10" borderId="0" xfId="0" applyFont="1" applyFill="1" applyBorder="1" applyAlignment="1">
      <alignment horizontal="left" indent="1"/>
    </xf>
    <xf numFmtId="164" fontId="47" fillId="10" borderId="0" xfId="1" applyNumberFormat="1" applyFont="1" applyFill="1"/>
    <xf numFmtId="0" fontId="47" fillId="10" borderId="0" xfId="0" applyFont="1" applyFill="1" applyBorder="1"/>
    <xf numFmtId="0" fontId="47" fillId="0" borderId="1" xfId="0" applyFont="1" applyFill="1" applyBorder="1" applyAlignment="1">
      <alignment horizontal="center" wrapText="1"/>
    </xf>
    <xf numFmtId="41" fontId="60" fillId="0" borderId="0" xfId="0" applyNumberFormat="1" applyFont="1"/>
    <xf numFmtId="172" fontId="100" fillId="0" borderId="52" xfId="0" applyNumberFormat="1" applyFont="1" applyBorder="1" applyAlignment="1" applyProtection="1">
      <alignment vertical="top" wrapText="1"/>
      <protection locked="0"/>
    </xf>
    <xf numFmtId="0" fontId="44" fillId="17" borderId="3" xfId="0" applyFont="1" applyFill="1" applyBorder="1" applyAlignment="1" applyProtection="1">
      <alignment horizontal="left" vertical="top"/>
      <protection locked="0"/>
    </xf>
    <xf numFmtId="164" fontId="0" fillId="0" borderId="0" xfId="1" applyNumberFormat="1" applyFont="1" applyBorder="1"/>
    <xf numFmtId="164" fontId="0" fillId="0" borderId="27" xfId="1" applyNumberFormat="1" applyFont="1" applyBorder="1"/>
    <xf numFmtId="0" fontId="0" fillId="0" borderId="3" xfId="0" applyBorder="1" applyAlignment="1" applyProtection="1">
      <alignment vertical="top" wrapText="1"/>
      <protection locked="0"/>
    </xf>
    <xf numFmtId="0" fontId="74" fillId="31" borderId="58" xfId="0" applyFont="1" applyFill="1" applyBorder="1" applyAlignment="1" applyProtection="1">
      <alignment horizontal="center" vertical="top" wrapText="1" readingOrder="1"/>
      <protection locked="0"/>
    </xf>
    <xf numFmtId="0" fontId="74" fillId="31" borderId="3" xfId="0" applyFont="1" applyFill="1" applyBorder="1" applyAlignment="1" applyProtection="1">
      <alignment horizontal="center" vertical="top" wrapText="1" readingOrder="1"/>
      <protection locked="0"/>
    </xf>
    <xf numFmtId="0" fontId="75" fillId="3" borderId="3" xfId="0" applyFont="1" applyFill="1" applyBorder="1" applyAlignment="1" applyProtection="1">
      <alignment vertical="top" wrapText="1"/>
      <protection locked="0"/>
    </xf>
    <xf numFmtId="0" fontId="42" fillId="3" borderId="3" xfId="0" applyFont="1" applyFill="1" applyBorder="1" applyAlignment="1">
      <alignment horizontal="center" wrapText="1"/>
    </xf>
    <xf numFmtId="0" fontId="0" fillId="0" borderId="3" xfId="0" applyFont="1" applyBorder="1"/>
    <xf numFmtId="0" fontId="73" fillId="0" borderId="59" xfId="0" applyFont="1" applyFill="1" applyBorder="1" applyAlignment="1" applyProtection="1">
      <alignment horizontal="left" vertical="top" readingOrder="1"/>
      <protection locked="0"/>
    </xf>
    <xf numFmtId="0" fontId="73" fillId="31" borderId="58" xfId="0" applyFont="1" applyFill="1" applyBorder="1" applyAlignment="1" applyProtection="1">
      <alignment horizontal="center" vertical="center" wrapText="1" readingOrder="1"/>
      <protection locked="0"/>
    </xf>
    <xf numFmtId="0" fontId="73" fillId="31" borderId="3" xfId="0" applyFont="1" applyFill="1" applyBorder="1" applyAlignment="1" applyProtection="1">
      <alignment horizontal="center" vertical="center" wrapText="1" readingOrder="1"/>
      <protection locked="0"/>
    </xf>
    <xf numFmtId="0" fontId="42" fillId="3" borderId="3" xfId="0" applyFont="1" applyFill="1" applyBorder="1"/>
    <xf numFmtId="0" fontId="121" fillId="0" borderId="34" xfId="0" applyFont="1" applyBorder="1" applyAlignment="1" applyProtection="1">
      <alignment horizontal="left" vertical="top" indent="1"/>
      <protection locked="0"/>
    </xf>
    <xf numFmtId="171" fontId="5" fillId="0" borderId="0" xfId="0" applyNumberFormat="1" applyFont="1"/>
    <xf numFmtId="171" fontId="5" fillId="0" borderId="0" xfId="0" applyNumberFormat="1" applyFont="1" applyFill="1"/>
    <xf numFmtId="0" fontId="121" fillId="14" borderId="34" xfId="0" applyFont="1" applyFill="1" applyBorder="1" applyAlignment="1" applyProtection="1">
      <alignment horizontal="left" vertical="top" indent="1"/>
      <protection locked="0"/>
    </xf>
    <xf numFmtId="171" fontId="5" fillId="3" borderId="0" xfId="0" applyNumberFormat="1" applyFont="1" applyFill="1"/>
    <xf numFmtId="171" fontId="5" fillId="9" borderId="0" xfId="0" applyNumberFormat="1" applyFont="1" applyFill="1"/>
    <xf numFmtId="0" fontId="121" fillId="0" borderId="0" xfId="0" applyFont="1" applyBorder="1" applyAlignment="1" applyProtection="1">
      <alignment horizontal="left" vertical="top" indent="1"/>
      <protection locked="0"/>
    </xf>
    <xf numFmtId="0" fontId="5" fillId="0" borderId="2" xfId="0" applyFont="1" applyFill="1" applyBorder="1"/>
    <xf numFmtId="0" fontId="121" fillId="0" borderId="0" xfId="0" applyFont="1" applyAlignment="1" applyProtection="1">
      <alignment horizontal="left" vertical="top" indent="1"/>
      <protection locked="0"/>
    </xf>
    <xf numFmtId="0" fontId="121" fillId="0" borderId="5" xfId="0" applyFont="1" applyBorder="1" applyAlignment="1" applyProtection="1">
      <alignment horizontal="left" vertical="top" indent="1"/>
      <protection locked="0"/>
    </xf>
    <xf numFmtId="171" fontId="10" fillId="8" borderId="0" xfId="0" applyNumberFormat="1" applyFont="1" applyFill="1" applyBorder="1" applyAlignment="1">
      <alignment vertical="center" wrapText="1"/>
    </xf>
    <xf numFmtId="171" fontId="5" fillId="21" borderId="0" xfId="0" applyNumberFormat="1" applyFont="1" applyFill="1"/>
    <xf numFmtId="0" fontId="42" fillId="0" borderId="2" xfId="0" applyFont="1" applyBorder="1" applyAlignment="1" applyProtection="1">
      <alignment vertical="top" wrapText="1"/>
      <protection locked="0"/>
    </xf>
    <xf numFmtId="172" fontId="42" fillId="0" borderId="4" xfId="0" applyNumberFormat="1" applyFont="1" applyBorder="1" applyAlignment="1" applyProtection="1">
      <alignment vertical="top" wrapText="1"/>
      <protection locked="0"/>
    </xf>
    <xf numFmtId="172" fontId="78" fillId="0" borderId="4" xfId="0" applyNumberFormat="1" applyFont="1" applyBorder="1" applyAlignment="1" applyProtection="1">
      <alignment vertical="top" wrapText="1"/>
      <protection locked="0"/>
    </xf>
    <xf numFmtId="0" fontId="3" fillId="0" borderId="2" xfId="0" applyFont="1" applyBorder="1"/>
    <xf numFmtId="172" fontId="43" fillId="0" borderId="2" xfId="0" applyNumberFormat="1" applyFont="1" applyBorder="1" applyAlignment="1" applyProtection="1">
      <alignment vertical="top" wrapText="1"/>
      <protection locked="0"/>
    </xf>
    <xf numFmtId="172" fontId="95" fillId="0" borderId="2" xfId="0" applyNumberFormat="1" applyFont="1" applyBorder="1" applyAlignment="1" applyProtection="1">
      <alignment vertical="top" wrapText="1"/>
      <protection locked="0"/>
    </xf>
    <xf numFmtId="42" fontId="5" fillId="0" borderId="4" xfId="5616" applyNumberFormat="1" applyFont="1" applyFill="1" applyBorder="1" applyAlignment="1"/>
    <xf numFmtId="42" fontId="42" fillId="0" borderId="2" xfId="0" applyNumberFormat="1" applyFont="1" applyBorder="1"/>
    <xf numFmtId="0" fontId="42" fillId="0" borderId="3" xfId="0" applyFont="1" applyFill="1" applyBorder="1" applyAlignment="1">
      <alignment horizontal="center"/>
    </xf>
    <xf numFmtId="0" fontId="0" fillId="0" borderId="0" xfId="0" applyNumberFormat="1"/>
    <xf numFmtId="166" fontId="0" fillId="25" borderId="0" xfId="87" applyNumberFormat="1" applyFont="1" applyFill="1"/>
    <xf numFmtId="166" fontId="14" fillId="25" borderId="0" xfId="87" applyNumberFormat="1" applyFont="1" applyFill="1"/>
    <xf numFmtId="166" fontId="14" fillId="0" borderId="0" xfId="87" applyNumberFormat="1" applyFont="1"/>
    <xf numFmtId="166" fontId="14" fillId="0" borderId="0" xfId="0" applyNumberFormat="1" applyFont="1"/>
    <xf numFmtId="0" fontId="3" fillId="0" borderId="3" xfId="0" applyFont="1" applyBorder="1" applyAlignment="1">
      <alignment vertical="center"/>
    </xf>
    <xf numFmtId="0" fontId="3" fillId="0" borderId="3" xfId="0" applyFont="1" applyBorder="1" applyAlignment="1">
      <alignment horizontal="center" vertical="center" wrapText="1"/>
    </xf>
    <xf numFmtId="165" fontId="3" fillId="0" borderId="0" xfId="0" applyNumberFormat="1" applyFont="1"/>
    <xf numFmtId="179" fontId="3" fillId="0" borderId="0" xfId="0" applyNumberFormat="1" applyFont="1"/>
    <xf numFmtId="165" fontId="0" fillId="0" borderId="0" xfId="2" applyNumberFormat="1" applyFont="1"/>
    <xf numFmtId="179" fontId="0" fillId="0" borderId="0" xfId="0" applyNumberFormat="1"/>
    <xf numFmtId="10" fontId="0" fillId="0" borderId="0" xfId="0" applyNumberFormat="1" applyAlignment="1">
      <alignment horizontal="right" indent="1"/>
    </xf>
    <xf numFmtId="165" fontId="3" fillId="0" borderId="3" xfId="2" applyNumberFormat="1" applyFont="1" applyBorder="1"/>
    <xf numFmtId="164" fontId="3" fillId="0" borderId="3" xfId="0" applyNumberFormat="1" applyFont="1" applyBorder="1"/>
    <xf numFmtId="0" fontId="122" fillId="0" borderId="0" xfId="0" applyFont="1"/>
    <xf numFmtId="0" fontId="4" fillId="10" borderId="2" xfId="0" applyFont="1" applyFill="1" applyBorder="1" applyAlignment="1">
      <alignment horizontal="center"/>
    </xf>
    <xf numFmtId="0" fontId="4" fillId="10" borderId="0" xfId="0" applyFont="1" applyFill="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4" fillId="47" borderId="2" xfId="0" applyFont="1" applyFill="1" applyBorder="1" applyAlignment="1">
      <alignment horizontal="center"/>
    </xf>
    <xf numFmtId="164" fontId="0" fillId="10" borderId="4" xfId="1" applyNumberFormat="1" applyFont="1" applyFill="1" applyBorder="1"/>
    <xf numFmtId="164" fontId="0" fillId="0" borderId="4" xfId="1" applyNumberFormat="1" applyFont="1" applyBorder="1"/>
    <xf numFmtId="164" fontId="117" fillId="0" borderId="4" xfId="1" applyNumberFormat="1" applyFont="1" applyBorder="1"/>
    <xf numFmtId="164" fontId="117" fillId="47" borderId="4" xfId="1" applyNumberFormat="1" applyFont="1" applyFill="1" applyBorder="1"/>
    <xf numFmtId="0" fontId="0" fillId="47" borderId="4" xfId="0" applyFill="1" applyBorder="1"/>
    <xf numFmtId="164" fontId="0" fillId="10" borderId="0" xfId="1" applyNumberFormat="1" applyFont="1" applyFill="1" applyBorder="1"/>
    <xf numFmtId="164" fontId="117" fillId="0" borderId="0" xfId="1" applyNumberFormat="1" applyFont="1" applyBorder="1"/>
    <xf numFmtId="164" fontId="117" fillId="47" borderId="0" xfId="1" applyNumberFormat="1" applyFont="1" applyFill="1" applyBorder="1"/>
    <xf numFmtId="0" fontId="0" fillId="47" borderId="0" xfId="0" applyFill="1" applyBorder="1"/>
    <xf numFmtId="164" fontId="0" fillId="10" borderId="2" xfId="1" applyNumberFormat="1" applyFont="1" applyFill="1" applyBorder="1"/>
    <xf numFmtId="164" fontId="0" fillId="0" borderId="2" xfId="1" applyNumberFormat="1" applyFont="1" applyBorder="1"/>
    <xf numFmtId="164" fontId="117" fillId="0" borderId="2" xfId="1" applyNumberFormat="1" applyFont="1" applyBorder="1"/>
    <xf numFmtId="164" fontId="117" fillId="47" borderId="2" xfId="1" applyNumberFormat="1" applyFont="1" applyFill="1" applyBorder="1"/>
    <xf numFmtId="0" fontId="0" fillId="47" borderId="2" xfId="0" applyFill="1" applyBorder="1"/>
    <xf numFmtId="164" fontId="0" fillId="10" borderId="1" xfId="1" applyNumberFormat="1" applyFont="1" applyFill="1" applyBorder="1"/>
    <xf numFmtId="164" fontId="42" fillId="3" borderId="1" xfId="1" applyNumberFormat="1" applyFont="1" applyFill="1" applyBorder="1"/>
    <xf numFmtId="164" fontId="0" fillId="0" borderId="1" xfId="1" applyNumberFormat="1" applyFont="1" applyBorder="1"/>
    <xf numFmtId="164" fontId="42" fillId="10" borderId="1" xfId="1" applyNumberFormat="1" applyFont="1" applyFill="1" applyBorder="1"/>
    <xf numFmtId="0" fontId="0" fillId="10" borderId="1" xfId="0" applyFill="1" applyBorder="1"/>
    <xf numFmtId="164" fontId="117" fillId="0" borderId="1" xfId="1" applyNumberFormat="1" applyFont="1" applyBorder="1"/>
    <xf numFmtId="164" fontId="0" fillId="47" borderId="1" xfId="1" applyNumberFormat="1" applyFont="1" applyFill="1" applyBorder="1"/>
    <xf numFmtId="0" fontId="0" fillId="47" borderId="1" xfId="0" applyFill="1" applyBorder="1"/>
    <xf numFmtId="0" fontId="0" fillId="47" borderId="0" xfId="0" applyFill="1"/>
    <xf numFmtId="43" fontId="0" fillId="10" borderId="0" xfId="1" applyFont="1" applyFill="1"/>
    <xf numFmtId="10" fontId="0" fillId="10" borderId="0" xfId="2" applyNumberFormat="1" applyFont="1" applyFill="1" applyBorder="1"/>
    <xf numFmtId="10" fontId="0" fillId="0" borderId="0" xfId="2" applyNumberFormat="1" applyFont="1" applyBorder="1"/>
    <xf numFmtId="164" fontId="117" fillId="0" borderId="0" xfId="1" applyNumberFormat="1" applyFont="1"/>
    <xf numFmtId="164" fontId="117" fillId="47" borderId="0" xfId="1" applyNumberFormat="1" applyFont="1" applyFill="1"/>
    <xf numFmtId="10" fontId="0" fillId="47" borderId="0" xfId="2" applyNumberFormat="1" applyFont="1" applyFill="1" applyBorder="1"/>
    <xf numFmtId="43" fontId="0" fillId="10" borderId="2" xfId="1" applyFont="1" applyFill="1" applyBorder="1"/>
    <xf numFmtId="10" fontId="0" fillId="10" borderId="2" xfId="2" applyNumberFormat="1" applyFont="1" applyFill="1" applyBorder="1"/>
    <xf numFmtId="43" fontId="0" fillId="0" borderId="2" xfId="1" applyFont="1" applyBorder="1"/>
    <xf numFmtId="10" fontId="0" fillId="0" borderId="2" xfId="2" applyNumberFormat="1" applyFont="1" applyBorder="1"/>
    <xf numFmtId="0" fontId="4" fillId="0" borderId="0" xfId="0" applyFont="1"/>
    <xf numFmtId="43" fontId="4" fillId="10" borderId="0" xfId="1" applyFont="1" applyFill="1"/>
    <xf numFmtId="10" fontId="4" fillId="10" borderId="0" xfId="2" applyNumberFormat="1" applyFont="1" applyFill="1" applyBorder="1"/>
    <xf numFmtId="43" fontId="4" fillId="0" borderId="0" xfId="1" applyFont="1"/>
    <xf numFmtId="10" fontId="4" fillId="0" borderId="0" xfId="2" applyNumberFormat="1" applyFont="1" applyBorder="1"/>
    <xf numFmtId="43" fontId="4" fillId="47" borderId="0" xfId="1" applyFont="1" applyFill="1"/>
    <xf numFmtId="10" fontId="4" fillId="47" borderId="0" xfId="2" applyNumberFormat="1" applyFont="1" applyFill="1" applyBorder="1"/>
    <xf numFmtId="0" fontId="0" fillId="10" borderId="3" xfId="0" applyFill="1" applyBorder="1"/>
    <xf numFmtId="0" fontId="0" fillId="47" borderId="3" xfId="0" applyFill="1" applyBorder="1"/>
    <xf numFmtId="164" fontId="0" fillId="10" borderId="0" xfId="1" applyNumberFormat="1" applyFont="1" applyFill="1"/>
    <xf numFmtId="164" fontId="0" fillId="47" borderId="0" xfId="1" applyNumberFormat="1" applyFont="1" applyFill="1"/>
    <xf numFmtId="164" fontId="117" fillId="10" borderId="0" xfId="1" applyNumberFormat="1" applyFont="1" applyFill="1"/>
    <xf numFmtId="0" fontId="30" fillId="40" borderId="0" xfId="0" applyFont="1" applyFill="1" applyAlignment="1"/>
    <xf numFmtId="164" fontId="46" fillId="40" borderId="0" xfId="0" applyNumberFormat="1" applyFont="1" applyFill="1" applyAlignment="1"/>
    <xf numFmtId="164" fontId="41" fillId="40" borderId="0" xfId="0" applyNumberFormat="1" applyFont="1" applyFill="1" applyBorder="1"/>
    <xf numFmtId="0" fontId="0" fillId="40" borderId="0" xfId="0" applyFill="1"/>
    <xf numFmtId="164" fontId="41" fillId="40" borderId="0" xfId="0" applyNumberFormat="1" applyFont="1" applyFill="1"/>
    <xf numFmtId="41" fontId="17" fillId="40" borderId="0" xfId="142" applyNumberFormat="1" applyFont="1" applyFill="1"/>
    <xf numFmtId="164" fontId="0" fillId="40" borderId="0" xfId="0" applyNumberFormat="1" applyFill="1"/>
    <xf numFmtId="0" fontId="25" fillId="40" borderId="0" xfId="142" applyFont="1" applyFill="1"/>
    <xf numFmtId="0" fontId="123" fillId="0" borderId="26" xfId="0" applyFont="1" applyBorder="1" applyAlignment="1">
      <alignment horizontal="left" indent="1"/>
    </xf>
    <xf numFmtId="0" fontId="123" fillId="0" borderId="0" xfId="0" applyFont="1" applyFill="1" applyBorder="1"/>
    <xf numFmtId="0" fontId="47" fillId="40" borderId="0" xfId="0" applyFont="1" applyFill="1"/>
    <xf numFmtId="0" fontId="123" fillId="7" borderId="0" xfId="0" applyFont="1" applyFill="1" applyBorder="1"/>
    <xf numFmtId="0" fontId="123" fillId="10" borderId="0" xfId="0" applyFont="1" applyFill="1" applyBorder="1" applyAlignment="1">
      <alignment horizontal="left" indent="1"/>
    </xf>
    <xf numFmtId="0" fontId="123" fillId="10" borderId="0" xfId="0" applyFont="1" applyFill="1" applyBorder="1"/>
    <xf numFmtId="0" fontId="123" fillId="0" borderId="0" xfId="0" applyFont="1" applyFill="1" applyBorder="1" applyAlignment="1">
      <alignment horizontal="left" indent="2"/>
    </xf>
    <xf numFmtId="0" fontId="123" fillId="10" borderId="0" xfId="0" applyFont="1" applyFill="1" applyBorder="1" applyAlignment="1">
      <alignment horizontal="left" indent="3"/>
    </xf>
    <xf numFmtId="43" fontId="0" fillId="2" borderId="0" xfId="1" applyFont="1" applyFill="1"/>
    <xf numFmtId="43" fontId="0" fillId="0" borderId="0" xfId="1" applyFont="1" applyFill="1"/>
    <xf numFmtId="43" fontId="0" fillId="2" borderId="0" xfId="0" applyNumberFormat="1" applyFill="1"/>
    <xf numFmtId="43" fontId="126" fillId="2" borderId="0" xfId="1" applyFont="1" applyFill="1"/>
    <xf numFmtId="172" fontId="127" fillId="0" borderId="0" xfId="0" applyNumberFormat="1" applyFont="1" applyBorder="1" applyAlignment="1" applyProtection="1">
      <alignment vertical="top" wrapText="1"/>
      <protection locked="0"/>
    </xf>
    <xf numFmtId="0" fontId="127" fillId="0" borderId="0" xfId="0" applyFont="1" applyBorder="1" applyAlignment="1" applyProtection="1">
      <alignment vertical="top" wrapText="1"/>
      <protection locked="0"/>
    </xf>
    <xf numFmtId="0" fontId="127" fillId="3" borderId="0" xfId="0" applyFont="1" applyFill="1" applyBorder="1" applyAlignment="1" applyProtection="1">
      <alignment vertical="top" wrapText="1"/>
      <protection locked="0"/>
    </xf>
    <xf numFmtId="172" fontId="127" fillId="10" borderId="0" xfId="0" applyNumberFormat="1" applyFont="1" applyFill="1" applyBorder="1" applyAlignment="1" applyProtection="1">
      <alignment vertical="top" wrapText="1"/>
      <protection locked="0"/>
    </xf>
    <xf numFmtId="0" fontId="127" fillId="10" borderId="0" xfId="0" applyFont="1" applyFill="1" applyBorder="1" applyAlignment="1" applyProtection="1">
      <alignment vertical="top" wrapText="1"/>
      <protection locked="0"/>
    </xf>
    <xf numFmtId="172" fontId="127" fillId="17" borderId="0" xfId="0" applyNumberFormat="1" applyFont="1" applyFill="1" applyAlignment="1" applyProtection="1">
      <alignment vertical="top" wrapText="1"/>
      <protection locked="0"/>
    </xf>
    <xf numFmtId="0" fontId="127" fillId="0" borderId="0" xfId="0" applyFont="1" applyBorder="1"/>
    <xf numFmtId="172" fontId="0" fillId="0" borderId="0" xfId="0" applyNumberFormat="1" applyFont="1"/>
    <xf numFmtId="172" fontId="127" fillId="0" borderId="0" xfId="0" applyNumberFormat="1" applyFont="1"/>
    <xf numFmtId="172" fontId="127" fillId="0" borderId="0" xfId="0" applyNumberFormat="1" applyFont="1" applyFill="1" applyBorder="1"/>
    <xf numFmtId="172" fontId="127" fillId="10" borderId="0" xfId="0" applyNumberFormat="1" applyFont="1" applyFill="1" applyBorder="1"/>
    <xf numFmtId="172" fontId="127" fillId="10" borderId="0" xfId="0" applyNumberFormat="1" applyFont="1" applyFill="1"/>
    <xf numFmtId="0" fontId="5" fillId="0" borderId="1" xfId="0" applyFont="1" applyBorder="1" applyAlignment="1">
      <alignment horizontal="center"/>
    </xf>
    <xf numFmtId="0" fontId="8" fillId="0" borderId="1" xfId="0" applyFont="1" applyBorder="1" applyAlignment="1">
      <alignment horizontal="center" wrapText="1"/>
    </xf>
    <xf numFmtId="0" fontId="123" fillId="0" borderId="0" xfId="0" applyFont="1" applyFill="1"/>
    <xf numFmtId="15" fontId="0" fillId="0" borderId="0" xfId="0" applyNumberFormat="1" applyFont="1" applyProtection="1">
      <protection locked="0"/>
    </xf>
    <xf numFmtId="0" fontId="23" fillId="0" borderId="0" xfId="0" applyFont="1" applyAlignment="1">
      <alignment horizontal="center"/>
    </xf>
    <xf numFmtId="0" fontId="4" fillId="10" borderId="23" xfId="0" applyFont="1" applyFill="1" applyBorder="1" applyAlignment="1"/>
    <xf numFmtId="0" fontId="4" fillId="10" borderId="29" xfId="0" applyFont="1" applyFill="1" applyBorder="1" applyAlignment="1"/>
    <xf numFmtId="0" fontId="10" fillId="10" borderId="29" xfId="0" applyFont="1" applyFill="1" applyBorder="1" applyAlignment="1"/>
    <xf numFmtId="0" fontId="0" fillId="0" borderId="23" xfId="0" applyBorder="1" applyAlignment="1"/>
    <xf numFmtId="0" fontId="0" fillId="0" borderId="60" xfId="0" applyBorder="1" applyAlignment="1"/>
    <xf numFmtId="0" fontId="10" fillId="48" borderId="43" xfId="0" applyFont="1" applyFill="1" applyBorder="1" applyAlignment="1">
      <alignment horizontal="center"/>
    </xf>
    <xf numFmtId="0" fontId="10" fillId="48" borderId="53" xfId="0" applyFont="1" applyFill="1" applyBorder="1" applyAlignment="1">
      <alignment horizontal="center"/>
    </xf>
    <xf numFmtId="0" fontId="4" fillId="0" borderId="51" xfId="0" applyFont="1" applyBorder="1" applyAlignment="1">
      <alignment horizontal="center"/>
    </xf>
    <xf numFmtId="0" fontId="0" fillId="0" borderId="61" xfId="0" applyBorder="1"/>
    <xf numFmtId="166" fontId="132" fillId="48" borderId="62" xfId="0" applyNumberFormat="1" applyFont="1" applyFill="1" applyBorder="1" applyAlignment="1">
      <alignment horizontal="center"/>
    </xf>
    <xf numFmtId="166" fontId="132" fillId="48" borderId="63" xfId="0" applyNumberFormat="1" applyFont="1" applyFill="1" applyBorder="1" applyAlignment="1">
      <alignment horizontal="center"/>
    </xf>
    <xf numFmtId="166" fontId="0" fillId="0" borderId="61" xfId="0" applyNumberFormat="1" applyFont="1" applyBorder="1" applyAlignment="1">
      <alignment horizontal="center"/>
    </xf>
    <xf numFmtId="0" fontId="0" fillId="0" borderId="8" xfId="0" applyBorder="1"/>
    <xf numFmtId="166" fontId="132" fillId="48" borderId="64" xfId="0" applyNumberFormat="1" applyFont="1" applyFill="1" applyBorder="1" applyAlignment="1">
      <alignment horizontal="center"/>
    </xf>
    <xf numFmtId="166" fontId="132" fillId="48" borderId="42" xfId="0" applyNumberFormat="1" applyFont="1" applyFill="1" applyBorder="1" applyAlignment="1">
      <alignment horizontal="center"/>
    </xf>
    <xf numFmtId="166" fontId="0" fillId="0" borderId="8" xfId="0" applyNumberFormat="1" applyFont="1" applyBorder="1" applyAlignment="1">
      <alignment horizontal="center"/>
    </xf>
    <xf numFmtId="0" fontId="0" fillId="0" borderId="8" xfId="0" applyFill="1" applyBorder="1"/>
    <xf numFmtId="0" fontId="0" fillId="0" borderId="12" xfId="0" applyFill="1" applyBorder="1"/>
    <xf numFmtId="166" fontId="132" fillId="48" borderId="65" xfId="0" applyNumberFormat="1" applyFont="1" applyFill="1" applyBorder="1" applyAlignment="1">
      <alignment horizontal="center"/>
    </xf>
    <xf numFmtId="166" fontId="132" fillId="48" borderId="66" xfId="0" applyNumberFormat="1" applyFont="1" applyFill="1" applyBorder="1" applyAlignment="1">
      <alignment horizontal="center"/>
    </xf>
    <xf numFmtId="166" fontId="0" fillId="0" borderId="12" xfId="0" applyNumberFormat="1" applyFont="1" applyBorder="1" applyAlignment="1">
      <alignment horizontal="center"/>
    </xf>
    <xf numFmtId="0" fontId="0" fillId="10" borderId="30" xfId="0" applyFill="1" applyBorder="1"/>
    <xf numFmtId="166" fontId="132" fillId="48" borderId="30" xfId="0" applyNumberFormat="1" applyFont="1" applyFill="1" applyBorder="1" applyAlignment="1">
      <alignment horizontal="center"/>
    </xf>
    <xf numFmtId="166" fontId="132" fillId="48" borderId="67" xfId="0" applyNumberFormat="1" applyFont="1" applyFill="1" applyBorder="1" applyAlignment="1">
      <alignment horizontal="center"/>
    </xf>
    <xf numFmtId="166" fontId="0" fillId="10" borderId="60" xfId="0" applyNumberFormat="1" applyFont="1" applyFill="1" applyBorder="1" applyAlignment="1">
      <alignment horizontal="center"/>
    </xf>
    <xf numFmtId="166" fontId="132" fillId="48" borderId="64" xfId="0" applyNumberFormat="1" applyFont="1" applyFill="1" applyBorder="1"/>
    <xf numFmtId="166" fontId="132" fillId="48" borderId="42" xfId="0" applyNumberFormat="1" applyFont="1" applyFill="1" applyBorder="1"/>
    <xf numFmtId="166" fontId="0" fillId="0" borderId="8" xfId="0" applyNumberFormat="1" applyFont="1" applyFill="1" applyBorder="1"/>
    <xf numFmtId="0" fontId="0" fillId="10" borderId="43" xfId="0" applyFill="1" applyBorder="1"/>
    <xf numFmtId="166" fontId="132" fillId="48" borderId="43" xfId="0" applyNumberFormat="1" applyFont="1" applyFill="1" applyBorder="1" applyAlignment="1">
      <alignment horizontal="center"/>
    </xf>
    <xf numFmtId="166" fontId="132" fillId="48" borderId="53" xfId="0" applyNumberFormat="1" applyFont="1" applyFill="1" applyBorder="1" applyAlignment="1">
      <alignment horizontal="center"/>
    </xf>
    <xf numFmtId="166" fontId="0" fillId="10" borderId="51" xfId="0" applyNumberFormat="1" applyFont="1" applyFill="1" applyBorder="1" applyAlignment="1">
      <alignment horizontal="center"/>
    </xf>
    <xf numFmtId="0" fontId="0" fillId="19" borderId="62" xfId="0" applyFill="1" applyBorder="1"/>
    <xf numFmtId="166" fontId="132" fillId="48" borderId="62" xfId="0" applyNumberFormat="1" applyFont="1" applyFill="1" applyBorder="1"/>
    <xf numFmtId="166" fontId="132" fillId="48" borderId="63" xfId="0" applyNumberFormat="1" applyFont="1" applyFill="1" applyBorder="1"/>
    <xf numFmtId="166" fontId="0" fillId="19" borderId="61" xfId="0" applyNumberFormat="1" applyFont="1" applyFill="1" applyBorder="1"/>
    <xf numFmtId="0" fontId="0" fillId="0" borderId="65" xfId="0" applyBorder="1"/>
    <xf numFmtId="166" fontId="132" fillId="48" borderId="65" xfId="0" applyNumberFormat="1" applyFont="1" applyFill="1" applyBorder="1"/>
    <xf numFmtId="166" fontId="132" fillId="48" borderId="66" xfId="0" applyNumberFormat="1" applyFont="1" applyFill="1" applyBorder="1"/>
    <xf numFmtId="166" fontId="0" fillId="0" borderId="12" xfId="0" applyNumberFormat="1" applyBorder="1"/>
    <xf numFmtId="10" fontId="132" fillId="48" borderId="30" xfId="0" applyNumberFormat="1" applyFont="1" applyFill="1" applyBorder="1"/>
    <xf numFmtId="10" fontId="132" fillId="48" borderId="67" xfId="0" applyNumberFormat="1" applyFont="1" applyFill="1" applyBorder="1"/>
    <xf numFmtId="10" fontId="0" fillId="10" borderId="60" xfId="0" applyNumberFormat="1" applyFont="1" applyFill="1" applyBorder="1"/>
    <xf numFmtId="0" fontId="0" fillId="0" borderId="57" xfId="0" applyFill="1" applyBorder="1"/>
    <xf numFmtId="166" fontId="0" fillId="48" borderId="19" xfId="0" applyNumberFormat="1" applyFont="1" applyFill="1" applyBorder="1"/>
    <xf numFmtId="166" fontId="0" fillId="48" borderId="20" xfId="0" applyNumberFormat="1" applyFont="1" applyFill="1" applyBorder="1"/>
    <xf numFmtId="166" fontId="0" fillId="0" borderId="14" xfId="0" applyNumberFormat="1" applyFont="1" applyFill="1" applyBorder="1"/>
    <xf numFmtId="0" fontId="0" fillId="0" borderId="65" xfId="0" applyFill="1" applyBorder="1"/>
    <xf numFmtId="166" fontId="0" fillId="48" borderId="26" xfId="0" applyNumberFormat="1" applyFont="1" applyFill="1" applyBorder="1"/>
    <xf numFmtId="166" fontId="0" fillId="48" borderId="27" xfId="0" applyNumberFormat="1" applyFont="1" applyFill="1" applyBorder="1"/>
    <xf numFmtId="166" fontId="0" fillId="0" borderId="12" xfId="0" applyNumberFormat="1" applyFont="1" applyFill="1" applyBorder="1"/>
    <xf numFmtId="0" fontId="0" fillId="10" borderId="62" xfId="0" applyFont="1" applyFill="1" applyBorder="1"/>
    <xf numFmtId="166" fontId="0" fillId="10" borderId="61" xfId="0" applyNumberFormat="1" applyFont="1" applyFill="1" applyBorder="1"/>
    <xf numFmtId="0" fontId="0" fillId="10" borderId="68" xfId="0" applyFont="1" applyFill="1" applyBorder="1"/>
    <xf numFmtId="10" fontId="0" fillId="48" borderId="26" xfId="0" applyNumberFormat="1" applyFont="1" applyFill="1" applyBorder="1"/>
    <xf numFmtId="10" fontId="0" fillId="48" borderId="27" xfId="0" applyNumberFormat="1" applyFont="1" applyFill="1" applyBorder="1"/>
    <xf numFmtId="10" fontId="0" fillId="10" borderId="69" xfId="0" applyNumberFormat="1" applyFont="1" applyFill="1" applyBorder="1"/>
    <xf numFmtId="0" fontId="0" fillId="0" borderId="62" xfId="0" applyFill="1" applyBorder="1"/>
    <xf numFmtId="166" fontId="0" fillId="0" borderId="61" xfId="0" applyNumberFormat="1" applyFont="1" applyFill="1" applyBorder="1"/>
    <xf numFmtId="0" fontId="4" fillId="0" borderId="62" xfId="0" applyFont="1" applyFill="1" applyBorder="1"/>
    <xf numFmtId="166" fontId="4" fillId="48" borderId="26" xfId="0" applyNumberFormat="1" applyFont="1" applyFill="1" applyBorder="1"/>
    <xf numFmtId="166" fontId="4" fillId="48" borderId="27" xfId="0" applyNumberFormat="1" applyFont="1" applyFill="1" applyBorder="1"/>
    <xf numFmtId="166" fontId="4" fillId="0" borderId="61" xfId="0" applyNumberFormat="1" applyFont="1" applyFill="1" applyBorder="1"/>
    <xf numFmtId="0" fontId="4" fillId="0" borderId="68" xfId="0" applyFont="1" applyFill="1" applyBorder="1"/>
    <xf numFmtId="10" fontId="4" fillId="48" borderId="26" xfId="0" applyNumberFormat="1" applyFont="1" applyFill="1" applyBorder="1"/>
    <xf numFmtId="10" fontId="4" fillId="48" borderId="27" xfId="0" applyNumberFormat="1" applyFont="1" applyFill="1" applyBorder="1"/>
    <xf numFmtId="10" fontId="4" fillId="0" borderId="69" xfId="0" applyNumberFormat="1" applyFont="1" applyFill="1" applyBorder="1"/>
    <xf numFmtId="0" fontId="0" fillId="49" borderId="62" xfId="0" applyFill="1" applyBorder="1"/>
    <xf numFmtId="166" fontId="0" fillId="49" borderId="61" xfId="0" applyNumberFormat="1" applyFont="1" applyFill="1" applyBorder="1"/>
    <xf numFmtId="0" fontId="0" fillId="49" borderId="64" xfId="0" applyFill="1" applyBorder="1"/>
    <xf numFmtId="166" fontId="0" fillId="49" borderId="8" xfId="0" applyNumberFormat="1" applyFont="1" applyFill="1" applyBorder="1"/>
    <xf numFmtId="10" fontId="0" fillId="49" borderId="8" xfId="0" applyNumberFormat="1" applyFont="1" applyFill="1" applyBorder="1"/>
    <xf numFmtId="0" fontId="0" fillId="49" borderId="68" xfId="0" applyFill="1" applyBorder="1"/>
    <xf numFmtId="10" fontId="0" fillId="48" borderId="21" xfId="0" applyNumberFormat="1" applyFont="1" applyFill="1" applyBorder="1"/>
    <xf numFmtId="10" fontId="0" fillId="48" borderId="22" xfId="0" applyNumberFormat="1" applyFont="1" applyFill="1" applyBorder="1"/>
    <xf numFmtId="10" fontId="0" fillId="49" borderId="69" xfId="0" applyNumberFormat="1" applyFont="1" applyFill="1" applyBorder="1"/>
    <xf numFmtId="6" fontId="5" fillId="0" borderId="0" xfId="0" applyNumberFormat="1" applyFont="1"/>
    <xf numFmtId="43" fontId="5" fillId="0" borderId="0" xfId="1" applyFont="1" applyAlignment="1">
      <alignment horizontal="right"/>
    </xf>
    <xf numFmtId="0" fontId="5" fillId="0" borderId="0" xfId="0" applyFont="1" applyAlignment="1">
      <alignment wrapText="1"/>
    </xf>
    <xf numFmtId="3" fontId="0" fillId="0" borderId="0" xfId="0" applyNumberFormat="1"/>
    <xf numFmtId="166" fontId="0" fillId="9" borderId="43" xfId="87" applyNumberFormat="1" applyFont="1" applyFill="1" applyBorder="1" applyAlignment="1" applyProtection="1">
      <alignment horizontal="center" vertical="center"/>
      <protection locked="0"/>
    </xf>
    <xf numFmtId="166" fontId="0" fillId="9" borderId="47" xfId="87" applyNumberFormat="1" applyFont="1" applyFill="1" applyBorder="1" applyAlignment="1" applyProtection="1">
      <alignment horizontal="center" vertical="center"/>
      <protection locked="0"/>
    </xf>
    <xf numFmtId="166" fontId="0" fillId="9" borderId="57" xfId="87" applyNumberFormat="1" applyFont="1" applyFill="1" applyBorder="1" applyAlignment="1" applyProtection="1">
      <alignment horizontal="center" vertical="center"/>
      <protection locked="0"/>
    </xf>
    <xf numFmtId="10" fontId="0" fillId="29" borderId="53" xfId="2" applyNumberFormat="1" applyFont="1" applyFill="1" applyBorder="1" applyAlignment="1" applyProtection="1">
      <alignment horizontal="center" vertical="center"/>
      <protection locked="0"/>
    </xf>
    <xf numFmtId="10" fontId="0" fillId="29" borderId="55" xfId="2" applyNumberFormat="1" applyFont="1" applyFill="1" applyBorder="1" applyAlignment="1" applyProtection="1">
      <alignment horizontal="center" vertical="center"/>
      <protection locked="0"/>
    </xf>
    <xf numFmtId="10" fontId="0" fillId="29" borderId="56" xfId="2" applyNumberFormat="1" applyFont="1" applyFill="1" applyBorder="1" applyAlignment="1" applyProtection="1">
      <alignment horizontal="center" vertical="center"/>
      <protection locked="0"/>
    </xf>
    <xf numFmtId="0" fontId="3" fillId="10" borderId="23" xfId="0" applyFont="1" applyFill="1" applyBorder="1" applyAlignment="1" applyProtection="1">
      <alignment horizontal="center" vertical="center" wrapText="1"/>
      <protection locked="0"/>
    </xf>
    <xf numFmtId="0" fontId="3" fillId="10" borderId="29" xfId="0" applyFont="1" applyFill="1" applyBorder="1" applyAlignment="1" applyProtection="1">
      <alignment horizontal="center" vertical="center" wrapText="1"/>
      <protection locked="0"/>
    </xf>
    <xf numFmtId="0" fontId="3" fillId="10" borderId="24" xfId="0" applyFont="1" applyFill="1" applyBorder="1" applyAlignment="1" applyProtection="1">
      <alignment horizontal="center" vertical="center" wrapText="1"/>
      <protection locked="0"/>
    </xf>
    <xf numFmtId="0" fontId="3" fillId="10" borderId="21" xfId="0" applyFont="1" applyFill="1" applyBorder="1" applyAlignment="1" applyProtection="1">
      <alignment horizontal="center" vertical="center" wrapText="1"/>
      <protection locked="0"/>
    </xf>
    <xf numFmtId="0" fontId="3" fillId="10" borderId="28" xfId="0" applyFont="1" applyFill="1" applyBorder="1" applyAlignment="1" applyProtection="1">
      <alignment horizontal="center" vertical="center" wrapText="1"/>
      <protection locked="0"/>
    </xf>
    <xf numFmtId="0" fontId="3" fillId="10" borderId="22" xfId="0" applyFont="1" applyFill="1" applyBorder="1" applyAlignment="1" applyProtection="1">
      <alignment horizontal="center" vertical="center" wrapText="1"/>
      <protection locked="0"/>
    </xf>
    <xf numFmtId="166" fontId="0" fillId="9" borderId="45" xfId="87" applyNumberFormat="1" applyFont="1" applyFill="1" applyBorder="1" applyAlignment="1" applyProtection="1">
      <alignment horizontal="center" vertical="center"/>
      <protection locked="0"/>
    </xf>
    <xf numFmtId="166" fontId="0" fillId="9" borderId="10" xfId="87" applyNumberFormat="1" applyFont="1" applyFill="1" applyBorder="1" applyAlignment="1" applyProtection="1">
      <alignment horizontal="center" vertical="center"/>
      <protection locked="0"/>
    </xf>
    <xf numFmtId="10" fontId="0" fillId="29" borderId="51" xfId="0" applyNumberFormat="1" applyFont="1" applyFill="1" applyBorder="1" applyAlignment="1">
      <alignment horizontal="center" vertical="center"/>
    </xf>
    <xf numFmtId="0" fontId="0" fillId="29" borderId="17" xfId="0" applyFont="1" applyFill="1" applyBorder="1" applyAlignment="1">
      <alignment horizontal="center" vertical="center"/>
    </xf>
    <xf numFmtId="0" fontId="5" fillId="0" borderId="0" xfId="0" applyFont="1" applyAlignment="1" applyProtection="1">
      <alignment horizontal="left" vertical="center" wrapText="1"/>
      <protection locked="0"/>
    </xf>
    <xf numFmtId="0" fontId="0" fillId="0" borderId="0" xfId="0" applyFont="1" applyFill="1" applyBorder="1" applyAlignment="1" applyProtection="1">
      <alignment horizontal="left"/>
      <protection locked="0"/>
    </xf>
    <xf numFmtId="0" fontId="3" fillId="0" borderId="19"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64" fontId="23" fillId="5" borderId="4" xfId="1" applyNumberFormat="1" applyFont="1" applyFill="1" applyBorder="1" applyAlignment="1">
      <alignment horizontal="center" vertical="center"/>
    </xf>
    <xf numFmtId="164" fontId="23" fillId="5" borderId="0" xfId="1" applyNumberFormat="1" applyFont="1" applyFill="1" applyBorder="1" applyAlignment="1">
      <alignment horizontal="center" vertical="center"/>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8" xfId="0" applyFont="1" applyBorder="1" applyAlignment="1">
      <alignment horizontal="center" vertical="center" wrapText="1"/>
    </xf>
    <xf numFmtId="0" fontId="60" fillId="0" borderId="7" xfId="0" applyFont="1" applyBorder="1" applyAlignment="1">
      <alignment horizontal="center"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4" fillId="0" borderId="3" xfId="0" applyFont="1" applyBorder="1" applyAlignment="1" applyProtection="1">
      <alignment horizontal="center"/>
      <protection locked="0"/>
    </xf>
    <xf numFmtId="0" fontId="34" fillId="0" borderId="0" xfId="0" applyFont="1" applyBorder="1" applyAlignment="1">
      <alignment horizontal="left"/>
    </xf>
    <xf numFmtId="0" fontId="16" fillId="0" borderId="0" xfId="0" applyFont="1" applyBorder="1" applyAlignment="1">
      <alignment horizontal="left"/>
    </xf>
    <xf numFmtId="164" fontId="21" fillId="0" borderId="3" xfId="1" applyNumberFormat="1" applyFont="1" applyBorder="1" applyAlignment="1">
      <alignment horizontal="center"/>
    </xf>
    <xf numFmtId="164" fontId="21" fillId="0" borderId="8" xfId="1" applyNumberFormat="1" applyFont="1" applyBorder="1" applyAlignment="1">
      <alignment horizontal="center"/>
    </xf>
    <xf numFmtId="37" fontId="24" fillId="12" borderId="0" xfId="0" applyNumberFormat="1" applyFont="1" applyFill="1" applyBorder="1" applyAlignment="1">
      <alignment horizontal="center" vertical="center"/>
    </xf>
    <xf numFmtId="37" fontId="24" fillId="18" borderId="0" xfId="0" applyNumberFormat="1" applyFont="1" applyFill="1" applyBorder="1" applyAlignment="1">
      <alignment horizontal="center" vertical="center"/>
    </xf>
    <xf numFmtId="37" fontId="24" fillId="16" borderId="0" xfId="0" applyNumberFormat="1" applyFont="1" applyFill="1" applyBorder="1" applyAlignment="1">
      <alignment horizontal="center" vertical="center"/>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37" fontId="81" fillId="12" borderId="0" xfId="0" applyNumberFormat="1" applyFont="1" applyFill="1" applyBorder="1" applyAlignment="1">
      <alignment horizontal="center" vertical="center"/>
    </xf>
    <xf numFmtId="37" fontId="24" fillId="17" borderId="0" xfId="0" applyNumberFormat="1" applyFont="1" applyFill="1" applyAlignment="1">
      <alignment horizontal="center" vertical="center"/>
    </xf>
    <xf numFmtId="164" fontId="47" fillId="0" borderId="25" xfId="0" applyNumberFormat="1" applyFont="1" applyBorder="1" applyAlignment="1">
      <alignment horizontal="center"/>
    </xf>
    <xf numFmtId="164" fontId="47" fillId="0" borderId="20" xfId="0" applyNumberFormat="1" applyFont="1" applyBorder="1" applyAlignment="1">
      <alignment horizontal="center"/>
    </xf>
    <xf numFmtId="37" fontId="81" fillId="12" borderId="0" xfId="0" applyNumberFormat="1" applyFont="1" applyFill="1" applyBorder="1" applyAlignment="1">
      <alignment horizontal="center" vertical="center" wrapText="1"/>
    </xf>
    <xf numFmtId="0" fontId="3" fillId="9" borderId="0" xfId="0" applyFont="1" applyFill="1" applyAlignment="1">
      <alignment horizontal="center"/>
    </xf>
    <xf numFmtId="164" fontId="23" fillId="5" borderId="0" xfId="1" applyNumberFormat="1" applyFont="1" applyFill="1" applyAlignment="1">
      <alignment horizontal="center" vertical="center"/>
    </xf>
    <xf numFmtId="164" fontId="23" fillId="5" borderId="0" xfId="2281" applyNumberFormat="1" applyFont="1" applyFill="1" applyAlignment="1">
      <alignment horizontal="center" vertical="center"/>
    </xf>
    <xf numFmtId="0" fontId="0" fillId="0" borderId="0" xfId="0" applyAlignment="1">
      <alignment horizontal="center" vertical="center"/>
    </xf>
    <xf numFmtId="37" fontId="24" fillId="17" borderId="2" xfId="0" applyNumberFormat="1" applyFont="1" applyFill="1" applyBorder="1" applyAlignment="1">
      <alignment horizontal="center" vertical="center"/>
    </xf>
    <xf numFmtId="10" fontId="42" fillId="21" borderId="25" xfId="0" applyNumberFormat="1" applyFont="1" applyFill="1" applyBorder="1" applyAlignment="1" applyProtection="1">
      <alignment horizontal="center" vertical="center"/>
      <protection locked="0"/>
    </xf>
    <xf numFmtId="10" fontId="42" fillId="21" borderId="0" xfId="0" applyNumberFormat="1" applyFont="1" applyFill="1" applyBorder="1" applyAlignment="1" applyProtection="1">
      <alignment horizontal="center" vertical="center"/>
      <protection locked="0"/>
    </xf>
    <xf numFmtId="0" fontId="3" fillId="0" borderId="0" xfId="0" applyFont="1" applyAlignment="1">
      <alignment horizontal="center"/>
    </xf>
    <xf numFmtId="0" fontId="3" fillId="0" borderId="2" xfId="0" applyFont="1" applyBorder="1" applyAlignment="1">
      <alignment horizontal="center" wrapText="1"/>
    </xf>
    <xf numFmtId="0" fontId="47" fillId="5" borderId="0" xfId="0" applyFont="1" applyFill="1" applyAlignment="1">
      <alignment horizontal="center"/>
    </xf>
    <xf numFmtId="0" fontId="0" fillId="0" borderId="9" xfId="0" applyBorder="1" applyAlignment="1">
      <alignment horizontal="left"/>
    </xf>
    <xf numFmtId="0" fontId="0" fillId="3" borderId="0" xfId="0" applyFill="1" applyAlignment="1">
      <alignment horizontal="left" wrapText="1"/>
    </xf>
    <xf numFmtId="0" fontId="0" fillId="3" borderId="0" xfId="0" applyFill="1" applyBorder="1" applyAlignment="1">
      <alignment horizontal="left"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20"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1"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horizontal="left" vertical="top" wrapText="1"/>
    </xf>
    <xf numFmtId="0" fontId="0" fillId="0" borderId="9" xfId="0" applyBorder="1" applyAlignment="1">
      <alignment horizontal="left" vertical="center" wrapText="1"/>
    </xf>
    <xf numFmtId="0" fontId="0" fillId="46" borderId="2" xfId="0" applyFill="1" applyBorder="1" applyAlignment="1">
      <alignment horizont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10" fontId="5" fillId="0" borderId="15" xfId="0" applyNumberFormat="1" applyFont="1" applyBorder="1" applyAlignment="1">
      <alignment horizontal="center" vertical="center"/>
    </xf>
    <xf numFmtId="10" fontId="5" fillId="0" borderId="15"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10" fontId="5" fillId="0" borderId="10" xfId="0" applyNumberFormat="1" applyFont="1" applyBorder="1" applyAlignment="1">
      <alignment horizontal="center" vertical="center" wrapText="1"/>
    </xf>
    <xf numFmtId="10" fontId="5" fillId="0" borderId="18" xfId="0" applyNumberFormat="1" applyFont="1" applyBorder="1" applyAlignment="1">
      <alignment horizontal="center" vertical="center" wrapText="1"/>
    </xf>
    <xf numFmtId="10" fontId="5" fillId="0" borderId="10" xfId="0" applyNumberFormat="1" applyFont="1" applyBorder="1" applyAlignment="1">
      <alignment horizontal="center" vertical="center"/>
    </xf>
    <xf numFmtId="10" fontId="5" fillId="0" borderId="18" xfId="0" applyNumberFormat="1" applyFont="1" applyBorder="1" applyAlignment="1">
      <alignment horizontal="center" vertical="center"/>
    </xf>
    <xf numFmtId="0" fontId="5" fillId="0" borderId="15" xfId="0" applyFont="1" applyBorder="1" applyAlignment="1">
      <alignment horizontal="center" vertical="center" wrapText="1"/>
    </xf>
    <xf numFmtId="0" fontId="23" fillId="0" borderId="0" xfId="0"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3" fontId="85" fillId="24" borderId="40" xfId="0" applyNumberFormat="1" applyFont="1" applyFill="1" applyBorder="1" applyAlignment="1">
      <alignment horizontal="center" wrapText="1"/>
    </xf>
    <xf numFmtId="3" fontId="85" fillId="24" borderId="41" xfId="0" applyNumberFormat="1" applyFont="1" applyFill="1" applyBorder="1" applyAlignment="1">
      <alignment horizontal="center" wrapText="1"/>
    </xf>
    <xf numFmtId="3" fontId="85" fillId="24" borderId="19" xfId="0" applyNumberFormat="1" applyFont="1" applyFill="1" applyBorder="1" applyAlignment="1">
      <alignment horizontal="center"/>
    </xf>
    <xf numFmtId="3" fontId="85" fillId="24" borderId="20" xfId="0" applyNumberFormat="1" applyFont="1" applyFill="1" applyBorder="1" applyAlignment="1">
      <alignment horizontal="center"/>
    </xf>
    <xf numFmtId="165" fontId="85" fillId="24" borderId="40" xfId="0" applyNumberFormat="1" applyFont="1" applyFill="1" applyBorder="1" applyAlignment="1">
      <alignment horizontal="center"/>
    </xf>
    <xf numFmtId="165" fontId="85" fillId="24" borderId="32" xfId="0" applyNumberFormat="1" applyFont="1" applyFill="1" applyBorder="1" applyAlignment="1">
      <alignment horizontal="center"/>
    </xf>
    <xf numFmtId="3" fontId="86" fillId="24" borderId="40" xfId="0" applyNumberFormat="1" applyFont="1" applyFill="1" applyBorder="1" applyAlignment="1">
      <alignment horizontal="center" wrapText="1"/>
    </xf>
    <xf numFmtId="3" fontId="86" fillId="24" borderId="32" xfId="0" applyNumberFormat="1" applyFont="1" applyFill="1" applyBorder="1" applyAlignment="1">
      <alignment horizontal="center" wrapText="1"/>
    </xf>
    <xf numFmtId="3" fontId="85" fillId="24" borderId="32" xfId="0" applyNumberFormat="1" applyFont="1" applyFill="1" applyBorder="1" applyAlignment="1">
      <alignment horizontal="center" wrapText="1"/>
    </xf>
    <xf numFmtId="0" fontId="0" fillId="10" borderId="2" xfId="0" applyFill="1" applyBorder="1" applyAlignment="1">
      <alignment horizontal="center"/>
    </xf>
    <xf numFmtId="0" fontId="4" fillId="0" borderId="40" xfId="0" applyFont="1" applyBorder="1" applyAlignment="1">
      <alignment horizontal="center" vertical="center" textRotation="90"/>
    </xf>
    <xf numFmtId="0" fontId="4" fillId="0" borderId="32" xfId="0" applyFont="1" applyBorder="1" applyAlignment="1">
      <alignment horizontal="center" vertical="center" textRotation="90"/>
    </xf>
    <xf numFmtId="0" fontId="4" fillId="0" borderId="52" xfId="0" applyFont="1" applyBorder="1" applyAlignment="1">
      <alignment horizontal="center" vertical="center" textRotation="90"/>
    </xf>
    <xf numFmtId="0" fontId="4" fillId="0" borderId="40" xfId="0" applyFont="1" applyBorder="1" applyAlignment="1">
      <alignment horizontal="center" vertical="center" textRotation="90" wrapText="1"/>
    </xf>
    <xf numFmtId="0" fontId="4" fillId="0" borderId="32" xfId="0" applyFont="1" applyBorder="1" applyAlignment="1">
      <alignment horizontal="center" vertical="center" textRotation="90" wrapText="1"/>
    </xf>
    <xf numFmtId="0" fontId="4" fillId="0" borderId="52" xfId="0" applyFont="1" applyBorder="1" applyAlignment="1">
      <alignment horizontal="center" vertical="center" textRotation="90" wrapText="1"/>
    </xf>
  </cellXfs>
  <cellStyles count="5617">
    <cellStyle name="Comma" xfId="1" builtinId="3"/>
    <cellStyle name="Comma 2" xfId="2281"/>
    <cellStyle name="Currency" xfId="87"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645" builtinId="9" hidden="1"/>
    <cellStyle name="Followed Hyperlink" xfId="2647" builtinId="9" hidden="1"/>
    <cellStyle name="Followed Hyperlink" xfId="2649" builtinId="9" hidden="1"/>
    <cellStyle name="Followed Hyperlink" xfId="2651" builtinId="9" hidden="1"/>
    <cellStyle name="Followed Hyperlink" xfId="2653" builtinId="9" hidden="1"/>
    <cellStyle name="Followed Hyperlink" xfId="2655" builtinId="9" hidden="1"/>
    <cellStyle name="Followed Hyperlink" xfId="2657" builtinId="9" hidden="1"/>
    <cellStyle name="Followed Hyperlink" xfId="2659" builtinId="9" hidden="1"/>
    <cellStyle name="Followed Hyperlink" xfId="2661" builtinId="9" hidden="1"/>
    <cellStyle name="Followed Hyperlink" xfId="2663"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3" builtinId="9" hidden="1"/>
    <cellStyle name="Followed Hyperlink" xfId="2695" builtinId="9" hidden="1"/>
    <cellStyle name="Followed Hyperlink" xfId="2697"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5" builtinId="9" hidden="1"/>
    <cellStyle name="Followed Hyperlink" xfId="2727" builtinId="9" hidden="1"/>
    <cellStyle name="Followed Hyperlink" xfId="2729" builtinId="9" hidden="1"/>
    <cellStyle name="Followed Hyperlink" xfId="2731" builtinId="9" hidden="1"/>
    <cellStyle name="Followed Hyperlink" xfId="2733" builtinId="9" hidden="1"/>
    <cellStyle name="Followed Hyperlink" xfId="2735" builtinId="9" hidden="1"/>
    <cellStyle name="Followed Hyperlink" xfId="2737" builtinId="9" hidden="1"/>
    <cellStyle name="Followed Hyperlink" xfId="2739" builtinId="9" hidden="1"/>
    <cellStyle name="Followed Hyperlink" xfId="2741" builtinId="9" hidden="1"/>
    <cellStyle name="Followed Hyperlink" xfId="2743" builtinId="9" hidden="1"/>
    <cellStyle name="Followed Hyperlink" xfId="2745" builtinId="9" hidden="1"/>
    <cellStyle name="Followed Hyperlink" xfId="2747" builtinId="9" hidden="1"/>
    <cellStyle name="Followed Hyperlink" xfId="2749" builtinId="9" hidden="1"/>
    <cellStyle name="Followed Hyperlink" xfId="2751" builtinId="9" hidden="1"/>
    <cellStyle name="Followed Hyperlink" xfId="2753" builtinId="9" hidden="1"/>
    <cellStyle name="Followed Hyperlink" xfId="2755" builtinId="9" hidden="1"/>
    <cellStyle name="Followed Hyperlink" xfId="2757" builtinId="9" hidden="1"/>
    <cellStyle name="Followed Hyperlink" xfId="2759" builtinId="9" hidden="1"/>
    <cellStyle name="Followed Hyperlink" xfId="2761" builtinId="9" hidden="1"/>
    <cellStyle name="Followed Hyperlink" xfId="2763" builtinId="9" hidden="1"/>
    <cellStyle name="Followed Hyperlink" xfId="2765"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3"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9"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3" builtinId="9" hidden="1"/>
    <cellStyle name="Followed Hyperlink" xfId="2905" builtinId="9" hidden="1"/>
    <cellStyle name="Followed Hyperlink" xfId="2907" builtinId="9" hidden="1"/>
    <cellStyle name="Followed Hyperlink" xfId="2909" builtinId="9" hidden="1"/>
    <cellStyle name="Followed Hyperlink" xfId="2911" builtinId="9" hidden="1"/>
    <cellStyle name="Followed Hyperlink" xfId="2913" builtinId="9" hidden="1"/>
    <cellStyle name="Followed Hyperlink" xfId="2915" builtinId="9" hidden="1"/>
    <cellStyle name="Followed Hyperlink" xfId="2917" builtinId="9" hidden="1"/>
    <cellStyle name="Followed Hyperlink" xfId="2919" builtinId="9" hidden="1"/>
    <cellStyle name="Followed Hyperlink" xfId="2921" builtinId="9" hidden="1"/>
    <cellStyle name="Followed Hyperlink" xfId="2923" builtinId="9" hidden="1"/>
    <cellStyle name="Followed Hyperlink" xfId="2925" builtinId="9" hidden="1"/>
    <cellStyle name="Followed Hyperlink" xfId="2927" builtinId="9" hidden="1"/>
    <cellStyle name="Followed Hyperlink" xfId="2929" builtinId="9" hidden="1"/>
    <cellStyle name="Followed Hyperlink" xfId="2931" builtinId="9" hidden="1"/>
    <cellStyle name="Followed Hyperlink" xfId="2933" builtinId="9" hidden="1"/>
    <cellStyle name="Followed Hyperlink" xfId="2935" builtinId="9" hidden="1"/>
    <cellStyle name="Followed Hyperlink" xfId="2937" builtinId="9" hidden="1"/>
    <cellStyle name="Followed Hyperlink" xfId="2939" builtinId="9" hidden="1"/>
    <cellStyle name="Followed Hyperlink" xfId="2941" builtinId="9" hidden="1"/>
    <cellStyle name="Followed Hyperlink" xfId="2943" builtinId="9" hidden="1"/>
    <cellStyle name="Followed Hyperlink" xfId="2945" builtinId="9" hidden="1"/>
    <cellStyle name="Followed Hyperlink" xfId="2947"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3"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9" builtinId="9" hidden="1"/>
    <cellStyle name="Followed Hyperlink" xfId="3021" builtinId="9" hidden="1"/>
    <cellStyle name="Followed Hyperlink" xfId="3023" builtinId="9" hidden="1"/>
    <cellStyle name="Followed Hyperlink" xfId="3025" builtinId="9" hidden="1"/>
    <cellStyle name="Followed Hyperlink" xfId="3027" builtinId="9" hidden="1"/>
    <cellStyle name="Followed Hyperlink" xfId="3029" builtinId="9" hidden="1"/>
    <cellStyle name="Followed Hyperlink" xfId="3031" builtinId="9" hidden="1"/>
    <cellStyle name="Followed Hyperlink" xfId="3033" builtinId="9" hidden="1"/>
    <cellStyle name="Followed Hyperlink" xfId="3035" builtinId="9" hidden="1"/>
    <cellStyle name="Followed Hyperlink" xfId="3037" builtinId="9" hidden="1"/>
    <cellStyle name="Followed Hyperlink" xfId="3039" builtinId="9" hidden="1"/>
    <cellStyle name="Followed Hyperlink" xfId="3041" builtinId="9" hidden="1"/>
    <cellStyle name="Followed Hyperlink" xfId="3043" builtinId="9" hidden="1"/>
    <cellStyle name="Followed Hyperlink" xfId="3045"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Followed Hyperlink" xfId="3149" builtinId="9" hidden="1"/>
    <cellStyle name="Followed Hyperlink" xfId="3151" builtinId="9" hidden="1"/>
    <cellStyle name="Followed Hyperlink" xfId="3153" builtinId="9" hidden="1"/>
    <cellStyle name="Followed Hyperlink" xfId="3155" builtinId="9" hidden="1"/>
    <cellStyle name="Followed Hyperlink" xfId="3157" builtinId="9" hidden="1"/>
    <cellStyle name="Followed Hyperlink" xfId="3159" builtinId="9" hidden="1"/>
    <cellStyle name="Followed Hyperlink" xfId="3161" builtinId="9" hidden="1"/>
    <cellStyle name="Followed Hyperlink" xfId="3163" builtinId="9" hidden="1"/>
    <cellStyle name="Followed Hyperlink" xfId="3165" builtinId="9" hidden="1"/>
    <cellStyle name="Followed Hyperlink" xfId="3167" builtinId="9" hidden="1"/>
    <cellStyle name="Followed Hyperlink" xfId="3169" builtinId="9" hidden="1"/>
    <cellStyle name="Followed Hyperlink" xfId="3171" builtinId="9" hidden="1"/>
    <cellStyle name="Followed Hyperlink" xfId="3173" builtinId="9" hidden="1"/>
    <cellStyle name="Followed Hyperlink" xfId="3175" builtinId="9" hidden="1"/>
    <cellStyle name="Followed Hyperlink" xfId="3177" builtinId="9" hidden="1"/>
    <cellStyle name="Followed Hyperlink" xfId="3179" builtinId="9" hidden="1"/>
    <cellStyle name="Followed Hyperlink" xfId="3181" builtinId="9" hidden="1"/>
    <cellStyle name="Followed Hyperlink" xfId="3183" builtinId="9" hidden="1"/>
    <cellStyle name="Followed Hyperlink" xfId="3185" builtinId="9" hidden="1"/>
    <cellStyle name="Followed Hyperlink" xfId="3187" builtinId="9" hidden="1"/>
    <cellStyle name="Followed Hyperlink" xfId="3189" builtinId="9" hidden="1"/>
    <cellStyle name="Followed Hyperlink" xfId="3191" builtinId="9" hidden="1"/>
    <cellStyle name="Followed Hyperlink" xfId="3193" builtinId="9" hidden="1"/>
    <cellStyle name="Followed Hyperlink" xfId="3195" builtinId="9" hidden="1"/>
    <cellStyle name="Followed Hyperlink" xfId="3197" builtinId="9" hidden="1"/>
    <cellStyle name="Followed Hyperlink" xfId="3199" builtinId="9" hidden="1"/>
    <cellStyle name="Followed Hyperlink" xfId="3201" builtinId="9" hidden="1"/>
    <cellStyle name="Followed Hyperlink" xfId="3203" builtinId="9" hidden="1"/>
    <cellStyle name="Followed Hyperlink" xfId="3205" builtinId="9" hidden="1"/>
    <cellStyle name="Followed Hyperlink" xfId="3207" builtinId="9" hidden="1"/>
    <cellStyle name="Followed Hyperlink" xfId="3209" builtinId="9" hidden="1"/>
    <cellStyle name="Followed Hyperlink" xfId="3211" builtinId="9" hidden="1"/>
    <cellStyle name="Followed Hyperlink" xfId="3213" builtinId="9" hidden="1"/>
    <cellStyle name="Followed Hyperlink" xfId="3215" builtinId="9" hidden="1"/>
    <cellStyle name="Followed Hyperlink" xfId="3217" builtinId="9" hidden="1"/>
    <cellStyle name="Followed Hyperlink" xfId="3219" builtinId="9" hidden="1"/>
    <cellStyle name="Followed Hyperlink" xfId="3221" builtinId="9" hidden="1"/>
    <cellStyle name="Followed Hyperlink" xfId="3223" builtinId="9" hidden="1"/>
    <cellStyle name="Followed Hyperlink" xfId="3225" builtinId="9" hidden="1"/>
    <cellStyle name="Followed Hyperlink" xfId="3227" builtinId="9" hidden="1"/>
    <cellStyle name="Followed Hyperlink" xfId="3229" builtinId="9" hidden="1"/>
    <cellStyle name="Followed Hyperlink" xfId="3231" builtinId="9" hidden="1"/>
    <cellStyle name="Followed Hyperlink" xfId="3233" builtinId="9" hidden="1"/>
    <cellStyle name="Followed Hyperlink" xfId="3235" builtinId="9" hidden="1"/>
    <cellStyle name="Followed Hyperlink" xfId="3237" builtinId="9" hidden="1"/>
    <cellStyle name="Followed Hyperlink" xfId="3239" builtinId="9" hidden="1"/>
    <cellStyle name="Followed Hyperlink" xfId="3241" builtinId="9" hidden="1"/>
    <cellStyle name="Followed Hyperlink" xfId="3243" builtinId="9" hidden="1"/>
    <cellStyle name="Followed Hyperlink" xfId="3245" builtinId="9" hidden="1"/>
    <cellStyle name="Followed Hyperlink" xfId="3247" builtinId="9" hidden="1"/>
    <cellStyle name="Followed Hyperlink" xfId="3249" builtinId="9" hidden="1"/>
    <cellStyle name="Followed Hyperlink" xfId="3251" builtinId="9" hidden="1"/>
    <cellStyle name="Followed Hyperlink" xfId="3253" builtinId="9" hidden="1"/>
    <cellStyle name="Followed Hyperlink" xfId="3255" builtinId="9" hidden="1"/>
    <cellStyle name="Followed Hyperlink" xfId="3257" builtinId="9" hidden="1"/>
    <cellStyle name="Followed Hyperlink" xfId="3259" builtinId="9" hidden="1"/>
    <cellStyle name="Followed Hyperlink" xfId="3261" builtinId="9" hidden="1"/>
    <cellStyle name="Followed Hyperlink" xfId="3263" builtinId="9" hidden="1"/>
    <cellStyle name="Followed Hyperlink" xfId="3265" builtinId="9" hidden="1"/>
    <cellStyle name="Followed Hyperlink" xfId="3267" builtinId="9" hidden="1"/>
    <cellStyle name="Followed Hyperlink" xfId="3269" builtinId="9" hidden="1"/>
    <cellStyle name="Followed Hyperlink" xfId="3271" builtinId="9" hidden="1"/>
    <cellStyle name="Followed Hyperlink" xfId="3273" builtinId="9" hidden="1"/>
    <cellStyle name="Followed Hyperlink" xfId="3275" builtinId="9" hidden="1"/>
    <cellStyle name="Followed Hyperlink" xfId="3277" builtinId="9" hidden="1"/>
    <cellStyle name="Followed Hyperlink" xfId="3279" builtinId="9" hidden="1"/>
    <cellStyle name="Followed Hyperlink" xfId="3281" builtinId="9" hidden="1"/>
    <cellStyle name="Followed Hyperlink" xfId="3283" builtinId="9" hidden="1"/>
    <cellStyle name="Followed Hyperlink" xfId="3285" builtinId="9" hidden="1"/>
    <cellStyle name="Followed Hyperlink" xfId="3287" builtinId="9" hidden="1"/>
    <cellStyle name="Followed Hyperlink" xfId="3289" builtinId="9" hidden="1"/>
    <cellStyle name="Followed Hyperlink" xfId="3291" builtinId="9" hidden="1"/>
    <cellStyle name="Followed Hyperlink" xfId="3293" builtinId="9" hidden="1"/>
    <cellStyle name="Followed Hyperlink" xfId="3295" builtinId="9" hidden="1"/>
    <cellStyle name="Followed Hyperlink" xfId="3297" builtinId="9" hidden="1"/>
    <cellStyle name="Followed Hyperlink" xfId="3299" builtinId="9" hidden="1"/>
    <cellStyle name="Followed Hyperlink" xfId="3301" builtinId="9" hidden="1"/>
    <cellStyle name="Followed Hyperlink" xfId="3303" builtinId="9" hidden="1"/>
    <cellStyle name="Followed Hyperlink" xfId="3305" builtinId="9" hidden="1"/>
    <cellStyle name="Followed Hyperlink" xfId="3307" builtinId="9" hidden="1"/>
    <cellStyle name="Followed Hyperlink" xfId="3309" builtinId="9" hidden="1"/>
    <cellStyle name="Followed Hyperlink" xfId="3311"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9"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9" builtinId="9" hidden="1"/>
    <cellStyle name="Followed Hyperlink" xfId="3731" builtinId="9" hidden="1"/>
    <cellStyle name="Followed Hyperlink" xfId="3733" builtinId="9" hidden="1"/>
    <cellStyle name="Followed Hyperlink" xfId="3735" builtinId="9" hidden="1"/>
    <cellStyle name="Followed Hyperlink" xfId="3737" builtinId="9" hidden="1"/>
    <cellStyle name="Followed Hyperlink" xfId="3739" builtinId="9" hidden="1"/>
    <cellStyle name="Followed Hyperlink" xfId="3741" builtinId="9" hidden="1"/>
    <cellStyle name="Followed Hyperlink" xfId="3743" builtinId="9" hidden="1"/>
    <cellStyle name="Followed Hyperlink" xfId="3745" builtinId="9" hidden="1"/>
    <cellStyle name="Followed Hyperlink" xfId="3747" builtinId="9" hidden="1"/>
    <cellStyle name="Followed Hyperlink" xfId="3749" builtinId="9" hidden="1"/>
    <cellStyle name="Followed Hyperlink" xfId="3751" builtinId="9" hidden="1"/>
    <cellStyle name="Followed Hyperlink" xfId="3753" builtinId="9" hidden="1"/>
    <cellStyle name="Followed Hyperlink" xfId="3755" builtinId="9" hidden="1"/>
    <cellStyle name="Followed Hyperlink" xfId="3757" builtinId="9" hidden="1"/>
    <cellStyle name="Followed Hyperlink" xfId="3759" builtinId="9" hidden="1"/>
    <cellStyle name="Followed Hyperlink" xfId="3761" builtinId="9" hidden="1"/>
    <cellStyle name="Followed Hyperlink" xfId="3763" builtinId="9" hidden="1"/>
    <cellStyle name="Followed Hyperlink" xfId="3765" builtinId="9" hidden="1"/>
    <cellStyle name="Followed Hyperlink" xfId="3767"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1"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7"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7"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7"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1" builtinId="9" hidden="1"/>
    <cellStyle name="Followed Hyperlink" xfId="4003" builtinId="9" hidden="1"/>
    <cellStyle name="Followed Hyperlink" xfId="4005" builtinId="9" hidden="1"/>
    <cellStyle name="Followed Hyperlink" xfId="4007" builtinId="9" hidden="1"/>
    <cellStyle name="Followed Hyperlink" xfId="4009" builtinId="9" hidden="1"/>
    <cellStyle name="Followed Hyperlink" xfId="4011" builtinId="9" hidden="1"/>
    <cellStyle name="Followed Hyperlink" xfId="4013" builtinId="9" hidden="1"/>
    <cellStyle name="Followed Hyperlink" xfId="4015" builtinId="9" hidden="1"/>
    <cellStyle name="Followed Hyperlink" xfId="4017" builtinId="9" hidden="1"/>
    <cellStyle name="Followed Hyperlink" xfId="4019" builtinId="9" hidden="1"/>
    <cellStyle name="Followed Hyperlink" xfId="4021" builtinId="9" hidden="1"/>
    <cellStyle name="Followed Hyperlink" xfId="4023" builtinId="9" hidden="1"/>
    <cellStyle name="Followed Hyperlink" xfId="4025" builtinId="9" hidden="1"/>
    <cellStyle name="Followed Hyperlink" xfId="4027" builtinId="9" hidden="1"/>
    <cellStyle name="Followed Hyperlink" xfId="4029" builtinId="9" hidden="1"/>
    <cellStyle name="Followed Hyperlink" xfId="4031" builtinId="9" hidden="1"/>
    <cellStyle name="Followed Hyperlink" xfId="4033" builtinId="9" hidden="1"/>
    <cellStyle name="Followed Hyperlink" xfId="4035" builtinId="9" hidden="1"/>
    <cellStyle name="Followed Hyperlink" xfId="4037" builtinId="9" hidden="1"/>
    <cellStyle name="Followed Hyperlink" xfId="4039" builtinId="9" hidden="1"/>
    <cellStyle name="Followed Hyperlink" xfId="4041" builtinId="9" hidden="1"/>
    <cellStyle name="Followed Hyperlink" xfId="4043" builtinId="9" hidden="1"/>
    <cellStyle name="Followed Hyperlink" xfId="4045" builtinId="9" hidden="1"/>
    <cellStyle name="Followed Hyperlink" xfId="4047" builtinId="9" hidden="1"/>
    <cellStyle name="Followed Hyperlink" xfId="4049" builtinId="9" hidden="1"/>
    <cellStyle name="Followed Hyperlink" xfId="4051" builtinId="9" hidden="1"/>
    <cellStyle name="Followed Hyperlink" xfId="4053" builtinId="9" hidden="1"/>
    <cellStyle name="Followed Hyperlink" xfId="4055" builtinId="9" hidden="1"/>
    <cellStyle name="Followed Hyperlink" xfId="4057" builtinId="9" hidden="1"/>
    <cellStyle name="Followed Hyperlink" xfId="4059" builtinId="9" hidden="1"/>
    <cellStyle name="Followed Hyperlink" xfId="4061" builtinId="9" hidden="1"/>
    <cellStyle name="Followed Hyperlink" xfId="4063" builtinId="9" hidden="1"/>
    <cellStyle name="Followed Hyperlink" xfId="4065" builtinId="9" hidden="1"/>
    <cellStyle name="Followed Hyperlink" xfId="4067" builtinId="9" hidden="1"/>
    <cellStyle name="Followed Hyperlink" xfId="4069" builtinId="9" hidden="1"/>
    <cellStyle name="Followed Hyperlink" xfId="4071" builtinId="9" hidden="1"/>
    <cellStyle name="Followed Hyperlink" xfId="4073" builtinId="9" hidden="1"/>
    <cellStyle name="Followed Hyperlink" xfId="4075" builtinId="9" hidden="1"/>
    <cellStyle name="Followed Hyperlink" xfId="4077" builtinId="9" hidden="1"/>
    <cellStyle name="Followed Hyperlink" xfId="4079" builtinId="9" hidden="1"/>
    <cellStyle name="Followed Hyperlink" xfId="4081" builtinId="9" hidden="1"/>
    <cellStyle name="Followed Hyperlink" xfId="4083" builtinId="9" hidden="1"/>
    <cellStyle name="Followed Hyperlink" xfId="4085"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5" builtinId="9" hidden="1"/>
    <cellStyle name="Followed Hyperlink" xfId="4107" builtinId="9" hidden="1"/>
    <cellStyle name="Followed Hyperlink" xfId="4109" builtinId="9" hidden="1"/>
    <cellStyle name="Followed Hyperlink" xfId="4111"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3" builtinId="9" hidden="1"/>
    <cellStyle name="Followed Hyperlink" xfId="4145" builtinId="9" hidden="1"/>
    <cellStyle name="Followed Hyperlink" xfId="4147" builtinId="9" hidden="1"/>
    <cellStyle name="Followed Hyperlink" xfId="4149" builtinId="9" hidden="1"/>
    <cellStyle name="Followed Hyperlink" xfId="4151" builtinId="9" hidden="1"/>
    <cellStyle name="Followed Hyperlink" xfId="4153" builtinId="9" hidden="1"/>
    <cellStyle name="Followed Hyperlink" xfId="4155" builtinId="9" hidden="1"/>
    <cellStyle name="Followed Hyperlink" xfId="4157" builtinId="9" hidden="1"/>
    <cellStyle name="Followed Hyperlink" xfId="4159" builtinId="9" hidden="1"/>
    <cellStyle name="Followed Hyperlink" xfId="4161" builtinId="9" hidden="1"/>
    <cellStyle name="Followed Hyperlink" xfId="4163" builtinId="9" hidden="1"/>
    <cellStyle name="Followed Hyperlink" xfId="4165" builtinId="9" hidden="1"/>
    <cellStyle name="Followed Hyperlink" xfId="4167" builtinId="9" hidden="1"/>
    <cellStyle name="Followed Hyperlink" xfId="4169" builtinId="9" hidden="1"/>
    <cellStyle name="Followed Hyperlink" xfId="4171" builtinId="9" hidden="1"/>
    <cellStyle name="Followed Hyperlink" xfId="4173" builtinId="9" hidden="1"/>
    <cellStyle name="Followed Hyperlink" xfId="4175" builtinId="9" hidden="1"/>
    <cellStyle name="Followed Hyperlink" xfId="4177" builtinId="9" hidden="1"/>
    <cellStyle name="Followed Hyperlink" xfId="4179" builtinId="9" hidden="1"/>
    <cellStyle name="Followed Hyperlink" xfId="4181" builtinId="9" hidden="1"/>
    <cellStyle name="Followed Hyperlink" xfId="4183" builtinId="9" hidden="1"/>
    <cellStyle name="Followed Hyperlink" xfId="4185" builtinId="9" hidden="1"/>
    <cellStyle name="Followed Hyperlink" xfId="4187" builtinId="9" hidden="1"/>
    <cellStyle name="Followed Hyperlink" xfId="4189" builtinId="9" hidden="1"/>
    <cellStyle name="Followed Hyperlink" xfId="4191" builtinId="9" hidden="1"/>
    <cellStyle name="Followed Hyperlink" xfId="4193" builtinId="9" hidden="1"/>
    <cellStyle name="Followed Hyperlink" xfId="4195" builtinId="9" hidden="1"/>
    <cellStyle name="Followed Hyperlink" xfId="4197" builtinId="9" hidden="1"/>
    <cellStyle name="Followed Hyperlink" xfId="4199" builtinId="9" hidden="1"/>
    <cellStyle name="Followed Hyperlink" xfId="4201" builtinId="9" hidden="1"/>
    <cellStyle name="Followed Hyperlink" xfId="4203" builtinId="9" hidden="1"/>
    <cellStyle name="Followed Hyperlink" xfId="4205" builtinId="9" hidden="1"/>
    <cellStyle name="Followed Hyperlink" xfId="4207" builtinId="9" hidden="1"/>
    <cellStyle name="Followed Hyperlink" xfId="4209" builtinId="9" hidden="1"/>
    <cellStyle name="Followed Hyperlink" xfId="4211" builtinId="9" hidden="1"/>
    <cellStyle name="Followed Hyperlink" xfId="4213" builtinId="9" hidden="1"/>
    <cellStyle name="Followed Hyperlink" xfId="4215" builtinId="9" hidden="1"/>
    <cellStyle name="Followed Hyperlink" xfId="4217" builtinId="9" hidden="1"/>
    <cellStyle name="Followed Hyperlink" xfId="4219" builtinId="9" hidden="1"/>
    <cellStyle name="Followed Hyperlink" xfId="4221" builtinId="9" hidden="1"/>
    <cellStyle name="Followed Hyperlink" xfId="4223"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7" builtinId="9" hidden="1"/>
    <cellStyle name="Followed Hyperlink" xfId="4259" builtinId="9" hidden="1"/>
    <cellStyle name="Followed Hyperlink" xfId="4261"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Followed Hyperlink" xfId="4313" builtinId="9" hidden="1"/>
    <cellStyle name="Followed Hyperlink" xfId="4315" builtinId="9" hidden="1"/>
    <cellStyle name="Followed Hyperlink" xfId="4317" builtinId="9" hidden="1"/>
    <cellStyle name="Followed Hyperlink" xfId="4319" builtinId="9" hidden="1"/>
    <cellStyle name="Followed Hyperlink" xfId="4321" builtinId="9" hidden="1"/>
    <cellStyle name="Followed Hyperlink" xfId="4323" builtinId="9" hidden="1"/>
    <cellStyle name="Followed Hyperlink" xfId="4325" builtinId="9" hidden="1"/>
    <cellStyle name="Followed Hyperlink" xfId="4327" builtinId="9" hidden="1"/>
    <cellStyle name="Followed Hyperlink" xfId="4329" builtinId="9" hidden="1"/>
    <cellStyle name="Followed Hyperlink" xfId="4331" builtinId="9" hidden="1"/>
    <cellStyle name="Followed Hyperlink" xfId="4333" builtinId="9" hidden="1"/>
    <cellStyle name="Followed Hyperlink" xfId="4335" builtinId="9" hidden="1"/>
    <cellStyle name="Followed Hyperlink" xfId="4337" builtinId="9" hidden="1"/>
    <cellStyle name="Followed Hyperlink" xfId="4339" builtinId="9" hidden="1"/>
    <cellStyle name="Followed Hyperlink" xfId="4341" builtinId="9" hidden="1"/>
    <cellStyle name="Followed Hyperlink" xfId="4343" builtinId="9" hidden="1"/>
    <cellStyle name="Followed Hyperlink" xfId="4345" builtinId="9" hidden="1"/>
    <cellStyle name="Followed Hyperlink" xfId="4347" builtinId="9" hidden="1"/>
    <cellStyle name="Followed Hyperlink" xfId="4349" builtinId="9" hidden="1"/>
    <cellStyle name="Followed Hyperlink" xfId="4351" builtinId="9" hidden="1"/>
    <cellStyle name="Followed Hyperlink" xfId="4353" builtinId="9" hidden="1"/>
    <cellStyle name="Followed Hyperlink" xfId="4355" builtinId="9" hidden="1"/>
    <cellStyle name="Followed Hyperlink" xfId="4357" builtinId="9" hidden="1"/>
    <cellStyle name="Followed Hyperlink" xfId="4359" builtinId="9" hidden="1"/>
    <cellStyle name="Followed Hyperlink" xfId="4361" builtinId="9" hidden="1"/>
    <cellStyle name="Followed Hyperlink" xfId="4363" builtinId="9" hidden="1"/>
    <cellStyle name="Followed Hyperlink" xfId="4365" builtinId="9" hidden="1"/>
    <cellStyle name="Followed Hyperlink" xfId="4367" builtinId="9" hidden="1"/>
    <cellStyle name="Followed Hyperlink" xfId="4369" builtinId="9" hidden="1"/>
    <cellStyle name="Followed Hyperlink" xfId="4371" builtinId="9" hidden="1"/>
    <cellStyle name="Followed Hyperlink" xfId="4373" builtinId="9" hidden="1"/>
    <cellStyle name="Followed Hyperlink" xfId="4375" builtinId="9" hidden="1"/>
    <cellStyle name="Followed Hyperlink" xfId="4377" builtinId="9" hidden="1"/>
    <cellStyle name="Followed Hyperlink" xfId="4379" builtinId="9" hidden="1"/>
    <cellStyle name="Followed Hyperlink" xfId="4381" builtinId="9" hidden="1"/>
    <cellStyle name="Followed Hyperlink" xfId="4383" builtinId="9" hidden="1"/>
    <cellStyle name="Followed Hyperlink" xfId="4385" builtinId="9" hidden="1"/>
    <cellStyle name="Followed Hyperlink" xfId="4387" builtinId="9" hidden="1"/>
    <cellStyle name="Followed Hyperlink" xfId="4389" builtinId="9" hidden="1"/>
    <cellStyle name="Followed Hyperlink" xfId="4391" builtinId="9" hidden="1"/>
    <cellStyle name="Followed Hyperlink" xfId="4393" builtinId="9" hidden="1"/>
    <cellStyle name="Followed Hyperlink" xfId="4395" builtinId="9" hidden="1"/>
    <cellStyle name="Followed Hyperlink" xfId="4397" builtinId="9" hidden="1"/>
    <cellStyle name="Followed Hyperlink" xfId="4399" builtinId="9" hidden="1"/>
    <cellStyle name="Followed Hyperlink" xfId="4401" builtinId="9" hidden="1"/>
    <cellStyle name="Followed Hyperlink" xfId="4403" builtinId="9" hidden="1"/>
    <cellStyle name="Followed Hyperlink" xfId="4405" builtinId="9" hidden="1"/>
    <cellStyle name="Followed Hyperlink" xfId="4407" builtinId="9" hidden="1"/>
    <cellStyle name="Followed Hyperlink" xfId="4409" builtinId="9" hidden="1"/>
    <cellStyle name="Followed Hyperlink" xfId="4411" builtinId="9" hidden="1"/>
    <cellStyle name="Followed Hyperlink" xfId="4413" builtinId="9" hidden="1"/>
    <cellStyle name="Followed Hyperlink" xfId="4415" builtinId="9" hidden="1"/>
    <cellStyle name="Followed Hyperlink" xfId="4417" builtinId="9" hidden="1"/>
    <cellStyle name="Followed Hyperlink" xfId="4419" builtinId="9" hidden="1"/>
    <cellStyle name="Followed Hyperlink" xfId="4421" builtinId="9" hidden="1"/>
    <cellStyle name="Followed Hyperlink" xfId="4423" builtinId="9" hidden="1"/>
    <cellStyle name="Followed Hyperlink" xfId="4425" builtinId="9" hidden="1"/>
    <cellStyle name="Followed Hyperlink" xfId="4427" builtinId="9" hidden="1"/>
    <cellStyle name="Followed Hyperlink" xfId="4429" builtinId="9" hidden="1"/>
    <cellStyle name="Followed Hyperlink" xfId="4431" builtinId="9" hidden="1"/>
    <cellStyle name="Followed Hyperlink" xfId="4433" builtinId="9" hidden="1"/>
    <cellStyle name="Followed Hyperlink" xfId="4435" builtinId="9" hidden="1"/>
    <cellStyle name="Followed Hyperlink" xfId="4437" builtinId="9" hidden="1"/>
    <cellStyle name="Followed Hyperlink" xfId="4439" builtinId="9" hidden="1"/>
    <cellStyle name="Followed Hyperlink" xfId="4441" builtinId="9" hidden="1"/>
    <cellStyle name="Followed Hyperlink" xfId="4443" builtinId="9" hidden="1"/>
    <cellStyle name="Followed Hyperlink" xfId="4445" builtinId="9" hidden="1"/>
    <cellStyle name="Followed Hyperlink" xfId="4447" builtinId="9" hidden="1"/>
    <cellStyle name="Followed Hyperlink" xfId="4449" builtinId="9" hidden="1"/>
    <cellStyle name="Followed Hyperlink" xfId="4451" builtinId="9" hidden="1"/>
    <cellStyle name="Followed Hyperlink" xfId="4453" builtinId="9" hidden="1"/>
    <cellStyle name="Followed Hyperlink" xfId="4455" builtinId="9" hidden="1"/>
    <cellStyle name="Followed Hyperlink" xfId="4457" builtinId="9" hidden="1"/>
    <cellStyle name="Followed Hyperlink" xfId="4459" builtinId="9" hidden="1"/>
    <cellStyle name="Followed Hyperlink" xfId="4461" builtinId="9" hidden="1"/>
    <cellStyle name="Followed Hyperlink" xfId="4463" builtinId="9" hidden="1"/>
    <cellStyle name="Followed Hyperlink" xfId="4465" builtinId="9" hidden="1"/>
    <cellStyle name="Followed Hyperlink" xfId="4467" builtinId="9" hidden="1"/>
    <cellStyle name="Followed Hyperlink" xfId="4469" builtinId="9" hidden="1"/>
    <cellStyle name="Followed Hyperlink" xfId="4471" builtinId="9" hidden="1"/>
    <cellStyle name="Followed Hyperlink" xfId="4473" builtinId="9" hidden="1"/>
    <cellStyle name="Followed Hyperlink" xfId="4475" builtinId="9" hidden="1"/>
    <cellStyle name="Followed Hyperlink" xfId="4477" builtinId="9" hidden="1"/>
    <cellStyle name="Followed Hyperlink" xfId="4479" builtinId="9" hidden="1"/>
    <cellStyle name="Followed Hyperlink" xfId="4481" builtinId="9" hidden="1"/>
    <cellStyle name="Followed Hyperlink" xfId="4483" builtinId="9" hidden="1"/>
    <cellStyle name="Followed Hyperlink" xfId="4485" builtinId="9" hidden="1"/>
    <cellStyle name="Followed Hyperlink" xfId="4487" builtinId="9" hidden="1"/>
    <cellStyle name="Followed Hyperlink" xfId="4489" builtinId="9" hidden="1"/>
    <cellStyle name="Followed Hyperlink" xfId="4491" builtinId="9" hidden="1"/>
    <cellStyle name="Followed Hyperlink" xfId="4493" builtinId="9" hidden="1"/>
    <cellStyle name="Followed Hyperlink" xfId="4495" builtinId="9" hidden="1"/>
    <cellStyle name="Followed Hyperlink" xfId="4497" builtinId="9" hidden="1"/>
    <cellStyle name="Followed Hyperlink" xfId="4499" builtinId="9" hidden="1"/>
    <cellStyle name="Followed Hyperlink" xfId="4501" builtinId="9" hidden="1"/>
    <cellStyle name="Followed Hyperlink" xfId="4503" builtinId="9" hidden="1"/>
    <cellStyle name="Followed Hyperlink" xfId="4505" builtinId="9" hidden="1"/>
    <cellStyle name="Followed Hyperlink" xfId="4507" builtinId="9" hidden="1"/>
    <cellStyle name="Followed Hyperlink" xfId="4509" builtinId="9" hidden="1"/>
    <cellStyle name="Followed Hyperlink" xfId="4511" builtinId="9" hidden="1"/>
    <cellStyle name="Followed Hyperlink" xfId="4513" builtinId="9" hidden="1"/>
    <cellStyle name="Followed Hyperlink" xfId="4515" builtinId="9" hidden="1"/>
    <cellStyle name="Followed Hyperlink" xfId="4517" builtinId="9" hidden="1"/>
    <cellStyle name="Followed Hyperlink" xfId="4519" builtinId="9" hidden="1"/>
    <cellStyle name="Followed Hyperlink" xfId="4521" builtinId="9" hidden="1"/>
    <cellStyle name="Followed Hyperlink" xfId="4523" builtinId="9" hidden="1"/>
    <cellStyle name="Followed Hyperlink" xfId="4525" builtinId="9" hidden="1"/>
    <cellStyle name="Followed Hyperlink" xfId="4527" builtinId="9" hidden="1"/>
    <cellStyle name="Followed Hyperlink" xfId="4529" builtinId="9" hidden="1"/>
    <cellStyle name="Followed Hyperlink" xfId="4531" builtinId="9" hidden="1"/>
    <cellStyle name="Followed Hyperlink" xfId="4533" builtinId="9" hidden="1"/>
    <cellStyle name="Followed Hyperlink" xfId="4535" builtinId="9" hidden="1"/>
    <cellStyle name="Followed Hyperlink" xfId="4537" builtinId="9" hidden="1"/>
    <cellStyle name="Followed Hyperlink" xfId="4539" builtinId="9" hidden="1"/>
    <cellStyle name="Followed Hyperlink" xfId="4541" builtinId="9" hidden="1"/>
    <cellStyle name="Followed Hyperlink" xfId="4543" builtinId="9" hidden="1"/>
    <cellStyle name="Followed Hyperlink" xfId="4545" builtinId="9" hidden="1"/>
    <cellStyle name="Followed Hyperlink" xfId="4547" builtinId="9" hidden="1"/>
    <cellStyle name="Followed Hyperlink" xfId="4549" builtinId="9" hidden="1"/>
    <cellStyle name="Followed Hyperlink" xfId="4551" builtinId="9" hidden="1"/>
    <cellStyle name="Followed Hyperlink" xfId="4553" builtinId="9" hidden="1"/>
    <cellStyle name="Followed Hyperlink" xfId="4555" builtinId="9" hidden="1"/>
    <cellStyle name="Followed Hyperlink" xfId="4557" builtinId="9" hidden="1"/>
    <cellStyle name="Followed Hyperlink" xfId="4559" builtinId="9" hidden="1"/>
    <cellStyle name="Followed Hyperlink" xfId="4561" builtinId="9" hidden="1"/>
    <cellStyle name="Followed Hyperlink" xfId="4563" builtinId="9" hidden="1"/>
    <cellStyle name="Followed Hyperlink" xfId="4565" builtinId="9" hidden="1"/>
    <cellStyle name="Followed Hyperlink" xfId="4567" builtinId="9" hidden="1"/>
    <cellStyle name="Followed Hyperlink" xfId="4569" builtinId="9" hidden="1"/>
    <cellStyle name="Followed Hyperlink" xfId="4571" builtinId="9" hidden="1"/>
    <cellStyle name="Followed Hyperlink" xfId="4573" builtinId="9" hidden="1"/>
    <cellStyle name="Followed Hyperlink" xfId="4575" builtinId="9" hidden="1"/>
    <cellStyle name="Followed Hyperlink" xfId="4577" builtinId="9" hidden="1"/>
    <cellStyle name="Followed Hyperlink" xfId="4579" builtinId="9" hidden="1"/>
    <cellStyle name="Followed Hyperlink" xfId="4581" builtinId="9" hidden="1"/>
    <cellStyle name="Followed Hyperlink" xfId="4583" builtinId="9" hidden="1"/>
    <cellStyle name="Followed Hyperlink" xfId="4585" builtinId="9" hidden="1"/>
    <cellStyle name="Followed Hyperlink" xfId="4587" builtinId="9" hidden="1"/>
    <cellStyle name="Followed Hyperlink" xfId="4589" builtinId="9" hidden="1"/>
    <cellStyle name="Followed Hyperlink" xfId="4591" builtinId="9" hidden="1"/>
    <cellStyle name="Followed Hyperlink" xfId="4593" builtinId="9" hidden="1"/>
    <cellStyle name="Followed Hyperlink" xfId="4595" builtinId="9" hidden="1"/>
    <cellStyle name="Followed Hyperlink" xfId="4597" builtinId="9" hidden="1"/>
    <cellStyle name="Followed Hyperlink" xfId="4599" builtinId="9" hidden="1"/>
    <cellStyle name="Followed Hyperlink" xfId="4601" builtinId="9" hidden="1"/>
    <cellStyle name="Followed Hyperlink" xfId="4603" builtinId="9" hidden="1"/>
    <cellStyle name="Followed Hyperlink" xfId="4605" builtinId="9" hidden="1"/>
    <cellStyle name="Followed Hyperlink" xfId="4607" builtinId="9" hidden="1"/>
    <cellStyle name="Followed Hyperlink" xfId="4609" builtinId="9" hidden="1"/>
    <cellStyle name="Followed Hyperlink" xfId="4611" builtinId="9" hidden="1"/>
    <cellStyle name="Followed Hyperlink" xfId="4613" builtinId="9" hidden="1"/>
    <cellStyle name="Followed Hyperlink" xfId="4615" builtinId="9" hidden="1"/>
    <cellStyle name="Followed Hyperlink" xfId="4617" builtinId="9" hidden="1"/>
    <cellStyle name="Followed Hyperlink" xfId="4619" builtinId="9" hidden="1"/>
    <cellStyle name="Followed Hyperlink" xfId="4621" builtinId="9" hidden="1"/>
    <cellStyle name="Followed Hyperlink" xfId="4623" builtinId="9" hidden="1"/>
    <cellStyle name="Followed Hyperlink" xfId="4625" builtinId="9" hidden="1"/>
    <cellStyle name="Followed Hyperlink" xfId="4627" builtinId="9" hidden="1"/>
    <cellStyle name="Followed Hyperlink" xfId="4629" builtinId="9" hidden="1"/>
    <cellStyle name="Followed Hyperlink" xfId="4631" builtinId="9" hidden="1"/>
    <cellStyle name="Followed Hyperlink" xfId="4633" builtinId="9" hidden="1"/>
    <cellStyle name="Followed Hyperlink" xfId="4635" builtinId="9" hidden="1"/>
    <cellStyle name="Followed Hyperlink" xfId="4637" builtinId="9" hidden="1"/>
    <cellStyle name="Followed Hyperlink" xfId="4639" builtinId="9" hidden="1"/>
    <cellStyle name="Followed Hyperlink" xfId="4641" builtinId="9" hidden="1"/>
    <cellStyle name="Followed Hyperlink" xfId="4643" builtinId="9" hidden="1"/>
    <cellStyle name="Followed Hyperlink" xfId="4645" builtinId="9" hidden="1"/>
    <cellStyle name="Followed Hyperlink" xfId="4647" builtinId="9" hidden="1"/>
    <cellStyle name="Followed Hyperlink" xfId="4649" builtinId="9" hidden="1"/>
    <cellStyle name="Followed Hyperlink" xfId="4651" builtinId="9" hidden="1"/>
    <cellStyle name="Followed Hyperlink" xfId="4653" builtinId="9" hidden="1"/>
    <cellStyle name="Followed Hyperlink" xfId="4655" builtinId="9" hidden="1"/>
    <cellStyle name="Followed Hyperlink" xfId="4657" builtinId="9" hidden="1"/>
    <cellStyle name="Followed Hyperlink" xfId="4659" builtinId="9" hidden="1"/>
    <cellStyle name="Followed Hyperlink" xfId="4661" builtinId="9" hidden="1"/>
    <cellStyle name="Followed Hyperlink" xfId="4663" builtinId="9" hidden="1"/>
    <cellStyle name="Followed Hyperlink" xfId="4665" builtinId="9" hidden="1"/>
    <cellStyle name="Followed Hyperlink" xfId="4667" builtinId="9" hidden="1"/>
    <cellStyle name="Followed Hyperlink" xfId="4669" builtinId="9" hidden="1"/>
    <cellStyle name="Followed Hyperlink" xfId="4671" builtinId="9" hidden="1"/>
    <cellStyle name="Followed Hyperlink" xfId="4673" builtinId="9" hidden="1"/>
    <cellStyle name="Followed Hyperlink" xfId="4675" builtinId="9" hidden="1"/>
    <cellStyle name="Followed Hyperlink" xfId="4677" builtinId="9" hidden="1"/>
    <cellStyle name="Followed Hyperlink" xfId="4679" builtinId="9" hidden="1"/>
    <cellStyle name="Followed Hyperlink" xfId="4681" builtinId="9" hidden="1"/>
    <cellStyle name="Followed Hyperlink" xfId="4683" builtinId="9" hidden="1"/>
    <cellStyle name="Followed Hyperlink" xfId="4685" builtinId="9" hidden="1"/>
    <cellStyle name="Followed Hyperlink" xfId="4687" builtinId="9" hidden="1"/>
    <cellStyle name="Followed Hyperlink" xfId="4689" builtinId="9" hidden="1"/>
    <cellStyle name="Followed Hyperlink" xfId="4691" builtinId="9" hidden="1"/>
    <cellStyle name="Followed Hyperlink" xfId="4693" builtinId="9" hidden="1"/>
    <cellStyle name="Followed Hyperlink" xfId="4695" builtinId="9" hidden="1"/>
    <cellStyle name="Followed Hyperlink" xfId="4697" builtinId="9" hidden="1"/>
    <cellStyle name="Followed Hyperlink" xfId="4699" builtinId="9" hidden="1"/>
    <cellStyle name="Followed Hyperlink" xfId="4701" builtinId="9" hidden="1"/>
    <cellStyle name="Followed Hyperlink" xfId="4703" builtinId="9" hidden="1"/>
    <cellStyle name="Followed Hyperlink" xfId="4705" builtinId="9" hidden="1"/>
    <cellStyle name="Followed Hyperlink" xfId="4707" builtinId="9" hidden="1"/>
    <cellStyle name="Followed Hyperlink" xfId="4709" builtinId="9" hidden="1"/>
    <cellStyle name="Followed Hyperlink" xfId="4711" builtinId="9" hidden="1"/>
    <cellStyle name="Followed Hyperlink" xfId="4713" builtinId="9" hidden="1"/>
    <cellStyle name="Followed Hyperlink" xfId="4715" builtinId="9" hidden="1"/>
    <cellStyle name="Followed Hyperlink" xfId="4717" builtinId="9" hidden="1"/>
    <cellStyle name="Followed Hyperlink" xfId="4719" builtinId="9" hidden="1"/>
    <cellStyle name="Followed Hyperlink" xfId="4721" builtinId="9" hidden="1"/>
    <cellStyle name="Followed Hyperlink" xfId="4723" builtinId="9" hidden="1"/>
    <cellStyle name="Followed Hyperlink" xfId="4725" builtinId="9" hidden="1"/>
    <cellStyle name="Followed Hyperlink" xfId="4727" builtinId="9" hidden="1"/>
    <cellStyle name="Followed Hyperlink" xfId="4729" builtinId="9" hidden="1"/>
    <cellStyle name="Followed Hyperlink" xfId="4731" builtinId="9" hidden="1"/>
    <cellStyle name="Followed Hyperlink" xfId="4733" builtinId="9" hidden="1"/>
    <cellStyle name="Followed Hyperlink" xfId="4735" builtinId="9" hidden="1"/>
    <cellStyle name="Followed Hyperlink" xfId="4737" builtinId="9" hidden="1"/>
    <cellStyle name="Followed Hyperlink" xfId="4739" builtinId="9" hidden="1"/>
    <cellStyle name="Followed Hyperlink" xfId="4741" builtinId="9" hidden="1"/>
    <cellStyle name="Followed Hyperlink" xfId="4743" builtinId="9" hidden="1"/>
    <cellStyle name="Followed Hyperlink" xfId="4745" builtinId="9" hidden="1"/>
    <cellStyle name="Followed Hyperlink" xfId="4747" builtinId="9" hidden="1"/>
    <cellStyle name="Followed Hyperlink" xfId="4749" builtinId="9" hidden="1"/>
    <cellStyle name="Followed Hyperlink" xfId="4751" builtinId="9" hidden="1"/>
    <cellStyle name="Followed Hyperlink" xfId="4753" builtinId="9" hidden="1"/>
    <cellStyle name="Followed Hyperlink" xfId="4755" builtinId="9" hidden="1"/>
    <cellStyle name="Followed Hyperlink" xfId="4757" builtinId="9" hidden="1"/>
    <cellStyle name="Followed Hyperlink" xfId="4759" builtinId="9" hidden="1"/>
    <cellStyle name="Followed Hyperlink" xfId="4761" builtinId="9" hidden="1"/>
    <cellStyle name="Followed Hyperlink" xfId="4763" builtinId="9" hidden="1"/>
    <cellStyle name="Followed Hyperlink" xfId="4765" builtinId="9" hidden="1"/>
    <cellStyle name="Followed Hyperlink" xfId="4767" builtinId="9" hidden="1"/>
    <cellStyle name="Followed Hyperlink" xfId="4769" builtinId="9" hidden="1"/>
    <cellStyle name="Followed Hyperlink" xfId="4771" builtinId="9" hidden="1"/>
    <cellStyle name="Followed Hyperlink" xfId="4773" builtinId="9" hidden="1"/>
    <cellStyle name="Followed Hyperlink" xfId="4775" builtinId="9" hidden="1"/>
    <cellStyle name="Followed Hyperlink" xfId="4777" builtinId="9" hidden="1"/>
    <cellStyle name="Followed Hyperlink" xfId="4779" builtinId="9" hidden="1"/>
    <cellStyle name="Followed Hyperlink" xfId="4781" builtinId="9" hidden="1"/>
    <cellStyle name="Followed Hyperlink" xfId="4783" builtinId="9" hidden="1"/>
    <cellStyle name="Followed Hyperlink" xfId="4785" builtinId="9" hidden="1"/>
    <cellStyle name="Followed Hyperlink" xfId="4787" builtinId="9" hidden="1"/>
    <cellStyle name="Followed Hyperlink" xfId="4789" builtinId="9" hidden="1"/>
    <cellStyle name="Followed Hyperlink" xfId="4791" builtinId="9" hidden="1"/>
    <cellStyle name="Followed Hyperlink" xfId="4793" builtinId="9" hidden="1"/>
    <cellStyle name="Followed Hyperlink" xfId="4795" builtinId="9" hidden="1"/>
    <cellStyle name="Followed Hyperlink" xfId="4797" builtinId="9" hidden="1"/>
    <cellStyle name="Followed Hyperlink" xfId="4799" builtinId="9" hidden="1"/>
    <cellStyle name="Followed Hyperlink" xfId="4801" builtinId="9" hidden="1"/>
    <cellStyle name="Followed Hyperlink" xfId="4803" builtinId="9" hidden="1"/>
    <cellStyle name="Followed Hyperlink" xfId="4805" builtinId="9" hidden="1"/>
    <cellStyle name="Followed Hyperlink" xfId="4807" builtinId="9" hidden="1"/>
    <cellStyle name="Followed Hyperlink" xfId="4809" builtinId="9" hidden="1"/>
    <cellStyle name="Followed Hyperlink" xfId="4811" builtinId="9" hidden="1"/>
    <cellStyle name="Followed Hyperlink" xfId="4813" builtinId="9" hidden="1"/>
    <cellStyle name="Followed Hyperlink" xfId="4815" builtinId="9" hidden="1"/>
    <cellStyle name="Followed Hyperlink" xfId="4817" builtinId="9" hidden="1"/>
    <cellStyle name="Followed Hyperlink" xfId="4819" builtinId="9" hidden="1"/>
    <cellStyle name="Followed Hyperlink" xfId="4821" builtinId="9" hidden="1"/>
    <cellStyle name="Followed Hyperlink" xfId="4823" builtinId="9" hidden="1"/>
    <cellStyle name="Followed Hyperlink" xfId="4825" builtinId="9" hidden="1"/>
    <cellStyle name="Followed Hyperlink" xfId="4827" builtinId="9" hidden="1"/>
    <cellStyle name="Followed Hyperlink" xfId="4829" builtinId="9" hidden="1"/>
    <cellStyle name="Followed Hyperlink" xfId="4831" builtinId="9" hidden="1"/>
    <cellStyle name="Followed Hyperlink" xfId="4833" builtinId="9" hidden="1"/>
    <cellStyle name="Followed Hyperlink" xfId="4835" builtinId="9" hidden="1"/>
    <cellStyle name="Followed Hyperlink" xfId="4837" builtinId="9" hidden="1"/>
    <cellStyle name="Followed Hyperlink" xfId="4839" builtinId="9" hidden="1"/>
    <cellStyle name="Followed Hyperlink" xfId="4841" builtinId="9" hidden="1"/>
    <cellStyle name="Followed Hyperlink" xfId="4843" builtinId="9" hidden="1"/>
    <cellStyle name="Followed Hyperlink" xfId="4845" builtinId="9" hidden="1"/>
    <cellStyle name="Followed Hyperlink" xfId="4847" builtinId="9" hidden="1"/>
    <cellStyle name="Followed Hyperlink" xfId="4849" builtinId="9" hidden="1"/>
    <cellStyle name="Followed Hyperlink" xfId="4851" builtinId="9" hidden="1"/>
    <cellStyle name="Followed Hyperlink" xfId="4853" builtinId="9" hidden="1"/>
    <cellStyle name="Followed Hyperlink" xfId="4855" builtinId="9" hidden="1"/>
    <cellStyle name="Followed Hyperlink" xfId="4857" builtinId="9" hidden="1"/>
    <cellStyle name="Followed Hyperlink" xfId="4859" builtinId="9" hidden="1"/>
    <cellStyle name="Followed Hyperlink" xfId="4861" builtinId="9" hidden="1"/>
    <cellStyle name="Followed Hyperlink" xfId="4863" builtinId="9" hidden="1"/>
    <cellStyle name="Followed Hyperlink" xfId="4865" builtinId="9" hidden="1"/>
    <cellStyle name="Followed Hyperlink" xfId="4867" builtinId="9" hidden="1"/>
    <cellStyle name="Followed Hyperlink" xfId="4869" builtinId="9" hidden="1"/>
    <cellStyle name="Followed Hyperlink" xfId="4871" builtinId="9" hidden="1"/>
    <cellStyle name="Followed Hyperlink" xfId="4873" builtinId="9" hidden="1"/>
    <cellStyle name="Followed Hyperlink" xfId="4875" builtinId="9" hidden="1"/>
    <cellStyle name="Followed Hyperlink" xfId="4877" builtinId="9" hidden="1"/>
    <cellStyle name="Followed Hyperlink" xfId="4879" builtinId="9" hidden="1"/>
    <cellStyle name="Followed Hyperlink" xfId="4881" builtinId="9" hidden="1"/>
    <cellStyle name="Followed Hyperlink" xfId="4883" builtinId="9" hidden="1"/>
    <cellStyle name="Followed Hyperlink" xfId="4885" builtinId="9" hidden="1"/>
    <cellStyle name="Followed Hyperlink" xfId="4887" builtinId="9" hidden="1"/>
    <cellStyle name="Followed Hyperlink" xfId="4889" builtinId="9" hidden="1"/>
    <cellStyle name="Followed Hyperlink" xfId="4891" builtinId="9" hidden="1"/>
    <cellStyle name="Followed Hyperlink" xfId="4893" builtinId="9" hidden="1"/>
    <cellStyle name="Followed Hyperlink" xfId="4895" builtinId="9" hidden="1"/>
    <cellStyle name="Followed Hyperlink" xfId="4897" builtinId="9" hidden="1"/>
    <cellStyle name="Followed Hyperlink" xfId="4899" builtinId="9" hidden="1"/>
    <cellStyle name="Followed Hyperlink" xfId="4901" builtinId="9" hidden="1"/>
    <cellStyle name="Followed Hyperlink" xfId="4903" builtinId="9" hidden="1"/>
    <cellStyle name="Followed Hyperlink" xfId="4905" builtinId="9" hidden="1"/>
    <cellStyle name="Followed Hyperlink" xfId="4907" builtinId="9" hidden="1"/>
    <cellStyle name="Followed Hyperlink" xfId="4909" builtinId="9" hidden="1"/>
    <cellStyle name="Followed Hyperlink" xfId="4911" builtinId="9" hidden="1"/>
    <cellStyle name="Followed Hyperlink" xfId="4913" builtinId="9" hidden="1"/>
    <cellStyle name="Followed Hyperlink" xfId="4915" builtinId="9" hidden="1"/>
    <cellStyle name="Followed Hyperlink" xfId="4917" builtinId="9" hidden="1"/>
    <cellStyle name="Followed Hyperlink" xfId="4919" builtinId="9" hidden="1"/>
    <cellStyle name="Followed Hyperlink" xfId="4921" builtinId="9" hidden="1"/>
    <cellStyle name="Followed Hyperlink" xfId="4923" builtinId="9" hidden="1"/>
    <cellStyle name="Followed Hyperlink" xfId="4925" builtinId="9" hidden="1"/>
    <cellStyle name="Followed Hyperlink" xfId="4927" builtinId="9" hidden="1"/>
    <cellStyle name="Followed Hyperlink" xfId="4929" builtinId="9" hidden="1"/>
    <cellStyle name="Followed Hyperlink" xfId="4931" builtinId="9" hidden="1"/>
    <cellStyle name="Followed Hyperlink" xfId="4933" builtinId="9" hidden="1"/>
    <cellStyle name="Followed Hyperlink" xfId="4935" builtinId="9" hidden="1"/>
    <cellStyle name="Followed Hyperlink" xfId="4937" builtinId="9" hidden="1"/>
    <cellStyle name="Followed Hyperlink" xfId="4939" builtinId="9" hidden="1"/>
    <cellStyle name="Followed Hyperlink" xfId="4941" builtinId="9" hidden="1"/>
    <cellStyle name="Followed Hyperlink" xfId="4943" builtinId="9" hidden="1"/>
    <cellStyle name="Followed Hyperlink" xfId="4945" builtinId="9" hidden="1"/>
    <cellStyle name="Followed Hyperlink" xfId="4947" builtinId="9" hidden="1"/>
    <cellStyle name="Followed Hyperlink" xfId="4949" builtinId="9" hidden="1"/>
    <cellStyle name="Followed Hyperlink" xfId="4951" builtinId="9" hidden="1"/>
    <cellStyle name="Followed Hyperlink" xfId="4953" builtinId="9" hidden="1"/>
    <cellStyle name="Followed Hyperlink" xfId="4955" builtinId="9" hidden="1"/>
    <cellStyle name="Followed Hyperlink" xfId="4957" builtinId="9" hidden="1"/>
    <cellStyle name="Followed Hyperlink" xfId="4959" builtinId="9" hidden="1"/>
    <cellStyle name="Followed Hyperlink" xfId="4961" builtinId="9" hidden="1"/>
    <cellStyle name="Followed Hyperlink" xfId="4963" builtinId="9" hidden="1"/>
    <cellStyle name="Followed Hyperlink" xfId="4965" builtinId="9" hidden="1"/>
    <cellStyle name="Followed Hyperlink" xfId="4967" builtinId="9" hidden="1"/>
    <cellStyle name="Followed Hyperlink" xfId="4969" builtinId="9" hidden="1"/>
    <cellStyle name="Followed Hyperlink" xfId="4971" builtinId="9" hidden="1"/>
    <cellStyle name="Followed Hyperlink" xfId="4973" builtinId="9" hidden="1"/>
    <cellStyle name="Followed Hyperlink" xfId="4975" builtinId="9" hidden="1"/>
    <cellStyle name="Followed Hyperlink" xfId="4977" builtinId="9" hidden="1"/>
    <cellStyle name="Followed Hyperlink" xfId="4979" builtinId="9" hidden="1"/>
    <cellStyle name="Followed Hyperlink" xfId="4981" builtinId="9" hidden="1"/>
    <cellStyle name="Followed Hyperlink" xfId="4983" builtinId="9" hidden="1"/>
    <cellStyle name="Followed Hyperlink" xfId="4985" builtinId="9" hidden="1"/>
    <cellStyle name="Followed Hyperlink" xfId="4987" builtinId="9" hidden="1"/>
    <cellStyle name="Followed Hyperlink" xfId="4989" builtinId="9" hidden="1"/>
    <cellStyle name="Followed Hyperlink" xfId="4991" builtinId="9" hidden="1"/>
    <cellStyle name="Followed Hyperlink" xfId="4993" builtinId="9" hidden="1"/>
    <cellStyle name="Followed Hyperlink" xfId="4995" builtinId="9" hidden="1"/>
    <cellStyle name="Followed Hyperlink" xfId="4997" builtinId="9" hidden="1"/>
    <cellStyle name="Followed Hyperlink" xfId="4999" builtinId="9" hidden="1"/>
    <cellStyle name="Followed Hyperlink" xfId="5001" builtinId="9" hidden="1"/>
    <cellStyle name="Followed Hyperlink" xfId="5003" builtinId="9" hidden="1"/>
    <cellStyle name="Followed Hyperlink" xfId="5005" builtinId="9" hidden="1"/>
    <cellStyle name="Followed Hyperlink" xfId="5007" builtinId="9" hidden="1"/>
    <cellStyle name="Followed Hyperlink" xfId="5009" builtinId="9" hidden="1"/>
    <cellStyle name="Followed Hyperlink" xfId="5011" builtinId="9" hidden="1"/>
    <cellStyle name="Followed Hyperlink" xfId="5013" builtinId="9" hidden="1"/>
    <cellStyle name="Followed Hyperlink" xfId="5015" builtinId="9" hidden="1"/>
    <cellStyle name="Followed Hyperlink" xfId="5017" builtinId="9" hidden="1"/>
    <cellStyle name="Followed Hyperlink" xfId="5019" builtinId="9" hidden="1"/>
    <cellStyle name="Followed Hyperlink" xfId="5021" builtinId="9" hidden="1"/>
    <cellStyle name="Followed Hyperlink" xfId="5023" builtinId="9" hidden="1"/>
    <cellStyle name="Followed Hyperlink" xfId="5025" builtinId="9" hidden="1"/>
    <cellStyle name="Followed Hyperlink" xfId="5027" builtinId="9" hidden="1"/>
    <cellStyle name="Followed Hyperlink" xfId="5029" builtinId="9" hidden="1"/>
    <cellStyle name="Followed Hyperlink" xfId="5031" builtinId="9" hidden="1"/>
    <cellStyle name="Followed Hyperlink" xfId="5033" builtinId="9" hidden="1"/>
    <cellStyle name="Followed Hyperlink" xfId="5035" builtinId="9" hidden="1"/>
    <cellStyle name="Followed Hyperlink" xfId="5037" builtinId="9" hidden="1"/>
    <cellStyle name="Followed Hyperlink" xfId="5039" builtinId="9" hidden="1"/>
    <cellStyle name="Followed Hyperlink" xfId="5041" builtinId="9" hidden="1"/>
    <cellStyle name="Followed Hyperlink" xfId="5043" builtinId="9" hidden="1"/>
    <cellStyle name="Followed Hyperlink" xfId="5045" builtinId="9" hidden="1"/>
    <cellStyle name="Followed Hyperlink" xfId="5047" builtinId="9" hidden="1"/>
    <cellStyle name="Followed Hyperlink" xfId="5049" builtinId="9" hidden="1"/>
    <cellStyle name="Followed Hyperlink" xfId="5051" builtinId="9" hidden="1"/>
    <cellStyle name="Followed Hyperlink" xfId="5053" builtinId="9" hidden="1"/>
    <cellStyle name="Followed Hyperlink" xfId="5055" builtinId="9" hidden="1"/>
    <cellStyle name="Followed Hyperlink" xfId="5057" builtinId="9" hidden="1"/>
    <cellStyle name="Followed Hyperlink" xfId="5059" builtinId="9" hidden="1"/>
    <cellStyle name="Followed Hyperlink" xfId="5061" builtinId="9" hidden="1"/>
    <cellStyle name="Followed Hyperlink" xfId="5063" builtinId="9" hidden="1"/>
    <cellStyle name="Followed Hyperlink" xfId="5065" builtinId="9" hidden="1"/>
    <cellStyle name="Followed Hyperlink" xfId="5067" builtinId="9" hidden="1"/>
    <cellStyle name="Followed Hyperlink" xfId="5069" builtinId="9" hidden="1"/>
    <cellStyle name="Followed Hyperlink" xfId="5071" builtinId="9" hidden="1"/>
    <cellStyle name="Followed Hyperlink" xfId="5073" builtinId="9" hidden="1"/>
    <cellStyle name="Followed Hyperlink" xfId="5075" builtinId="9" hidden="1"/>
    <cellStyle name="Followed Hyperlink" xfId="5077" builtinId="9" hidden="1"/>
    <cellStyle name="Followed Hyperlink" xfId="5079" builtinId="9" hidden="1"/>
    <cellStyle name="Followed Hyperlink" xfId="5081" builtinId="9" hidden="1"/>
    <cellStyle name="Followed Hyperlink" xfId="5083" builtinId="9" hidden="1"/>
    <cellStyle name="Followed Hyperlink" xfId="5085" builtinId="9" hidden="1"/>
    <cellStyle name="Followed Hyperlink" xfId="5087" builtinId="9" hidden="1"/>
    <cellStyle name="Followed Hyperlink" xfId="5089" builtinId="9" hidden="1"/>
    <cellStyle name="Followed Hyperlink" xfId="5091" builtinId="9" hidden="1"/>
    <cellStyle name="Followed Hyperlink" xfId="5093" builtinId="9" hidden="1"/>
    <cellStyle name="Followed Hyperlink" xfId="5095" builtinId="9" hidden="1"/>
    <cellStyle name="Followed Hyperlink" xfId="5097" builtinId="9" hidden="1"/>
    <cellStyle name="Followed Hyperlink" xfId="5099" builtinId="9" hidden="1"/>
    <cellStyle name="Followed Hyperlink" xfId="5101" builtinId="9" hidden="1"/>
    <cellStyle name="Followed Hyperlink" xfId="5103" builtinId="9" hidden="1"/>
    <cellStyle name="Followed Hyperlink" xfId="5105" builtinId="9" hidden="1"/>
    <cellStyle name="Followed Hyperlink" xfId="5107" builtinId="9" hidden="1"/>
    <cellStyle name="Followed Hyperlink" xfId="5109" builtinId="9" hidden="1"/>
    <cellStyle name="Followed Hyperlink" xfId="5111" builtinId="9" hidden="1"/>
    <cellStyle name="Followed Hyperlink" xfId="5113" builtinId="9" hidden="1"/>
    <cellStyle name="Followed Hyperlink" xfId="5115" builtinId="9" hidden="1"/>
    <cellStyle name="Followed Hyperlink" xfId="5117" builtinId="9" hidden="1"/>
    <cellStyle name="Followed Hyperlink" xfId="5119" builtinId="9" hidden="1"/>
    <cellStyle name="Followed Hyperlink" xfId="5121" builtinId="9" hidden="1"/>
    <cellStyle name="Followed Hyperlink" xfId="5123" builtinId="9" hidden="1"/>
    <cellStyle name="Followed Hyperlink" xfId="5125" builtinId="9" hidden="1"/>
    <cellStyle name="Followed Hyperlink" xfId="5127" builtinId="9" hidden="1"/>
    <cellStyle name="Followed Hyperlink" xfId="5129" builtinId="9" hidden="1"/>
    <cellStyle name="Followed Hyperlink" xfId="5131" builtinId="9" hidden="1"/>
    <cellStyle name="Followed Hyperlink" xfId="5133" builtinId="9" hidden="1"/>
    <cellStyle name="Followed Hyperlink" xfId="5135" builtinId="9" hidden="1"/>
    <cellStyle name="Followed Hyperlink" xfId="5137" builtinId="9" hidden="1"/>
    <cellStyle name="Followed Hyperlink" xfId="5139" builtinId="9" hidden="1"/>
    <cellStyle name="Followed Hyperlink" xfId="5141" builtinId="9" hidden="1"/>
    <cellStyle name="Followed Hyperlink" xfId="5143" builtinId="9" hidden="1"/>
    <cellStyle name="Followed Hyperlink" xfId="5145" builtinId="9" hidden="1"/>
    <cellStyle name="Followed Hyperlink" xfId="5147" builtinId="9" hidden="1"/>
    <cellStyle name="Followed Hyperlink" xfId="5149" builtinId="9" hidden="1"/>
    <cellStyle name="Followed Hyperlink" xfId="5151" builtinId="9" hidden="1"/>
    <cellStyle name="Followed Hyperlink" xfId="5153" builtinId="9" hidden="1"/>
    <cellStyle name="Followed Hyperlink" xfId="5155" builtinId="9" hidden="1"/>
    <cellStyle name="Followed Hyperlink" xfId="5157" builtinId="9" hidden="1"/>
    <cellStyle name="Followed Hyperlink" xfId="5159" builtinId="9" hidden="1"/>
    <cellStyle name="Followed Hyperlink" xfId="5161" builtinId="9" hidden="1"/>
    <cellStyle name="Followed Hyperlink" xfId="5163" builtinId="9" hidden="1"/>
    <cellStyle name="Followed Hyperlink" xfId="5165" builtinId="9" hidden="1"/>
    <cellStyle name="Followed Hyperlink" xfId="5167" builtinId="9" hidden="1"/>
    <cellStyle name="Followed Hyperlink" xfId="5169" builtinId="9" hidden="1"/>
    <cellStyle name="Followed Hyperlink" xfId="5171" builtinId="9" hidden="1"/>
    <cellStyle name="Followed Hyperlink" xfId="5173" builtinId="9" hidden="1"/>
    <cellStyle name="Followed Hyperlink" xfId="5175" builtinId="9" hidden="1"/>
    <cellStyle name="Followed Hyperlink" xfId="5177" builtinId="9" hidden="1"/>
    <cellStyle name="Followed Hyperlink" xfId="5179" builtinId="9" hidden="1"/>
    <cellStyle name="Followed Hyperlink" xfId="5181" builtinId="9" hidden="1"/>
    <cellStyle name="Followed Hyperlink" xfId="5183" builtinId="9" hidden="1"/>
    <cellStyle name="Followed Hyperlink" xfId="5185" builtinId="9" hidden="1"/>
    <cellStyle name="Followed Hyperlink" xfId="5187" builtinId="9" hidden="1"/>
    <cellStyle name="Followed Hyperlink" xfId="5189" builtinId="9" hidden="1"/>
    <cellStyle name="Followed Hyperlink" xfId="5191" builtinId="9" hidden="1"/>
    <cellStyle name="Followed Hyperlink" xfId="5193" builtinId="9" hidden="1"/>
    <cellStyle name="Followed Hyperlink" xfId="5195" builtinId="9" hidden="1"/>
    <cellStyle name="Followed Hyperlink" xfId="5197" builtinId="9" hidden="1"/>
    <cellStyle name="Followed Hyperlink" xfId="5199" builtinId="9" hidden="1"/>
    <cellStyle name="Followed Hyperlink" xfId="5201" builtinId="9" hidden="1"/>
    <cellStyle name="Followed Hyperlink" xfId="5203" builtinId="9" hidden="1"/>
    <cellStyle name="Followed Hyperlink" xfId="5205" builtinId="9" hidden="1"/>
    <cellStyle name="Followed Hyperlink" xfId="5207" builtinId="9" hidden="1"/>
    <cellStyle name="Followed Hyperlink" xfId="5209" builtinId="9" hidden="1"/>
    <cellStyle name="Followed Hyperlink" xfId="5211" builtinId="9" hidden="1"/>
    <cellStyle name="Followed Hyperlink" xfId="5213" builtinId="9" hidden="1"/>
    <cellStyle name="Followed Hyperlink" xfId="5215" builtinId="9" hidden="1"/>
    <cellStyle name="Followed Hyperlink" xfId="5217" builtinId="9" hidden="1"/>
    <cellStyle name="Followed Hyperlink" xfId="5219" builtinId="9" hidden="1"/>
    <cellStyle name="Followed Hyperlink" xfId="5221" builtinId="9" hidden="1"/>
    <cellStyle name="Followed Hyperlink" xfId="5223" builtinId="9" hidden="1"/>
    <cellStyle name="Followed Hyperlink" xfId="5225" builtinId="9" hidden="1"/>
    <cellStyle name="Followed Hyperlink" xfId="5227" builtinId="9" hidden="1"/>
    <cellStyle name="Followed Hyperlink" xfId="5229" builtinId="9" hidden="1"/>
    <cellStyle name="Followed Hyperlink" xfId="5231" builtinId="9" hidden="1"/>
    <cellStyle name="Followed Hyperlink" xfId="5233" builtinId="9" hidden="1"/>
    <cellStyle name="Followed Hyperlink" xfId="5235" builtinId="9" hidden="1"/>
    <cellStyle name="Followed Hyperlink" xfId="5237" builtinId="9" hidden="1"/>
    <cellStyle name="Followed Hyperlink" xfId="5239" builtinId="9" hidden="1"/>
    <cellStyle name="Followed Hyperlink" xfId="5241" builtinId="9" hidden="1"/>
    <cellStyle name="Followed Hyperlink" xfId="5243" builtinId="9" hidden="1"/>
    <cellStyle name="Followed Hyperlink" xfId="5245" builtinId="9" hidden="1"/>
    <cellStyle name="Followed Hyperlink" xfId="5247" builtinId="9" hidden="1"/>
    <cellStyle name="Followed Hyperlink" xfId="5249" builtinId="9" hidden="1"/>
    <cellStyle name="Followed Hyperlink" xfId="5251" builtinId="9" hidden="1"/>
    <cellStyle name="Followed Hyperlink" xfId="5253" builtinId="9" hidden="1"/>
    <cellStyle name="Followed Hyperlink" xfId="5255" builtinId="9" hidden="1"/>
    <cellStyle name="Followed Hyperlink" xfId="5257" builtinId="9" hidden="1"/>
    <cellStyle name="Followed Hyperlink" xfId="5259" builtinId="9" hidden="1"/>
    <cellStyle name="Followed Hyperlink" xfId="5261" builtinId="9" hidden="1"/>
    <cellStyle name="Followed Hyperlink" xfId="5263" builtinId="9" hidden="1"/>
    <cellStyle name="Followed Hyperlink" xfId="5265" builtinId="9" hidden="1"/>
    <cellStyle name="Followed Hyperlink" xfId="5267" builtinId="9" hidden="1"/>
    <cellStyle name="Followed Hyperlink" xfId="5269" builtinId="9" hidden="1"/>
    <cellStyle name="Followed Hyperlink" xfId="5271" builtinId="9" hidden="1"/>
    <cellStyle name="Followed Hyperlink" xfId="5273" builtinId="9" hidden="1"/>
    <cellStyle name="Followed Hyperlink" xfId="5275" builtinId="9" hidden="1"/>
    <cellStyle name="Followed Hyperlink" xfId="5277" builtinId="9" hidden="1"/>
    <cellStyle name="Followed Hyperlink" xfId="5279" builtinId="9" hidden="1"/>
    <cellStyle name="Followed Hyperlink" xfId="5281" builtinId="9" hidden="1"/>
    <cellStyle name="Followed Hyperlink" xfId="5283" builtinId="9" hidden="1"/>
    <cellStyle name="Followed Hyperlink" xfId="5285" builtinId="9" hidden="1"/>
    <cellStyle name="Followed Hyperlink" xfId="5287" builtinId="9" hidden="1"/>
    <cellStyle name="Followed Hyperlink" xfId="5289" builtinId="9" hidden="1"/>
    <cellStyle name="Followed Hyperlink" xfId="5291" builtinId="9" hidden="1"/>
    <cellStyle name="Followed Hyperlink" xfId="5293" builtinId="9" hidden="1"/>
    <cellStyle name="Followed Hyperlink" xfId="5295" builtinId="9" hidden="1"/>
    <cellStyle name="Followed Hyperlink" xfId="5297" builtinId="9" hidden="1"/>
    <cellStyle name="Followed Hyperlink" xfId="5299" builtinId="9" hidden="1"/>
    <cellStyle name="Followed Hyperlink" xfId="5301" builtinId="9" hidden="1"/>
    <cellStyle name="Followed Hyperlink" xfId="5303" builtinId="9" hidden="1"/>
    <cellStyle name="Followed Hyperlink" xfId="5305" builtinId="9" hidden="1"/>
    <cellStyle name="Followed Hyperlink" xfId="5307" builtinId="9" hidden="1"/>
    <cellStyle name="Followed Hyperlink" xfId="5309" builtinId="9" hidden="1"/>
    <cellStyle name="Followed Hyperlink" xfId="5311" builtinId="9" hidden="1"/>
    <cellStyle name="Followed Hyperlink" xfId="5313" builtinId="9" hidden="1"/>
    <cellStyle name="Followed Hyperlink" xfId="5315" builtinId="9" hidden="1"/>
    <cellStyle name="Followed Hyperlink" xfId="5317" builtinId="9" hidden="1"/>
    <cellStyle name="Followed Hyperlink" xfId="5319" builtinId="9" hidden="1"/>
    <cellStyle name="Followed Hyperlink" xfId="5321" builtinId="9" hidden="1"/>
    <cellStyle name="Followed Hyperlink" xfId="5323" builtinId="9" hidden="1"/>
    <cellStyle name="Followed Hyperlink" xfId="5325" builtinId="9" hidden="1"/>
    <cellStyle name="Followed Hyperlink" xfId="5327" builtinId="9" hidden="1"/>
    <cellStyle name="Followed Hyperlink" xfId="5329" builtinId="9" hidden="1"/>
    <cellStyle name="Followed Hyperlink" xfId="5331" builtinId="9" hidden="1"/>
    <cellStyle name="Followed Hyperlink" xfId="5333" builtinId="9" hidden="1"/>
    <cellStyle name="Followed Hyperlink" xfId="5335" builtinId="9" hidden="1"/>
    <cellStyle name="Followed Hyperlink" xfId="5337" builtinId="9" hidden="1"/>
    <cellStyle name="Followed Hyperlink" xfId="5339" builtinId="9" hidden="1"/>
    <cellStyle name="Followed Hyperlink" xfId="5341" builtinId="9" hidden="1"/>
    <cellStyle name="Followed Hyperlink" xfId="5343" builtinId="9" hidden="1"/>
    <cellStyle name="Followed Hyperlink" xfId="5345" builtinId="9" hidden="1"/>
    <cellStyle name="Followed Hyperlink" xfId="5347" builtinId="9" hidden="1"/>
    <cellStyle name="Followed Hyperlink" xfId="5349" builtinId="9" hidden="1"/>
    <cellStyle name="Followed Hyperlink" xfId="5351" builtinId="9" hidden="1"/>
    <cellStyle name="Followed Hyperlink" xfId="5353" builtinId="9" hidden="1"/>
    <cellStyle name="Followed Hyperlink" xfId="5355" builtinId="9" hidden="1"/>
    <cellStyle name="Followed Hyperlink" xfId="5357" builtinId="9" hidden="1"/>
    <cellStyle name="Followed Hyperlink" xfId="5359" builtinId="9" hidden="1"/>
    <cellStyle name="Followed Hyperlink" xfId="5361" builtinId="9" hidden="1"/>
    <cellStyle name="Followed Hyperlink" xfId="5363" builtinId="9" hidden="1"/>
    <cellStyle name="Followed Hyperlink" xfId="5365" builtinId="9" hidden="1"/>
    <cellStyle name="Followed Hyperlink" xfId="5367" builtinId="9" hidden="1"/>
    <cellStyle name="Followed Hyperlink" xfId="5369" builtinId="9" hidden="1"/>
    <cellStyle name="Followed Hyperlink" xfId="5371" builtinId="9" hidden="1"/>
    <cellStyle name="Followed Hyperlink" xfId="5373" builtinId="9" hidden="1"/>
    <cellStyle name="Followed Hyperlink" xfId="5375" builtinId="9" hidden="1"/>
    <cellStyle name="Followed Hyperlink" xfId="5377" builtinId="9" hidden="1"/>
    <cellStyle name="Followed Hyperlink" xfId="5379" builtinId="9" hidden="1"/>
    <cellStyle name="Followed Hyperlink" xfId="5381" builtinId="9" hidden="1"/>
    <cellStyle name="Followed Hyperlink" xfId="5383" builtinId="9" hidden="1"/>
    <cellStyle name="Followed Hyperlink" xfId="5385" builtinId="9" hidden="1"/>
    <cellStyle name="Followed Hyperlink" xfId="5387" builtinId="9" hidden="1"/>
    <cellStyle name="Followed Hyperlink" xfId="5389" builtinId="9" hidden="1"/>
    <cellStyle name="Followed Hyperlink" xfId="5391" builtinId="9" hidden="1"/>
    <cellStyle name="Followed Hyperlink" xfId="5393" builtinId="9" hidden="1"/>
    <cellStyle name="Followed Hyperlink" xfId="5395" builtinId="9" hidden="1"/>
    <cellStyle name="Followed Hyperlink" xfId="5397" builtinId="9" hidden="1"/>
    <cellStyle name="Followed Hyperlink" xfId="5399" builtinId="9" hidden="1"/>
    <cellStyle name="Followed Hyperlink" xfId="5401" builtinId="9" hidden="1"/>
    <cellStyle name="Followed Hyperlink" xfId="5403" builtinId="9" hidden="1"/>
    <cellStyle name="Followed Hyperlink" xfId="5405" builtinId="9" hidden="1"/>
    <cellStyle name="Followed Hyperlink" xfId="5407" builtinId="9" hidden="1"/>
    <cellStyle name="Followed Hyperlink" xfId="5409" builtinId="9" hidden="1"/>
    <cellStyle name="Followed Hyperlink" xfId="5411" builtinId="9" hidden="1"/>
    <cellStyle name="Followed Hyperlink" xfId="5413" builtinId="9" hidden="1"/>
    <cellStyle name="Followed Hyperlink" xfId="5415" builtinId="9" hidden="1"/>
    <cellStyle name="Followed Hyperlink" xfId="5417" builtinId="9" hidden="1"/>
    <cellStyle name="Followed Hyperlink" xfId="5419" builtinId="9" hidden="1"/>
    <cellStyle name="Followed Hyperlink" xfId="5421" builtinId="9" hidden="1"/>
    <cellStyle name="Followed Hyperlink" xfId="5423" builtinId="9" hidden="1"/>
    <cellStyle name="Followed Hyperlink" xfId="5425" builtinId="9" hidden="1"/>
    <cellStyle name="Followed Hyperlink" xfId="5427" builtinId="9" hidden="1"/>
    <cellStyle name="Followed Hyperlink" xfId="5429" builtinId="9" hidden="1"/>
    <cellStyle name="Followed Hyperlink" xfId="5431" builtinId="9" hidden="1"/>
    <cellStyle name="Followed Hyperlink" xfId="5433" builtinId="9" hidden="1"/>
    <cellStyle name="Followed Hyperlink" xfId="5435" builtinId="9" hidden="1"/>
    <cellStyle name="Followed Hyperlink" xfId="5437" builtinId="9" hidden="1"/>
    <cellStyle name="Followed Hyperlink" xfId="5439" builtinId="9" hidden="1"/>
    <cellStyle name="Followed Hyperlink" xfId="5441" builtinId="9" hidden="1"/>
    <cellStyle name="Followed Hyperlink" xfId="5443" builtinId="9" hidden="1"/>
    <cellStyle name="Followed Hyperlink" xfId="5445" builtinId="9" hidden="1"/>
    <cellStyle name="Followed Hyperlink" xfId="5447" builtinId="9" hidden="1"/>
    <cellStyle name="Followed Hyperlink" xfId="5449" builtinId="9" hidden="1"/>
    <cellStyle name="Followed Hyperlink" xfId="5451" builtinId="9" hidden="1"/>
    <cellStyle name="Followed Hyperlink" xfId="5453" builtinId="9" hidden="1"/>
    <cellStyle name="Followed Hyperlink" xfId="5455" builtinId="9" hidden="1"/>
    <cellStyle name="Followed Hyperlink" xfId="5457" builtinId="9" hidden="1"/>
    <cellStyle name="Followed Hyperlink" xfId="5459" builtinId="9" hidden="1"/>
    <cellStyle name="Followed Hyperlink" xfId="5461" builtinId="9" hidden="1"/>
    <cellStyle name="Followed Hyperlink" xfId="5463" builtinId="9" hidden="1"/>
    <cellStyle name="Followed Hyperlink" xfId="5465" builtinId="9" hidden="1"/>
    <cellStyle name="Followed Hyperlink" xfId="5467" builtinId="9" hidden="1"/>
    <cellStyle name="Followed Hyperlink" xfId="5469" builtinId="9" hidden="1"/>
    <cellStyle name="Followed Hyperlink" xfId="5471" builtinId="9" hidden="1"/>
    <cellStyle name="Followed Hyperlink" xfId="5473" builtinId="9" hidden="1"/>
    <cellStyle name="Followed Hyperlink" xfId="5475" builtinId="9" hidden="1"/>
    <cellStyle name="Followed Hyperlink" xfId="5477" builtinId="9" hidden="1"/>
    <cellStyle name="Followed Hyperlink" xfId="5479" builtinId="9" hidden="1"/>
    <cellStyle name="Followed Hyperlink" xfId="5481" builtinId="9" hidden="1"/>
    <cellStyle name="Followed Hyperlink" xfId="5483" builtinId="9" hidden="1"/>
    <cellStyle name="Followed Hyperlink" xfId="5485" builtinId="9" hidden="1"/>
    <cellStyle name="Followed Hyperlink" xfId="5487" builtinId="9" hidden="1"/>
    <cellStyle name="Followed Hyperlink" xfId="5489" builtinId="9" hidden="1"/>
    <cellStyle name="Followed Hyperlink" xfId="5491" builtinId="9" hidden="1"/>
    <cellStyle name="Followed Hyperlink" xfId="5493" builtinId="9" hidden="1"/>
    <cellStyle name="Followed Hyperlink" xfId="5495" builtinId="9" hidden="1"/>
    <cellStyle name="Followed Hyperlink" xfId="5497" builtinId="9" hidden="1"/>
    <cellStyle name="Followed Hyperlink" xfId="5499" builtinId="9" hidden="1"/>
    <cellStyle name="Followed Hyperlink" xfId="5501" builtinId="9" hidden="1"/>
    <cellStyle name="Followed Hyperlink" xfId="5503" builtinId="9" hidden="1"/>
    <cellStyle name="Followed Hyperlink" xfId="5505" builtinId="9" hidden="1"/>
    <cellStyle name="Followed Hyperlink" xfId="5507" builtinId="9" hidden="1"/>
    <cellStyle name="Followed Hyperlink" xfId="5509" builtinId="9" hidden="1"/>
    <cellStyle name="Followed Hyperlink" xfId="5511" builtinId="9" hidden="1"/>
    <cellStyle name="Followed Hyperlink" xfId="5513" builtinId="9" hidden="1"/>
    <cellStyle name="Followed Hyperlink" xfId="5515" builtinId="9" hidden="1"/>
    <cellStyle name="Followed Hyperlink" xfId="5517" builtinId="9" hidden="1"/>
    <cellStyle name="Followed Hyperlink" xfId="5519" builtinId="9" hidden="1"/>
    <cellStyle name="Followed Hyperlink" xfId="5521" builtinId="9" hidden="1"/>
    <cellStyle name="Followed Hyperlink" xfId="5523" builtinId="9" hidden="1"/>
    <cellStyle name="Followed Hyperlink" xfId="5525" builtinId="9" hidden="1"/>
    <cellStyle name="Followed Hyperlink" xfId="5527" builtinId="9" hidden="1"/>
    <cellStyle name="Followed Hyperlink" xfId="5529" builtinId="9" hidden="1"/>
    <cellStyle name="Followed Hyperlink" xfId="5531" builtinId="9" hidden="1"/>
    <cellStyle name="Followed Hyperlink" xfId="5533" builtinId="9" hidden="1"/>
    <cellStyle name="Followed Hyperlink" xfId="5535" builtinId="9" hidden="1"/>
    <cellStyle name="Followed Hyperlink" xfId="5537" builtinId="9" hidden="1"/>
    <cellStyle name="Followed Hyperlink" xfId="5539" builtinId="9" hidden="1"/>
    <cellStyle name="Followed Hyperlink" xfId="5541" builtinId="9" hidden="1"/>
    <cellStyle name="Followed Hyperlink" xfId="5543" builtinId="9" hidden="1"/>
    <cellStyle name="Followed Hyperlink" xfId="5545" builtinId="9" hidden="1"/>
    <cellStyle name="Followed Hyperlink" xfId="5547" builtinId="9" hidden="1"/>
    <cellStyle name="Followed Hyperlink" xfId="5549" builtinId="9" hidden="1"/>
    <cellStyle name="Followed Hyperlink" xfId="5551" builtinId="9" hidden="1"/>
    <cellStyle name="Followed Hyperlink" xfId="5553" builtinId="9" hidden="1"/>
    <cellStyle name="Followed Hyperlink" xfId="5555" builtinId="9" hidden="1"/>
    <cellStyle name="Followed Hyperlink" xfId="5557" builtinId="9" hidden="1"/>
    <cellStyle name="Followed Hyperlink" xfId="5559" builtinId="9" hidden="1"/>
    <cellStyle name="Followed Hyperlink" xfId="5561" builtinId="9" hidden="1"/>
    <cellStyle name="Followed Hyperlink" xfId="5563" builtinId="9" hidden="1"/>
    <cellStyle name="Followed Hyperlink" xfId="5565" builtinId="9" hidden="1"/>
    <cellStyle name="Followed Hyperlink" xfId="5567" builtinId="9" hidden="1"/>
    <cellStyle name="Followed Hyperlink" xfId="5569" builtinId="9" hidden="1"/>
    <cellStyle name="Followed Hyperlink" xfId="5571" builtinId="9" hidden="1"/>
    <cellStyle name="Followed Hyperlink" xfId="5573" builtinId="9" hidden="1"/>
    <cellStyle name="Followed Hyperlink" xfId="5575" builtinId="9" hidden="1"/>
    <cellStyle name="Followed Hyperlink" xfId="5577" builtinId="9" hidden="1"/>
    <cellStyle name="Followed Hyperlink" xfId="5579" builtinId="9" hidden="1"/>
    <cellStyle name="Followed Hyperlink" xfId="5581" builtinId="9" hidden="1"/>
    <cellStyle name="Followed Hyperlink" xfId="5583" builtinId="9" hidden="1"/>
    <cellStyle name="Followed Hyperlink" xfId="5585" builtinId="9" hidden="1"/>
    <cellStyle name="Followed Hyperlink" xfId="5587" builtinId="9" hidden="1"/>
    <cellStyle name="Followed Hyperlink" xfId="5589" builtinId="9" hidden="1"/>
    <cellStyle name="Followed Hyperlink" xfId="5591" builtinId="9" hidden="1"/>
    <cellStyle name="Followed Hyperlink" xfId="5593" builtinId="9" hidden="1"/>
    <cellStyle name="Followed Hyperlink" xfId="5595" builtinId="9" hidden="1"/>
    <cellStyle name="Followed Hyperlink" xfId="5597" builtinId="9" hidden="1"/>
    <cellStyle name="Followed Hyperlink" xfId="5599" builtinId="9" hidden="1"/>
    <cellStyle name="Followed Hyperlink" xfId="5601" builtinId="9" hidden="1"/>
    <cellStyle name="Followed Hyperlink" xfId="5603" builtinId="9" hidden="1"/>
    <cellStyle name="Followed Hyperlink" xfId="5605" builtinId="9" hidden="1"/>
    <cellStyle name="Followed Hyperlink" xfId="5607" builtinId="9" hidden="1"/>
    <cellStyle name="Followed Hyperlink" xfId="5609" builtinId="9" hidden="1"/>
    <cellStyle name="Followed Hyperlink" xfId="5611" builtinId="9" hidden="1"/>
    <cellStyle name="Followed Hyperlink" xfId="5613" builtinId="9" hidden="1"/>
    <cellStyle name="Followed Hyperlink" xfId="5615"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2"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644" builtinId="8" hidden="1"/>
    <cellStyle name="Hyperlink" xfId="2646" builtinId="8" hidden="1"/>
    <cellStyle name="Hyperlink" xfId="2648" builtinId="8" hidden="1"/>
    <cellStyle name="Hyperlink" xfId="2650" builtinId="8" hidden="1"/>
    <cellStyle name="Hyperlink" xfId="2652" builtinId="8" hidden="1"/>
    <cellStyle name="Hyperlink" xfId="2654" builtinId="8" hidden="1"/>
    <cellStyle name="Hyperlink" xfId="2656" builtinId="8" hidden="1"/>
    <cellStyle name="Hyperlink" xfId="2658" builtinId="8" hidden="1"/>
    <cellStyle name="Hyperlink" xfId="2660" builtinId="8" hidden="1"/>
    <cellStyle name="Hyperlink" xfId="2662" builtinId="8" hidden="1"/>
    <cellStyle name="Hyperlink" xfId="2664" builtinId="8" hidden="1"/>
    <cellStyle name="Hyperlink" xfId="2666" builtinId="8" hidden="1"/>
    <cellStyle name="Hyperlink" xfId="2668" builtinId="8" hidden="1"/>
    <cellStyle name="Hyperlink" xfId="2670" builtinId="8" hidden="1"/>
    <cellStyle name="Hyperlink" xfId="2672" builtinId="8" hidden="1"/>
    <cellStyle name="Hyperlink" xfId="2674" builtinId="8" hidden="1"/>
    <cellStyle name="Hyperlink" xfId="2676" builtinId="8" hidden="1"/>
    <cellStyle name="Hyperlink" xfId="2678" builtinId="8" hidden="1"/>
    <cellStyle name="Hyperlink" xfId="2680" builtinId="8" hidden="1"/>
    <cellStyle name="Hyperlink" xfId="2682" builtinId="8" hidden="1"/>
    <cellStyle name="Hyperlink" xfId="2684" builtinId="8" hidden="1"/>
    <cellStyle name="Hyperlink" xfId="2686" builtinId="8" hidden="1"/>
    <cellStyle name="Hyperlink" xfId="2688" builtinId="8" hidden="1"/>
    <cellStyle name="Hyperlink" xfId="2690" builtinId="8" hidden="1"/>
    <cellStyle name="Hyperlink" xfId="2692" builtinId="8" hidden="1"/>
    <cellStyle name="Hyperlink" xfId="2694" builtinId="8" hidden="1"/>
    <cellStyle name="Hyperlink" xfId="2696" builtinId="8" hidden="1"/>
    <cellStyle name="Hyperlink" xfId="2698" builtinId="8" hidden="1"/>
    <cellStyle name="Hyperlink" xfId="2700" builtinId="8" hidden="1"/>
    <cellStyle name="Hyperlink" xfId="2702" builtinId="8" hidden="1"/>
    <cellStyle name="Hyperlink" xfId="2704" builtinId="8" hidden="1"/>
    <cellStyle name="Hyperlink" xfId="2706" builtinId="8" hidden="1"/>
    <cellStyle name="Hyperlink" xfId="2708" builtinId="8" hidden="1"/>
    <cellStyle name="Hyperlink" xfId="2710" builtinId="8" hidden="1"/>
    <cellStyle name="Hyperlink" xfId="2712" builtinId="8" hidden="1"/>
    <cellStyle name="Hyperlink" xfId="2714" builtinId="8" hidden="1"/>
    <cellStyle name="Hyperlink" xfId="2716" builtinId="8" hidden="1"/>
    <cellStyle name="Hyperlink" xfId="2718" builtinId="8" hidden="1"/>
    <cellStyle name="Hyperlink" xfId="2720" builtinId="8" hidden="1"/>
    <cellStyle name="Hyperlink" xfId="2722" builtinId="8" hidden="1"/>
    <cellStyle name="Hyperlink" xfId="2724" builtinId="8" hidden="1"/>
    <cellStyle name="Hyperlink" xfId="2726" builtinId="8" hidden="1"/>
    <cellStyle name="Hyperlink" xfId="2728" builtinId="8" hidden="1"/>
    <cellStyle name="Hyperlink" xfId="2730" builtinId="8" hidden="1"/>
    <cellStyle name="Hyperlink" xfId="2732" builtinId="8" hidden="1"/>
    <cellStyle name="Hyperlink" xfId="2734" builtinId="8" hidden="1"/>
    <cellStyle name="Hyperlink" xfId="2736" builtinId="8" hidden="1"/>
    <cellStyle name="Hyperlink" xfId="2738" builtinId="8" hidden="1"/>
    <cellStyle name="Hyperlink" xfId="2740" builtinId="8" hidden="1"/>
    <cellStyle name="Hyperlink" xfId="2742" builtinId="8" hidden="1"/>
    <cellStyle name="Hyperlink" xfId="2744" builtinId="8" hidden="1"/>
    <cellStyle name="Hyperlink" xfId="2746" builtinId="8" hidden="1"/>
    <cellStyle name="Hyperlink" xfId="2748" builtinId="8" hidden="1"/>
    <cellStyle name="Hyperlink" xfId="2750" builtinId="8" hidden="1"/>
    <cellStyle name="Hyperlink" xfId="2752" builtinId="8" hidden="1"/>
    <cellStyle name="Hyperlink" xfId="2754" builtinId="8" hidden="1"/>
    <cellStyle name="Hyperlink" xfId="2756" builtinId="8" hidden="1"/>
    <cellStyle name="Hyperlink" xfId="2758" builtinId="8" hidden="1"/>
    <cellStyle name="Hyperlink" xfId="2760" builtinId="8" hidden="1"/>
    <cellStyle name="Hyperlink" xfId="2762" builtinId="8" hidden="1"/>
    <cellStyle name="Hyperlink" xfId="2764" builtinId="8" hidden="1"/>
    <cellStyle name="Hyperlink" xfId="2766" builtinId="8" hidden="1"/>
    <cellStyle name="Hyperlink" xfId="2768" builtinId="8" hidden="1"/>
    <cellStyle name="Hyperlink" xfId="2770" builtinId="8" hidden="1"/>
    <cellStyle name="Hyperlink" xfId="2772" builtinId="8" hidden="1"/>
    <cellStyle name="Hyperlink" xfId="2774" builtinId="8" hidden="1"/>
    <cellStyle name="Hyperlink" xfId="2776" builtinId="8" hidden="1"/>
    <cellStyle name="Hyperlink" xfId="2778" builtinId="8" hidden="1"/>
    <cellStyle name="Hyperlink" xfId="2780" builtinId="8" hidden="1"/>
    <cellStyle name="Hyperlink" xfId="2782" builtinId="8" hidden="1"/>
    <cellStyle name="Hyperlink" xfId="2784" builtinId="8" hidden="1"/>
    <cellStyle name="Hyperlink" xfId="2786" builtinId="8" hidden="1"/>
    <cellStyle name="Hyperlink" xfId="2788" builtinId="8" hidden="1"/>
    <cellStyle name="Hyperlink" xfId="2790" builtinId="8" hidden="1"/>
    <cellStyle name="Hyperlink" xfId="2792" builtinId="8" hidden="1"/>
    <cellStyle name="Hyperlink" xfId="2794" builtinId="8" hidden="1"/>
    <cellStyle name="Hyperlink" xfId="2796" builtinId="8" hidden="1"/>
    <cellStyle name="Hyperlink" xfId="2798" builtinId="8" hidden="1"/>
    <cellStyle name="Hyperlink" xfId="2800" builtinId="8" hidden="1"/>
    <cellStyle name="Hyperlink" xfId="2802" builtinId="8" hidden="1"/>
    <cellStyle name="Hyperlink" xfId="2804" builtinId="8" hidden="1"/>
    <cellStyle name="Hyperlink" xfId="2806" builtinId="8" hidden="1"/>
    <cellStyle name="Hyperlink" xfId="2808" builtinId="8" hidden="1"/>
    <cellStyle name="Hyperlink" xfId="2810" builtinId="8" hidden="1"/>
    <cellStyle name="Hyperlink" xfId="2812" builtinId="8" hidden="1"/>
    <cellStyle name="Hyperlink" xfId="2814" builtinId="8" hidden="1"/>
    <cellStyle name="Hyperlink" xfId="2816" builtinId="8" hidden="1"/>
    <cellStyle name="Hyperlink" xfId="2818" builtinId="8" hidden="1"/>
    <cellStyle name="Hyperlink" xfId="2820" builtinId="8" hidden="1"/>
    <cellStyle name="Hyperlink" xfId="2822" builtinId="8" hidden="1"/>
    <cellStyle name="Hyperlink" xfId="2824" builtinId="8" hidden="1"/>
    <cellStyle name="Hyperlink" xfId="2826" builtinId="8" hidden="1"/>
    <cellStyle name="Hyperlink" xfId="2828" builtinId="8" hidden="1"/>
    <cellStyle name="Hyperlink" xfId="2830" builtinId="8" hidden="1"/>
    <cellStyle name="Hyperlink" xfId="2832" builtinId="8" hidden="1"/>
    <cellStyle name="Hyperlink" xfId="2834" builtinId="8" hidden="1"/>
    <cellStyle name="Hyperlink" xfId="2836" builtinId="8" hidden="1"/>
    <cellStyle name="Hyperlink" xfId="2838" builtinId="8" hidden="1"/>
    <cellStyle name="Hyperlink" xfId="2840" builtinId="8" hidden="1"/>
    <cellStyle name="Hyperlink" xfId="2842" builtinId="8" hidden="1"/>
    <cellStyle name="Hyperlink" xfId="2844" builtinId="8" hidden="1"/>
    <cellStyle name="Hyperlink" xfId="2846" builtinId="8" hidden="1"/>
    <cellStyle name="Hyperlink" xfId="2848" builtinId="8" hidden="1"/>
    <cellStyle name="Hyperlink" xfId="2850" builtinId="8" hidden="1"/>
    <cellStyle name="Hyperlink" xfId="2852" builtinId="8" hidden="1"/>
    <cellStyle name="Hyperlink" xfId="2854" builtinId="8" hidden="1"/>
    <cellStyle name="Hyperlink" xfId="2856" builtinId="8" hidden="1"/>
    <cellStyle name="Hyperlink" xfId="2858" builtinId="8" hidden="1"/>
    <cellStyle name="Hyperlink" xfId="2860" builtinId="8" hidden="1"/>
    <cellStyle name="Hyperlink" xfId="2862" builtinId="8" hidden="1"/>
    <cellStyle name="Hyperlink" xfId="2864" builtinId="8" hidden="1"/>
    <cellStyle name="Hyperlink" xfId="2866" builtinId="8" hidden="1"/>
    <cellStyle name="Hyperlink" xfId="2868" builtinId="8" hidden="1"/>
    <cellStyle name="Hyperlink" xfId="2870" builtinId="8" hidden="1"/>
    <cellStyle name="Hyperlink" xfId="2872" builtinId="8" hidden="1"/>
    <cellStyle name="Hyperlink" xfId="2874" builtinId="8" hidden="1"/>
    <cellStyle name="Hyperlink" xfId="2876" builtinId="8" hidden="1"/>
    <cellStyle name="Hyperlink" xfId="2878" builtinId="8" hidden="1"/>
    <cellStyle name="Hyperlink" xfId="2880" builtinId="8" hidden="1"/>
    <cellStyle name="Hyperlink" xfId="2882" builtinId="8" hidden="1"/>
    <cellStyle name="Hyperlink" xfId="2884" builtinId="8" hidden="1"/>
    <cellStyle name="Hyperlink" xfId="2886" builtinId="8" hidden="1"/>
    <cellStyle name="Hyperlink" xfId="2888" builtinId="8" hidden="1"/>
    <cellStyle name="Hyperlink" xfId="2890" builtinId="8" hidden="1"/>
    <cellStyle name="Hyperlink" xfId="2892" builtinId="8" hidden="1"/>
    <cellStyle name="Hyperlink" xfId="2894" builtinId="8" hidden="1"/>
    <cellStyle name="Hyperlink" xfId="2896" builtinId="8" hidden="1"/>
    <cellStyle name="Hyperlink" xfId="2898" builtinId="8" hidden="1"/>
    <cellStyle name="Hyperlink" xfId="2900" builtinId="8" hidden="1"/>
    <cellStyle name="Hyperlink" xfId="2902" builtinId="8" hidden="1"/>
    <cellStyle name="Hyperlink" xfId="2904" builtinId="8" hidden="1"/>
    <cellStyle name="Hyperlink" xfId="2906" builtinId="8" hidden="1"/>
    <cellStyle name="Hyperlink" xfId="2908" builtinId="8" hidden="1"/>
    <cellStyle name="Hyperlink" xfId="2910" builtinId="8" hidden="1"/>
    <cellStyle name="Hyperlink" xfId="2912" builtinId="8" hidden="1"/>
    <cellStyle name="Hyperlink" xfId="2914" builtinId="8" hidden="1"/>
    <cellStyle name="Hyperlink" xfId="2916" builtinId="8" hidden="1"/>
    <cellStyle name="Hyperlink" xfId="2918" builtinId="8" hidden="1"/>
    <cellStyle name="Hyperlink" xfId="2920" builtinId="8" hidden="1"/>
    <cellStyle name="Hyperlink" xfId="2922" builtinId="8" hidden="1"/>
    <cellStyle name="Hyperlink" xfId="2924" builtinId="8" hidden="1"/>
    <cellStyle name="Hyperlink" xfId="2926" builtinId="8" hidden="1"/>
    <cellStyle name="Hyperlink" xfId="2928" builtinId="8" hidden="1"/>
    <cellStyle name="Hyperlink" xfId="2930" builtinId="8" hidden="1"/>
    <cellStyle name="Hyperlink" xfId="2932" builtinId="8" hidden="1"/>
    <cellStyle name="Hyperlink" xfId="2934" builtinId="8" hidden="1"/>
    <cellStyle name="Hyperlink" xfId="2936" builtinId="8" hidden="1"/>
    <cellStyle name="Hyperlink" xfId="2938" builtinId="8" hidden="1"/>
    <cellStyle name="Hyperlink" xfId="2940" builtinId="8" hidden="1"/>
    <cellStyle name="Hyperlink" xfId="2942" builtinId="8" hidden="1"/>
    <cellStyle name="Hyperlink" xfId="2944" builtinId="8" hidden="1"/>
    <cellStyle name="Hyperlink" xfId="2946" builtinId="8" hidden="1"/>
    <cellStyle name="Hyperlink" xfId="2948" builtinId="8" hidden="1"/>
    <cellStyle name="Hyperlink" xfId="2950" builtinId="8" hidden="1"/>
    <cellStyle name="Hyperlink" xfId="2952" builtinId="8" hidden="1"/>
    <cellStyle name="Hyperlink" xfId="2954" builtinId="8" hidden="1"/>
    <cellStyle name="Hyperlink" xfId="2956" builtinId="8" hidden="1"/>
    <cellStyle name="Hyperlink" xfId="2958" builtinId="8" hidden="1"/>
    <cellStyle name="Hyperlink" xfId="2960" builtinId="8" hidden="1"/>
    <cellStyle name="Hyperlink" xfId="2962" builtinId="8" hidden="1"/>
    <cellStyle name="Hyperlink" xfId="2964" builtinId="8" hidden="1"/>
    <cellStyle name="Hyperlink" xfId="2966" builtinId="8" hidden="1"/>
    <cellStyle name="Hyperlink" xfId="2968" builtinId="8" hidden="1"/>
    <cellStyle name="Hyperlink" xfId="2970" builtinId="8" hidden="1"/>
    <cellStyle name="Hyperlink" xfId="2972" builtinId="8" hidden="1"/>
    <cellStyle name="Hyperlink" xfId="2974" builtinId="8" hidden="1"/>
    <cellStyle name="Hyperlink" xfId="2976" builtinId="8" hidden="1"/>
    <cellStyle name="Hyperlink" xfId="2978" builtinId="8" hidden="1"/>
    <cellStyle name="Hyperlink" xfId="2980" builtinId="8" hidden="1"/>
    <cellStyle name="Hyperlink" xfId="2982" builtinId="8" hidden="1"/>
    <cellStyle name="Hyperlink" xfId="2984" builtinId="8" hidden="1"/>
    <cellStyle name="Hyperlink" xfId="2986" builtinId="8" hidden="1"/>
    <cellStyle name="Hyperlink" xfId="2988" builtinId="8" hidden="1"/>
    <cellStyle name="Hyperlink" xfId="2990" builtinId="8" hidden="1"/>
    <cellStyle name="Hyperlink" xfId="2992" builtinId="8" hidden="1"/>
    <cellStyle name="Hyperlink" xfId="2994" builtinId="8" hidden="1"/>
    <cellStyle name="Hyperlink" xfId="2996" builtinId="8" hidden="1"/>
    <cellStyle name="Hyperlink" xfId="2998" builtinId="8" hidden="1"/>
    <cellStyle name="Hyperlink" xfId="3000" builtinId="8" hidden="1"/>
    <cellStyle name="Hyperlink" xfId="3002" builtinId="8" hidden="1"/>
    <cellStyle name="Hyperlink" xfId="3004" builtinId="8" hidden="1"/>
    <cellStyle name="Hyperlink" xfId="3006" builtinId="8" hidden="1"/>
    <cellStyle name="Hyperlink" xfId="3008" builtinId="8" hidden="1"/>
    <cellStyle name="Hyperlink" xfId="3010" builtinId="8" hidden="1"/>
    <cellStyle name="Hyperlink" xfId="3012" builtinId="8" hidden="1"/>
    <cellStyle name="Hyperlink" xfId="3014" builtinId="8" hidden="1"/>
    <cellStyle name="Hyperlink" xfId="3016" builtinId="8" hidden="1"/>
    <cellStyle name="Hyperlink" xfId="3018" builtinId="8" hidden="1"/>
    <cellStyle name="Hyperlink" xfId="3020" builtinId="8" hidden="1"/>
    <cellStyle name="Hyperlink" xfId="3022" builtinId="8" hidden="1"/>
    <cellStyle name="Hyperlink" xfId="3024" builtinId="8" hidden="1"/>
    <cellStyle name="Hyperlink" xfId="3026" builtinId="8" hidden="1"/>
    <cellStyle name="Hyperlink" xfId="3028" builtinId="8" hidden="1"/>
    <cellStyle name="Hyperlink" xfId="3030" builtinId="8" hidden="1"/>
    <cellStyle name="Hyperlink" xfId="3032" builtinId="8" hidden="1"/>
    <cellStyle name="Hyperlink" xfId="3034" builtinId="8" hidden="1"/>
    <cellStyle name="Hyperlink" xfId="3036" builtinId="8" hidden="1"/>
    <cellStyle name="Hyperlink" xfId="3038" builtinId="8" hidden="1"/>
    <cellStyle name="Hyperlink" xfId="3040" builtinId="8" hidden="1"/>
    <cellStyle name="Hyperlink" xfId="3042" builtinId="8" hidden="1"/>
    <cellStyle name="Hyperlink" xfId="3044" builtinId="8" hidden="1"/>
    <cellStyle name="Hyperlink" xfId="3046"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Hyperlink" xfId="3148" builtinId="8" hidden="1"/>
    <cellStyle name="Hyperlink" xfId="3150" builtinId="8" hidden="1"/>
    <cellStyle name="Hyperlink" xfId="3152" builtinId="8" hidden="1"/>
    <cellStyle name="Hyperlink" xfId="3154" builtinId="8" hidden="1"/>
    <cellStyle name="Hyperlink" xfId="3156" builtinId="8" hidden="1"/>
    <cellStyle name="Hyperlink" xfId="3158" builtinId="8" hidden="1"/>
    <cellStyle name="Hyperlink" xfId="3160" builtinId="8" hidden="1"/>
    <cellStyle name="Hyperlink" xfId="3162" builtinId="8" hidden="1"/>
    <cellStyle name="Hyperlink" xfId="3164" builtinId="8" hidden="1"/>
    <cellStyle name="Hyperlink" xfId="3166" builtinId="8" hidden="1"/>
    <cellStyle name="Hyperlink" xfId="3168" builtinId="8" hidden="1"/>
    <cellStyle name="Hyperlink" xfId="3170" builtinId="8" hidden="1"/>
    <cellStyle name="Hyperlink" xfId="3172" builtinId="8" hidden="1"/>
    <cellStyle name="Hyperlink" xfId="3174" builtinId="8" hidden="1"/>
    <cellStyle name="Hyperlink" xfId="3176" builtinId="8" hidden="1"/>
    <cellStyle name="Hyperlink" xfId="3178" builtinId="8" hidden="1"/>
    <cellStyle name="Hyperlink" xfId="3180" builtinId="8" hidden="1"/>
    <cellStyle name="Hyperlink" xfId="3182" builtinId="8" hidden="1"/>
    <cellStyle name="Hyperlink" xfId="3184" builtinId="8" hidden="1"/>
    <cellStyle name="Hyperlink" xfId="3186" builtinId="8" hidden="1"/>
    <cellStyle name="Hyperlink" xfId="3188" builtinId="8" hidden="1"/>
    <cellStyle name="Hyperlink" xfId="3190" builtinId="8" hidden="1"/>
    <cellStyle name="Hyperlink" xfId="3192" builtinId="8" hidden="1"/>
    <cellStyle name="Hyperlink" xfId="3194" builtinId="8" hidden="1"/>
    <cellStyle name="Hyperlink" xfId="3196" builtinId="8" hidden="1"/>
    <cellStyle name="Hyperlink" xfId="3198" builtinId="8" hidden="1"/>
    <cellStyle name="Hyperlink" xfId="3200" builtinId="8" hidden="1"/>
    <cellStyle name="Hyperlink" xfId="3202" builtinId="8" hidden="1"/>
    <cellStyle name="Hyperlink" xfId="3204" builtinId="8" hidden="1"/>
    <cellStyle name="Hyperlink" xfId="3206" builtinId="8" hidden="1"/>
    <cellStyle name="Hyperlink" xfId="3208" builtinId="8" hidden="1"/>
    <cellStyle name="Hyperlink" xfId="3210" builtinId="8" hidden="1"/>
    <cellStyle name="Hyperlink" xfId="3212" builtinId="8" hidden="1"/>
    <cellStyle name="Hyperlink" xfId="3214" builtinId="8" hidden="1"/>
    <cellStyle name="Hyperlink" xfId="3216" builtinId="8" hidden="1"/>
    <cellStyle name="Hyperlink" xfId="3218" builtinId="8" hidden="1"/>
    <cellStyle name="Hyperlink" xfId="3220" builtinId="8" hidden="1"/>
    <cellStyle name="Hyperlink" xfId="3222" builtinId="8" hidden="1"/>
    <cellStyle name="Hyperlink" xfId="3224" builtinId="8" hidden="1"/>
    <cellStyle name="Hyperlink" xfId="3226" builtinId="8" hidden="1"/>
    <cellStyle name="Hyperlink" xfId="3228" builtinId="8" hidden="1"/>
    <cellStyle name="Hyperlink" xfId="3230" builtinId="8" hidden="1"/>
    <cellStyle name="Hyperlink" xfId="3232" builtinId="8" hidden="1"/>
    <cellStyle name="Hyperlink" xfId="3234" builtinId="8" hidden="1"/>
    <cellStyle name="Hyperlink" xfId="3236" builtinId="8" hidden="1"/>
    <cellStyle name="Hyperlink" xfId="3238" builtinId="8" hidden="1"/>
    <cellStyle name="Hyperlink" xfId="3240" builtinId="8" hidden="1"/>
    <cellStyle name="Hyperlink" xfId="3242" builtinId="8" hidden="1"/>
    <cellStyle name="Hyperlink" xfId="3244" builtinId="8" hidden="1"/>
    <cellStyle name="Hyperlink" xfId="3246" builtinId="8" hidden="1"/>
    <cellStyle name="Hyperlink" xfId="3248" builtinId="8" hidden="1"/>
    <cellStyle name="Hyperlink" xfId="3250" builtinId="8" hidden="1"/>
    <cellStyle name="Hyperlink" xfId="3252" builtinId="8" hidden="1"/>
    <cellStyle name="Hyperlink" xfId="3254" builtinId="8" hidden="1"/>
    <cellStyle name="Hyperlink" xfId="3256" builtinId="8" hidden="1"/>
    <cellStyle name="Hyperlink" xfId="3258" builtinId="8" hidden="1"/>
    <cellStyle name="Hyperlink" xfId="3260" builtinId="8" hidden="1"/>
    <cellStyle name="Hyperlink" xfId="3262" builtinId="8" hidden="1"/>
    <cellStyle name="Hyperlink" xfId="3264" builtinId="8" hidden="1"/>
    <cellStyle name="Hyperlink" xfId="3266" builtinId="8" hidden="1"/>
    <cellStyle name="Hyperlink" xfId="3268" builtinId="8" hidden="1"/>
    <cellStyle name="Hyperlink" xfId="3270" builtinId="8" hidden="1"/>
    <cellStyle name="Hyperlink" xfId="3272" builtinId="8" hidden="1"/>
    <cellStyle name="Hyperlink" xfId="3274" builtinId="8" hidden="1"/>
    <cellStyle name="Hyperlink" xfId="3276" builtinId="8" hidden="1"/>
    <cellStyle name="Hyperlink" xfId="3278" builtinId="8" hidden="1"/>
    <cellStyle name="Hyperlink" xfId="3280" builtinId="8" hidden="1"/>
    <cellStyle name="Hyperlink" xfId="3282" builtinId="8" hidden="1"/>
    <cellStyle name="Hyperlink" xfId="3284" builtinId="8" hidden="1"/>
    <cellStyle name="Hyperlink" xfId="3286" builtinId="8" hidden="1"/>
    <cellStyle name="Hyperlink" xfId="3288" builtinId="8" hidden="1"/>
    <cellStyle name="Hyperlink" xfId="3290" builtinId="8" hidden="1"/>
    <cellStyle name="Hyperlink" xfId="3292" builtinId="8" hidden="1"/>
    <cellStyle name="Hyperlink" xfId="3294" builtinId="8" hidden="1"/>
    <cellStyle name="Hyperlink" xfId="3296" builtinId="8" hidden="1"/>
    <cellStyle name="Hyperlink" xfId="3298" builtinId="8" hidden="1"/>
    <cellStyle name="Hyperlink" xfId="3300" builtinId="8" hidden="1"/>
    <cellStyle name="Hyperlink" xfId="3302" builtinId="8" hidden="1"/>
    <cellStyle name="Hyperlink" xfId="3304" builtinId="8" hidden="1"/>
    <cellStyle name="Hyperlink" xfId="3306" builtinId="8" hidden="1"/>
    <cellStyle name="Hyperlink" xfId="3308" builtinId="8" hidden="1"/>
    <cellStyle name="Hyperlink" xfId="3310" builtinId="8" hidden="1"/>
    <cellStyle name="Hyperlink" xfId="3312" builtinId="8" hidden="1"/>
    <cellStyle name="Hyperlink" xfId="3314" builtinId="8" hidden="1"/>
    <cellStyle name="Hyperlink" xfId="3316" builtinId="8" hidden="1"/>
    <cellStyle name="Hyperlink" xfId="3318" builtinId="8" hidden="1"/>
    <cellStyle name="Hyperlink" xfId="3320" builtinId="8" hidden="1"/>
    <cellStyle name="Hyperlink" xfId="3322" builtinId="8" hidden="1"/>
    <cellStyle name="Hyperlink" xfId="3324" builtinId="8" hidden="1"/>
    <cellStyle name="Hyperlink" xfId="3326" builtinId="8" hidden="1"/>
    <cellStyle name="Hyperlink" xfId="3328" builtinId="8" hidden="1"/>
    <cellStyle name="Hyperlink" xfId="3330" builtinId="8" hidden="1"/>
    <cellStyle name="Hyperlink" xfId="3332" builtinId="8" hidden="1"/>
    <cellStyle name="Hyperlink" xfId="3334" builtinId="8" hidden="1"/>
    <cellStyle name="Hyperlink" xfId="3336" builtinId="8" hidden="1"/>
    <cellStyle name="Hyperlink" xfId="3338" builtinId="8" hidden="1"/>
    <cellStyle name="Hyperlink" xfId="3340" builtinId="8" hidden="1"/>
    <cellStyle name="Hyperlink" xfId="3342" builtinId="8" hidden="1"/>
    <cellStyle name="Hyperlink" xfId="3344" builtinId="8" hidden="1"/>
    <cellStyle name="Hyperlink" xfId="3346" builtinId="8" hidden="1"/>
    <cellStyle name="Hyperlink" xfId="3348" builtinId="8" hidden="1"/>
    <cellStyle name="Hyperlink" xfId="3350" builtinId="8" hidden="1"/>
    <cellStyle name="Hyperlink" xfId="3352" builtinId="8" hidden="1"/>
    <cellStyle name="Hyperlink" xfId="3354" builtinId="8" hidden="1"/>
    <cellStyle name="Hyperlink" xfId="3356" builtinId="8" hidden="1"/>
    <cellStyle name="Hyperlink" xfId="3358" builtinId="8" hidden="1"/>
    <cellStyle name="Hyperlink" xfId="3360" builtinId="8" hidden="1"/>
    <cellStyle name="Hyperlink" xfId="3362" builtinId="8" hidden="1"/>
    <cellStyle name="Hyperlink" xfId="3364" builtinId="8" hidden="1"/>
    <cellStyle name="Hyperlink" xfId="3366" builtinId="8" hidden="1"/>
    <cellStyle name="Hyperlink" xfId="3368" builtinId="8" hidden="1"/>
    <cellStyle name="Hyperlink" xfId="3370" builtinId="8" hidden="1"/>
    <cellStyle name="Hyperlink" xfId="3372" builtinId="8" hidden="1"/>
    <cellStyle name="Hyperlink" xfId="3374" builtinId="8" hidden="1"/>
    <cellStyle name="Hyperlink" xfId="3376" builtinId="8" hidden="1"/>
    <cellStyle name="Hyperlink" xfId="3378" builtinId="8" hidden="1"/>
    <cellStyle name="Hyperlink" xfId="3380" builtinId="8" hidden="1"/>
    <cellStyle name="Hyperlink" xfId="3382"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4" builtinId="8" hidden="1"/>
    <cellStyle name="Hyperlink" xfId="3406"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636" builtinId="8" hidden="1"/>
    <cellStyle name="Hyperlink" xfId="3638" builtinId="8" hidden="1"/>
    <cellStyle name="Hyperlink" xfId="3640" builtinId="8" hidden="1"/>
    <cellStyle name="Hyperlink" xfId="3642" builtinId="8" hidden="1"/>
    <cellStyle name="Hyperlink" xfId="3644" builtinId="8" hidden="1"/>
    <cellStyle name="Hyperlink" xfId="3646" builtinId="8" hidden="1"/>
    <cellStyle name="Hyperlink" xfId="3648" builtinId="8" hidden="1"/>
    <cellStyle name="Hyperlink" xfId="3650" builtinId="8" hidden="1"/>
    <cellStyle name="Hyperlink" xfId="3652" builtinId="8" hidden="1"/>
    <cellStyle name="Hyperlink" xfId="3654" builtinId="8" hidden="1"/>
    <cellStyle name="Hyperlink" xfId="3656" builtinId="8" hidden="1"/>
    <cellStyle name="Hyperlink" xfId="3658" builtinId="8" hidden="1"/>
    <cellStyle name="Hyperlink" xfId="3660" builtinId="8" hidden="1"/>
    <cellStyle name="Hyperlink" xfId="3662" builtinId="8" hidden="1"/>
    <cellStyle name="Hyperlink" xfId="3664" builtinId="8" hidden="1"/>
    <cellStyle name="Hyperlink" xfId="3666" builtinId="8" hidden="1"/>
    <cellStyle name="Hyperlink" xfId="3668" builtinId="8" hidden="1"/>
    <cellStyle name="Hyperlink" xfId="3670" builtinId="8" hidden="1"/>
    <cellStyle name="Hyperlink" xfId="3672" builtinId="8" hidden="1"/>
    <cellStyle name="Hyperlink" xfId="3674" builtinId="8" hidden="1"/>
    <cellStyle name="Hyperlink" xfId="3676" builtinId="8" hidden="1"/>
    <cellStyle name="Hyperlink" xfId="3678" builtinId="8" hidden="1"/>
    <cellStyle name="Hyperlink" xfId="3680" builtinId="8" hidden="1"/>
    <cellStyle name="Hyperlink" xfId="3682" builtinId="8" hidden="1"/>
    <cellStyle name="Hyperlink" xfId="3684" builtinId="8" hidden="1"/>
    <cellStyle name="Hyperlink" xfId="3686" builtinId="8" hidden="1"/>
    <cellStyle name="Hyperlink" xfId="3688" builtinId="8" hidden="1"/>
    <cellStyle name="Hyperlink" xfId="3690" builtinId="8" hidden="1"/>
    <cellStyle name="Hyperlink" xfId="3692" builtinId="8" hidden="1"/>
    <cellStyle name="Hyperlink" xfId="3694" builtinId="8" hidden="1"/>
    <cellStyle name="Hyperlink" xfId="3696" builtinId="8" hidden="1"/>
    <cellStyle name="Hyperlink" xfId="3698" builtinId="8" hidden="1"/>
    <cellStyle name="Hyperlink" xfId="3700" builtinId="8" hidden="1"/>
    <cellStyle name="Hyperlink" xfId="3702" builtinId="8" hidden="1"/>
    <cellStyle name="Hyperlink" xfId="3704" builtinId="8" hidden="1"/>
    <cellStyle name="Hyperlink" xfId="3706" builtinId="8" hidden="1"/>
    <cellStyle name="Hyperlink" xfId="3708" builtinId="8" hidden="1"/>
    <cellStyle name="Hyperlink" xfId="3710" builtinId="8" hidden="1"/>
    <cellStyle name="Hyperlink" xfId="3712" builtinId="8" hidden="1"/>
    <cellStyle name="Hyperlink" xfId="3714" builtinId="8" hidden="1"/>
    <cellStyle name="Hyperlink" xfId="3716" builtinId="8" hidden="1"/>
    <cellStyle name="Hyperlink" xfId="3718" builtinId="8" hidden="1"/>
    <cellStyle name="Hyperlink" xfId="3720" builtinId="8" hidden="1"/>
    <cellStyle name="Hyperlink" xfId="3722" builtinId="8" hidden="1"/>
    <cellStyle name="Hyperlink" xfId="3724" builtinId="8" hidden="1"/>
    <cellStyle name="Hyperlink" xfId="3726" builtinId="8" hidden="1"/>
    <cellStyle name="Hyperlink" xfId="3728" builtinId="8" hidden="1"/>
    <cellStyle name="Hyperlink" xfId="3730" builtinId="8" hidden="1"/>
    <cellStyle name="Hyperlink" xfId="3732" builtinId="8" hidden="1"/>
    <cellStyle name="Hyperlink" xfId="3734" builtinId="8" hidden="1"/>
    <cellStyle name="Hyperlink" xfId="3736" builtinId="8" hidden="1"/>
    <cellStyle name="Hyperlink" xfId="3738" builtinId="8" hidden="1"/>
    <cellStyle name="Hyperlink" xfId="3740" builtinId="8" hidden="1"/>
    <cellStyle name="Hyperlink" xfId="3742" builtinId="8" hidden="1"/>
    <cellStyle name="Hyperlink" xfId="3744" builtinId="8" hidden="1"/>
    <cellStyle name="Hyperlink" xfId="3746" builtinId="8" hidden="1"/>
    <cellStyle name="Hyperlink" xfId="3748" builtinId="8" hidden="1"/>
    <cellStyle name="Hyperlink" xfId="3750" builtinId="8" hidden="1"/>
    <cellStyle name="Hyperlink" xfId="3752" builtinId="8" hidden="1"/>
    <cellStyle name="Hyperlink" xfId="3754" builtinId="8" hidden="1"/>
    <cellStyle name="Hyperlink" xfId="3756" builtinId="8" hidden="1"/>
    <cellStyle name="Hyperlink" xfId="3758" builtinId="8" hidden="1"/>
    <cellStyle name="Hyperlink" xfId="3760" builtinId="8" hidden="1"/>
    <cellStyle name="Hyperlink" xfId="3762" builtinId="8" hidden="1"/>
    <cellStyle name="Hyperlink" xfId="3764" builtinId="8" hidden="1"/>
    <cellStyle name="Hyperlink" xfId="3766" builtinId="8" hidden="1"/>
    <cellStyle name="Hyperlink" xfId="3768" builtinId="8" hidden="1"/>
    <cellStyle name="Hyperlink" xfId="3770" builtinId="8" hidden="1"/>
    <cellStyle name="Hyperlink" xfId="3772" builtinId="8" hidden="1"/>
    <cellStyle name="Hyperlink" xfId="3774" builtinId="8" hidden="1"/>
    <cellStyle name="Hyperlink" xfId="3776" builtinId="8" hidden="1"/>
    <cellStyle name="Hyperlink" xfId="3778" builtinId="8" hidden="1"/>
    <cellStyle name="Hyperlink" xfId="3780" builtinId="8" hidden="1"/>
    <cellStyle name="Hyperlink" xfId="3782" builtinId="8" hidden="1"/>
    <cellStyle name="Hyperlink" xfId="3784" builtinId="8" hidden="1"/>
    <cellStyle name="Hyperlink" xfId="3786" builtinId="8" hidden="1"/>
    <cellStyle name="Hyperlink" xfId="3788" builtinId="8" hidden="1"/>
    <cellStyle name="Hyperlink" xfId="3790" builtinId="8" hidden="1"/>
    <cellStyle name="Hyperlink" xfId="3792" builtinId="8" hidden="1"/>
    <cellStyle name="Hyperlink" xfId="3794" builtinId="8" hidden="1"/>
    <cellStyle name="Hyperlink" xfId="3796" builtinId="8" hidden="1"/>
    <cellStyle name="Hyperlink" xfId="3798" builtinId="8" hidden="1"/>
    <cellStyle name="Hyperlink" xfId="3800" builtinId="8" hidden="1"/>
    <cellStyle name="Hyperlink" xfId="3802"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6" builtinId="8" hidden="1"/>
    <cellStyle name="Hyperlink" xfId="3838" builtinId="8" hidden="1"/>
    <cellStyle name="Hyperlink" xfId="3840" builtinId="8" hidden="1"/>
    <cellStyle name="Hyperlink" xfId="3842" builtinId="8" hidden="1"/>
    <cellStyle name="Hyperlink" xfId="3844" builtinId="8" hidden="1"/>
    <cellStyle name="Hyperlink" xfId="3846" builtinId="8" hidden="1"/>
    <cellStyle name="Hyperlink" xfId="3848" builtinId="8" hidden="1"/>
    <cellStyle name="Hyperlink" xfId="3850" builtinId="8" hidden="1"/>
    <cellStyle name="Hyperlink" xfId="3852" builtinId="8" hidden="1"/>
    <cellStyle name="Hyperlink" xfId="3854" builtinId="8" hidden="1"/>
    <cellStyle name="Hyperlink" xfId="3856" builtinId="8" hidden="1"/>
    <cellStyle name="Hyperlink" xfId="3858" builtinId="8" hidden="1"/>
    <cellStyle name="Hyperlink" xfId="3860" builtinId="8" hidden="1"/>
    <cellStyle name="Hyperlink" xfId="3862" builtinId="8" hidden="1"/>
    <cellStyle name="Hyperlink" xfId="3864" builtinId="8" hidden="1"/>
    <cellStyle name="Hyperlink" xfId="3866" builtinId="8" hidden="1"/>
    <cellStyle name="Hyperlink" xfId="3868" builtinId="8" hidden="1"/>
    <cellStyle name="Hyperlink" xfId="3870" builtinId="8" hidden="1"/>
    <cellStyle name="Hyperlink" xfId="3872" builtinId="8" hidden="1"/>
    <cellStyle name="Hyperlink" xfId="3874" builtinId="8" hidden="1"/>
    <cellStyle name="Hyperlink" xfId="3876" builtinId="8" hidden="1"/>
    <cellStyle name="Hyperlink" xfId="3878" builtinId="8" hidden="1"/>
    <cellStyle name="Hyperlink" xfId="3880" builtinId="8" hidden="1"/>
    <cellStyle name="Hyperlink" xfId="3882" builtinId="8" hidden="1"/>
    <cellStyle name="Hyperlink" xfId="3884" builtinId="8" hidden="1"/>
    <cellStyle name="Hyperlink" xfId="3886" builtinId="8" hidden="1"/>
    <cellStyle name="Hyperlink" xfId="3888" builtinId="8" hidden="1"/>
    <cellStyle name="Hyperlink" xfId="3890" builtinId="8" hidden="1"/>
    <cellStyle name="Hyperlink" xfId="3892" builtinId="8" hidden="1"/>
    <cellStyle name="Hyperlink" xfId="3894" builtinId="8" hidden="1"/>
    <cellStyle name="Hyperlink" xfId="3896" builtinId="8" hidden="1"/>
    <cellStyle name="Hyperlink" xfId="3898" builtinId="8" hidden="1"/>
    <cellStyle name="Hyperlink" xfId="3900" builtinId="8" hidden="1"/>
    <cellStyle name="Hyperlink" xfId="3902" builtinId="8" hidden="1"/>
    <cellStyle name="Hyperlink" xfId="3904" builtinId="8" hidden="1"/>
    <cellStyle name="Hyperlink" xfId="3906" builtinId="8" hidden="1"/>
    <cellStyle name="Hyperlink" xfId="3908" builtinId="8" hidden="1"/>
    <cellStyle name="Hyperlink" xfId="3910" builtinId="8" hidden="1"/>
    <cellStyle name="Hyperlink" xfId="3912" builtinId="8" hidden="1"/>
    <cellStyle name="Hyperlink" xfId="3914" builtinId="8" hidden="1"/>
    <cellStyle name="Hyperlink" xfId="3916" builtinId="8" hidden="1"/>
    <cellStyle name="Hyperlink" xfId="3918" builtinId="8" hidden="1"/>
    <cellStyle name="Hyperlink" xfId="3920" builtinId="8" hidden="1"/>
    <cellStyle name="Hyperlink" xfId="3922" builtinId="8" hidden="1"/>
    <cellStyle name="Hyperlink" xfId="3924" builtinId="8" hidden="1"/>
    <cellStyle name="Hyperlink" xfId="3926" builtinId="8" hidden="1"/>
    <cellStyle name="Hyperlink" xfId="3928" builtinId="8" hidden="1"/>
    <cellStyle name="Hyperlink" xfId="3930" builtinId="8" hidden="1"/>
    <cellStyle name="Hyperlink" xfId="3932" builtinId="8" hidden="1"/>
    <cellStyle name="Hyperlink" xfId="3934" builtinId="8" hidden="1"/>
    <cellStyle name="Hyperlink" xfId="3936" builtinId="8" hidden="1"/>
    <cellStyle name="Hyperlink" xfId="3938" builtinId="8" hidden="1"/>
    <cellStyle name="Hyperlink" xfId="3940" builtinId="8" hidden="1"/>
    <cellStyle name="Hyperlink" xfId="3942" builtinId="8" hidden="1"/>
    <cellStyle name="Hyperlink" xfId="3944" builtinId="8" hidden="1"/>
    <cellStyle name="Hyperlink" xfId="3946" builtinId="8" hidden="1"/>
    <cellStyle name="Hyperlink" xfId="3948" builtinId="8" hidden="1"/>
    <cellStyle name="Hyperlink" xfId="3950" builtinId="8" hidden="1"/>
    <cellStyle name="Hyperlink" xfId="3952" builtinId="8" hidden="1"/>
    <cellStyle name="Hyperlink" xfId="3954" builtinId="8" hidden="1"/>
    <cellStyle name="Hyperlink" xfId="3956" builtinId="8" hidden="1"/>
    <cellStyle name="Hyperlink" xfId="3958" builtinId="8" hidden="1"/>
    <cellStyle name="Hyperlink" xfId="3960" builtinId="8" hidden="1"/>
    <cellStyle name="Hyperlink" xfId="3962" builtinId="8" hidden="1"/>
    <cellStyle name="Hyperlink" xfId="3964" builtinId="8" hidden="1"/>
    <cellStyle name="Hyperlink" xfId="3966" builtinId="8" hidden="1"/>
    <cellStyle name="Hyperlink" xfId="3968" builtinId="8" hidden="1"/>
    <cellStyle name="Hyperlink" xfId="3970" builtinId="8" hidden="1"/>
    <cellStyle name="Hyperlink" xfId="3972" builtinId="8" hidden="1"/>
    <cellStyle name="Hyperlink" xfId="3974" builtinId="8" hidden="1"/>
    <cellStyle name="Hyperlink" xfId="3976" builtinId="8" hidden="1"/>
    <cellStyle name="Hyperlink" xfId="3978" builtinId="8" hidden="1"/>
    <cellStyle name="Hyperlink" xfId="3980" builtinId="8" hidden="1"/>
    <cellStyle name="Hyperlink" xfId="3982" builtinId="8" hidden="1"/>
    <cellStyle name="Hyperlink" xfId="3984" builtinId="8" hidden="1"/>
    <cellStyle name="Hyperlink" xfId="3986" builtinId="8" hidden="1"/>
    <cellStyle name="Hyperlink" xfId="3988" builtinId="8" hidden="1"/>
    <cellStyle name="Hyperlink" xfId="3990" builtinId="8" hidden="1"/>
    <cellStyle name="Hyperlink" xfId="3992" builtinId="8" hidden="1"/>
    <cellStyle name="Hyperlink" xfId="3994" builtinId="8" hidden="1"/>
    <cellStyle name="Hyperlink" xfId="3996" builtinId="8" hidden="1"/>
    <cellStyle name="Hyperlink" xfId="3998" builtinId="8" hidden="1"/>
    <cellStyle name="Hyperlink" xfId="4000" builtinId="8" hidden="1"/>
    <cellStyle name="Hyperlink" xfId="4002" builtinId="8" hidden="1"/>
    <cellStyle name="Hyperlink" xfId="4004" builtinId="8" hidden="1"/>
    <cellStyle name="Hyperlink" xfId="4006" builtinId="8" hidden="1"/>
    <cellStyle name="Hyperlink" xfId="4008" builtinId="8" hidden="1"/>
    <cellStyle name="Hyperlink" xfId="4010" builtinId="8" hidden="1"/>
    <cellStyle name="Hyperlink" xfId="4012" builtinId="8" hidden="1"/>
    <cellStyle name="Hyperlink" xfId="4014" builtinId="8" hidden="1"/>
    <cellStyle name="Hyperlink" xfId="4016" builtinId="8" hidden="1"/>
    <cellStyle name="Hyperlink" xfId="4018" builtinId="8" hidden="1"/>
    <cellStyle name="Hyperlink" xfId="4020" builtinId="8" hidden="1"/>
    <cellStyle name="Hyperlink" xfId="4022" builtinId="8" hidden="1"/>
    <cellStyle name="Hyperlink" xfId="4024" builtinId="8" hidden="1"/>
    <cellStyle name="Hyperlink" xfId="4026" builtinId="8" hidden="1"/>
    <cellStyle name="Hyperlink" xfId="4028" builtinId="8" hidden="1"/>
    <cellStyle name="Hyperlink" xfId="4030" builtinId="8" hidden="1"/>
    <cellStyle name="Hyperlink" xfId="4032" builtinId="8" hidden="1"/>
    <cellStyle name="Hyperlink" xfId="4034" builtinId="8" hidden="1"/>
    <cellStyle name="Hyperlink" xfId="4036" builtinId="8" hidden="1"/>
    <cellStyle name="Hyperlink" xfId="4038" builtinId="8" hidden="1"/>
    <cellStyle name="Hyperlink" xfId="4040" builtinId="8" hidden="1"/>
    <cellStyle name="Hyperlink" xfId="4042" builtinId="8" hidden="1"/>
    <cellStyle name="Hyperlink" xfId="4044" builtinId="8" hidden="1"/>
    <cellStyle name="Hyperlink" xfId="4046" builtinId="8" hidden="1"/>
    <cellStyle name="Hyperlink" xfId="4048" builtinId="8" hidden="1"/>
    <cellStyle name="Hyperlink" xfId="4050" builtinId="8" hidden="1"/>
    <cellStyle name="Hyperlink" xfId="4052" builtinId="8" hidden="1"/>
    <cellStyle name="Hyperlink" xfId="4054" builtinId="8" hidden="1"/>
    <cellStyle name="Hyperlink" xfId="4056" builtinId="8" hidden="1"/>
    <cellStyle name="Hyperlink" xfId="4058" builtinId="8" hidden="1"/>
    <cellStyle name="Hyperlink" xfId="4060" builtinId="8" hidden="1"/>
    <cellStyle name="Hyperlink" xfId="4062" builtinId="8" hidden="1"/>
    <cellStyle name="Hyperlink" xfId="4064" builtinId="8" hidden="1"/>
    <cellStyle name="Hyperlink" xfId="4066" builtinId="8" hidden="1"/>
    <cellStyle name="Hyperlink" xfId="4068" builtinId="8" hidden="1"/>
    <cellStyle name="Hyperlink" xfId="4070" builtinId="8" hidden="1"/>
    <cellStyle name="Hyperlink" xfId="4072" builtinId="8" hidden="1"/>
    <cellStyle name="Hyperlink" xfId="4074" builtinId="8" hidden="1"/>
    <cellStyle name="Hyperlink" xfId="4076" builtinId="8" hidden="1"/>
    <cellStyle name="Hyperlink" xfId="4078" builtinId="8" hidden="1"/>
    <cellStyle name="Hyperlink" xfId="4080" builtinId="8" hidden="1"/>
    <cellStyle name="Hyperlink" xfId="4082" builtinId="8" hidden="1"/>
    <cellStyle name="Hyperlink" xfId="4084" builtinId="8" hidden="1"/>
    <cellStyle name="Hyperlink" xfId="4086" builtinId="8" hidden="1"/>
    <cellStyle name="Hyperlink" xfId="4088" builtinId="8" hidden="1"/>
    <cellStyle name="Hyperlink" xfId="4090" builtinId="8" hidden="1"/>
    <cellStyle name="Hyperlink" xfId="4092" builtinId="8" hidden="1"/>
    <cellStyle name="Hyperlink" xfId="4094" builtinId="8" hidden="1"/>
    <cellStyle name="Hyperlink" xfId="4096" builtinId="8" hidden="1"/>
    <cellStyle name="Hyperlink" xfId="4098" builtinId="8" hidden="1"/>
    <cellStyle name="Hyperlink" xfId="4100" builtinId="8" hidden="1"/>
    <cellStyle name="Hyperlink" xfId="4102" builtinId="8" hidden="1"/>
    <cellStyle name="Hyperlink" xfId="4104" builtinId="8" hidden="1"/>
    <cellStyle name="Hyperlink" xfId="4106" builtinId="8" hidden="1"/>
    <cellStyle name="Hyperlink" xfId="4108" builtinId="8" hidden="1"/>
    <cellStyle name="Hyperlink" xfId="4110" builtinId="8" hidden="1"/>
    <cellStyle name="Hyperlink" xfId="4112" builtinId="8" hidden="1"/>
    <cellStyle name="Hyperlink" xfId="4114" builtinId="8" hidden="1"/>
    <cellStyle name="Hyperlink" xfId="4116" builtinId="8" hidden="1"/>
    <cellStyle name="Hyperlink" xfId="4118" builtinId="8" hidden="1"/>
    <cellStyle name="Hyperlink" xfId="4120" builtinId="8" hidden="1"/>
    <cellStyle name="Hyperlink" xfId="4122" builtinId="8" hidden="1"/>
    <cellStyle name="Hyperlink" xfId="4124" builtinId="8" hidden="1"/>
    <cellStyle name="Hyperlink" xfId="4126" builtinId="8" hidden="1"/>
    <cellStyle name="Hyperlink" xfId="4128" builtinId="8" hidden="1"/>
    <cellStyle name="Hyperlink" xfId="4130" builtinId="8" hidden="1"/>
    <cellStyle name="Hyperlink" xfId="4132" builtinId="8" hidden="1"/>
    <cellStyle name="Hyperlink" xfId="4134" builtinId="8" hidden="1"/>
    <cellStyle name="Hyperlink" xfId="4136" builtinId="8" hidden="1"/>
    <cellStyle name="Hyperlink" xfId="4138" builtinId="8" hidden="1"/>
    <cellStyle name="Hyperlink" xfId="4140" builtinId="8" hidden="1"/>
    <cellStyle name="Hyperlink" xfId="4142" builtinId="8" hidden="1"/>
    <cellStyle name="Hyperlink" xfId="4144" builtinId="8" hidden="1"/>
    <cellStyle name="Hyperlink" xfId="4146" builtinId="8" hidden="1"/>
    <cellStyle name="Hyperlink" xfId="4148" builtinId="8" hidden="1"/>
    <cellStyle name="Hyperlink" xfId="4150" builtinId="8" hidden="1"/>
    <cellStyle name="Hyperlink" xfId="4152" builtinId="8" hidden="1"/>
    <cellStyle name="Hyperlink" xfId="4154" builtinId="8" hidden="1"/>
    <cellStyle name="Hyperlink" xfId="4156" builtinId="8" hidden="1"/>
    <cellStyle name="Hyperlink" xfId="4158" builtinId="8" hidden="1"/>
    <cellStyle name="Hyperlink" xfId="4160" builtinId="8" hidden="1"/>
    <cellStyle name="Hyperlink" xfId="4162" builtinId="8" hidden="1"/>
    <cellStyle name="Hyperlink" xfId="4164" builtinId="8" hidden="1"/>
    <cellStyle name="Hyperlink" xfId="4166" builtinId="8" hidden="1"/>
    <cellStyle name="Hyperlink" xfId="4168" builtinId="8" hidden="1"/>
    <cellStyle name="Hyperlink" xfId="4170" builtinId="8" hidden="1"/>
    <cellStyle name="Hyperlink" xfId="4172" builtinId="8" hidden="1"/>
    <cellStyle name="Hyperlink" xfId="4174" builtinId="8" hidden="1"/>
    <cellStyle name="Hyperlink" xfId="4176" builtinId="8" hidden="1"/>
    <cellStyle name="Hyperlink" xfId="4178" builtinId="8" hidden="1"/>
    <cellStyle name="Hyperlink" xfId="4180" builtinId="8" hidden="1"/>
    <cellStyle name="Hyperlink" xfId="4182" builtinId="8" hidden="1"/>
    <cellStyle name="Hyperlink" xfId="4184" builtinId="8" hidden="1"/>
    <cellStyle name="Hyperlink" xfId="4186" builtinId="8" hidden="1"/>
    <cellStyle name="Hyperlink" xfId="4188" builtinId="8" hidden="1"/>
    <cellStyle name="Hyperlink" xfId="4190" builtinId="8" hidden="1"/>
    <cellStyle name="Hyperlink" xfId="4192" builtinId="8" hidden="1"/>
    <cellStyle name="Hyperlink" xfId="4194" builtinId="8" hidden="1"/>
    <cellStyle name="Hyperlink" xfId="4196" builtinId="8" hidden="1"/>
    <cellStyle name="Hyperlink" xfId="4198" builtinId="8" hidden="1"/>
    <cellStyle name="Hyperlink" xfId="4200" builtinId="8" hidden="1"/>
    <cellStyle name="Hyperlink" xfId="4202" builtinId="8" hidden="1"/>
    <cellStyle name="Hyperlink" xfId="4204" builtinId="8" hidden="1"/>
    <cellStyle name="Hyperlink" xfId="4206" builtinId="8" hidden="1"/>
    <cellStyle name="Hyperlink" xfId="4208" builtinId="8" hidden="1"/>
    <cellStyle name="Hyperlink" xfId="4210" builtinId="8" hidden="1"/>
    <cellStyle name="Hyperlink" xfId="4212" builtinId="8" hidden="1"/>
    <cellStyle name="Hyperlink" xfId="4214" builtinId="8" hidden="1"/>
    <cellStyle name="Hyperlink" xfId="4216" builtinId="8" hidden="1"/>
    <cellStyle name="Hyperlink" xfId="4218" builtinId="8" hidden="1"/>
    <cellStyle name="Hyperlink" xfId="4220" builtinId="8" hidden="1"/>
    <cellStyle name="Hyperlink" xfId="4222" builtinId="8" hidden="1"/>
    <cellStyle name="Hyperlink" xfId="4224" builtinId="8" hidden="1"/>
    <cellStyle name="Hyperlink" xfId="4226" builtinId="8" hidden="1"/>
    <cellStyle name="Hyperlink" xfId="4228" builtinId="8" hidden="1"/>
    <cellStyle name="Hyperlink" xfId="4230" builtinId="8" hidden="1"/>
    <cellStyle name="Hyperlink" xfId="4232" builtinId="8" hidden="1"/>
    <cellStyle name="Hyperlink" xfId="4234" builtinId="8" hidden="1"/>
    <cellStyle name="Hyperlink" xfId="4236" builtinId="8" hidden="1"/>
    <cellStyle name="Hyperlink" xfId="4238" builtinId="8" hidden="1"/>
    <cellStyle name="Hyperlink" xfId="4240" builtinId="8" hidden="1"/>
    <cellStyle name="Hyperlink" xfId="4242" builtinId="8" hidden="1"/>
    <cellStyle name="Hyperlink" xfId="4244" builtinId="8" hidden="1"/>
    <cellStyle name="Hyperlink" xfId="4246" builtinId="8" hidden="1"/>
    <cellStyle name="Hyperlink" xfId="4248" builtinId="8" hidden="1"/>
    <cellStyle name="Hyperlink" xfId="4250" builtinId="8" hidden="1"/>
    <cellStyle name="Hyperlink" xfId="4252" builtinId="8" hidden="1"/>
    <cellStyle name="Hyperlink" xfId="4254" builtinId="8" hidden="1"/>
    <cellStyle name="Hyperlink" xfId="4256" builtinId="8" hidden="1"/>
    <cellStyle name="Hyperlink" xfId="4258" builtinId="8" hidden="1"/>
    <cellStyle name="Hyperlink" xfId="4260" builtinId="8" hidden="1"/>
    <cellStyle name="Hyperlink" xfId="4262" builtinId="8" hidden="1"/>
    <cellStyle name="Hyperlink" xfId="4264" builtinId="8" hidden="1"/>
    <cellStyle name="Hyperlink" xfId="4266" builtinId="8" hidden="1"/>
    <cellStyle name="Hyperlink" xfId="4268" builtinId="8" hidden="1"/>
    <cellStyle name="Hyperlink" xfId="4270" builtinId="8" hidden="1"/>
    <cellStyle name="Hyperlink" xfId="4272" builtinId="8" hidden="1"/>
    <cellStyle name="Hyperlink" xfId="4274" builtinId="8" hidden="1"/>
    <cellStyle name="Hyperlink" xfId="4276" builtinId="8" hidden="1"/>
    <cellStyle name="Hyperlink" xfId="4278" builtinId="8" hidden="1"/>
    <cellStyle name="Hyperlink" xfId="4280" builtinId="8" hidden="1"/>
    <cellStyle name="Hyperlink" xfId="4282" builtinId="8" hidden="1"/>
    <cellStyle name="Hyperlink" xfId="4284" builtinId="8" hidden="1"/>
    <cellStyle name="Hyperlink" xfId="4286" builtinId="8" hidden="1"/>
    <cellStyle name="Hyperlink" xfId="4288" builtinId="8" hidden="1"/>
    <cellStyle name="Hyperlink" xfId="4290" builtinId="8" hidden="1"/>
    <cellStyle name="Hyperlink" xfId="4292" builtinId="8" hidden="1"/>
    <cellStyle name="Hyperlink" xfId="4294" builtinId="8" hidden="1"/>
    <cellStyle name="Hyperlink" xfId="4296" builtinId="8" hidden="1"/>
    <cellStyle name="Hyperlink" xfId="4298" builtinId="8" hidden="1"/>
    <cellStyle name="Hyperlink" xfId="4300" builtinId="8" hidden="1"/>
    <cellStyle name="Hyperlink" xfId="4302" builtinId="8" hidden="1"/>
    <cellStyle name="Hyperlink" xfId="4304" builtinId="8" hidden="1"/>
    <cellStyle name="Hyperlink" xfId="4306" builtinId="8" hidden="1"/>
    <cellStyle name="Hyperlink" xfId="4308" builtinId="8" hidden="1"/>
    <cellStyle name="Hyperlink" xfId="4310" builtinId="8" hidden="1"/>
    <cellStyle name="Hyperlink" xfId="4312" builtinId="8" hidden="1"/>
    <cellStyle name="Hyperlink" xfId="4314" builtinId="8" hidden="1"/>
    <cellStyle name="Hyperlink" xfId="4316" builtinId="8" hidden="1"/>
    <cellStyle name="Hyperlink" xfId="4318" builtinId="8" hidden="1"/>
    <cellStyle name="Hyperlink" xfId="4320" builtinId="8" hidden="1"/>
    <cellStyle name="Hyperlink" xfId="4322" builtinId="8" hidden="1"/>
    <cellStyle name="Hyperlink" xfId="4324" builtinId="8" hidden="1"/>
    <cellStyle name="Hyperlink" xfId="4326" builtinId="8" hidden="1"/>
    <cellStyle name="Hyperlink" xfId="4328" builtinId="8" hidden="1"/>
    <cellStyle name="Hyperlink" xfId="4330" builtinId="8" hidden="1"/>
    <cellStyle name="Hyperlink" xfId="4332" builtinId="8" hidden="1"/>
    <cellStyle name="Hyperlink" xfId="4334" builtinId="8" hidden="1"/>
    <cellStyle name="Hyperlink" xfId="4336" builtinId="8" hidden="1"/>
    <cellStyle name="Hyperlink" xfId="4338" builtinId="8" hidden="1"/>
    <cellStyle name="Hyperlink" xfId="4340" builtinId="8" hidden="1"/>
    <cellStyle name="Hyperlink" xfId="4342" builtinId="8" hidden="1"/>
    <cellStyle name="Hyperlink" xfId="4344" builtinId="8" hidden="1"/>
    <cellStyle name="Hyperlink" xfId="4346" builtinId="8" hidden="1"/>
    <cellStyle name="Hyperlink" xfId="4348" builtinId="8" hidden="1"/>
    <cellStyle name="Hyperlink" xfId="4350" builtinId="8" hidden="1"/>
    <cellStyle name="Hyperlink" xfId="4352" builtinId="8" hidden="1"/>
    <cellStyle name="Hyperlink" xfId="4354" builtinId="8" hidden="1"/>
    <cellStyle name="Hyperlink" xfId="4356" builtinId="8" hidden="1"/>
    <cellStyle name="Hyperlink" xfId="4358" builtinId="8" hidden="1"/>
    <cellStyle name="Hyperlink" xfId="4360" builtinId="8" hidden="1"/>
    <cellStyle name="Hyperlink" xfId="4362" builtinId="8" hidden="1"/>
    <cellStyle name="Hyperlink" xfId="4364" builtinId="8" hidden="1"/>
    <cellStyle name="Hyperlink" xfId="4366" builtinId="8" hidden="1"/>
    <cellStyle name="Hyperlink" xfId="4368" builtinId="8" hidden="1"/>
    <cellStyle name="Hyperlink" xfId="4370" builtinId="8" hidden="1"/>
    <cellStyle name="Hyperlink" xfId="4372" builtinId="8" hidden="1"/>
    <cellStyle name="Hyperlink" xfId="4374" builtinId="8" hidden="1"/>
    <cellStyle name="Hyperlink" xfId="4376" builtinId="8" hidden="1"/>
    <cellStyle name="Hyperlink" xfId="4378" builtinId="8" hidden="1"/>
    <cellStyle name="Hyperlink" xfId="4380" builtinId="8" hidden="1"/>
    <cellStyle name="Hyperlink" xfId="4382" builtinId="8" hidden="1"/>
    <cellStyle name="Hyperlink" xfId="4384" builtinId="8" hidden="1"/>
    <cellStyle name="Hyperlink" xfId="4386" builtinId="8" hidden="1"/>
    <cellStyle name="Hyperlink" xfId="4388" builtinId="8" hidden="1"/>
    <cellStyle name="Hyperlink" xfId="4390" builtinId="8" hidden="1"/>
    <cellStyle name="Hyperlink" xfId="4392" builtinId="8" hidden="1"/>
    <cellStyle name="Hyperlink" xfId="4394" builtinId="8" hidden="1"/>
    <cellStyle name="Hyperlink" xfId="4396" builtinId="8" hidden="1"/>
    <cellStyle name="Hyperlink" xfId="4398" builtinId="8" hidden="1"/>
    <cellStyle name="Hyperlink" xfId="4400" builtinId="8" hidden="1"/>
    <cellStyle name="Hyperlink" xfId="4402" builtinId="8" hidden="1"/>
    <cellStyle name="Hyperlink" xfId="4404" builtinId="8" hidden="1"/>
    <cellStyle name="Hyperlink" xfId="4406" builtinId="8" hidden="1"/>
    <cellStyle name="Hyperlink" xfId="4408" builtinId="8" hidden="1"/>
    <cellStyle name="Hyperlink" xfId="4410" builtinId="8" hidden="1"/>
    <cellStyle name="Hyperlink" xfId="4412" builtinId="8" hidden="1"/>
    <cellStyle name="Hyperlink" xfId="4414" builtinId="8" hidden="1"/>
    <cellStyle name="Hyperlink" xfId="4416" builtinId="8" hidden="1"/>
    <cellStyle name="Hyperlink" xfId="4418" builtinId="8" hidden="1"/>
    <cellStyle name="Hyperlink" xfId="4420" builtinId="8" hidden="1"/>
    <cellStyle name="Hyperlink" xfId="4422" builtinId="8" hidden="1"/>
    <cellStyle name="Hyperlink" xfId="4424" builtinId="8" hidden="1"/>
    <cellStyle name="Hyperlink" xfId="4426" builtinId="8" hidden="1"/>
    <cellStyle name="Hyperlink" xfId="4428" builtinId="8" hidden="1"/>
    <cellStyle name="Hyperlink" xfId="4430" builtinId="8" hidden="1"/>
    <cellStyle name="Hyperlink" xfId="4432" builtinId="8" hidden="1"/>
    <cellStyle name="Hyperlink" xfId="4434" builtinId="8" hidden="1"/>
    <cellStyle name="Hyperlink" xfId="4436" builtinId="8" hidden="1"/>
    <cellStyle name="Hyperlink" xfId="4438" builtinId="8" hidden="1"/>
    <cellStyle name="Hyperlink" xfId="4440" builtinId="8" hidden="1"/>
    <cellStyle name="Hyperlink" xfId="4442" builtinId="8" hidden="1"/>
    <cellStyle name="Hyperlink" xfId="4444" builtinId="8" hidden="1"/>
    <cellStyle name="Hyperlink" xfId="4446" builtinId="8" hidden="1"/>
    <cellStyle name="Hyperlink" xfId="4448" builtinId="8" hidden="1"/>
    <cellStyle name="Hyperlink" xfId="4450" builtinId="8" hidden="1"/>
    <cellStyle name="Hyperlink" xfId="4452" builtinId="8" hidden="1"/>
    <cellStyle name="Hyperlink" xfId="4454" builtinId="8" hidden="1"/>
    <cellStyle name="Hyperlink" xfId="4456" builtinId="8" hidden="1"/>
    <cellStyle name="Hyperlink" xfId="4458" builtinId="8" hidden="1"/>
    <cellStyle name="Hyperlink" xfId="4460" builtinId="8" hidden="1"/>
    <cellStyle name="Hyperlink" xfId="4462" builtinId="8" hidden="1"/>
    <cellStyle name="Hyperlink" xfId="4464" builtinId="8" hidden="1"/>
    <cellStyle name="Hyperlink" xfId="4466" builtinId="8" hidden="1"/>
    <cellStyle name="Hyperlink" xfId="4468" builtinId="8" hidden="1"/>
    <cellStyle name="Hyperlink" xfId="4470" builtinId="8" hidden="1"/>
    <cellStyle name="Hyperlink" xfId="4472" builtinId="8" hidden="1"/>
    <cellStyle name="Hyperlink" xfId="4474" builtinId="8" hidden="1"/>
    <cellStyle name="Hyperlink" xfId="4476" builtinId="8" hidden="1"/>
    <cellStyle name="Hyperlink" xfId="4478" builtinId="8" hidden="1"/>
    <cellStyle name="Hyperlink" xfId="4480" builtinId="8" hidden="1"/>
    <cellStyle name="Hyperlink" xfId="4482" builtinId="8" hidden="1"/>
    <cellStyle name="Hyperlink" xfId="4484" builtinId="8" hidden="1"/>
    <cellStyle name="Hyperlink" xfId="4486" builtinId="8" hidden="1"/>
    <cellStyle name="Hyperlink" xfId="4488" builtinId="8" hidden="1"/>
    <cellStyle name="Hyperlink" xfId="4490" builtinId="8" hidden="1"/>
    <cellStyle name="Hyperlink" xfId="4492" builtinId="8" hidden="1"/>
    <cellStyle name="Hyperlink" xfId="4494" builtinId="8" hidden="1"/>
    <cellStyle name="Hyperlink" xfId="4496" builtinId="8" hidden="1"/>
    <cellStyle name="Hyperlink" xfId="4498" builtinId="8" hidden="1"/>
    <cellStyle name="Hyperlink" xfId="4500" builtinId="8" hidden="1"/>
    <cellStyle name="Hyperlink" xfId="4502" builtinId="8" hidden="1"/>
    <cellStyle name="Hyperlink" xfId="4504" builtinId="8" hidden="1"/>
    <cellStyle name="Hyperlink" xfId="4506" builtinId="8" hidden="1"/>
    <cellStyle name="Hyperlink" xfId="4508" builtinId="8" hidden="1"/>
    <cellStyle name="Hyperlink" xfId="4510" builtinId="8" hidden="1"/>
    <cellStyle name="Hyperlink" xfId="4512" builtinId="8" hidden="1"/>
    <cellStyle name="Hyperlink" xfId="4514" builtinId="8" hidden="1"/>
    <cellStyle name="Hyperlink" xfId="4516" builtinId="8" hidden="1"/>
    <cellStyle name="Hyperlink" xfId="4518" builtinId="8" hidden="1"/>
    <cellStyle name="Hyperlink" xfId="4520" builtinId="8" hidden="1"/>
    <cellStyle name="Hyperlink" xfId="4522" builtinId="8" hidden="1"/>
    <cellStyle name="Hyperlink" xfId="4524" builtinId="8" hidden="1"/>
    <cellStyle name="Hyperlink" xfId="4526" builtinId="8" hidden="1"/>
    <cellStyle name="Hyperlink" xfId="4528" builtinId="8" hidden="1"/>
    <cellStyle name="Hyperlink" xfId="4530" builtinId="8" hidden="1"/>
    <cellStyle name="Hyperlink" xfId="4532" builtinId="8" hidden="1"/>
    <cellStyle name="Hyperlink" xfId="4534" builtinId="8" hidden="1"/>
    <cellStyle name="Hyperlink" xfId="4536" builtinId="8" hidden="1"/>
    <cellStyle name="Hyperlink" xfId="4538" builtinId="8" hidden="1"/>
    <cellStyle name="Hyperlink" xfId="4540" builtinId="8" hidden="1"/>
    <cellStyle name="Hyperlink" xfId="4542" builtinId="8" hidden="1"/>
    <cellStyle name="Hyperlink" xfId="4544" builtinId="8" hidden="1"/>
    <cellStyle name="Hyperlink" xfId="4546" builtinId="8" hidden="1"/>
    <cellStyle name="Hyperlink" xfId="4548" builtinId="8" hidden="1"/>
    <cellStyle name="Hyperlink" xfId="4550" builtinId="8" hidden="1"/>
    <cellStyle name="Hyperlink" xfId="4552" builtinId="8" hidden="1"/>
    <cellStyle name="Hyperlink" xfId="4554" builtinId="8" hidden="1"/>
    <cellStyle name="Hyperlink" xfId="4556" builtinId="8" hidden="1"/>
    <cellStyle name="Hyperlink" xfId="4558" builtinId="8" hidden="1"/>
    <cellStyle name="Hyperlink" xfId="4560" builtinId="8" hidden="1"/>
    <cellStyle name="Hyperlink" xfId="4562" builtinId="8" hidden="1"/>
    <cellStyle name="Hyperlink" xfId="4564" builtinId="8" hidden="1"/>
    <cellStyle name="Hyperlink" xfId="4566" builtinId="8" hidden="1"/>
    <cellStyle name="Hyperlink" xfId="4568" builtinId="8" hidden="1"/>
    <cellStyle name="Hyperlink" xfId="4570" builtinId="8" hidden="1"/>
    <cellStyle name="Hyperlink" xfId="4572" builtinId="8" hidden="1"/>
    <cellStyle name="Hyperlink" xfId="4574" builtinId="8" hidden="1"/>
    <cellStyle name="Hyperlink" xfId="4576" builtinId="8" hidden="1"/>
    <cellStyle name="Hyperlink" xfId="4578" builtinId="8" hidden="1"/>
    <cellStyle name="Hyperlink" xfId="4580" builtinId="8" hidden="1"/>
    <cellStyle name="Hyperlink" xfId="4582" builtinId="8" hidden="1"/>
    <cellStyle name="Hyperlink" xfId="4584" builtinId="8" hidden="1"/>
    <cellStyle name="Hyperlink" xfId="4586" builtinId="8" hidden="1"/>
    <cellStyle name="Hyperlink" xfId="4588" builtinId="8" hidden="1"/>
    <cellStyle name="Hyperlink" xfId="4590" builtinId="8" hidden="1"/>
    <cellStyle name="Hyperlink" xfId="4592" builtinId="8" hidden="1"/>
    <cellStyle name="Hyperlink" xfId="4594" builtinId="8" hidden="1"/>
    <cellStyle name="Hyperlink" xfId="4596" builtinId="8" hidden="1"/>
    <cellStyle name="Hyperlink" xfId="4598" builtinId="8" hidden="1"/>
    <cellStyle name="Hyperlink" xfId="4600" builtinId="8" hidden="1"/>
    <cellStyle name="Hyperlink" xfId="4602" builtinId="8" hidden="1"/>
    <cellStyle name="Hyperlink" xfId="4604" builtinId="8" hidden="1"/>
    <cellStyle name="Hyperlink" xfId="4606" builtinId="8" hidden="1"/>
    <cellStyle name="Hyperlink" xfId="4608" builtinId="8" hidden="1"/>
    <cellStyle name="Hyperlink" xfId="4610" builtinId="8" hidden="1"/>
    <cellStyle name="Hyperlink" xfId="4612" builtinId="8" hidden="1"/>
    <cellStyle name="Hyperlink" xfId="4614" builtinId="8" hidden="1"/>
    <cellStyle name="Hyperlink" xfId="4616" builtinId="8" hidden="1"/>
    <cellStyle name="Hyperlink" xfId="4618" builtinId="8" hidden="1"/>
    <cellStyle name="Hyperlink" xfId="4620" builtinId="8" hidden="1"/>
    <cellStyle name="Hyperlink" xfId="4622" builtinId="8" hidden="1"/>
    <cellStyle name="Hyperlink" xfId="4624" builtinId="8" hidden="1"/>
    <cellStyle name="Hyperlink" xfId="4626" builtinId="8" hidden="1"/>
    <cellStyle name="Hyperlink" xfId="4628" builtinId="8" hidden="1"/>
    <cellStyle name="Hyperlink" xfId="4630" builtinId="8" hidden="1"/>
    <cellStyle name="Hyperlink" xfId="4632" builtinId="8" hidden="1"/>
    <cellStyle name="Hyperlink" xfId="4634" builtinId="8" hidden="1"/>
    <cellStyle name="Hyperlink" xfId="4636" builtinId="8" hidden="1"/>
    <cellStyle name="Hyperlink" xfId="4638" builtinId="8" hidden="1"/>
    <cellStyle name="Hyperlink" xfId="4640" builtinId="8" hidden="1"/>
    <cellStyle name="Hyperlink" xfId="4642" builtinId="8" hidden="1"/>
    <cellStyle name="Hyperlink" xfId="4644" builtinId="8" hidden="1"/>
    <cellStyle name="Hyperlink" xfId="4646" builtinId="8" hidden="1"/>
    <cellStyle name="Hyperlink" xfId="4648" builtinId="8" hidden="1"/>
    <cellStyle name="Hyperlink" xfId="4650" builtinId="8" hidden="1"/>
    <cellStyle name="Hyperlink" xfId="4652" builtinId="8" hidden="1"/>
    <cellStyle name="Hyperlink" xfId="4654" builtinId="8" hidden="1"/>
    <cellStyle name="Hyperlink" xfId="4656" builtinId="8" hidden="1"/>
    <cellStyle name="Hyperlink" xfId="4658" builtinId="8" hidden="1"/>
    <cellStyle name="Hyperlink" xfId="4660" builtinId="8" hidden="1"/>
    <cellStyle name="Hyperlink" xfId="4662" builtinId="8" hidden="1"/>
    <cellStyle name="Hyperlink" xfId="4664" builtinId="8" hidden="1"/>
    <cellStyle name="Hyperlink" xfId="4666" builtinId="8" hidden="1"/>
    <cellStyle name="Hyperlink" xfId="4668" builtinId="8" hidden="1"/>
    <cellStyle name="Hyperlink" xfId="4670" builtinId="8" hidden="1"/>
    <cellStyle name="Hyperlink" xfId="4672" builtinId="8" hidden="1"/>
    <cellStyle name="Hyperlink" xfId="4674" builtinId="8" hidden="1"/>
    <cellStyle name="Hyperlink" xfId="4676" builtinId="8" hidden="1"/>
    <cellStyle name="Hyperlink" xfId="4678" builtinId="8" hidden="1"/>
    <cellStyle name="Hyperlink" xfId="4680" builtinId="8" hidden="1"/>
    <cellStyle name="Hyperlink" xfId="4682" builtinId="8" hidden="1"/>
    <cellStyle name="Hyperlink" xfId="4684" builtinId="8" hidden="1"/>
    <cellStyle name="Hyperlink" xfId="4686" builtinId="8" hidden="1"/>
    <cellStyle name="Hyperlink" xfId="4688" builtinId="8" hidden="1"/>
    <cellStyle name="Hyperlink" xfId="4690" builtinId="8" hidden="1"/>
    <cellStyle name="Hyperlink" xfId="4692" builtinId="8" hidden="1"/>
    <cellStyle name="Hyperlink" xfId="4694" builtinId="8" hidden="1"/>
    <cellStyle name="Hyperlink" xfId="4696" builtinId="8" hidden="1"/>
    <cellStyle name="Hyperlink" xfId="4698" builtinId="8" hidden="1"/>
    <cellStyle name="Hyperlink" xfId="4700" builtinId="8" hidden="1"/>
    <cellStyle name="Hyperlink" xfId="4702" builtinId="8" hidden="1"/>
    <cellStyle name="Hyperlink" xfId="4704" builtinId="8" hidden="1"/>
    <cellStyle name="Hyperlink" xfId="4706" builtinId="8" hidden="1"/>
    <cellStyle name="Hyperlink" xfId="4708" builtinId="8" hidden="1"/>
    <cellStyle name="Hyperlink" xfId="4710" builtinId="8" hidden="1"/>
    <cellStyle name="Hyperlink" xfId="4712" builtinId="8" hidden="1"/>
    <cellStyle name="Hyperlink" xfId="4714" builtinId="8" hidden="1"/>
    <cellStyle name="Hyperlink" xfId="4716" builtinId="8" hidden="1"/>
    <cellStyle name="Hyperlink" xfId="4718" builtinId="8" hidden="1"/>
    <cellStyle name="Hyperlink" xfId="4720" builtinId="8" hidden="1"/>
    <cellStyle name="Hyperlink" xfId="4722" builtinId="8" hidden="1"/>
    <cellStyle name="Hyperlink" xfId="4724" builtinId="8" hidden="1"/>
    <cellStyle name="Hyperlink" xfId="4726" builtinId="8" hidden="1"/>
    <cellStyle name="Hyperlink" xfId="4728" builtinId="8" hidden="1"/>
    <cellStyle name="Hyperlink" xfId="4730" builtinId="8" hidden="1"/>
    <cellStyle name="Hyperlink" xfId="4732" builtinId="8" hidden="1"/>
    <cellStyle name="Hyperlink" xfId="4734" builtinId="8" hidden="1"/>
    <cellStyle name="Hyperlink" xfId="4736" builtinId="8" hidden="1"/>
    <cellStyle name="Hyperlink" xfId="4738" builtinId="8" hidden="1"/>
    <cellStyle name="Hyperlink" xfId="4740" builtinId="8" hidden="1"/>
    <cellStyle name="Hyperlink" xfId="4742" builtinId="8" hidden="1"/>
    <cellStyle name="Hyperlink" xfId="4744" builtinId="8" hidden="1"/>
    <cellStyle name="Hyperlink" xfId="4746" builtinId="8" hidden="1"/>
    <cellStyle name="Hyperlink" xfId="4748" builtinId="8" hidden="1"/>
    <cellStyle name="Hyperlink" xfId="4750" builtinId="8" hidden="1"/>
    <cellStyle name="Hyperlink" xfId="4752" builtinId="8" hidden="1"/>
    <cellStyle name="Hyperlink" xfId="4754" builtinId="8" hidden="1"/>
    <cellStyle name="Hyperlink" xfId="4756" builtinId="8" hidden="1"/>
    <cellStyle name="Hyperlink" xfId="4758" builtinId="8" hidden="1"/>
    <cellStyle name="Hyperlink" xfId="4760" builtinId="8" hidden="1"/>
    <cellStyle name="Hyperlink" xfId="4762" builtinId="8" hidden="1"/>
    <cellStyle name="Hyperlink" xfId="4764" builtinId="8" hidden="1"/>
    <cellStyle name="Hyperlink" xfId="4766" builtinId="8" hidden="1"/>
    <cellStyle name="Hyperlink" xfId="4768" builtinId="8" hidden="1"/>
    <cellStyle name="Hyperlink" xfId="4770" builtinId="8" hidden="1"/>
    <cellStyle name="Hyperlink" xfId="4772" builtinId="8" hidden="1"/>
    <cellStyle name="Hyperlink" xfId="4774" builtinId="8" hidden="1"/>
    <cellStyle name="Hyperlink" xfId="4776" builtinId="8" hidden="1"/>
    <cellStyle name="Hyperlink" xfId="4778" builtinId="8" hidden="1"/>
    <cellStyle name="Hyperlink" xfId="4780" builtinId="8" hidden="1"/>
    <cellStyle name="Hyperlink" xfId="4782" builtinId="8" hidden="1"/>
    <cellStyle name="Hyperlink" xfId="4784" builtinId="8" hidden="1"/>
    <cellStyle name="Hyperlink" xfId="4786" builtinId="8" hidden="1"/>
    <cellStyle name="Hyperlink" xfId="4788" builtinId="8" hidden="1"/>
    <cellStyle name="Hyperlink" xfId="4790" builtinId="8" hidden="1"/>
    <cellStyle name="Hyperlink" xfId="4792" builtinId="8" hidden="1"/>
    <cellStyle name="Hyperlink" xfId="4794" builtinId="8" hidden="1"/>
    <cellStyle name="Hyperlink" xfId="4796" builtinId="8" hidden="1"/>
    <cellStyle name="Hyperlink" xfId="4798" builtinId="8" hidden="1"/>
    <cellStyle name="Hyperlink" xfId="4800" builtinId="8" hidden="1"/>
    <cellStyle name="Hyperlink" xfId="4802" builtinId="8" hidden="1"/>
    <cellStyle name="Hyperlink" xfId="4804" builtinId="8" hidden="1"/>
    <cellStyle name="Hyperlink" xfId="4806" builtinId="8" hidden="1"/>
    <cellStyle name="Hyperlink" xfId="4808" builtinId="8" hidden="1"/>
    <cellStyle name="Hyperlink" xfId="4810" builtinId="8" hidden="1"/>
    <cellStyle name="Hyperlink" xfId="4812" builtinId="8" hidden="1"/>
    <cellStyle name="Hyperlink" xfId="4814" builtinId="8" hidden="1"/>
    <cellStyle name="Hyperlink" xfId="4816" builtinId="8" hidden="1"/>
    <cellStyle name="Hyperlink" xfId="4818" builtinId="8" hidden="1"/>
    <cellStyle name="Hyperlink" xfId="4820" builtinId="8" hidden="1"/>
    <cellStyle name="Hyperlink" xfId="4822" builtinId="8" hidden="1"/>
    <cellStyle name="Hyperlink" xfId="4824" builtinId="8" hidden="1"/>
    <cellStyle name="Hyperlink" xfId="4826" builtinId="8" hidden="1"/>
    <cellStyle name="Hyperlink" xfId="4828" builtinId="8" hidden="1"/>
    <cellStyle name="Hyperlink" xfId="4830" builtinId="8" hidden="1"/>
    <cellStyle name="Hyperlink" xfId="4832" builtinId="8" hidden="1"/>
    <cellStyle name="Hyperlink" xfId="4834" builtinId="8" hidden="1"/>
    <cellStyle name="Hyperlink" xfId="4836" builtinId="8" hidden="1"/>
    <cellStyle name="Hyperlink" xfId="4838" builtinId="8" hidden="1"/>
    <cellStyle name="Hyperlink" xfId="4840" builtinId="8" hidden="1"/>
    <cellStyle name="Hyperlink" xfId="4842" builtinId="8" hidden="1"/>
    <cellStyle name="Hyperlink" xfId="4844" builtinId="8" hidden="1"/>
    <cellStyle name="Hyperlink" xfId="4846" builtinId="8" hidden="1"/>
    <cellStyle name="Hyperlink" xfId="4848" builtinId="8" hidden="1"/>
    <cellStyle name="Hyperlink" xfId="4850" builtinId="8" hidden="1"/>
    <cellStyle name="Hyperlink" xfId="4852" builtinId="8" hidden="1"/>
    <cellStyle name="Hyperlink" xfId="4854" builtinId="8" hidden="1"/>
    <cellStyle name="Hyperlink" xfId="4856" builtinId="8" hidden="1"/>
    <cellStyle name="Hyperlink" xfId="4858" builtinId="8" hidden="1"/>
    <cellStyle name="Hyperlink" xfId="4860" builtinId="8" hidden="1"/>
    <cellStyle name="Hyperlink" xfId="4862" builtinId="8" hidden="1"/>
    <cellStyle name="Hyperlink" xfId="4864" builtinId="8" hidden="1"/>
    <cellStyle name="Hyperlink" xfId="4866" builtinId="8" hidden="1"/>
    <cellStyle name="Hyperlink" xfId="4868" builtinId="8" hidden="1"/>
    <cellStyle name="Hyperlink" xfId="4870" builtinId="8" hidden="1"/>
    <cellStyle name="Hyperlink" xfId="4872" builtinId="8" hidden="1"/>
    <cellStyle name="Hyperlink" xfId="4874" builtinId="8" hidden="1"/>
    <cellStyle name="Hyperlink" xfId="4876" builtinId="8" hidden="1"/>
    <cellStyle name="Hyperlink" xfId="4878" builtinId="8" hidden="1"/>
    <cellStyle name="Hyperlink" xfId="4880" builtinId="8" hidden="1"/>
    <cellStyle name="Hyperlink" xfId="4882" builtinId="8" hidden="1"/>
    <cellStyle name="Hyperlink" xfId="4884" builtinId="8" hidden="1"/>
    <cellStyle name="Hyperlink" xfId="4886" builtinId="8" hidden="1"/>
    <cellStyle name="Hyperlink" xfId="4888" builtinId="8" hidden="1"/>
    <cellStyle name="Hyperlink" xfId="4890" builtinId="8" hidden="1"/>
    <cellStyle name="Hyperlink" xfId="4892" builtinId="8" hidden="1"/>
    <cellStyle name="Hyperlink" xfId="4894" builtinId="8" hidden="1"/>
    <cellStyle name="Hyperlink" xfId="4896" builtinId="8" hidden="1"/>
    <cellStyle name="Hyperlink" xfId="4898" builtinId="8" hidden="1"/>
    <cellStyle name="Hyperlink" xfId="4900" builtinId="8" hidden="1"/>
    <cellStyle name="Hyperlink" xfId="4902" builtinId="8" hidden="1"/>
    <cellStyle name="Hyperlink" xfId="4904" builtinId="8" hidden="1"/>
    <cellStyle name="Hyperlink" xfId="4906" builtinId="8" hidden="1"/>
    <cellStyle name="Hyperlink" xfId="4908" builtinId="8" hidden="1"/>
    <cellStyle name="Hyperlink" xfId="4910" builtinId="8" hidden="1"/>
    <cellStyle name="Hyperlink" xfId="4912" builtinId="8" hidden="1"/>
    <cellStyle name="Hyperlink" xfId="4914" builtinId="8" hidden="1"/>
    <cellStyle name="Hyperlink" xfId="4916" builtinId="8" hidden="1"/>
    <cellStyle name="Hyperlink" xfId="4918" builtinId="8" hidden="1"/>
    <cellStyle name="Hyperlink" xfId="4920" builtinId="8" hidden="1"/>
    <cellStyle name="Hyperlink" xfId="4922" builtinId="8" hidden="1"/>
    <cellStyle name="Hyperlink" xfId="4924" builtinId="8" hidden="1"/>
    <cellStyle name="Hyperlink" xfId="4926" builtinId="8" hidden="1"/>
    <cellStyle name="Hyperlink" xfId="4928" builtinId="8" hidden="1"/>
    <cellStyle name="Hyperlink" xfId="4930" builtinId="8" hidden="1"/>
    <cellStyle name="Hyperlink" xfId="4932" builtinId="8" hidden="1"/>
    <cellStyle name="Hyperlink" xfId="4934" builtinId="8" hidden="1"/>
    <cellStyle name="Hyperlink" xfId="4936" builtinId="8" hidden="1"/>
    <cellStyle name="Hyperlink" xfId="4938" builtinId="8" hidden="1"/>
    <cellStyle name="Hyperlink" xfId="4940" builtinId="8" hidden="1"/>
    <cellStyle name="Hyperlink" xfId="4942" builtinId="8" hidden="1"/>
    <cellStyle name="Hyperlink" xfId="4944" builtinId="8" hidden="1"/>
    <cellStyle name="Hyperlink" xfId="4946" builtinId="8" hidden="1"/>
    <cellStyle name="Hyperlink" xfId="4948" builtinId="8" hidden="1"/>
    <cellStyle name="Hyperlink" xfId="4950" builtinId="8" hidden="1"/>
    <cellStyle name="Hyperlink" xfId="4952" builtinId="8" hidden="1"/>
    <cellStyle name="Hyperlink" xfId="4954" builtinId="8" hidden="1"/>
    <cellStyle name="Hyperlink" xfId="4956" builtinId="8" hidden="1"/>
    <cellStyle name="Hyperlink" xfId="4958" builtinId="8" hidden="1"/>
    <cellStyle name="Hyperlink" xfId="4960" builtinId="8" hidden="1"/>
    <cellStyle name="Hyperlink" xfId="4962" builtinId="8" hidden="1"/>
    <cellStyle name="Hyperlink" xfId="4964" builtinId="8" hidden="1"/>
    <cellStyle name="Hyperlink" xfId="4966" builtinId="8" hidden="1"/>
    <cellStyle name="Hyperlink" xfId="4968" builtinId="8" hidden="1"/>
    <cellStyle name="Hyperlink" xfId="4970" builtinId="8" hidden="1"/>
    <cellStyle name="Hyperlink" xfId="4972" builtinId="8" hidden="1"/>
    <cellStyle name="Hyperlink" xfId="4974" builtinId="8" hidden="1"/>
    <cellStyle name="Hyperlink" xfId="4976" builtinId="8" hidden="1"/>
    <cellStyle name="Hyperlink" xfId="4978" builtinId="8" hidden="1"/>
    <cellStyle name="Hyperlink" xfId="4980" builtinId="8" hidden="1"/>
    <cellStyle name="Hyperlink" xfId="4982" builtinId="8" hidden="1"/>
    <cellStyle name="Hyperlink" xfId="4984" builtinId="8" hidden="1"/>
    <cellStyle name="Hyperlink" xfId="4986" builtinId="8" hidden="1"/>
    <cellStyle name="Hyperlink" xfId="4988" builtinId="8" hidden="1"/>
    <cellStyle name="Hyperlink" xfId="4990" builtinId="8" hidden="1"/>
    <cellStyle name="Hyperlink" xfId="4992" builtinId="8" hidden="1"/>
    <cellStyle name="Hyperlink" xfId="4994" builtinId="8" hidden="1"/>
    <cellStyle name="Hyperlink" xfId="4996" builtinId="8" hidden="1"/>
    <cellStyle name="Hyperlink" xfId="4998" builtinId="8" hidden="1"/>
    <cellStyle name="Hyperlink" xfId="5000" builtinId="8" hidden="1"/>
    <cellStyle name="Hyperlink" xfId="5002" builtinId="8" hidden="1"/>
    <cellStyle name="Hyperlink" xfId="5004" builtinId="8" hidden="1"/>
    <cellStyle name="Hyperlink" xfId="5006" builtinId="8" hidden="1"/>
    <cellStyle name="Hyperlink" xfId="5008" builtinId="8" hidden="1"/>
    <cellStyle name="Hyperlink" xfId="5010" builtinId="8" hidden="1"/>
    <cellStyle name="Hyperlink" xfId="5012" builtinId="8" hidden="1"/>
    <cellStyle name="Hyperlink" xfId="5014" builtinId="8" hidden="1"/>
    <cellStyle name="Hyperlink" xfId="5016" builtinId="8" hidden="1"/>
    <cellStyle name="Hyperlink" xfId="5018" builtinId="8" hidden="1"/>
    <cellStyle name="Hyperlink" xfId="5020" builtinId="8" hidden="1"/>
    <cellStyle name="Hyperlink" xfId="5022" builtinId="8" hidden="1"/>
    <cellStyle name="Hyperlink" xfId="5024" builtinId="8" hidden="1"/>
    <cellStyle name="Hyperlink" xfId="5026" builtinId="8" hidden="1"/>
    <cellStyle name="Hyperlink" xfId="5028" builtinId="8" hidden="1"/>
    <cellStyle name="Hyperlink" xfId="5030" builtinId="8" hidden="1"/>
    <cellStyle name="Hyperlink" xfId="5032" builtinId="8" hidden="1"/>
    <cellStyle name="Hyperlink" xfId="5034" builtinId="8" hidden="1"/>
    <cellStyle name="Hyperlink" xfId="5036" builtinId="8" hidden="1"/>
    <cellStyle name="Hyperlink" xfId="5038" builtinId="8" hidden="1"/>
    <cellStyle name="Hyperlink" xfId="5040" builtinId="8" hidden="1"/>
    <cellStyle name="Hyperlink" xfId="5042" builtinId="8" hidden="1"/>
    <cellStyle name="Hyperlink" xfId="5044" builtinId="8" hidden="1"/>
    <cellStyle name="Hyperlink" xfId="5046" builtinId="8" hidden="1"/>
    <cellStyle name="Hyperlink" xfId="5048" builtinId="8" hidden="1"/>
    <cellStyle name="Hyperlink" xfId="5050" builtinId="8" hidden="1"/>
    <cellStyle name="Hyperlink" xfId="5052" builtinId="8" hidden="1"/>
    <cellStyle name="Hyperlink" xfId="5054" builtinId="8" hidden="1"/>
    <cellStyle name="Hyperlink" xfId="5056" builtinId="8" hidden="1"/>
    <cellStyle name="Hyperlink" xfId="5058" builtinId="8" hidden="1"/>
    <cellStyle name="Hyperlink" xfId="5060" builtinId="8" hidden="1"/>
    <cellStyle name="Hyperlink" xfId="5062" builtinId="8" hidden="1"/>
    <cellStyle name="Hyperlink" xfId="5064" builtinId="8" hidden="1"/>
    <cellStyle name="Hyperlink" xfId="5066" builtinId="8" hidden="1"/>
    <cellStyle name="Hyperlink" xfId="5068" builtinId="8" hidden="1"/>
    <cellStyle name="Hyperlink" xfId="5070" builtinId="8" hidden="1"/>
    <cellStyle name="Hyperlink" xfId="5072" builtinId="8" hidden="1"/>
    <cellStyle name="Hyperlink" xfId="5074" builtinId="8" hidden="1"/>
    <cellStyle name="Hyperlink" xfId="5076" builtinId="8" hidden="1"/>
    <cellStyle name="Hyperlink" xfId="5078" builtinId="8" hidden="1"/>
    <cellStyle name="Hyperlink" xfId="5080" builtinId="8" hidden="1"/>
    <cellStyle name="Hyperlink" xfId="5082" builtinId="8" hidden="1"/>
    <cellStyle name="Hyperlink" xfId="5084" builtinId="8" hidden="1"/>
    <cellStyle name="Hyperlink" xfId="5086" builtinId="8" hidden="1"/>
    <cellStyle name="Hyperlink" xfId="5088" builtinId="8" hidden="1"/>
    <cellStyle name="Hyperlink" xfId="5090" builtinId="8" hidden="1"/>
    <cellStyle name="Hyperlink" xfId="5092" builtinId="8" hidden="1"/>
    <cellStyle name="Hyperlink" xfId="5094" builtinId="8" hidden="1"/>
    <cellStyle name="Hyperlink" xfId="5096" builtinId="8" hidden="1"/>
    <cellStyle name="Hyperlink" xfId="5098" builtinId="8" hidden="1"/>
    <cellStyle name="Hyperlink" xfId="5100" builtinId="8" hidden="1"/>
    <cellStyle name="Hyperlink" xfId="5102" builtinId="8" hidden="1"/>
    <cellStyle name="Hyperlink" xfId="5104" builtinId="8" hidden="1"/>
    <cellStyle name="Hyperlink" xfId="5106" builtinId="8" hidden="1"/>
    <cellStyle name="Hyperlink" xfId="5108" builtinId="8" hidden="1"/>
    <cellStyle name="Hyperlink" xfId="5110" builtinId="8" hidden="1"/>
    <cellStyle name="Hyperlink" xfId="5112" builtinId="8" hidden="1"/>
    <cellStyle name="Hyperlink" xfId="5114" builtinId="8" hidden="1"/>
    <cellStyle name="Hyperlink" xfId="5116" builtinId="8" hidden="1"/>
    <cellStyle name="Hyperlink" xfId="5118" builtinId="8" hidden="1"/>
    <cellStyle name="Hyperlink" xfId="5120" builtinId="8" hidden="1"/>
    <cellStyle name="Hyperlink" xfId="5122" builtinId="8" hidden="1"/>
    <cellStyle name="Hyperlink" xfId="5124" builtinId="8" hidden="1"/>
    <cellStyle name="Hyperlink" xfId="5126" builtinId="8" hidden="1"/>
    <cellStyle name="Hyperlink" xfId="5128" builtinId="8" hidden="1"/>
    <cellStyle name="Hyperlink" xfId="5130" builtinId="8" hidden="1"/>
    <cellStyle name="Hyperlink" xfId="5132" builtinId="8" hidden="1"/>
    <cellStyle name="Hyperlink" xfId="5134" builtinId="8" hidden="1"/>
    <cellStyle name="Hyperlink" xfId="5136" builtinId="8" hidden="1"/>
    <cellStyle name="Hyperlink" xfId="5138" builtinId="8" hidden="1"/>
    <cellStyle name="Hyperlink" xfId="5140" builtinId="8" hidden="1"/>
    <cellStyle name="Hyperlink" xfId="5142" builtinId="8" hidden="1"/>
    <cellStyle name="Hyperlink" xfId="5144" builtinId="8" hidden="1"/>
    <cellStyle name="Hyperlink" xfId="5146" builtinId="8" hidden="1"/>
    <cellStyle name="Hyperlink" xfId="5148" builtinId="8" hidden="1"/>
    <cellStyle name="Hyperlink" xfId="5150" builtinId="8" hidden="1"/>
    <cellStyle name="Hyperlink" xfId="5152" builtinId="8" hidden="1"/>
    <cellStyle name="Hyperlink" xfId="5154" builtinId="8" hidden="1"/>
    <cellStyle name="Hyperlink" xfId="5156" builtinId="8" hidden="1"/>
    <cellStyle name="Hyperlink" xfId="5158" builtinId="8" hidden="1"/>
    <cellStyle name="Hyperlink" xfId="5160" builtinId="8" hidden="1"/>
    <cellStyle name="Hyperlink" xfId="5162" builtinId="8" hidden="1"/>
    <cellStyle name="Hyperlink" xfId="5164" builtinId="8" hidden="1"/>
    <cellStyle name="Hyperlink" xfId="5166" builtinId="8" hidden="1"/>
    <cellStyle name="Hyperlink" xfId="5168" builtinId="8" hidden="1"/>
    <cellStyle name="Hyperlink" xfId="5170" builtinId="8" hidden="1"/>
    <cellStyle name="Hyperlink" xfId="5172" builtinId="8" hidden="1"/>
    <cellStyle name="Hyperlink" xfId="5174" builtinId="8" hidden="1"/>
    <cellStyle name="Hyperlink" xfId="5176" builtinId="8" hidden="1"/>
    <cellStyle name="Hyperlink" xfId="5178" builtinId="8" hidden="1"/>
    <cellStyle name="Hyperlink" xfId="5180" builtinId="8" hidden="1"/>
    <cellStyle name="Hyperlink" xfId="5182" builtinId="8" hidden="1"/>
    <cellStyle name="Hyperlink" xfId="5184" builtinId="8" hidden="1"/>
    <cellStyle name="Hyperlink" xfId="5186" builtinId="8" hidden="1"/>
    <cellStyle name="Hyperlink" xfId="5188" builtinId="8" hidden="1"/>
    <cellStyle name="Hyperlink" xfId="5190" builtinId="8" hidden="1"/>
    <cellStyle name="Hyperlink" xfId="5192" builtinId="8" hidden="1"/>
    <cellStyle name="Hyperlink" xfId="5194" builtinId="8" hidden="1"/>
    <cellStyle name="Hyperlink" xfId="5196" builtinId="8" hidden="1"/>
    <cellStyle name="Hyperlink" xfId="5198" builtinId="8" hidden="1"/>
    <cellStyle name="Hyperlink" xfId="5200" builtinId="8" hidden="1"/>
    <cellStyle name="Hyperlink" xfId="5202" builtinId="8" hidden="1"/>
    <cellStyle name="Hyperlink" xfId="5204" builtinId="8" hidden="1"/>
    <cellStyle name="Hyperlink" xfId="5206" builtinId="8" hidden="1"/>
    <cellStyle name="Hyperlink" xfId="5208" builtinId="8" hidden="1"/>
    <cellStyle name="Hyperlink" xfId="5210" builtinId="8" hidden="1"/>
    <cellStyle name="Hyperlink" xfId="5212" builtinId="8" hidden="1"/>
    <cellStyle name="Hyperlink" xfId="5214" builtinId="8" hidden="1"/>
    <cellStyle name="Hyperlink" xfId="5216" builtinId="8" hidden="1"/>
    <cellStyle name="Hyperlink" xfId="5218" builtinId="8" hidden="1"/>
    <cellStyle name="Hyperlink" xfId="5220" builtinId="8" hidden="1"/>
    <cellStyle name="Hyperlink" xfId="5222" builtinId="8" hidden="1"/>
    <cellStyle name="Hyperlink" xfId="5224" builtinId="8" hidden="1"/>
    <cellStyle name="Hyperlink" xfId="5226" builtinId="8" hidden="1"/>
    <cellStyle name="Hyperlink" xfId="5228" builtinId="8" hidden="1"/>
    <cellStyle name="Hyperlink" xfId="5230" builtinId="8" hidden="1"/>
    <cellStyle name="Hyperlink" xfId="5232" builtinId="8" hidden="1"/>
    <cellStyle name="Hyperlink" xfId="5234" builtinId="8" hidden="1"/>
    <cellStyle name="Hyperlink" xfId="5236" builtinId="8" hidden="1"/>
    <cellStyle name="Hyperlink" xfId="5238" builtinId="8" hidden="1"/>
    <cellStyle name="Hyperlink" xfId="5240" builtinId="8" hidden="1"/>
    <cellStyle name="Hyperlink" xfId="5242" builtinId="8" hidden="1"/>
    <cellStyle name="Hyperlink" xfId="5244" builtinId="8" hidden="1"/>
    <cellStyle name="Hyperlink" xfId="5246" builtinId="8" hidden="1"/>
    <cellStyle name="Hyperlink" xfId="5248" builtinId="8" hidden="1"/>
    <cellStyle name="Hyperlink" xfId="5250" builtinId="8" hidden="1"/>
    <cellStyle name="Hyperlink" xfId="5252" builtinId="8" hidden="1"/>
    <cellStyle name="Hyperlink" xfId="5254" builtinId="8" hidden="1"/>
    <cellStyle name="Hyperlink" xfId="5256" builtinId="8" hidden="1"/>
    <cellStyle name="Hyperlink" xfId="5258" builtinId="8" hidden="1"/>
    <cellStyle name="Hyperlink" xfId="5260" builtinId="8" hidden="1"/>
    <cellStyle name="Hyperlink" xfId="5262" builtinId="8" hidden="1"/>
    <cellStyle name="Hyperlink" xfId="5264" builtinId="8" hidden="1"/>
    <cellStyle name="Hyperlink" xfId="5266" builtinId="8" hidden="1"/>
    <cellStyle name="Hyperlink" xfId="5268" builtinId="8" hidden="1"/>
    <cellStyle name="Hyperlink" xfId="5270" builtinId="8" hidden="1"/>
    <cellStyle name="Hyperlink" xfId="5272" builtinId="8" hidden="1"/>
    <cellStyle name="Hyperlink" xfId="5274" builtinId="8" hidden="1"/>
    <cellStyle name="Hyperlink" xfId="5276" builtinId="8" hidden="1"/>
    <cellStyle name="Hyperlink" xfId="5278" builtinId="8" hidden="1"/>
    <cellStyle name="Hyperlink" xfId="5280" builtinId="8" hidden="1"/>
    <cellStyle name="Hyperlink" xfId="5282" builtinId="8" hidden="1"/>
    <cellStyle name="Hyperlink" xfId="5284" builtinId="8" hidden="1"/>
    <cellStyle name="Hyperlink" xfId="5286" builtinId="8" hidden="1"/>
    <cellStyle name="Hyperlink" xfId="5288" builtinId="8" hidden="1"/>
    <cellStyle name="Hyperlink" xfId="5290" builtinId="8" hidden="1"/>
    <cellStyle name="Hyperlink" xfId="5292" builtinId="8" hidden="1"/>
    <cellStyle name="Hyperlink" xfId="5294" builtinId="8" hidden="1"/>
    <cellStyle name="Hyperlink" xfId="5296" builtinId="8" hidden="1"/>
    <cellStyle name="Hyperlink" xfId="5298" builtinId="8" hidden="1"/>
    <cellStyle name="Hyperlink" xfId="5300" builtinId="8" hidden="1"/>
    <cellStyle name="Hyperlink" xfId="5302" builtinId="8" hidden="1"/>
    <cellStyle name="Hyperlink" xfId="5304" builtinId="8" hidden="1"/>
    <cellStyle name="Hyperlink" xfId="5306" builtinId="8" hidden="1"/>
    <cellStyle name="Hyperlink" xfId="5308" builtinId="8" hidden="1"/>
    <cellStyle name="Hyperlink" xfId="5310" builtinId="8" hidden="1"/>
    <cellStyle name="Hyperlink" xfId="5312" builtinId="8" hidden="1"/>
    <cellStyle name="Hyperlink" xfId="5314" builtinId="8" hidden="1"/>
    <cellStyle name="Hyperlink" xfId="5316" builtinId="8" hidden="1"/>
    <cellStyle name="Hyperlink" xfId="5318" builtinId="8" hidden="1"/>
    <cellStyle name="Hyperlink" xfId="5320" builtinId="8" hidden="1"/>
    <cellStyle name="Hyperlink" xfId="5322" builtinId="8" hidden="1"/>
    <cellStyle name="Hyperlink" xfId="5324" builtinId="8" hidden="1"/>
    <cellStyle name="Hyperlink" xfId="5326" builtinId="8" hidden="1"/>
    <cellStyle name="Hyperlink" xfId="5328" builtinId="8" hidden="1"/>
    <cellStyle name="Hyperlink" xfId="5330" builtinId="8" hidden="1"/>
    <cellStyle name="Hyperlink" xfId="5332" builtinId="8" hidden="1"/>
    <cellStyle name="Hyperlink" xfId="5334" builtinId="8" hidden="1"/>
    <cellStyle name="Hyperlink" xfId="5336" builtinId="8" hidden="1"/>
    <cellStyle name="Hyperlink" xfId="5338" builtinId="8" hidden="1"/>
    <cellStyle name="Hyperlink" xfId="5340" builtinId="8" hidden="1"/>
    <cellStyle name="Hyperlink" xfId="5342" builtinId="8" hidden="1"/>
    <cellStyle name="Hyperlink" xfId="5344" builtinId="8" hidden="1"/>
    <cellStyle name="Hyperlink" xfId="5346" builtinId="8" hidden="1"/>
    <cellStyle name="Hyperlink" xfId="5348" builtinId="8" hidden="1"/>
    <cellStyle name="Hyperlink" xfId="5350" builtinId="8" hidden="1"/>
    <cellStyle name="Hyperlink" xfId="5352" builtinId="8" hidden="1"/>
    <cellStyle name="Hyperlink" xfId="5354" builtinId="8" hidden="1"/>
    <cellStyle name="Hyperlink" xfId="5356" builtinId="8" hidden="1"/>
    <cellStyle name="Hyperlink" xfId="5358" builtinId="8" hidden="1"/>
    <cellStyle name="Hyperlink" xfId="5360" builtinId="8" hidden="1"/>
    <cellStyle name="Hyperlink" xfId="5362" builtinId="8" hidden="1"/>
    <cellStyle name="Hyperlink" xfId="5364" builtinId="8" hidden="1"/>
    <cellStyle name="Hyperlink" xfId="5366" builtinId="8" hidden="1"/>
    <cellStyle name="Hyperlink" xfId="5368" builtinId="8" hidden="1"/>
    <cellStyle name="Hyperlink" xfId="5370" builtinId="8" hidden="1"/>
    <cellStyle name="Hyperlink" xfId="5372" builtinId="8" hidden="1"/>
    <cellStyle name="Hyperlink" xfId="5374" builtinId="8" hidden="1"/>
    <cellStyle name="Hyperlink" xfId="5376" builtinId="8" hidden="1"/>
    <cellStyle name="Hyperlink" xfId="5378" builtinId="8" hidden="1"/>
    <cellStyle name="Hyperlink" xfId="5380" builtinId="8" hidden="1"/>
    <cellStyle name="Hyperlink" xfId="5382" builtinId="8" hidden="1"/>
    <cellStyle name="Hyperlink" xfId="5384" builtinId="8" hidden="1"/>
    <cellStyle name="Hyperlink" xfId="5386" builtinId="8" hidden="1"/>
    <cellStyle name="Hyperlink" xfId="5388" builtinId="8" hidden="1"/>
    <cellStyle name="Hyperlink" xfId="5390" builtinId="8" hidden="1"/>
    <cellStyle name="Hyperlink" xfId="5392" builtinId="8" hidden="1"/>
    <cellStyle name="Hyperlink" xfId="5394" builtinId="8" hidden="1"/>
    <cellStyle name="Hyperlink" xfId="5396" builtinId="8" hidden="1"/>
    <cellStyle name="Hyperlink" xfId="5398" builtinId="8" hidden="1"/>
    <cellStyle name="Hyperlink" xfId="5400" builtinId="8" hidden="1"/>
    <cellStyle name="Hyperlink" xfId="5402" builtinId="8" hidden="1"/>
    <cellStyle name="Hyperlink" xfId="5404" builtinId="8" hidden="1"/>
    <cellStyle name="Hyperlink" xfId="5406" builtinId="8" hidden="1"/>
    <cellStyle name="Hyperlink" xfId="5408" builtinId="8" hidden="1"/>
    <cellStyle name="Hyperlink" xfId="5410" builtinId="8" hidden="1"/>
    <cellStyle name="Hyperlink" xfId="5412" builtinId="8" hidden="1"/>
    <cellStyle name="Hyperlink" xfId="5414" builtinId="8" hidden="1"/>
    <cellStyle name="Hyperlink" xfId="5416" builtinId="8" hidden="1"/>
    <cellStyle name="Hyperlink" xfId="5418" builtinId="8" hidden="1"/>
    <cellStyle name="Hyperlink" xfId="5420" builtinId="8" hidden="1"/>
    <cellStyle name="Hyperlink" xfId="5422" builtinId="8" hidden="1"/>
    <cellStyle name="Hyperlink" xfId="5424" builtinId="8" hidden="1"/>
    <cellStyle name="Hyperlink" xfId="5426" builtinId="8" hidden="1"/>
    <cellStyle name="Hyperlink" xfId="5428" builtinId="8" hidden="1"/>
    <cellStyle name="Hyperlink" xfId="5430" builtinId="8" hidden="1"/>
    <cellStyle name="Hyperlink" xfId="5432" builtinId="8" hidden="1"/>
    <cellStyle name="Hyperlink" xfId="5434" builtinId="8" hidden="1"/>
    <cellStyle name="Hyperlink" xfId="5436" builtinId="8" hidden="1"/>
    <cellStyle name="Hyperlink" xfId="5438" builtinId="8" hidden="1"/>
    <cellStyle name="Hyperlink" xfId="5440" builtinId="8" hidden="1"/>
    <cellStyle name="Hyperlink" xfId="5442" builtinId="8" hidden="1"/>
    <cellStyle name="Hyperlink" xfId="5444" builtinId="8" hidden="1"/>
    <cellStyle name="Hyperlink" xfId="5446" builtinId="8" hidden="1"/>
    <cellStyle name="Hyperlink" xfId="5448" builtinId="8" hidden="1"/>
    <cellStyle name="Hyperlink" xfId="5450" builtinId="8" hidden="1"/>
    <cellStyle name="Hyperlink" xfId="5452" builtinId="8" hidden="1"/>
    <cellStyle name="Hyperlink" xfId="5454" builtinId="8" hidden="1"/>
    <cellStyle name="Hyperlink" xfId="5456" builtinId="8" hidden="1"/>
    <cellStyle name="Hyperlink" xfId="5458" builtinId="8" hidden="1"/>
    <cellStyle name="Hyperlink" xfId="5460" builtinId="8" hidden="1"/>
    <cellStyle name="Hyperlink" xfId="5462" builtinId="8" hidden="1"/>
    <cellStyle name="Hyperlink" xfId="5464" builtinId="8" hidden="1"/>
    <cellStyle name="Hyperlink" xfId="5466" builtinId="8" hidden="1"/>
    <cellStyle name="Hyperlink" xfId="5468" builtinId="8" hidden="1"/>
    <cellStyle name="Hyperlink" xfId="5470" builtinId="8" hidden="1"/>
    <cellStyle name="Hyperlink" xfId="5472" builtinId="8" hidden="1"/>
    <cellStyle name="Hyperlink" xfId="5474" builtinId="8" hidden="1"/>
    <cellStyle name="Hyperlink" xfId="5476" builtinId="8" hidden="1"/>
    <cellStyle name="Hyperlink" xfId="5478" builtinId="8" hidden="1"/>
    <cellStyle name="Hyperlink" xfId="5480" builtinId="8" hidden="1"/>
    <cellStyle name="Hyperlink" xfId="5482" builtinId="8" hidden="1"/>
    <cellStyle name="Hyperlink" xfId="5484" builtinId="8" hidden="1"/>
    <cellStyle name="Hyperlink" xfId="5486" builtinId="8" hidden="1"/>
    <cellStyle name="Hyperlink" xfId="5488" builtinId="8" hidden="1"/>
    <cellStyle name="Hyperlink" xfId="5490" builtinId="8" hidden="1"/>
    <cellStyle name="Hyperlink" xfId="5492" builtinId="8" hidden="1"/>
    <cellStyle name="Hyperlink" xfId="5494" builtinId="8" hidden="1"/>
    <cellStyle name="Hyperlink" xfId="5496" builtinId="8" hidden="1"/>
    <cellStyle name="Hyperlink" xfId="5498" builtinId="8" hidden="1"/>
    <cellStyle name="Hyperlink" xfId="5500" builtinId="8" hidden="1"/>
    <cellStyle name="Hyperlink" xfId="5502" builtinId="8" hidden="1"/>
    <cellStyle name="Hyperlink" xfId="5504" builtinId="8" hidden="1"/>
    <cellStyle name="Hyperlink" xfId="5506" builtinId="8" hidden="1"/>
    <cellStyle name="Hyperlink" xfId="5508" builtinId="8" hidden="1"/>
    <cellStyle name="Hyperlink" xfId="5510" builtinId="8" hidden="1"/>
    <cellStyle name="Hyperlink" xfId="5512" builtinId="8" hidden="1"/>
    <cellStyle name="Hyperlink" xfId="5514" builtinId="8" hidden="1"/>
    <cellStyle name="Hyperlink" xfId="5516" builtinId="8" hidden="1"/>
    <cellStyle name="Hyperlink" xfId="5518" builtinId="8" hidden="1"/>
    <cellStyle name="Hyperlink" xfId="5520" builtinId="8" hidden="1"/>
    <cellStyle name="Hyperlink" xfId="5522" builtinId="8" hidden="1"/>
    <cellStyle name="Hyperlink" xfId="5524" builtinId="8" hidden="1"/>
    <cellStyle name="Hyperlink" xfId="5526" builtinId="8" hidden="1"/>
    <cellStyle name="Hyperlink" xfId="5528" builtinId="8" hidden="1"/>
    <cellStyle name="Hyperlink" xfId="5530" builtinId="8" hidden="1"/>
    <cellStyle name="Hyperlink" xfId="5532" builtinId="8" hidden="1"/>
    <cellStyle name="Hyperlink" xfId="5534" builtinId="8" hidden="1"/>
    <cellStyle name="Hyperlink" xfId="5536" builtinId="8" hidden="1"/>
    <cellStyle name="Hyperlink" xfId="5538" builtinId="8" hidden="1"/>
    <cellStyle name="Hyperlink" xfId="5540" builtinId="8" hidden="1"/>
    <cellStyle name="Hyperlink" xfId="5542" builtinId="8" hidden="1"/>
    <cellStyle name="Hyperlink" xfId="5544" builtinId="8" hidden="1"/>
    <cellStyle name="Hyperlink" xfId="5546" builtinId="8" hidden="1"/>
    <cellStyle name="Hyperlink" xfId="5548" builtinId="8" hidden="1"/>
    <cellStyle name="Hyperlink" xfId="5550" builtinId="8" hidden="1"/>
    <cellStyle name="Hyperlink" xfId="5552" builtinId="8" hidden="1"/>
    <cellStyle name="Hyperlink" xfId="5554" builtinId="8" hidden="1"/>
    <cellStyle name="Hyperlink" xfId="5556" builtinId="8" hidden="1"/>
    <cellStyle name="Hyperlink" xfId="5558" builtinId="8" hidden="1"/>
    <cellStyle name="Hyperlink" xfId="5560" builtinId="8" hidden="1"/>
    <cellStyle name="Hyperlink" xfId="5562" builtinId="8" hidden="1"/>
    <cellStyle name="Hyperlink" xfId="5564" builtinId="8" hidden="1"/>
    <cellStyle name="Hyperlink" xfId="5566" builtinId="8" hidden="1"/>
    <cellStyle name="Hyperlink" xfId="5568" builtinId="8" hidden="1"/>
    <cellStyle name="Hyperlink" xfId="5570" builtinId="8" hidden="1"/>
    <cellStyle name="Hyperlink" xfId="5572" builtinId="8" hidden="1"/>
    <cellStyle name="Hyperlink" xfId="5574" builtinId="8" hidden="1"/>
    <cellStyle name="Hyperlink" xfId="5576" builtinId="8" hidden="1"/>
    <cellStyle name="Hyperlink" xfId="5578" builtinId="8" hidden="1"/>
    <cellStyle name="Hyperlink" xfId="5580" builtinId="8" hidden="1"/>
    <cellStyle name="Hyperlink" xfId="5582" builtinId="8" hidden="1"/>
    <cellStyle name="Hyperlink" xfId="5584" builtinId="8" hidden="1"/>
    <cellStyle name="Hyperlink" xfId="5586" builtinId="8" hidden="1"/>
    <cellStyle name="Hyperlink" xfId="5588" builtinId="8" hidden="1"/>
    <cellStyle name="Hyperlink" xfId="5590" builtinId="8" hidden="1"/>
    <cellStyle name="Hyperlink" xfId="5592" builtinId="8" hidden="1"/>
    <cellStyle name="Hyperlink" xfId="5594" builtinId="8" hidden="1"/>
    <cellStyle name="Hyperlink" xfId="5596" builtinId="8" hidden="1"/>
    <cellStyle name="Hyperlink" xfId="5598" builtinId="8" hidden="1"/>
    <cellStyle name="Hyperlink" xfId="5600" builtinId="8" hidden="1"/>
    <cellStyle name="Hyperlink" xfId="5602" builtinId="8" hidden="1"/>
    <cellStyle name="Hyperlink" xfId="5604" builtinId="8" hidden="1"/>
    <cellStyle name="Hyperlink" xfId="5606" builtinId="8" hidden="1"/>
    <cellStyle name="Hyperlink" xfId="5608" builtinId="8" hidden="1"/>
    <cellStyle name="Hyperlink" xfId="5610" builtinId="8" hidden="1"/>
    <cellStyle name="Hyperlink" xfId="5612" builtinId="8" hidden="1"/>
    <cellStyle name="Hyperlink" xfId="5614" builtinId="8" hidden="1"/>
    <cellStyle name="Normal" xfId="0" builtinId="0"/>
    <cellStyle name="Normal 2 9" xfId="144"/>
    <cellStyle name="Normal 4" xfId="5616"/>
    <cellStyle name="Normal_FY04_BAM_Prelim_June11" xfId="142"/>
    <cellStyle name="Normal_FY05_BAM_v023" xfId="143"/>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a:t>Model FY19 </a:t>
            </a:r>
            <a:r>
              <a:rPr lang="en-US" sz="1800" baseline="0"/>
              <a:t> </a:t>
            </a:r>
            <a:r>
              <a:rPr lang="en-US" sz="1800"/>
              <a:t>Allocation (Blue) compared to FY18 </a:t>
            </a:r>
            <a:r>
              <a:rPr lang="en-US" sz="1800" baseline="0"/>
              <a:t>Adjusted Initial Budget*</a:t>
            </a:r>
            <a:endParaRPr lang="en-US" sz="1800"/>
          </a:p>
        </c:rich>
      </c:tx>
      <c:layout>
        <c:manualLayout>
          <c:xMode val="edge"/>
          <c:yMode val="edge"/>
          <c:x val="0.26437778484087099"/>
          <c:y val="1.1925042589437799E-2"/>
        </c:manualLayout>
      </c:layout>
      <c:overlay val="0"/>
    </c:title>
    <c:autoTitleDeleted val="0"/>
    <c:plotArea>
      <c:layout/>
      <c:barChart>
        <c:barDir val="col"/>
        <c:grouping val="clustered"/>
        <c:varyColors val="0"/>
        <c:ser>
          <c:idx val="0"/>
          <c:order val="0"/>
          <c:invertIfNegative val="0"/>
          <c:cat>
            <c:strRef>
              <c:f>'Service and Support Allocation'!$AA$7:$AA$22</c:f>
              <c:strCache>
                <c:ptCount val="16"/>
                <c:pt idx="0">
                  <c:v>    Agricultural Sciences</c:v>
                </c:pt>
                <c:pt idx="1">
                  <c:v>    Business</c:v>
                </c:pt>
                <c:pt idx="2">
                  <c:v>    Engineering</c:v>
                </c:pt>
                <c:pt idx="3">
                  <c:v>    Forestry</c:v>
                </c:pt>
                <c:pt idx="4">
                  <c:v>    Public Health &amp; Human Sciences</c:v>
                </c:pt>
                <c:pt idx="5">
                  <c:v>    Education</c:v>
                </c:pt>
                <c:pt idx="6">
                  <c:v>    Liberal Arts</c:v>
                </c:pt>
                <c:pt idx="7">
                  <c:v>    Earth, Oceanic &amp; Atmospheric Sciences</c:v>
                </c:pt>
                <c:pt idx="8">
                  <c:v>    Pharmacy</c:v>
                </c:pt>
                <c:pt idx="9">
                  <c:v>    Science</c:v>
                </c:pt>
                <c:pt idx="10">
                  <c:v>    Veterinary Medicine</c:v>
                </c:pt>
                <c:pt idx="11">
                  <c:v>    University Honors College</c:v>
                </c:pt>
                <c:pt idx="12">
                  <c:v>Interdisciplinary Graduate Programs</c:v>
                </c:pt>
                <c:pt idx="13">
                  <c:v>    Research (Centers / Institutes / Programs)</c:v>
                </c:pt>
                <c:pt idx="14">
                  <c:v>    Extended Campus</c:v>
                </c:pt>
                <c:pt idx="15">
                  <c:v>    Research Equipment Reserve</c:v>
                </c:pt>
              </c:strCache>
            </c:strRef>
          </c:cat>
          <c:val>
            <c:numRef>
              <c:f>'Service and Support Allocation'!$AB$7:$AB$22</c:f>
              <c:numCache>
                <c:formatCode>_(* #,##0_);_(* \(#,##0\);_(* "-"??_);_(@_)</c:formatCode>
                <c:ptCount val="16"/>
                <c:pt idx="0">
                  <c:v>24306595.958287429</c:v>
                </c:pt>
                <c:pt idx="1">
                  <c:v>21766302.898492426</c:v>
                </c:pt>
                <c:pt idx="2">
                  <c:v>67801102.237237439</c:v>
                </c:pt>
                <c:pt idx="3">
                  <c:v>9534064.2899717987</c:v>
                </c:pt>
                <c:pt idx="4">
                  <c:v>19700561.800000001</c:v>
                </c:pt>
                <c:pt idx="5">
                  <c:v>5513657.0242793197</c:v>
                </c:pt>
                <c:pt idx="6">
                  <c:v>44794677.217382081</c:v>
                </c:pt>
                <c:pt idx="7">
                  <c:v>18959086.782090027</c:v>
                </c:pt>
                <c:pt idx="8">
                  <c:v>12713781.83332295</c:v>
                </c:pt>
                <c:pt idx="9">
                  <c:v>44437127.901171856</c:v>
                </c:pt>
                <c:pt idx="10">
                  <c:v>26449266.98000063</c:v>
                </c:pt>
                <c:pt idx="11">
                  <c:v>3042934.2942578932</c:v>
                </c:pt>
                <c:pt idx="12">
                  <c:v>974528.97029279219</c:v>
                </c:pt>
                <c:pt idx="13">
                  <c:v>11507822.71382935</c:v>
                </c:pt>
                <c:pt idx="14">
                  <c:v>20222090</c:v>
                </c:pt>
                <c:pt idx="15">
                  <c:v>3440000</c:v>
                </c:pt>
              </c:numCache>
            </c:numRef>
          </c:val>
          <c:extLst>
            <c:ext xmlns:c16="http://schemas.microsoft.com/office/drawing/2014/chart" uri="{C3380CC4-5D6E-409C-BE32-E72D297353CC}">
              <c16:uniqueId val="{00000000-892B-CC47-BEB9-B2ADDACEC43B}"/>
            </c:ext>
          </c:extLst>
        </c:ser>
        <c:ser>
          <c:idx val="1"/>
          <c:order val="1"/>
          <c:invertIfNegative val="0"/>
          <c:cat>
            <c:strRef>
              <c:f>'Service and Support Allocation'!$AA$7:$AA$22</c:f>
              <c:strCache>
                <c:ptCount val="16"/>
                <c:pt idx="0">
                  <c:v>    Agricultural Sciences</c:v>
                </c:pt>
                <c:pt idx="1">
                  <c:v>    Business</c:v>
                </c:pt>
                <c:pt idx="2">
                  <c:v>    Engineering</c:v>
                </c:pt>
                <c:pt idx="3">
                  <c:v>    Forestry</c:v>
                </c:pt>
                <c:pt idx="4">
                  <c:v>    Public Health &amp; Human Sciences</c:v>
                </c:pt>
                <c:pt idx="5">
                  <c:v>    Education</c:v>
                </c:pt>
                <c:pt idx="6">
                  <c:v>    Liberal Arts</c:v>
                </c:pt>
                <c:pt idx="7">
                  <c:v>    Earth, Oceanic &amp; Atmospheric Sciences</c:v>
                </c:pt>
                <c:pt idx="8">
                  <c:v>    Pharmacy</c:v>
                </c:pt>
                <c:pt idx="9">
                  <c:v>    Science</c:v>
                </c:pt>
                <c:pt idx="10">
                  <c:v>    Veterinary Medicine</c:v>
                </c:pt>
                <c:pt idx="11">
                  <c:v>    University Honors College</c:v>
                </c:pt>
                <c:pt idx="12">
                  <c:v>Interdisciplinary Graduate Programs</c:v>
                </c:pt>
                <c:pt idx="13">
                  <c:v>    Research (Centers / Institutes / Programs)</c:v>
                </c:pt>
                <c:pt idx="14">
                  <c:v>    Extended Campus</c:v>
                </c:pt>
                <c:pt idx="15">
                  <c:v>    Research Equipment Reserve</c:v>
                </c:pt>
              </c:strCache>
            </c:strRef>
          </c:cat>
          <c:val>
            <c:numRef>
              <c:f>'Service and Support Allocation'!$AC$7:$AC$22</c:f>
              <c:numCache>
                <c:formatCode>_(* #,##0_);_(* \(#,##0\);_(* "-"??_);_(@_)</c:formatCode>
                <c:ptCount val="16"/>
                <c:pt idx="0">
                  <c:v>24815559</c:v>
                </c:pt>
                <c:pt idx="1">
                  <c:v>20462422</c:v>
                </c:pt>
                <c:pt idx="2">
                  <c:v>64222079</c:v>
                </c:pt>
                <c:pt idx="3">
                  <c:v>9355600</c:v>
                </c:pt>
                <c:pt idx="4">
                  <c:v>20440194</c:v>
                </c:pt>
                <c:pt idx="5">
                  <c:v>4830008</c:v>
                </c:pt>
                <c:pt idx="6">
                  <c:v>45922830</c:v>
                </c:pt>
                <c:pt idx="7">
                  <c:v>14831995</c:v>
                </c:pt>
                <c:pt idx="8">
                  <c:v>12737398</c:v>
                </c:pt>
                <c:pt idx="9">
                  <c:v>42113801</c:v>
                </c:pt>
                <c:pt idx="10">
                  <c:v>24909417</c:v>
                </c:pt>
                <c:pt idx="11">
                  <c:v>2839964</c:v>
                </c:pt>
                <c:pt idx="12">
                  <c:v>838394</c:v>
                </c:pt>
                <c:pt idx="13">
                  <c:v>11354044</c:v>
                </c:pt>
                <c:pt idx="14">
                  <c:v>18786975</c:v>
                </c:pt>
                <c:pt idx="15">
                  <c:v>3296000</c:v>
                </c:pt>
              </c:numCache>
            </c:numRef>
          </c:val>
          <c:extLst>
            <c:ext xmlns:c16="http://schemas.microsoft.com/office/drawing/2014/chart" uri="{C3380CC4-5D6E-409C-BE32-E72D297353CC}">
              <c16:uniqueId val="{00000001-892B-CC47-BEB9-B2ADDACEC43B}"/>
            </c:ext>
          </c:extLst>
        </c:ser>
        <c:dLbls>
          <c:showLegendKey val="0"/>
          <c:showVal val="0"/>
          <c:showCatName val="0"/>
          <c:showSerName val="0"/>
          <c:showPercent val="0"/>
          <c:showBubbleSize val="0"/>
        </c:dLbls>
        <c:gapWidth val="150"/>
        <c:axId val="2135584944"/>
        <c:axId val="2135587872"/>
      </c:barChart>
      <c:catAx>
        <c:axId val="2135584944"/>
        <c:scaling>
          <c:orientation val="minMax"/>
        </c:scaling>
        <c:delete val="0"/>
        <c:axPos val="b"/>
        <c:numFmt formatCode="General" sourceLinked="0"/>
        <c:majorTickMark val="none"/>
        <c:minorTickMark val="none"/>
        <c:tickLblPos val="nextTo"/>
        <c:crossAx val="2135587872"/>
        <c:crosses val="autoZero"/>
        <c:auto val="1"/>
        <c:lblAlgn val="ctr"/>
        <c:lblOffset val="100"/>
        <c:noMultiLvlLbl val="0"/>
      </c:catAx>
      <c:valAx>
        <c:axId val="2135587872"/>
        <c:scaling>
          <c:orientation val="minMax"/>
        </c:scaling>
        <c:delete val="0"/>
        <c:axPos val="l"/>
        <c:majorGridlines/>
        <c:numFmt formatCode="_(* #,##0_);_(* \(#,##0\);_(* &quot;-&quot;??_);_(@_)" sourceLinked="1"/>
        <c:majorTickMark val="none"/>
        <c:minorTickMark val="none"/>
        <c:tickLblPos val="nextTo"/>
        <c:crossAx val="2135584944"/>
        <c:crosses val="autoZero"/>
        <c:crossBetween val="between"/>
      </c:valAx>
    </c:plotArea>
    <c:plotVisOnly val="1"/>
    <c:dispBlanksAs val="gap"/>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Model budget comparisons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'What If Data'!$B$5</c:f>
              <c:strCache>
                <c:ptCount val="1"/>
                <c:pt idx="0">
                  <c:v>Fy17 Adjusted Initial Budget</c:v>
                </c:pt>
              </c:strCache>
            </c:strRef>
          </c:tx>
          <c:spPr>
            <a:solidFill>
              <a:schemeClr val="accent1"/>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Data'!$B$6:$B$20</c:f>
              <c:numCache>
                <c:formatCode>_(* #,##0_);_(* \(#,##0\);_(* "-"??_);_(@_)</c:formatCode>
                <c:ptCount val="15"/>
                <c:pt idx="0" formatCode="_(* #,##0_);_(* \(#,##0\);_(* &quot;-&quot;_);_(@_)">
                  <c:v>22952677</c:v>
                </c:pt>
                <c:pt idx="1">
                  <c:v>20340741</c:v>
                </c:pt>
                <c:pt idx="2">
                  <c:v>14434039</c:v>
                </c:pt>
                <c:pt idx="3" formatCode="_(* #,##0_);_(* \(#,##0\);_(* &quot;-&quot;_);_(@_)">
                  <c:v>43369613</c:v>
                </c:pt>
                <c:pt idx="4">
                  <c:v>4791672</c:v>
                </c:pt>
                <c:pt idx="5">
                  <c:v>57240954</c:v>
                </c:pt>
                <c:pt idx="6" formatCode="_(* #,##0_);_(* \(#,##0\);_(* &quot;-&quot;_);_(@_)">
                  <c:v>8833735</c:v>
                </c:pt>
                <c:pt idx="7">
                  <c:v>12573591</c:v>
                </c:pt>
                <c:pt idx="8">
                  <c:v>19991639</c:v>
                </c:pt>
                <c:pt idx="9" formatCode="_(* #,##0_);_(* \(#,##0\);_(* &quot;-&quot;_);_(@_)">
                  <c:v>40678621</c:v>
                </c:pt>
                <c:pt idx="10">
                  <c:v>24513720</c:v>
                </c:pt>
                <c:pt idx="12" formatCode="_(* #,##0_);_(* \(#,##0\);_(* &quot;-&quot;_);_(@_)">
                  <c:v>2438816</c:v>
                </c:pt>
                <c:pt idx="13">
                  <c:v>11252786</c:v>
                </c:pt>
                <c:pt idx="14">
                  <c:v>823212</c:v>
                </c:pt>
              </c:numCache>
            </c:numRef>
          </c:val>
          <c:extLst>
            <c:ext xmlns:c16="http://schemas.microsoft.com/office/drawing/2014/chart" uri="{C3380CC4-5D6E-409C-BE32-E72D297353CC}">
              <c16:uniqueId val="{00000000-6A87-CC40-9DC5-FF9883C9AE2C}"/>
            </c:ext>
          </c:extLst>
        </c:ser>
        <c:ser>
          <c:idx val="1"/>
          <c:order val="1"/>
          <c:tx>
            <c:strRef>
              <c:f>'What If Data'!$C$5</c:f>
              <c:strCache>
                <c:ptCount val="1"/>
                <c:pt idx="0">
                  <c:v>Actual FY18 Budget</c:v>
                </c:pt>
              </c:strCache>
            </c:strRef>
          </c:tx>
          <c:spPr>
            <a:solidFill>
              <a:schemeClr val="accent2"/>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Data'!$C$6:$C$20</c:f>
              <c:numCache>
                <c:formatCode>_(* #,##0_);_(* \(#,##0\);_(* "-"??_);_(@_)</c:formatCode>
                <c:ptCount val="15"/>
                <c:pt idx="0" formatCode="_(* #,##0_);_(* \(#,##0\);_(* &quot;-&quot;_);_(@_)">
                  <c:v>24160078</c:v>
                </c:pt>
                <c:pt idx="1">
                  <c:v>20462422</c:v>
                </c:pt>
                <c:pt idx="2">
                  <c:v>14831995</c:v>
                </c:pt>
                <c:pt idx="3" formatCode="_(* #,##0_);_(* \(#,##0\);_(* &quot;-&quot;_);_(@_)">
                  <c:v>45894131</c:v>
                </c:pt>
                <c:pt idx="4">
                  <c:v>4806568</c:v>
                </c:pt>
                <c:pt idx="5">
                  <c:v>61306607</c:v>
                </c:pt>
                <c:pt idx="6" formatCode="_(* #,##0_);_(* \(#,##0\);_(* &quot;-&quot;_);_(@_)">
                  <c:v>9355600</c:v>
                </c:pt>
                <c:pt idx="7">
                  <c:v>12737398</c:v>
                </c:pt>
                <c:pt idx="8">
                  <c:v>20440194</c:v>
                </c:pt>
                <c:pt idx="9" formatCode="_(* #,##0_);_(* \(#,##0\);_(* &quot;-&quot;_);_(@_)">
                  <c:v>41127158</c:v>
                </c:pt>
                <c:pt idx="10">
                  <c:v>24909417</c:v>
                </c:pt>
                <c:pt idx="12" formatCode="_(* #,##0_);_(* \(#,##0\);_(* &quot;-&quot;_);_(@_)">
                  <c:v>2839964</c:v>
                </c:pt>
                <c:pt idx="13">
                  <c:v>11354618</c:v>
                </c:pt>
                <c:pt idx="14">
                  <c:v>833083</c:v>
                </c:pt>
              </c:numCache>
            </c:numRef>
          </c:val>
          <c:extLst>
            <c:ext xmlns:c16="http://schemas.microsoft.com/office/drawing/2014/chart" uri="{C3380CC4-5D6E-409C-BE32-E72D297353CC}">
              <c16:uniqueId val="{00000001-6A87-CC40-9DC5-FF9883C9AE2C}"/>
            </c:ext>
          </c:extLst>
        </c:ser>
        <c:ser>
          <c:idx val="2"/>
          <c:order val="2"/>
          <c:tx>
            <c:strRef>
              <c:f>'What If Data'!$D$5</c:f>
              <c:strCache>
                <c:ptCount val="1"/>
                <c:pt idx="0">
                  <c:v>Original FY18 Model Budget</c:v>
                </c:pt>
              </c:strCache>
            </c:strRef>
          </c:tx>
          <c:spPr>
            <a:solidFill>
              <a:schemeClr val="accent3"/>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Data'!$D$6:$D$20</c:f>
              <c:numCache>
                <c:formatCode>_(* #,##0_);_(* \(#,##0\);_(* "-"??_);_(@_)</c:formatCode>
                <c:ptCount val="15"/>
                <c:pt idx="0" formatCode="_(* #,##0_);_(* \(#,##0\);_(* &quot;-&quot;_);_(@_)">
                  <c:v>25001758.759312462</c:v>
                </c:pt>
                <c:pt idx="1">
                  <c:v>20285337.772514664</c:v>
                </c:pt>
                <c:pt idx="2">
                  <c:v>14741202.939066634</c:v>
                </c:pt>
                <c:pt idx="3" formatCode="_(* #,##0_);_(* \(#,##0\);_(* &quot;-&quot;_);_(@_)">
                  <c:v>45922829.802812383</c:v>
                </c:pt>
                <c:pt idx="4">
                  <c:v>4830007.8363892129</c:v>
                </c:pt>
                <c:pt idx="5">
                  <c:v>64222078.737047724</c:v>
                </c:pt>
                <c:pt idx="6" formatCode="_(* #,##0_);_(* \(#,##0\);_(* &quot;-&quot;_);_(@_)">
                  <c:v>9346906.6282929424</c:v>
                </c:pt>
                <c:pt idx="7">
                  <c:v>12673049.798480507</c:v>
                </c:pt>
                <c:pt idx="8">
                  <c:v>19856321.585655142</c:v>
                </c:pt>
                <c:pt idx="9" formatCode="_(* #,##0_);_(* \(#,##0\);_(* &quot;-&quot;_);_(@_)">
                  <c:v>41762479.565978713</c:v>
                </c:pt>
                <c:pt idx="10">
                  <c:v>24861945.565714028</c:v>
                </c:pt>
                <c:pt idx="12" formatCode="_(* #,##0_);_(* \(#,##0\);_(* &quot;-&quot;_);_(@_)">
                  <c:v>3076862.3114752835</c:v>
                </c:pt>
                <c:pt idx="13">
                  <c:v>11331878.453987531</c:v>
                </c:pt>
                <c:pt idx="14">
                  <c:v>1185279.7481987444</c:v>
                </c:pt>
              </c:numCache>
            </c:numRef>
          </c:val>
          <c:extLst>
            <c:ext xmlns:c16="http://schemas.microsoft.com/office/drawing/2014/chart" uri="{C3380CC4-5D6E-409C-BE32-E72D297353CC}">
              <c16:uniqueId val="{00000002-6A87-CC40-9DC5-FF9883C9AE2C}"/>
            </c:ext>
          </c:extLst>
        </c:ser>
        <c:ser>
          <c:idx val="3"/>
          <c:order val="3"/>
          <c:tx>
            <c:strRef>
              <c:f>'What If Data'!$E$5</c:f>
              <c:strCache>
                <c:ptCount val="1"/>
                <c:pt idx="0">
                  <c:v>Adjusted FY18 Model Budget</c:v>
                </c:pt>
              </c:strCache>
            </c:strRef>
          </c:tx>
          <c:spPr>
            <a:solidFill>
              <a:schemeClr val="accent4"/>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Data'!$E$6:$E$20</c:f>
              <c:numCache>
                <c:formatCode>_(* #,##0_);_(* \(#,##0\);_(* "-"??_);_(@_)</c:formatCode>
                <c:ptCount val="15"/>
                <c:pt idx="0" formatCode="_(* #,##0_);_(* \(#,##0\);_(* &quot;-&quot;_);_(@_)">
                  <c:v>24306595.958287429</c:v>
                </c:pt>
                <c:pt idx="1">
                  <c:v>21766302.898492426</c:v>
                </c:pt>
                <c:pt idx="2">
                  <c:v>18959086.782090027</c:v>
                </c:pt>
                <c:pt idx="3" formatCode="_(* #,##0_);_(* \(#,##0\);_(* &quot;-&quot;_);_(@_)">
                  <c:v>44794677.217382081</c:v>
                </c:pt>
                <c:pt idx="4">
                  <c:v>5513657.0242793197</c:v>
                </c:pt>
                <c:pt idx="5">
                  <c:v>67801102.237237439</c:v>
                </c:pt>
                <c:pt idx="6" formatCode="_(* #,##0_);_(* \(#,##0\);_(* &quot;-&quot;_);_(@_)">
                  <c:v>9534064.2899717987</c:v>
                </c:pt>
                <c:pt idx="7">
                  <c:v>12713781.83332295</c:v>
                </c:pt>
                <c:pt idx="8">
                  <c:v>19700561.800000001</c:v>
                </c:pt>
                <c:pt idx="9" formatCode="_(* #,##0_);_(* \(#,##0\);_(* &quot;-&quot;_);_(@_)">
                  <c:v>44437127.901171856</c:v>
                </c:pt>
                <c:pt idx="10">
                  <c:v>26449266.98000063</c:v>
                </c:pt>
                <c:pt idx="12" formatCode="_(* #,##0_);_(* \(#,##0\);_(* &quot;-&quot;_);_(@_)">
                  <c:v>3042934.2942578932</c:v>
                </c:pt>
                <c:pt idx="13">
                  <c:v>11507822.71382935</c:v>
                </c:pt>
                <c:pt idx="14">
                  <c:v>974528.97029279219</c:v>
                </c:pt>
              </c:numCache>
            </c:numRef>
          </c:val>
          <c:extLst>
            <c:ext xmlns:c16="http://schemas.microsoft.com/office/drawing/2014/chart" uri="{C3380CC4-5D6E-409C-BE32-E72D297353CC}">
              <c16:uniqueId val="{00000003-6A87-CC40-9DC5-FF9883C9AE2C}"/>
            </c:ext>
          </c:extLst>
        </c:ser>
        <c:dLbls>
          <c:showLegendKey val="0"/>
          <c:showVal val="0"/>
          <c:showCatName val="0"/>
          <c:showSerName val="0"/>
          <c:showPercent val="0"/>
          <c:showBubbleSize val="0"/>
        </c:dLbls>
        <c:gapWidth val="219"/>
        <c:overlap val="-27"/>
        <c:axId val="2137333712"/>
        <c:axId val="2137337232"/>
      </c:barChart>
      <c:catAx>
        <c:axId val="213733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337232"/>
        <c:crosses val="autoZero"/>
        <c:auto val="1"/>
        <c:lblAlgn val="ctr"/>
        <c:lblOffset val="100"/>
        <c:noMultiLvlLbl val="0"/>
      </c:catAx>
      <c:valAx>
        <c:axId val="21373372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333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Dollar Change from original FY18 Model budget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'What If Data'!$F$5</c:f>
              <c:strCache>
                <c:ptCount val="1"/>
                <c:pt idx="0">
                  <c:v>Change</c:v>
                </c:pt>
              </c:strCache>
            </c:strRef>
          </c:tx>
          <c:spPr>
            <a:solidFill>
              <a:schemeClr val="accent1"/>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Data'!$F$6:$F$20</c:f>
              <c:numCache>
                <c:formatCode>_(* #,##0_);_(* \(#,##0\);_(* "-"??_);_(@_)</c:formatCode>
                <c:ptCount val="15"/>
                <c:pt idx="0" formatCode="_(* #,##0_);_(* \(#,##0\);_(* &quot;-&quot;_);_(@_)">
                  <c:v>-695162.801025033</c:v>
                </c:pt>
                <c:pt idx="1">
                  <c:v>1480965.125977762</c:v>
                </c:pt>
                <c:pt idx="2">
                  <c:v>4217883.8430233933</c:v>
                </c:pt>
                <c:pt idx="3" formatCode="_(* #,##0_);_(* \(#,##0\);_(* &quot;-&quot;_);_(@_)">
                  <c:v>-1128152.5854303017</c:v>
                </c:pt>
                <c:pt idx="4">
                  <c:v>683649.18789010681</c:v>
                </c:pt>
                <c:pt idx="5">
                  <c:v>3579023.5001897141</c:v>
                </c:pt>
                <c:pt idx="6" formatCode="_(* #,##0_);_(* \(#,##0\);_(* &quot;-&quot;_);_(@_)">
                  <c:v>187157.66167885624</c:v>
                </c:pt>
                <c:pt idx="7">
                  <c:v>40732.034842442721</c:v>
                </c:pt>
                <c:pt idx="8">
                  <c:v>-155759.78565514088</c:v>
                </c:pt>
                <c:pt idx="9" formatCode="_(* #,##0_);_(* \(#,##0\);_(* &quot;-&quot;_);_(@_)">
                  <c:v>2674648.3351931423</c:v>
                </c:pt>
                <c:pt idx="10">
                  <c:v>1587321.4142866023</c:v>
                </c:pt>
                <c:pt idx="12" formatCode="_(* #,##0_);_(* \(#,##0\);_(* &quot;-&quot;_);_(@_)">
                  <c:v>-33928.017217390239</c:v>
                </c:pt>
                <c:pt idx="13">
                  <c:v>175944.25984181836</c:v>
                </c:pt>
                <c:pt idx="14">
                  <c:v>-210750.77790595219</c:v>
                </c:pt>
              </c:numCache>
            </c:numRef>
          </c:val>
          <c:extLst>
            <c:ext xmlns:c16="http://schemas.microsoft.com/office/drawing/2014/chart" uri="{C3380CC4-5D6E-409C-BE32-E72D297353CC}">
              <c16:uniqueId val="{00000000-3565-D143-A4B5-314D49B4A4F8}"/>
            </c:ext>
          </c:extLst>
        </c:ser>
        <c:dLbls>
          <c:showLegendKey val="0"/>
          <c:showVal val="0"/>
          <c:showCatName val="0"/>
          <c:showSerName val="0"/>
          <c:showPercent val="0"/>
          <c:showBubbleSize val="0"/>
        </c:dLbls>
        <c:gapWidth val="219"/>
        <c:overlap val="-27"/>
        <c:axId val="2137386960"/>
        <c:axId val="2137390352"/>
      </c:barChart>
      <c:catAx>
        <c:axId val="213738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390352"/>
        <c:crosses val="autoZero"/>
        <c:auto val="1"/>
        <c:lblAlgn val="ctr"/>
        <c:lblOffset val="100"/>
        <c:noMultiLvlLbl val="0"/>
      </c:catAx>
      <c:valAx>
        <c:axId val="213739035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386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FY19 Initial BudgetMinus</a:t>
            </a:r>
            <a:r>
              <a:rPr lang="en-US" baseline="0"/>
              <a:t> FY18 Adjusted Initial Budget</a:t>
            </a:r>
          </a:p>
        </c:rich>
      </c:tx>
      <c:overlay val="0"/>
    </c:title>
    <c:autoTitleDeleted val="0"/>
    <c:plotArea>
      <c:layout/>
      <c:barChart>
        <c:barDir val="col"/>
        <c:grouping val="clustered"/>
        <c:varyColors val="0"/>
        <c:ser>
          <c:idx val="0"/>
          <c:order val="0"/>
          <c:invertIfNegative val="0"/>
          <c:cat>
            <c:strRef>
              <c:f>'Service and Support Allocation'!$AA$7:$AA$22</c:f>
              <c:strCache>
                <c:ptCount val="16"/>
                <c:pt idx="0">
                  <c:v>    Agricultural Sciences</c:v>
                </c:pt>
                <c:pt idx="1">
                  <c:v>    Business</c:v>
                </c:pt>
                <c:pt idx="2">
                  <c:v>    Engineering</c:v>
                </c:pt>
                <c:pt idx="3">
                  <c:v>    Forestry</c:v>
                </c:pt>
                <c:pt idx="4">
                  <c:v>    Public Health &amp; Human Sciences</c:v>
                </c:pt>
                <c:pt idx="5">
                  <c:v>    Education</c:v>
                </c:pt>
                <c:pt idx="6">
                  <c:v>    Liberal Arts</c:v>
                </c:pt>
                <c:pt idx="7">
                  <c:v>    Earth, Oceanic &amp; Atmospheric Sciences</c:v>
                </c:pt>
                <c:pt idx="8">
                  <c:v>    Pharmacy</c:v>
                </c:pt>
                <c:pt idx="9">
                  <c:v>    Science</c:v>
                </c:pt>
                <c:pt idx="10">
                  <c:v>    Veterinary Medicine</c:v>
                </c:pt>
                <c:pt idx="11">
                  <c:v>    University Honors College</c:v>
                </c:pt>
                <c:pt idx="12">
                  <c:v>Interdisciplinary Graduate Programs</c:v>
                </c:pt>
                <c:pt idx="13">
                  <c:v>    Research (Centers / Institutes / Programs)</c:v>
                </c:pt>
                <c:pt idx="14">
                  <c:v>    Extended Campus</c:v>
                </c:pt>
                <c:pt idx="15">
                  <c:v>    Research Equipment Reserve</c:v>
                </c:pt>
              </c:strCache>
            </c:strRef>
          </c:cat>
          <c:val>
            <c:numRef>
              <c:f>'Service and Support Allocation'!$AD$7:$AD$22</c:f>
              <c:numCache>
                <c:formatCode>_(* #,##0_);_(* \(#,##0\);_(* "-"??_);_(@_)</c:formatCode>
                <c:ptCount val="16"/>
                <c:pt idx="0">
                  <c:v>-508963.04171257094</c:v>
                </c:pt>
                <c:pt idx="1">
                  <c:v>1303880.8984924257</c:v>
                </c:pt>
                <c:pt idx="2">
                  <c:v>3579023.2372374386</c:v>
                </c:pt>
                <c:pt idx="3">
                  <c:v>178464.28997179866</c:v>
                </c:pt>
                <c:pt idx="4">
                  <c:v>-739632.19999999925</c:v>
                </c:pt>
                <c:pt idx="5">
                  <c:v>683649.02427931968</c:v>
                </c:pt>
                <c:pt idx="6">
                  <c:v>-1128152.7826179191</c:v>
                </c:pt>
                <c:pt idx="7">
                  <c:v>4127091.7820900269</c:v>
                </c:pt>
                <c:pt idx="8">
                  <c:v>-23616.166677050292</c:v>
                </c:pt>
                <c:pt idx="9">
                  <c:v>2323326.9011718556</c:v>
                </c:pt>
                <c:pt idx="10">
                  <c:v>1539849.98000063</c:v>
                </c:pt>
                <c:pt idx="11">
                  <c:v>202970.29425789323</c:v>
                </c:pt>
                <c:pt idx="12">
                  <c:v>136134.97029279219</c:v>
                </c:pt>
                <c:pt idx="13">
                  <c:v>153778.71382934973</c:v>
                </c:pt>
                <c:pt idx="14">
                  <c:v>1435115</c:v>
                </c:pt>
                <c:pt idx="15">
                  <c:v>144000</c:v>
                </c:pt>
              </c:numCache>
            </c:numRef>
          </c:val>
          <c:extLst>
            <c:ext xmlns:c16="http://schemas.microsoft.com/office/drawing/2014/chart" uri="{C3380CC4-5D6E-409C-BE32-E72D297353CC}">
              <c16:uniqueId val="{00000000-3889-E84E-BC21-5084553731A0}"/>
            </c:ext>
          </c:extLst>
        </c:ser>
        <c:dLbls>
          <c:showLegendKey val="0"/>
          <c:showVal val="0"/>
          <c:showCatName val="0"/>
          <c:showSerName val="0"/>
          <c:showPercent val="0"/>
          <c:showBubbleSize val="0"/>
        </c:dLbls>
        <c:gapWidth val="150"/>
        <c:axId val="2135662224"/>
        <c:axId val="2135665168"/>
      </c:barChart>
      <c:catAx>
        <c:axId val="2135662224"/>
        <c:scaling>
          <c:orientation val="minMax"/>
        </c:scaling>
        <c:delete val="0"/>
        <c:axPos val="b"/>
        <c:numFmt formatCode="General" sourceLinked="0"/>
        <c:majorTickMark val="out"/>
        <c:minorTickMark val="none"/>
        <c:tickLblPos val="nextTo"/>
        <c:crossAx val="2135665168"/>
        <c:crosses val="autoZero"/>
        <c:auto val="1"/>
        <c:lblAlgn val="ctr"/>
        <c:lblOffset val="100"/>
        <c:noMultiLvlLbl val="0"/>
      </c:catAx>
      <c:valAx>
        <c:axId val="2135665168"/>
        <c:scaling>
          <c:orientation val="minMax"/>
        </c:scaling>
        <c:delete val="0"/>
        <c:axPos val="l"/>
        <c:majorGridlines/>
        <c:numFmt formatCode="_(* #,##0_);_(* \(#,##0\);_(* &quot;-&quot;??_);_(@_)" sourceLinked="1"/>
        <c:majorTickMark val="out"/>
        <c:minorTickMark val="none"/>
        <c:tickLblPos val="nextTo"/>
        <c:crossAx val="2135662224"/>
        <c:crosses val="autoZero"/>
        <c:crossBetween val="between"/>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'Service and Support Allocation'!$AA$32:$AA$53</c:f>
              <c:strCache>
                <c:ptCount val="22"/>
                <c:pt idx="0">
                  <c:v>    Summer Session</c:v>
                </c:pt>
                <c:pt idx="1">
                  <c:v>    International Programs </c:v>
                </c:pt>
                <c:pt idx="2">
                  <c:v>    University Libraries</c:v>
                </c:pt>
                <c:pt idx="3">
                  <c:v>    Office of the President</c:v>
                </c:pt>
                <c:pt idx="4">
                  <c:v>Athletics</c:v>
                </c:pt>
                <c:pt idx="5">
                  <c:v>    University Relations &amp; Marketing</c:v>
                </c:pt>
                <c:pt idx="6">
                  <c:v>    Provost</c:v>
                </c:pt>
                <c:pt idx="7">
                  <c:v>    Provost - Pass-through</c:v>
                </c:pt>
                <c:pt idx="8">
                  <c:v>    Enrollment Management</c:v>
                </c:pt>
                <c:pt idx="9">
                  <c:v>Undergraduate Studies</c:v>
                </c:pt>
                <c:pt idx="10">
                  <c:v>    Academic Affairs</c:v>
                </c:pt>
                <c:pt idx="11">
                  <c:v>    Information Services </c:v>
                </c:pt>
                <c:pt idx="12">
                  <c:v>    Graduate SchoolAdministration</c:v>
                </c:pt>
                <c:pt idx="13">
                  <c:v>    Outreach &amp; Engagement</c:v>
                </c:pt>
                <c:pt idx="14">
                  <c:v>    Research Administration</c:v>
                </c:pt>
                <c:pt idx="15">
                  <c:v>    Student Affairs</c:v>
                </c:pt>
                <c:pt idx="16">
                  <c:v>    University Business Centers    </c:v>
                </c:pt>
                <c:pt idx="17">
                  <c:v>    Finance and Administration</c:v>
                </c:pt>
                <c:pt idx="18">
                  <c:v>    Facilities Services</c:v>
                </c:pt>
                <c:pt idx="19">
                  <c:v>    Risk Management</c:v>
                </c:pt>
                <c:pt idx="20">
                  <c:v>Capital Planning and Development</c:v>
                </c:pt>
                <c:pt idx="21">
                  <c:v>    Energy Operations</c:v>
                </c:pt>
              </c:strCache>
            </c:strRef>
          </c:cat>
          <c:val>
            <c:numRef>
              <c:f>'Service and Support Allocation'!$AB$32:$AB$53</c:f>
              <c:numCache>
                <c:formatCode>_(* #,##0_);_(* \(#,##0\);_(* "-"??_);_(@_)</c:formatCode>
                <c:ptCount val="22"/>
                <c:pt idx="0">
                  <c:v>0</c:v>
                </c:pt>
                <c:pt idx="1">
                  <c:v>832979</c:v>
                </c:pt>
                <c:pt idx="2">
                  <c:v>15220117</c:v>
                </c:pt>
                <c:pt idx="3">
                  <c:v>9171367.5362330936</c:v>
                </c:pt>
                <c:pt idx="4">
                  <c:v>7340700</c:v>
                </c:pt>
                <c:pt idx="5">
                  <c:v>4197208</c:v>
                </c:pt>
                <c:pt idx="6">
                  <c:v>1555540</c:v>
                </c:pt>
                <c:pt idx="7">
                  <c:v>3013719</c:v>
                </c:pt>
                <c:pt idx="8">
                  <c:v>10531320</c:v>
                </c:pt>
                <c:pt idx="9">
                  <c:v>7001064</c:v>
                </c:pt>
                <c:pt idx="10">
                  <c:v>1930650</c:v>
                </c:pt>
                <c:pt idx="11">
                  <c:v>24224945</c:v>
                </c:pt>
                <c:pt idx="12">
                  <c:v>5052176</c:v>
                </c:pt>
                <c:pt idx="13">
                  <c:v>1559284</c:v>
                </c:pt>
                <c:pt idx="14">
                  <c:v>7933343</c:v>
                </c:pt>
                <c:pt idx="15">
                  <c:v>13106471.275</c:v>
                </c:pt>
                <c:pt idx="16">
                  <c:v>12171097</c:v>
                </c:pt>
                <c:pt idx="17">
                  <c:v>26772193</c:v>
                </c:pt>
                <c:pt idx="18">
                  <c:v>19057926</c:v>
                </c:pt>
                <c:pt idx="19">
                  <c:v>3842928</c:v>
                </c:pt>
                <c:pt idx="20">
                  <c:v>2435948</c:v>
                </c:pt>
                <c:pt idx="21">
                  <c:v>12406376</c:v>
                </c:pt>
              </c:numCache>
            </c:numRef>
          </c:val>
          <c:extLst>
            <c:ext xmlns:c16="http://schemas.microsoft.com/office/drawing/2014/chart" uri="{C3380CC4-5D6E-409C-BE32-E72D297353CC}">
              <c16:uniqueId val="{00000000-A976-7E4B-9B88-E54176E979A4}"/>
            </c:ext>
          </c:extLst>
        </c:ser>
        <c:ser>
          <c:idx val="1"/>
          <c:order val="1"/>
          <c:invertIfNegative val="0"/>
          <c:cat>
            <c:strRef>
              <c:f>'Service and Support Allocation'!$AA$32:$AA$53</c:f>
              <c:strCache>
                <c:ptCount val="22"/>
                <c:pt idx="0">
                  <c:v>    Summer Session</c:v>
                </c:pt>
                <c:pt idx="1">
                  <c:v>    International Programs </c:v>
                </c:pt>
                <c:pt idx="2">
                  <c:v>    University Libraries</c:v>
                </c:pt>
                <c:pt idx="3">
                  <c:v>    Office of the President</c:v>
                </c:pt>
                <c:pt idx="4">
                  <c:v>Athletics</c:v>
                </c:pt>
                <c:pt idx="5">
                  <c:v>    University Relations &amp; Marketing</c:v>
                </c:pt>
                <c:pt idx="6">
                  <c:v>    Provost</c:v>
                </c:pt>
                <c:pt idx="7">
                  <c:v>    Provost - Pass-through</c:v>
                </c:pt>
                <c:pt idx="8">
                  <c:v>    Enrollment Management</c:v>
                </c:pt>
                <c:pt idx="9">
                  <c:v>Undergraduate Studies</c:v>
                </c:pt>
                <c:pt idx="10">
                  <c:v>    Academic Affairs</c:v>
                </c:pt>
                <c:pt idx="11">
                  <c:v>    Information Services </c:v>
                </c:pt>
                <c:pt idx="12">
                  <c:v>    Graduate SchoolAdministration</c:v>
                </c:pt>
                <c:pt idx="13">
                  <c:v>    Outreach &amp; Engagement</c:v>
                </c:pt>
                <c:pt idx="14">
                  <c:v>    Research Administration</c:v>
                </c:pt>
                <c:pt idx="15">
                  <c:v>    Student Affairs</c:v>
                </c:pt>
                <c:pt idx="16">
                  <c:v>    University Business Centers    </c:v>
                </c:pt>
                <c:pt idx="17">
                  <c:v>    Finance and Administration</c:v>
                </c:pt>
                <c:pt idx="18">
                  <c:v>    Facilities Services</c:v>
                </c:pt>
                <c:pt idx="19">
                  <c:v>    Risk Management</c:v>
                </c:pt>
                <c:pt idx="20">
                  <c:v>Capital Planning and Development</c:v>
                </c:pt>
                <c:pt idx="21">
                  <c:v>    Energy Operations</c:v>
                </c:pt>
              </c:strCache>
            </c:strRef>
          </c:cat>
          <c:val>
            <c:numRef>
              <c:f>'Service and Support Allocation'!$AC$32:$AC$53</c:f>
              <c:numCache>
                <c:formatCode>_(* #,##0_);_(* \(#,##0\);_(* "-"??_);_(@_)</c:formatCode>
                <c:ptCount val="22"/>
                <c:pt idx="0">
                  <c:v>543366</c:v>
                </c:pt>
                <c:pt idx="1">
                  <c:v>4706010</c:v>
                </c:pt>
                <c:pt idx="2">
                  <c:v>14579961</c:v>
                </c:pt>
                <c:pt idx="3">
                  <c:v>8383602</c:v>
                </c:pt>
                <c:pt idx="4">
                  <c:v>5500000</c:v>
                </c:pt>
                <c:pt idx="5">
                  <c:v>4019773</c:v>
                </c:pt>
                <c:pt idx="6">
                  <c:v>1435806</c:v>
                </c:pt>
                <c:pt idx="7">
                  <c:v>2953610</c:v>
                </c:pt>
                <c:pt idx="8">
                  <c:v>9724870</c:v>
                </c:pt>
                <c:pt idx="9">
                  <c:v>5000049</c:v>
                </c:pt>
                <c:pt idx="10">
                  <c:v>3643184</c:v>
                </c:pt>
                <c:pt idx="11">
                  <c:v>19774660</c:v>
                </c:pt>
                <c:pt idx="12">
                  <c:v>4501875</c:v>
                </c:pt>
                <c:pt idx="13">
                  <c:v>1522413</c:v>
                </c:pt>
                <c:pt idx="14">
                  <c:v>7580439</c:v>
                </c:pt>
                <c:pt idx="15">
                  <c:v>7705927</c:v>
                </c:pt>
                <c:pt idx="16">
                  <c:v>12025835</c:v>
                </c:pt>
                <c:pt idx="17">
                  <c:v>25520328</c:v>
                </c:pt>
                <c:pt idx="18">
                  <c:v>17684064</c:v>
                </c:pt>
                <c:pt idx="19">
                  <c:v>3700133</c:v>
                </c:pt>
                <c:pt idx="20">
                  <c:v>2369903</c:v>
                </c:pt>
                <c:pt idx="21">
                  <c:v>12372914</c:v>
                </c:pt>
              </c:numCache>
            </c:numRef>
          </c:val>
          <c:extLst>
            <c:ext xmlns:c16="http://schemas.microsoft.com/office/drawing/2014/chart" uri="{C3380CC4-5D6E-409C-BE32-E72D297353CC}">
              <c16:uniqueId val="{00000001-A976-7E4B-9B88-E54176E979A4}"/>
            </c:ext>
          </c:extLst>
        </c:ser>
        <c:dLbls>
          <c:showLegendKey val="0"/>
          <c:showVal val="0"/>
          <c:showCatName val="0"/>
          <c:showSerName val="0"/>
          <c:showPercent val="0"/>
          <c:showBubbleSize val="0"/>
        </c:dLbls>
        <c:gapWidth val="150"/>
        <c:axId val="2135711728"/>
        <c:axId val="2135714784"/>
      </c:barChart>
      <c:catAx>
        <c:axId val="2135711728"/>
        <c:scaling>
          <c:orientation val="minMax"/>
        </c:scaling>
        <c:delete val="0"/>
        <c:axPos val="b"/>
        <c:numFmt formatCode="General" sourceLinked="0"/>
        <c:majorTickMark val="out"/>
        <c:minorTickMark val="none"/>
        <c:tickLblPos val="nextTo"/>
        <c:crossAx val="2135714784"/>
        <c:crosses val="autoZero"/>
        <c:auto val="1"/>
        <c:lblAlgn val="ctr"/>
        <c:lblOffset val="100"/>
        <c:noMultiLvlLbl val="0"/>
      </c:catAx>
      <c:valAx>
        <c:axId val="2135714784"/>
        <c:scaling>
          <c:orientation val="minMax"/>
        </c:scaling>
        <c:delete val="0"/>
        <c:axPos val="l"/>
        <c:majorGridlines/>
        <c:numFmt formatCode="_(* #,##0_);_(* \(#,##0\);_(* &quot;-&quot;??_);_(@_)" sourceLinked="1"/>
        <c:majorTickMark val="out"/>
        <c:minorTickMark val="none"/>
        <c:tickLblPos val="nextTo"/>
        <c:crossAx val="2135711728"/>
        <c:crosses val="autoZero"/>
        <c:crossBetween val="between"/>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FY19 Initial Budget minus FY18 Initial</a:t>
            </a:r>
            <a:r>
              <a:rPr lang="en-US" baseline="0"/>
              <a:t> Adjusted Budget</a:t>
            </a:r>
          </a:p>
        </c:rich>
      </c:tx>
      <c:overlay val="0"/>
    </c:title>
    <c:autoTitleDeleted val="0"/>
    <c:plotArea>
      <c:layout/>
      <c:barChart>
        <c:barDir val="col"/>
        <c:grouping val="clustered"/>
        <c:varyColors val="0"/>
        <c:ser>
          <c:idx val="0"/>
          <c:order val="0"/>
          <c:invertIfNegative val="0"/>
          <c:cat>
            <c:strRef>
              <c:f>'Service and Support Allocation'!$AA$35:$AA$53</c:f>
              <c:strCache>
                <c:ptCount val="19"/>
                <c:pt idx="0">
                  <c:v>    Office of the President</c:v>
                </c:pt>
                <c:pt idx="1">
                  <c:v>Athletics</c:v>
                </c:pt>
                <c:pt idx="2">
                  <c:v>    University Relations &amp; Marketing</c:v>
                </c:pt>
                <c:pt idx="3">
                  <c:v>    Provost</c:v>
                </c:pt>
                <c:pt idx="4">
                  <c:v>    Provost - Pass-through</c:v>
                </c:pt>
                <c:pt idx="5">
                  <c:v>    Enrollment Management</c:v>
                </c:pt>
                <c:pt idx="6">
                  <c:v>Undergraduate Studies</c:v>
                </c:pt>
                <c:pt idx="7">
                  <c:v>    Academic Affairs</c:v>
                </c:pt>
                <c:pt idx="8">
                  <c:v>    Information Services </c:v>
                </c:pt>
                <c:pt idx="9">
                  <c:v>    Graduate SchoolAdministration</c:v>
                </c:pt>
                <c:pt idx="10">
                  <c:v>    Outreach &amp; Engagement</c:v>
                </c:pt>
                <c:pt idx="11">
                  <c:v>    Research Administration</c:v>
                </c:pt>
                <c:pt idx="12">
                  <c:v>    Student Affairs</c:v>
                </c:pt>
                <c:pt idx="13">
                  <c:v>    University Business Centers    </c:v>
                </c:pt>
                <c:pt idx="14">
                  <c:v>    Finance and Administration</c:v>
                </c:pt>
                <c:pt idx="15">
                  <c:v>    Facilities Services</c:v>
                </c:pt>
                <c:pt idx="16">
                  <c:v>    Risk Management</c:v>
                </c:pt>
                <c:pt idx="17">
                  <c:v>Capital Planning and Development</c:v>
                </c:pt>
                <c:pt idx="18">
                  <c:v>    Energy Operations</c:v>
                </c:pt>
              </c:strCache>
            </c:strRef>
          </c:cat>
          <c:val>
            <c:numRef>
              <c:f>'Service and Support Allocation'!$AD$35:$AD$53</c:f>
              <c:numCache>
                <c:formatCode>_(* #,##0_);_(* \(#,##0\);_(* "-"??_);_(@_)</c:formatCode>
                <c:ptCount val="19"/>
                <c:pt idx="0">
                  <c:v>787765.53623309359</c:v>
                </c:pt>
                <c:pt idx="2">
                  <c:v>177435</c:v>
                </c:pt>
                <c:pt idx="3">
                  <c:v>119734</c:v>
                </c:pt>
                <c:pt idx="4">
                  <c:v>60109</c:v>
                </c:pt>
                <c:pt idx="5">
                  <c:v>806450</c:v>
                </c:pt>
                <c:pt idx="6">
                  <c:v>2001015</c:v>
                </c:pt>
                <c:pt idx="7">
                  <c:v>-1712534</c:v>
                </c:pt>
                <c:pt idx="8">
                  <c:v>4450285</c:v>
                </c:pt>
                <c:pt idx="9">
                  <c:v>550301</c:v>
                </c:pt>
                <c:pt idx="10">
                  <c:v>36871</c:v>
                </c:pt>
                <c:pt idx="11">
                  <c:v>352904</c:v>
                </c:pt>
                <c:pt idx="12">
                  <c:v>5400544.2750000004</c:v>
                </c:pt>
                <c:pt idx="13">
                  <c:v>145262</c:v>
                </c:pt>
                <c:pt idx="14">
                  <c:v>1251865</c:v>
                </c:pt>
                <c:pt idx="15">
                  <c:v>1373862</c:v>
                </c:pt>
                <c:pt idx="16">
                  <c:v>142795</c:v>
                </c:pt>
                <c:pt idx="17">
                  <c:v>66045</c:v>
                </c:pt>
                <c:pt idx="18">
                  <c:v>33462</c:v>
                </c:pt>
              </c:numCache>
            </c:numRef>
          </c:val>
          <c:extLst>
            <c:ext xmlns:c16="http://schemas.microsoft.com/office/drawing/2014/chart" uri="{C3380CC4-5D6E-409C-BE32-E72D297353CC}">
              <c16:uniqueId val="{00000000-3C2C-1D4B-A4A0-AE25EAB3DE70}"/>
            </c:ext>
          </c:extLst>
        </c:ser>
        <c:dLbls>
          <c:showLegendKey val="0"/>
          <c:showVal val="0"/>
          <c:showCatName val="0"/>
          <c:showSerName val="0"/>
          <c:showPercent val="0"/>
          <c:showBubbleSize val="0"/>
        </c:dLbls>
        <c:gapWidth val="150"/>
        <c:axId val="2135741056"/>
        <c:axId val="2135744048"/>
      </c:barChart>
      <c:catAx>
        <c:axId val="2135741056"/>
        <c:scaling>
          <c:orientation val="minMax"/>
        </c:scaling>
        <c:delete val="0"/>
        <c:axPos val="b"/>
        <c:numFmt formatCode="General" sourceLinked="0"/>
        <c:majorTickMark val="out"/>
        <c:minorTickMark val="none"/>
        <c:tickLblPos val="nextTo"/>
        <c:crossAx val="2135744048"/>
        <c:crosses val="autoZero"/>
        <c:auto val="1"/>
        <c:lblAlgn val="ctr"/>
        <c:lblOffset val="1000"/>
        <c:noMultiLvlLbl val="0"/>
      </c:catAx>
      <c:valAx>
        <c:axId val="2135744048"/>
        <c:scaling>
          <c:orientation val="minMax"/>
          <c:max val="2000000"/>
          <c:min val="-2000000"/>
        </c:scaling>
        <c:delete val="0"/>
        <c:axPos val="l"/>
        <c:majorGridlines/>
        <c:numFmt formatCode="_(* #,##0_);_(* \(#,##0\);_(* &quot;-&quot;??_);_(@_)" sourceLinked="1"/>
        <c:majorTickMark val="out"/>
        <c:minorTickMark val="none"/>
        <c:tickLblPos val="nextTo"/>
        <c:crossAx val="2135741056"/>
        <c:crosses val="autoZero"/>
        <c:crossBetween val="between"/>
      </c:valAx>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200"/>
              <a:t>Distribution of undergrad completion pool</a:t>
            </a:r>
          </a:p>
        </c:rich>
      </c:tx>
      <c:overlay val="0"/>
    </c:title>
    <c:autoTitleDeleted val="0"/>
    <c:plotArea>
      <c:layout/>
      <c:scatterChart>
        <c:scatterStyle val="lineMarker"/>
        <c:varyColors val="0"/>
        <c:ser>
          <c:idx val="0"/>
          <c:order val="0"/>
          <c:spPr>
            <a:ln w="47625">
              <a:noFill/>
            </a:ln>
          </c:spPr>
          <c:trendline>
            <c:trendlineType val="linear"/>
            <c:dispRSqr val="0"/>
            <c:dispEq val="0"/>
          </c:trendline>
          <c:xVal>
            <c:numRef>
              <c:f>'Undergrad Completions'!$G$70:$G$81</c:f>
              <c:numCache>
                <c:formatCode>0.00%</c:formatCode>
                <c:ptCount val="12"/>
                <c:pt idx="0">
                  <c:v>0.1111700646409776</c:v>
                </c:pt>
                <c:pt idx="1">
                  <c:v>0.11796954198604209</c:v>
                </c:pt>
                <c:pt idx="2">
                  <c:v>9.3038186477081373E-3</c:v>
                </c:pt>
                <c:pt idx="3">
                  <c:v>3.2539224935328535E-2</c:v>
                </c:pt>
                <c:pt idx="4">
                  <c:v>0</c:v>
                </c:pt>
                <c:pt idx="5">
                  <c:v>0.11369328787377328</c:v>
                </c:pt>
                <c:pt idx="6">
                  <c:v>0</c:v>
                </c:pt>
                <c:pt idx="7">
                  <c:v>0.16114138581469345</c:v>
                </c:pt>
                <c:pt idx="8">
                  <c:v>0</c:v>
                </c:pt>
                <c:pt idx="9">
                  <c:v>0.28470475739057727</c:v>
                </c:pt>
                <c:pt idx="10">
                  <c:v>0.11506199058604138</c:v>
                </c:pt>
                <c:pt idx="11">
                  <c:v>2.5337328833405642E-2</c:v>
                </c:pt>
              </c:numCache>
            </c:numRef>
          </c:xVal>
          <c:yVal>
            <c:numRef>
              <c:f>'Undergrad Completions'!$H$70:$H$81</c:f>
              <c:numCache>
                <c:formatCode>0.00%</c:formatCode>
                <c:ptCount val="12"/>
                <c:pt idx="0">
                  <c:v>8.325843903584014E-2</c:v>
                </c:pt>
                <c:pt idx="1">
                  <c:v>0.13126825994232649</c:v>
                </c:pt>
                <c:pt idx="2">
                  <c:v>1.2223902294771561E-3</c:v>
                </c:pt>
                <c:pt idx="3">
                  <c:v>2.6022018721686579E-2</c:v>
                </c:pt>
                <c:pt idx="4">
                  <c:v>0</c:v>
                </c:pt>
                <c:pt idx="5">
                  <c:v>0.14908175758155912</c:v>
                </c:pt>
                <c:pt idx="6">
                  <c:v>0</c:v>
                </c:pt>
                <c:pt idx="7">
                  <c:v>0.13635028007358369</c:v>
                </c:pt>
                <c:pt idx="8">
                  <c:v>0</c:v>
                </c:pt>
                <c:pt idx="9">
                  <c:v>0.36600593204849652</c:v>
                </c:pt>
                <c:pt idx="10">
                  <c:v>9.2252113634749097E-2</c:v>
                </c:pt>
                <c:pt idx="11">
                  <c:v>1.4538808732281146E-2</c:v>
                </c:pt>
              </c:numCache>
            </c:numRef>
          </c:yVal>
          <c:smooth val="0"/>
          <c:extLst>
            <c:ext xmlns:c16="http://schemas.microsoft.com/office/drawing/2014/chart" uri="{C3380CC4-5D6E-409C-BE32-E72D297353CC}">
              <c16:uniqueId val="{00000001-EBD2-BC48-BD74-A87018B639B4}"/>
            </c:ext>
          </c:extLst>
        </c:ser>
        <c:dLbls>
          <c:showLegendKey val="0"/>
          <c:showVal val="0"/>
          <c:showCatName val="0"/>
          <c:showSerName val="0"/>
          <c:showPercent val="0"/>
          <c:showBubbleSize val="0"/>
        </c:dLbls>
        <c:axId val="2135037488"/>
        <c:axId val="2135032624"/>
      </c:scatterChart>
      <c:valAx>
        <c:axId val="2135037488"/>
        <c:scaling>
          <c:orientation val="minMax"/>
        </c:scaling>
        <c:delete val="0"/>
        <c:axPos val="b"/>
        <c:title>
          <c:tx>
            <c:rich>
              <a:bodyPr/>
              <a:lstStyle/>
              <a:p>
                <a:pPr>
                  <a:defRPr sz="1200"/>
                </a:pPr>
                <a:r>
                  <a:rPr lang="en-US" sz="1200"/>
                  <a:t>Share of Weighted Degrees</a:t>
                </a:r>
              </a:p>
            </c:rich>
          </c:tx>
          <c:overlay val="0"/>
        </c:title>
        <c:numFmt formatCode="0.00%" sourceLinked="1"/>
        <c:majorTickMark val="none"/>
        <c:minorTickMark val="none"/>
        <c:tickLblPos val="nextTo"/>
        <c:crossAx val="2135032624"/>
        <c:crosses val="autoZero"/>
        <c:crossBetween val="midCat"/>
      </c:valAx>
      <c:valAx>
        <c:axId val="2135032624"/>
        <c:scaling>
          <c:orientation val="minMax"/>
        </c:scaling>
        <c:delete val="0"/>
        <c:axPos val="l"/>
        <c:majorGridlines/>
        <c:title>
          <c:tx>
            <c:rich>
              <a:bodyPr/>
              <a:lstStyle/>
              <a:p>
                <a:pPr>
                  <a:defRPr sz="1200"/>
                </a:pPr>
                <a:r>
                  <a:rPr lang="en-US" sz="1200"/>
                  <a:t>Share of Weight UD SCH</a:t>
                </a:r>
              </a:p>
              <a:p>
                <a:pPr>
                  <a:defRPr sz="1200"/>
                </a:pPr>
                <a:endParaRPr lang="en-US" sz="1200"/>
              </a:p>
            </c:rich>
          </c:tx>
          <c:overlay val="0"/>
        </c:title>
        <c:numFmt formatCode="0.00%" sourceLinked="1"/>
        <c:majorTickMark val="none"/>
        <c:minorTickMark val="none"/>
        <c:tickLblPos val="nextTo"/>
        <c:crossAx val="2135037488"/>
        <c:crosses val="autoZero"/>
        <c:crossBetween val="midCat"/>
      </c:valAx>
    </c:plotArea>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Shares of Graduate Completion</a:t>
            </a:r>
            <a:r>
              <a:rPr lang="en-US" baseline="0"/>
              <a:t> Pool</a:t>
            </a:r>
            <a:endParaRPr lang="en-US"/>
          </a:p>
        </c:rich>
      </c:tx>
      <c:overlay val="0"/>
    </c:title>
    <c:autoTitleDeleted val="0"/>
    <c:plotArea>
      <c:layout/>
      <c:scatterChart>
        <c:scatterStyle val="lineMarker"/>
        <c:varyColors val="0"/>
        <c:ser>
          <c:idx val="0"/>
          <c:order val="0"/>
          <c:spPr>
            <a:ln w="47625">
              <a:noFill/>
            </a:ln>
          </c:spPr>
          <c:xVal>
            <c:numRef>
              <c:f>'Graduate Completions'!$B$114:$B$125</c:f>
              <c:numCache>
                <c:formatCode>0.00%</c:formatCode>
                <c:ptCount val="12"/>
                <c:pt idx="0">
                  <c:v>9.4833873797776802E-2</c:v>
                </c:pt>
                <c:pt idx="1">
                  <c:v>5.7250583117219998E-2</c:v>
                </c:pt>
                <c:pt idx="2">
                  <c:v>5.4455692734227824E-2</c:v>
                </c:pt>
                <c:pt idx="3">
                  <c:v>5.1097055678951765E-2</c:v>
                </c:pt>
                <c:pt idx="4">
                  <c:v>7.8050046147617402E-2</c:v>
                </c:pt>
                <c:pt idx="5">
                  <c:v>8.7183926762135183E-2</c:v>
                </c:pt>
                <c:pt idx="6">
                  <c:v>1.576996724581262E-2</c:v>
                </c:pt>
                <c:pt idx="7">
                  <c:v>6.8428328877081876E-2</c:v>
                </c:pt>
                <c:pt idx="8">
                  <c:v>4.9542720688346545E-2</c:v>
                </c:pt>
                <c:pt idx="9">
                  <c:v>0.32031497949229226</c:v>
                </c:pt>
                <c:pt idx="10">
                  <c:v>6.9544807570035505E-2</c:v>
                </c:pt>
                <c:pt idx="11">
                  <c:v>5.3528017888502172E-2</c:v>
                </c:pt>
              </c:numCache>
            </c:numRef>
          </c:xVal>
          <c:yVal>
            <c:numRef>
              <c:f>'Graduate Completions'!$C$114:$C$125</c:f>
              <c:numCache>
                <c:formatCode>0.00%</c:formatCode>
                <c:ptCount val="12"/>
                <c:pt idx="0">
                  <c:v>8.8263045101216117E-2</c:v>
                </c:pt>
                <c:pt idx="1">
                  <c:v>2.2976840995741318E-2</c:v>
                </c:pt>
                <c:pt idx="2">
                  <c:v>5.8494961336242749E-3</c:v>
                </c:pt>
                <c:pt idx="3">
                  <c:v>2.85228723981613E-2</c:v>
                </c:pt>
                <c:pt idx="4">
                  <c:v>0.16249953405643225</c:v>
                </c:pt>
                <c:pt idx="5">
                  <c:v>0.12669379871528733</c:v>
                </c:pt>
                <c:pt idx="6">
                  <c:v>2.40224426231576E-2</c:v>
                </c:pt>
                <c:pt idx="7">
                  <c:v>5.1649472191832115E-2</c:v>
                </c:pt>
                <c:pt idx="8">
                  <c:v>0.11182705133679074</c:v>
                </c:pt>
                <c:pt idx="9">
                  <c:v>0.28777585758534879</c:v>
                </c:pt>
                <c:pt idx="10">
                  <c:v>5.1155155761148957E-2</c:v>
                </c:pt>
                <c:pt idx="11">
                  <c:v>3.8764433101259106E-2</c:v>
                </c:pt>
              </c:numCache>
            </c:numRef>
          </c:yVal>
          <c:smooth val="0"/>
          <c:extLst>
            <c:ext xmlns:c16="http://schemas.microsoft.com/office/drawing/2014/chart" uri="{C3380CC4-5D6E-409C-BE32-E72D297353CC}">
              <c16:uniqueId val="{00000000-F4E8-0B4E-BE4D-A9ACECCAD2F0}"/>
            </c:ext>
          </c:extLst>
        </c:ser>
        <c:dLbls>
          <c:showLegendKey val="0"/>
          <c:showVal val="0"/>
          <c:showCatName val="0"/>
          <c:showSerName val="0"/>
          <c:showPercent val="0"/>
          <c:showBubbleSize val="0"/>
        </c:dLbls>
        <c:axId val="2134982160"/>
        <c:axId val="2134977200"/>
      </c:scatterChart>
      <c:valAx>
        <c:axId val="2134982160"/>
        <c:scaling>
          <c:orientation val="minMax"/>
        </c:scaling>
        <c:delete val="0"/>
        <c:axPos val="b"/>
        <c:title>
          <c:tx>
            <c:rich>
              <a:bodyPr/>
              <a:lstStyle/>
              <a:p>
                <a:pPr>
                  <a:defRPr/>
                </a:pPr>
                <a:r>
                  <a:rPr lang="en-US"/>
                  <a:t>Shares by Degrees</a:t>
                </a:r>
              </a:p>
            </c:rich>
          </c:tx>
          <c:overlay val="0"/>
        </c:title>
        <c:numFmt formatCode="0.00%" sourceLinked="1"/>
        <c:majorTickMark val="none"/>
        <c:minorTickMark val="none"/>
        <c:tickLblPos val="nextTo"/>
        <c:crossAx val="2134977200"/>
        <c:crosses val="autoZero"/>
        <c:crossBetween val="midCat"/>
      </c:valAx>
      <c:valAx>
        <c:axId val="2134977200"/>
        <c:scaling>
          <c:orientation val="minMax"/>
        </c:scaling>
        <c:delete val="0"/>
        <c:axPos val="l"/>
        <c:majorGridlines/>
        <c:title>
          <c:tx>
            <c:rich>
              <a:bodyPr/>
              <a:lstStyle/>
              <a:p>
                <a:pPr>
                  <a:defRPr/>
                </a:pPr>
                <a:r>
                  <a:rPr lang="en-US"/>
                  <a:t>Shares by Credit Hours</a:t>
                </a:r>
              </a:p>
              <a:p>
                <a:pPr>
                  <a:defRPr/>
                </a:pPr>
                <a:endParaRPr lang="en-US"/>
              </a:p>
            </c:rich>
          </c:tx>
          <c:overlay val="0"/>
        </c:title>
        <c:numFmt formatCode="0.00%" sourceLinked="1"/>
        <c:majorTickMark val="none"/>
        <c:minorTickMark val="none"/>
        <c:tickLblPos val="nextTo"/>
        <c:crossAx val="2134982160"/>
        <c:crosses val="autoZero"/>
        <c:crossBetween val="midCat"/>
      </c:valAx>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400"/>
              <a:t>Shares of Graduate Completion</a:t>
            </a:r>
            <a:r>
              <a:rPr lang="en-US" sz="1400" baseline="0"/>
              <a:t> Pool (w/o Vet, Pharm</a:t>
            </a:r>
            <a:r>
              <a:rPr lang="en-US" baseline="0"/>
              <a:t>)</a:t>
            </a:r>
            <a:endParaRPr lang="en-US"/>
          </a:p>
        </c:rich>
      </c:tx>
      <c:overlay val="0"/>
    </c:title>
    <c:autoTitleDeleted val="0"/>
    <c:plotArea>
      <c:layout/>
      <c:scatterChart>
        <c:scatterStyle val="lineMarker"/>
        <c:varyColors val="0"/>
        <c:ser>
          <c:idx val="0"/>
          <c:order val="0"/>
          <c:spPr>
            <a:ln w="47625">
              <a:noFill/>
            </a:ln>
          </c:spPr>
          <c:xVal>
            <c:numRef>
              <c:f>'Graduate Completions'!$B$133:$B$144</c:f>
              <c:numCache>
                <c:formatCode>0.00%</c:formatCode>
                <c:ptCount val="12"/>
                <c:pt idx="0">
                  <c:v>9.4833873797776802E-2</c:v>
                </c:pt>
                <c:pt idx="1">
                  <c:v>5.7250583117219998E-2</c:v>
                </c:pt>
                <c:pt idx="2">
                  <c:v>5.4455692734227824E-2</c:v>
                </c:pt>
                <c:pt idx="3">
                  <c:v>5.1097055678951765E-2</c:v>
                </c:pt>
                <c:pt idx="5">
                  <c:v>8.7183926762135183E-2</c:v>
                </c:pt>
                <c:pt idx="6">
                  <c:v>1.576996724581262E-2</c:v>
                </c:pt>
                <c:pt idx="7">
                  <c:v>6.8428328877081876E-2</c:v>
                </c:pt>
                <c:pt idx="9">
                  <c:v>0.32031497949229226</c:v>
                </c:pt>
                <c:pt idx="10">
                  <c:v>6.9544807570035505E-2</c:v>
                </c:pt>
                <c:pt idx="11">
                  <c:v>5.3528017888502172E-2</c:v>
                </c:pt>
              </c:numCache>
            </c:numRef>
          </c:xVal>
          <c:yVal>
            <c:numRef>
              <c:f>'Graduate Completions'!$C$133:$C$144</c:f>
              <c:numCache>
                <c:formatCode>0.00%</c:formatCode>
                <c:ptCount val="12"/>
                <c:pt idx="0">
                  <c:v>8.8263045101216117E-2</c:v>
                </c:pt>
                <c:pt idx="1">
                  <c:v>2.2976840995741318E-2</c:v>
                </c:pt>
                <c:pt idx="2">
                  <c:v>5.8494961336242749E-3</c:v>
                </c:pt>
                <c:pt idx="3">
                  <c:v>2.85228723981613E-2</c:v>
                </c:pt>
                <c:pt idx="5">
                  <c:v>0.12669379871528733</c:v>
                </c:pt>
                <c:pt idx="6">
                  <c:v>2.40224426231576E-2</c:v>
                </c:pt>
                <c:pt idx="7">
                  <c:v>5.1649472191832115E-2</c:v>
                </c:pt>
                <c:pt idx="9">
                  <c:v>0.28777585758534879</c:v>
                </c:pt>
                <c:pt idx="10">
                  <c:v>5.1155155761148957E-2</c:v>
                </c:pt>
                <c:pt idx="11">
                  <c:v>3.8764433101259106E-2</c:v>
                </c:pt>
              </c:numCache>
            </c:numRef>
          </c:yVal>
          <c:smooth val="0"/>
          <c:extLst>
            <c:ext xmlns:c16="http://schemas.microsoft.com/office/drawing/2014/chart" uri="{C3380CC4-5D6E-409C-BE32-E72D297353CC}">
              <c16:uniqueId val="{00000000-8194-6E41-B356-C7F7C7C69EFE}"/>
            </c:ext>
          </c:extLst>
        </c:ser>
        <c:dLbls>
          <c:showLegendKey val="0"/>
          <c:showVal val="0"/>
          <c:showCatName val="0"/>
          <c:showSerName val="0"/>
          <c:showPercent val="0"/>
          <c:showBubbleSize val="0"/>
        </c:dLbls>
        <c:axId val="2134949328"/>
        <c:axId val="2134944368"/>
      </c:scatterChart>
      <c:valAx>
        <c:axId val="2134949328"/>
        <c:scaling>
          <c:orientation val="minMax"/>
        </c:scaling>
        <c:delete val="0"/>
        <c:axPos val="b"/>
        <c:title>
          <c:tx>
            <c:rich>
              <a:bodyPr/>
              <a:lstStyle/>
              <a:p>
                <a:pPr>
                  <a:defRPr/>
                </a:pPr>
                <a:r>
                  <a:rPr lang="en-US"/>
                  <a:t>Shares by Degrees</a:t>
                </a:r>
              </a:p>
            </c:rich>
          </c:tx>
          <c:overlay val="0"/>
        </c:title>
        <c:numFmt formatCode="0.00%" sourceLinked="1"/>
        <c:majorTickMark val="none"/>
        <c:minorTickMark val="none"/>
        <c:tickLblPos val="nextTo"/>
        <c:crossAx val="2134944368"/>
        <c:crosses val="autoZero"/>
        <c:crossBetween val="midCat"/>
      </c:valAx>
      <c:valAx>
        <c:axId val="2134944368"/>
        <c:scaling>
          <c:orientation val="minMax"/>
        </c:scaling>
        <c:delete val="0"/>
        <c:axPos val="l"/>
        <c:majorGridlines/>
        <c:title>
          <c:tx>
            <c:rich>
              <a:bodyPr/>
              <a:lstStyle/>
              <a:p>
                <a:pPr>
                  <a:defRPr/>
                </a:pPr>
                <a:r>
                  <a:rPr lang="en-US"/>
                  <a:t>Shares by Credit Hours</a:t>
                </a:r>
              </a:p>
              <a:p>
                <a:pPr>
                  <a:defRPr/>
                </a:pPr>
                <a:endParaRPr lang="en-US"/>
              </a:p>
            </c:rich>
          </c:tx>
          <c:overlay val="0"/>
        </c:title>
        <c:numFmt formatCode="0.00%" sourceLinked="1"/>
        <c:majorTickMark val="none"/>
        <c:minorTickMark val="none"/>
        <c:tickLblPos val="nextTo"/>
        <c:crossAx val="2134949328"/>
        <c:crosses val="autoZero"/>
        <c:crossBetween val="midCat"/>
      </c:valAx>
    </c:plotArea>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Model budget comparisons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'What If Data'!$B$5</c:f>
              <c:strCache>
                <c:ptCount val="1"/>
                <c:pt idx="0">
                  <c:v>Fy17 Adjusted Initial Budget</c:v>
                </c:pt>
              </c:strCache>
            </c:strRef>
          </c:tx>
          <c:spPr>
            <a:solidFill>
              <a:schemeClr val="accent1"/>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Data'!$B$6:$B$20</c:f>
              <c:numCache>
                <c:formatCode>_(* #,##0_);_(* \(#,##0\);_(* "-"??_);_(@_)</c:formatCode>
                <c:ptCount val="15"/>
                <c:pt idx="0" formatCode="_(* #,##0_);_(* \(#,##0\);_(* &quot;-&quot;_);_(@_)">
                  <c:v>22952677</c:v>
                </c:pt>
                <c:pt idx="1">
                  <c:v>20340741</c:v>
                </c:pt>
                <c:pt idx="2">
                  <c:v>14434039</c:v>
                </c:pt>
                <c:pt idx="3" formatCode="_(* #,##0_);_(* \(#,##0\);_(* &quot;-&quot;_);_(@_)">
                  <c:v>43369613</c:v>
                </c:pt>
                <c:pt idx="4">
                  <c:v>4791672</c:v>
                </c:pt>
                <c:pt idx="5">
                  <c:v>57240954</c:v>
                </c:pt>
                <c:pt idx="6" formatCode="_(* #,##0_);_(* \(#,##0\);_(* &quot;-&quot;_);_(@_)">
                  <c:v>8833735</c:v>
                </c:pt>
                <c:pt idx="7">
                  <c:v>12573591</c:v>
                </c:pt>
                <c:pt idx="8">
                  <c:v>19991639</c:v>
                </c:pt>
                <c:pt idx="9" formatCode="_(* #,##0_);_(* \(#,##0\);_(* &quot;-&quot;_);_(@_)">
                  <c:v>40678621</c:v>
                </c:pt>
                <c:pt idx="10">
                  <c:v>24513720</c:v>
                </c:pt>
                <c:pt idx="12" formatCode="_(* #,##0_);_(* \(#,##0\);_(* &quot;-&quot;_);_(@_)">
                  <c:v>2438816</c:v>
                </c:pt>
                <c:pt idx="13">
                  <c:v>11252786</c:v>
                </c:pt>
                <c:pt idx="14">
                  <c:v>823212</c:v>
                </c:pt>
              </c:numCache>
            </c:numRef>
          </c:val>
          <c:extLst>
            <c:ext xmlns:c16="http://schemas.microsoft.com/office/drawing/2014/chart" uri="{C3380CC4-5D6E-409C-BE32-E72D297353CC}">
              <c16:uniqueId val="{00000000-13FD-D444-9A21-D9896D720126}"/>
            </c:ext>
          </c:extLst>
        </c:ser>
        <c:ser>
          <c:idx val="1"/>
          <c:order val="1"/>
          <c:tx>
            <c:strRef>
              <c:f>'What If Data'!$C$5</c:f>
              <c:strCache>
                <c:ptCount val="1"/>
                <c:pt idx="0">
                  <c:v>Actual FY18 Budget</c:v>
                </c:pt>
              </c:strCache>
            </c:strRef>
          </c:tx>
          <c:spPr>
            <a:solidFill>
              <a:schemeClr val="accent2"/>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Data'!$C$6:$C$20</c:f>
              <c:numCache>
                <c:formatCode>_(* #,##0_);_(* \(#,##0\);_(* "-"??_);_(@_)</c:formatCode>
                <c:ptCount val="15"/>
                <c:pt idx="0" formatCode="_(* #,##0_);_(* \(#,##0\);_(* &quot;-&quot;_);_(@_)">
                  <c:v>24160078</c:v>
                </c:pt>
                <c:pt idx="1">
                  <c:v>20462422</c:v>
                </c:pt>
                <c:pt idx="2">
                  <c:v>14831995</c:v>
                </c:pt>
                <c:pt idx="3" formatCode="_(* #,##0_);_(* \(#,##0\);_(* &quot;-&quot;_);_(@_)">
                  <c:v>45894131</c:v>
                </c:pt>
                <c:pt idx="4">
                  <c:v>4806568</c:v>
                </c:pt>
                <c:pt idx="5">
                  <c:v>61306607</c:v>
                </c:pt>
                <c:pt idx="6" formatCode="_(* #,##0_);_(* \(#,##0\);_(* &quot;-&quot;_);_(@_)">
                  <c:v>9355600</c:v>
                </c:pt>
                <c:pt idx="7">
                  <c:v>12737398</c:v>
                </c:pt>
                <c:pt idx="8">
                  <c:v>20440194</c:v>
                </c:pt>
                <c:pt idx="9" formatCode="_(* #,##0_);_(* \(#,##0\);_(* &quot;-&quot;_);_(@_)">
                  <c:v>41127158</c:v>
                </c:pt>
                <c:pt idx="10">
                  <c:v>24909417</c:v>
                </c:pt>
                <c:pt idx="12" formatCode="_(* #,##0_);_(* \(#,##0\);_(* &quot;-&quot;_);_(@_)">
                  <c:v>2839964</c:v>
                </c:pt>
                <c:pt idx="13">
                  <c:v>11354618</c:v>
                </c:pt>
                <c:pt idx="14">
                  <c:v>833083</c:v>
                </c:pt>
              </c:numCache>
            </c:numRef>
          </c:val>
          <c:extLst>
            <c:ext xmlns:c16="http://schemas.microsoft.com/office/drawing/2014/chart" uri="{C3380CC4-5D6E-409C-BE32-E72D297353CC}">
              <c16:uniqueId val="{00000001-13FD-D444-9A21-D9896D720126}"/>
            </c:ext>
          </c:extLst>
        </c:ser>
        <c:ser>
          <c:idx val="2"/>
          <c:order val="2"/>
          <c:tx>
            <c:strRef>
              <c:f>'What If Data'!$D$5</c:f>
              <c:strCache>
                <c:ptCount val="1"/>
                <c:pt idx="0">
                  <c:v>Original FY18 Model Budget</c:v>
                </c:pt>
              </c:strCache>
            </c:strRef>
          </c:tx>
          <c:spPr>
            <a:solidFill>
              <a:schemeClr val="accent3"/>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Data'!$D$6:$D$20</c:f>
              <c:numCache>
                <c:formatCode>_(* #,##0_);_(* \(#,##0\);_(* "-"??_);_(@_)</c:formatCode>
                <c:ptCount val="15"/>
                <c:pt idx="0" formatCode="_(* #,##0_);_(* \(#,##0\);_(* &quot;-&quot;_);_(@_)">
                  <c:v>25001758.759312462</c:v>
                </c:pt>
                <c:pt idx="1">
                  <c:v>20285337.772514664</c:v>
                </c:pt>
                <c:pt idx="2">
                  <c:v>14741202.939066634</c:v>
                </c:pt>
                <c:pt idx="3" formatCode="_(* #,##0_);_(* \(#,##0\);_(* &quot;-&quot;_);_(@_)">
                  <c:v>45922829.802812383</c:v>
                </c:pt>
                <c:pt idx="4">
                  <c:v>4830007.8363892129</c:v>
                </c:pt>
                <c:pt idx="5">
                  <c:v>64222078.737047724</c:v>
                </c:pt>
                <c:pt idx="6" formatCode="_(* #,##0_);_(* \(#,##0\);_(* &quot;-&quot;_);_(@_)">
                  <c:v>9346906.6282929424</c:v>
                </c:pt>
                <c:pt idx="7">
                  <c:v>12673049.798480507</c:v>
                </c:pt>
                <c:pt idx="8">
                  <c:v>19856321.585655142</c:v>
                </c:pt>
                <c:pt idx="9" formatCode="_(* #,##0_);_(* \(#,##0\);_(* &quot;-&quot;_);_(@_)">
                  <c:v>41762479.565978713</c:v>
                </c:pt>
                <c:pt idx="10">
                  <c:v>24861945.565714028</c:v>
                </c:pt>
                <c:pt idx="12" formatCode="_(* #,##0_);_(* \(#,##0\);_(* &quot;-&quot;_);_(@_)">
                  <c:v>3076862.3114752835</c:v>
                </c:pt>
                <c:pt idx="13">
                  <c:v>11331878.453987531</c:v>
                </c:pt>
                <c:pt idx="14">
                  <c:v>1185279.7481987444</c:v>
                </c:pt>
              </c:numCache>
            </c:numRef>
          </c:val>
          <c:extLst>
            <c:ext xmlns:c16="http://schemas.microsoft.com/office/drawing/2014/chart" uri="{C3380CC4-5D6E-409C-BE32-E72D297353CC}">
              <c16:uniqueId val="{00000002-13FD-D444-9A21-D9896D720126}"/>
            </c:ext>
          </c:extLst>
        </c:ser>
        <c:ser>
          <c:idx val="3"/>
          <c:order val="3"/>
          <c:tx>
            <c:strRef>
              <c:f>'What If Data'!$E$5</c:f>
              <c:strCache>
                <c:ptCount val="1"/>
                <c:pt idx="0">
                  <c:v>Adjusted FY18 Model Budget</c:v>
                </c:pt>
              </c:strCache>
            </c:strRef>
          </c:tx>
          <c:spPr>
            <a:solidFill>
              <a:schemeClr val="accent4"/>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Data'!$E$6:$E$20</c:f>
              <c:numCache>
                <c:formatCode>_(* #,##0_);_(* \(#,##0\);_(* "-"??_);_(@_)</c:formatCode>
                <c:ptCount val="15"/>
                <c:pt idx="0" formatCode="_(* #,##0_);_(* \(#,##0\);_(* &quot;-&quot;_);_(@_)">
                  <c:v>24306595.958287429</c:v>
                </c:pt>
                <c:pt idx="1">
                  <c:v>21766302.898492426</c:v>
                </c:pt>
                <c:pt idx="2">
                  <c:v>18959086.782090027</c:v>
                </c:pt>
                <c:pt idx="3" formatCode="_(* #,##0_);_(* \(#,##0\);_(* &quot;-&quot;_);_(@_)">
                  <c:v>44794677.217382081</c:v>
                </c:pt>
                <c:pt idx="4">
                  <c:v>5513657.0242793197</c:v>
                </c:pt>
                <c:pt idx="5">
                  <c:v>67801102.237237439</c:v>
                </c:pt>
                <c:pt idx="6" formatCode="_(* #,##0_);_(* \(#,##0\);_(* &quot;-&quot;_);_(@_)">
                  <c:v>9534064.2899717987</c:v>
                </c:pt>
                <c:pt idx="7">
                  <c:v>12713781.83332295</c:v>
                </c:pt>
                <c:pt idx="8">
                  <c:v>19700561.800000001</c:v>
                </c:pt>
                <c:pt idx="9" formatCode="_(* #,##0_);_(* \(#,##0\);_(* &quot;-&quot;_);_(@_)">
                  <c:v>44437127.901171856</c:v>
                </c:pt>
                <c:pt idx="10">
                  <c:v>26449266.98000063</c:v>
                </c:pt>
                <c:pt idx="12" formatCode="_(* #,##0_);_(* \(#,##0\);_(* &quot;-&quot;_);_(@_)">
                  <c:v>3042934.2942578932</c:v>
                </c:pt>
                <c:pt idx="13">
                  <c:v>11507822.71382935</c:v>
                </c:pt>
                <c:pt idx="14">
                  <c:v>974528.97029279219</c:v>
                </c:pt>
              </c:numCache>
            </c:numRef>
          </c:val>
          <c:extLst>
            <c:ext xmlns:c16="http://schemas.microsoft.com/office/drawing/2014/chart" uri="{C3380CC4-5D6E-409C-BE32-E72D297353CC}">
              <c16:uniqueId val="{00000003-13FD-D444-9A21-D9896D720126}"/>
            </c:ext>
          </c:extLst>
        </c:ser>
        <c:dLbls>
          <c:showLegendKey val="0"/>
          <c:showVal val="0"/>
          <c:showCatName val="0"/>
          <c:showSerName val="0"/>
          <c:showPercent val="0"/>
          <c:showBubbleSize val="0"/>
        </c:dLbls>
        <c:gapWidth val="219"/>
        <c:overlap val="-27"/>
        <c:axId val="2137454832"/>
        <c:axId val="2137458352"/>
      </c:barChart>
      <c:catAx>
        <c:axId val="213745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458352"/>
        <c:crosses val="autoZero"/>
        <c:auto val="1"/>
        <c:lblAlgn val="ctr"/>
        <c:lblOffset val="100"/>
        <c:noMultiLvlLbl val="0"/>
      </c:catAx>
      <c:valAx>
        <c:axId val="213745835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454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Dollar Change from original FY18 Model budget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'What If Data'!$F$5</c:f>
              <c:strCache>
                <c:ptCount val="1"/>
                <c:pt idx="0">
                  <c:v>Change</c:v>
                </c:pt>
              </c:strCache>
            </c:strRef>
          </c:tx>
          <c:spPr>
            <a:solidFill>
              <a:schemeClr val="accent1"/>
            </a:solidFill>
            <a:ln>
              <a:noFill/>
            </a:ln>
            <a:effectLst/>
          </c:spPr>
          <c:invertIfNegative val="0"/>
          <c:cat>
            <c:strRef>
              <c:f>'What If Data'!$A$6:$A$20</c:f>
              <c:strCache>
                <c:ptCount val="15"/>
                <c:pt idx="0">
                  <c:v>Agriculture</c:v>
                </c:pt>
                <c:pt idx="1">
                  <c:v>Business</c:v>
                </c:pt>
                <c:pt idx="2">
                  <c:v>CEOAS</c:v>
                </c:pt>
                <c:pt idx="3">
                  <c:v>CLA</c:v>
                </c:pt>
                <c:pt idx="4">
                  <c:v>Education</c:v>
                </c:pt>
                <c:pt idx="5">
                  <c:v>Engineering</c:v>
                </c:pt>
                <c:pt idx="6">
                  <c:v>Forestry</c:v>
                </c:pt>
                <c:pt idx="7">
                  <c:v>Pharmacy</c:v>
                </c:pt>
                <c:pt idx="8">
                  <c:v>PHHS</c:v>
                </c:pt>
                <c:pt idx="9">
                  <c:v>Science</c:v>
                </c:pt>
                <c:pt idx="10">
                  <c:v>Vet Med</c:v>
                </c:pt>
                <c:pt idx="12">
                  <c:v>Honors</c:v>
                </c:pt>
                <c:pt idx="13">
                  <c:v>Centers</c:v>
                </c:pt>
                <c:pt idx="14">
                  <c:v>Interdisciplinary</c:v>
                </c:pt>
              </c:strCache>
            </c:strRef>
          </c:cat>
          <c:val>
            <c:numRef>
              <c:f>'What If Data'!$F$6:$F$20</c:f>
              <c:numCache>
                <c:formatCode>_(* #,##0_);_(* \(#,##0\);_(* "-"??_);_(@_)</c:formatCode>
                <c:ptCount val="15"/>
                <c:pt idx="0" formatCode="_(* #,##0_);_(* \(#,##0\);_(* &quot;-&quot;_);_(@_)">
                  <c:v>-695162.801025033</c:v>
                </c:pt>
                <c:pt idx="1">
                  <c:v>1480965.125977762</c:v>
                </c:pt>
                <c:pt idx="2">
                  <c:v>4217883.8430233933</c:v>
                </c:pt>
                <c:pt idx="3" formatCode="_(* #,##0_);_(* \(#,##0\);_(* &quot;-&quot;_);_(@_)">
                  <c:v>-1128152.5854303017</c:v>
                </c:pt>
                <c:pt idx="4">
                  <c:v>683649.18789010681</c:v>
                </c:pt>
                <c:pt idx="5">
                  <c:v>3579023.5001897141</c:v>
                </c:pt>
                <c:pt idx="6" formatCode="_(* #,##0_);_(* \(#,##0\);_(* &quot;-&quot;_);_(@_)">
                  <c:v>187157.66167885624</c:v>
                </c:pt>
                <c:pt idx="7">
                  <c:v>40732.034842442721</c:v>
                </c:pt>
                <c:pt idx="8">
                  <c:v>-155759.78565514088</c:v>
                </c:pt>
                <c:pt idx="9" formatCode="_(* #,##0_);_(* \(#,##0\);_(* &quot;-&quot;_);_(@_)">
                  <c:v>2674648.3351931423</c:v>
                </c:pt>
                <c:pt idx="10">
                  <c:v>1587321.4142866023</c:v>
                </c:pt>
                <c:pt idx="12" formatCode="_(* #,##0_);_(* \(#,##0\);_(* &quot;-&quot;_);_(@_)">
                  <c:v>-33928.017217390239</c:v>
                </c:pt>
                <c:pt idx="13">
                  <c:v>175944.25984181836</c:v>
                </c:pt>
                <c:pt idx="14">
                  <c:v>-210750.77790595219</c:v>
                </c:pt>
              </c:numCache>
            </c:numRef>
          </c:val>
          <c:extLst>
            <c:ext xmlns:c16="http://schemas.microsoft.com/office/drawing/2014/chart" uri="{C3380CC4-5D6E-409C-BE32-E72D297353CC}">
              <c16:uniqueId val="{00000000-5E2A-014F-B539-447FEE986D23}"/>
            </c:ext>
          </c:extLst>
        </c:ser>
        <c:dLbls>
          <c:showLegendKey val="0"/>
          <c:showVal val="0"/>
          <c:showCatName val="0"/>
          <c:showSerName val="0"/>
          <c:showPercent val="0"/>
          <c:showBubbleSize val="0"/>
        </c:dLbls>
        <c:gapWidth val="219"/>
        <c:overlap val="-27"/>
        <c:axId val="2136245520"/>
        <c:axId val="2136248912"/>
      </c:barChart>
      <c:catAx>
        <c:axId val="213624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248912"/>
        <c:crosses val="autoZero"/>
        <c:auto val="1"/>
        <c:lblAlgn val="ctr"/>
        <c:lblOffset val="100"/>
        <c:noMultiLvlLbl val="0"/>
      </c:catAx>
      <c:valAx>
        <c:axId val="21362489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245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9525</xdr:colOff>
      <xdr:row>2</xdr:row>
      <xdr:rowOff>180975</xdr:rowOff>
    </xdr:from>
    <xdr:to>
      <xdr:col>26</xdr:col>
      <xdr:colOff>377825</xdr:colOff>
      <xdr:row>42</xdr:row>
      <xdr:rowOff>15875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15875</xdr:colOff>
      <xdr:row>43</xdr:row>
      <xdr:rowOff>19050</xdr:rowOff>
    </xdr:from>
    <xdr:to>
      <xdr:col>26</xdr:col>
      <xdr:colOff>161925</xdr:colOff>
      <xdr:row>59</xdr:row>
      <xdr:rowOff>19050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869950</xdr:colOff>
      <xdr:row>3</xdr:row>
      <xdr:rowOff>127000</xdr:rowOff>
    </xdr:from>
    <xdr:to>
      <xdr:col>21</xdr:col>
      <xdr:colOff>317500</xdr:colOff>
      <xdr:row>28</xdr:row>
      <xdr:rowOff>63500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869950</xdr:colOff>
      <xdr:row>30</xdr:row>
      <xdr:rowOff>38100</xdr:rowOff>
    </xdr:from>
    <xdr:to>
      <xdr:col>21</xdr:col>
      <xdr:colOff>355600</xdr:colOff>
      <xdr:row>46</xdr:row>
      <xdr:rowOff>88900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127000</xdr:colOff>
      <xdr:row>26</xdr:row>
      <xdr:rowOff>127000</xdr:rowOff>
    </xdr:from>
    <xdr:to>
      <xdr:col>14</xdr:col>
      <xdr:colOff>1143000</xdr:colOff>
      <xdr:row>37</xdr:row>
      <xdr:rowOff>101600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V="1">
          <a:off x="8585200" y="6096000"/>
          <a:ext cx="1016000" cy="22098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139700</xdr:colOff>
      <xdr:row>40</xdr:row>
      <xdr:rowOff>139700</xdr:rowOff>
    </xdr:from>
    <xdr:to>
      <xdr:col>14</xdr:col>
      <xdr:colOff>1104900</xdr:colOff>
      <xdr:row>50</xdr:row>
      <xdr:rowOff>88900</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a:off x="8597900" y="8953500"/>
          <a:ext cx="965200" cy="18288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698500</xdr:colOff>
      <xdr:row>64</xdr:row>
      <xdr:rowOff>165100</xdr:rowOff>
    </xdr:from>
    <xdr:to>
      <xdr:col>16</xdr:col>
      <xdr:colOff>1193800</xdr:colOff>
      <xdr:row>84</xdr:row>
      <xdr:rowOff>25400</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450850</xdr:colOff>
      <xdr:row>109</xdr:row>
      <xdr:rowOff>88900</xdr:rowOff>
    </xdr:from>
    <xdr:to>
      <xdr:col>10</xdr:col>
      <xdr:colOff>609600</xdr:colOff>
      <xdr:row>127</xdr:row>
      <xdr:rowOff>101600</xdr:rowOff>
    </xdr:to>
    <xdr:graphicFrame macro="">
      <xdr:nvGraphicFramePr>
        <xdr:cNvPr id="3" name="Chart 2">
          <a:extLst>
            <a:ext uri="{FF2B5EF4-FFF2-40B4-BE49-F238E27FC236}">
              <a16:creationId xmlns:a16="http://schemas.microsoft.com/office/drawing/2014/main" id="{00000000-0008-0000-1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128</xdr:row>
      <xdr:rowOff>88900</xdr:rowOff>
    </xdr:from>
    <xdr:to>
      <xdr:col>10</xdr:col>
      <xdr:colOff>596900</xdr:colOff>
      <xdr:row>145</xdr:row>
      <xdr:rowOff>165100</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165100</xdr:colOff>
      <xdr:row>0</xdr:row>
      <xdr:rowOff>0</xdr:rowOff>
    </xdr:from>
    <xdr:to>
      <xdr:col>16</xdr:col>
      <xdr:colOff>482600</xdr:colOff>
      <xdr:row>19</xdr:row>
      <xdr:rowOff>190500</xdr:rowOff>
    </xdr:to>
    <xdr:graphicFrame macro="">
      <xdr:nvGraphicFramePr>
        <xdr:cNvPr id="3" name="Chart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21</xdr:row>
      <xdr:rowOff>38100</xdr:rowOff>
    </xdr:from>
    <xdr:to>
      <xdr:col>16</xdr:col>
      <xdr:colOff>304800</xdr:colOff>
      <xdr:row>32</xdr:row>
      <xdr:rowOff>139700</xdr:rowOff>
    </xdr:to>
    <xdr:graphicFrame macro="">
      <xdr:nvGraphicFramePr>
        <xdr:cNvPr id="4" name="Chart 3">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20</xdr:col>
      <xdr:colOff>101600</xdr:colOff>
      <xdr:row>4</xdr:row>
      <xdr:rowOff>184150</xdr:rowOff>
    </xdr:from>
    <xdr:to>
      <xdr:col>25</xdr:col>
      <xdr:colOff>546100</xdr:colOff>
      <xdr:row>17</xdr:row>
      <xdr:rowOff>82550</xdr:rowOff>
    </xdr:to>
    <xdr:graphicFrame macro="">
      <xdr:nvGraphicFramePr>
        <xdr:cNvPr id="2" name="Chart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114300</xdr:colOff>
      <xdr:row>18</xdr:row>
      <xdr:rowOff>158750</xdr:rowOff>
    </xdr:from>
    <xdr:to>
      <xdr:col>25</xdr:col>
      <xdr:colOff>558800</xdr:colOff>
      <xdr:row>31</xdr:row>
      <xdr:rowOff>57150</xdr:rowOff>
    </xdr:to>
    <xdr:graphicFrame macro="">
      <xdr:nvGraphicFramePr>
        <xdr:cNvPr id="3" name="Chart 2">
          <a:extLst>
            <a:ext uri="{FF2B5EF4-FFF2-40B4-BE49-F238E27FC236}">
              <a16:creationId xmlns:a16="http://schemas.microsoft.com/office/drawing/2014/main" id="{00000000-0008-0000-1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olumes\Data\Users\bloomers\Dropbox\FY%20Planning\FY19%20Planning\SSCM-Projection-Tool-v18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Model Setting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1"/>
  <sheetViews>
    <sheetView tabSelected="1" zoomScale="80" zoomScaleNormal="80" zoomScalePageLayoutView="80" workbookViewId="0">
      <selection activeCell="A3" sqref="A3:F3"/>
    </sheetView>
  </sheetViews>
  <sheetFormatPr defaultColWidth="10.875" defaultRowHeight="15.75"/>
  <cols>
    <col min="1" max="1" width="31.125" style="278" customWidth="1"/>
    <col min="2" max="2" width="38.375" style="278" customWidth="1"/>
    <col min="3" max="3" width="15.875" style="278" customWidth="1"/>
    <col min="4" max="4" width="18.625" style="278" customWidth="1"/>
    <col min="5" max="5" width="14" style="278" customWidth="1"/>
    <col min="6" max="6" width="11.625" style="278" customWidth="1"/>
    <col min="7" max="7" width="17" style="278" customWidth="1"/>
    <col min="8" max="8" width="10.625" style="278" customWidth="1"/>
    <col min="9" max="9" width="11.375" style="278" customWidth="1"/>
    <col min="10" max="10" width="8.625" style="278" customWidth="1"/>
    <col min="11" max="16384" width="10.875" style="278"/>
  </cols>
  <sheetData>
    <row r="1" spans="1:20" ht="38.1" customHeight="1" thickBot="1">
      <c r="A1" s="899" t="s">
        <v>1560</v>
      </c>
      <c r="B1" s="277"/>
      <c r="C1" s="313"/>
      <c r="D1" s="1449" t="s">
        <v>180</v>
      </c>
      <c r="E1" s="1450">
        <f>'Pools, Rates, Reference'!B25+C49</f>
        <v>219046338.89736378</v>
      </c>
      <c r="F1" s="1451" t="str">
        <f>IF((E1=E2),"OK","ERROR")</f>
        <v>OK</v>
      </c>
      <c r="G1" s="304"/>
      <c r="H1" s="1750" t="s">
        <v>1024</v>
      </c>
      <c r="I1" s="1751"/>
      <c r="J1" s="1751"/>
      <c r="K1" s="1751"/>
      <c r="L1" s="1752"/>
      <c r="M1" s="880" t="s">
        <v>179</v>
      </c>
      <c r="N1" s="313"/>
      <c r="P1" s="313"/>
      <c r="Q1"/>
      <c r="R1"/>
      <c r="S1"/>
      <c r="T1"/>
    </row>
    <row r="2" spans="1:20" ht="29.1" customHeight="1" thickBot="1">
      <c r="A2" s="1435" t="s">
        <v>1757</v>
      </c>
      <c r="B2" s="1662">
        <v>43320</v>
      </c>
      <c r="C2" s="313"/>
      <c r="D2" s="1452" t="s">
        <v>301</v>
      </c>
      <c r="E2" s="1453">
        <f>D42</f>
        <v>219046338.89736378</v>
      </c>
      <c r="F2" s="1454"/>
      <c r="G2" s="313"/>
      <c r="H2" s="1753" t="s">
        <v>1187</v>
      </c>
      <c r="I2" s="1754"/>
      <c r="J2" s="1754"/>
      <c r="K2" s="1754"/>
      <c r="L2" s="1755"/>
      <c r="M2" s="880" t="s">
        <v>863</v>
      </c>
      <c r="N2" s="313"/>
      <c r="O2" s="313"/>
      <c r="P2" s="313"/>
      <c r="Q2" s="313"/>
      <c r="R2" s="313"/>
      <c r="S2" s="313"/>
      <c r="T2" s="313"/>
    </row>
    <row r="3" spans="1:20" ht="30" customHeight="1">
      <c r="A3" s="1760"/>
      <c r="B3" s="1760"/>
      <c r="C3" s="1760"/>
      <c r="D3" s="1760"/>
      <c r="E3" s="1760"/>
      <c r="F3" s="1760"/>
      <c r="G3" s="313"/>
      <c r="H3" s="313"/>
      <c r="I3" s="313"/>
      <c r="J3" s="313"/>
      <c r="K3" s="389"/>
      <c r="L3" s="389"/>
      <c r="M3" s="389"/>
      <c r="N3" s="389"/>
      <c r="O3"/>
      <c r="P3"/>
      <c r="Q3" s="313"/>
      <c r="R3" s="313"/>
      <c r="S3" s="313"/>
      <c r="T3" s="313"/>
    </row>
    <row r="4" spans="1:20" ht="16.5" thickBot="1">
      <c r="A4" s="282"/>
      <c r="B4" s="282"/>
      <c r="C4" s="282"/>
      <c r="D4" s="282"/>
      <c r="E4" s="282"/>
      <c r="F4" s="282"/>
      <c r="G4" s="313"/>
      <c r="H4" s="313"/>
      <c r="I4" s="313"/>
      <c r="J4" s="313"/>
      <c r="K4" s="313"/>
      <c r="L4" s="313"/>
      <c r="M4" s="313"/>
      <c r="N4" s="313"/>
    </row>
    <row r="5" spans="1:20">
      <c r="A5" s="1455" t="s">
        <v>1526</v>
      </c>
      <c r="B5" s="1456"/>
      <c r="C5" s="1457">
        <f>'Pools, Rates, Reference'!B6</f>
        <v>581608334.94857144</v>
      </c>
      <c r="D5" s="313"/>
      <c r="E5" s="313"/>
      <c r="F5" s="313"/>
      <c r="G5" s="313"/>
      <c r="H5" s="313"/>
      <c r="I5" s="313"/>
      <c r="J5" s="313"/>
      <c r="K5" s="313"/>
      <c r="L5" s="313"/>
      <c r="M5" s="313"/>
      <c r="N5" s="313"/>
    </row>
    <row r="6" spans="1:20" ht="16.5" thickBot="1">
      <c r="A6" s="1458" t="s">
        <v>1527</v>
      </c>
      <c r="B6" s="1459"/>
      <c r="C6" s="1460">
        <f>'Step 7 Final Adjustments'!Q59</f>
        <v>581608334.94857144</v>
      </c>
      <c r="D6" s="313"/>
      <c r="E6" s="313"/>
      <c r="F6" s="313"/>
      <c r="G6" s="313"/>
      <c r="H6" s="313"/>
      <c r="I6" s="313"/>
      <c r="J6" s="313"/>
      <c r="K6" s="313"/>
      <c r="L6" s="313"/>
      <c r="M6" s="313"/>
      <c r="N6" s="313"/>
    </row>
    <row r="7" spans="1:20" ht="15" customHeight="1">
      <c r="A7" s="313"/>
      <c r="B7" s="313"/>
      <c r="C7" s="313"/>
      <c r="D7" s="313"/>
      <c r="E7" s="313"/>
      <c r="F7" s="313"/>
      <c r="G7" s="313"/>
      <c r="H7" s="313"/>
      <c r="I7" s="313"/>
      <c r="J7" s="313"/>
      <c r="K7" s="313"/>
      <c r="L7" s="313"/>
      <c r="M7" s="313"/>
      <c r="N7" s="313"/>
    </row>
    <row r="8" spans="1:20" ht="17.100000000000001" customHeight="1">
      <c r="A8" s="1461" t="s">
        <v>1562</v>
      </c>
      <c r="B8" s="313"/>
      <c r="C8" s="313"/>
      <c r="D8" s="313"/>
      <c r="E8" s="313"/>
      <c r="F8" s="313"/>
      <c r="G8" s="313"/>
      <c r="H8" s="313"/>
      <c r="I8" s="313"/>
      <c r="J8" s="313"/>
      <c r="K8" s="313"/>
      <c r="L8" s="313"/>
      <c r="M8" s="313"/>
      <c r="N8" s="313"/>
    </row>
    <row r="9" spans="1:20" ht="15" customHeight="1" thickBot="1">
      <c r="A9" s="1761"/>
      <c r="B9" s="1761"/>
      <c r="C9" s="1462"/>
      <c r="D9" s="313"/>
      <c r="E9" s="313"/>
      <c r="F9" s="313"/>
      <c r="G9" s="313"/>
      <c r="H9" s="313"/>
      <c r="I9" s="313"/>
      <c r="J9" s="313"/>
      <c r="K9" s="313"/>
      <c r="L9" s="313"/>
      <c r="M9" s="313"/>
      <c r="N9" s="313"/>
    </row>
    <row r="10" spans="1:20" ht="16.5" thickBot="1">
      <c r="A10" s="886" t="s">
        <v>1028</v>
      </c>
      <c r="B10" s="887"/>
      <c r="C10" s="1463">
        <v>3.5000000000000003E-2</v>
      </c>
      <c r="D10" s="313"/>
      <c r="E10" s="313"/>
      <c r="F10" s="892" t="s">
        <v>815</v>
      </c>
      <c r="G10" s="892"/>
      <c r="H10" s="892"/>
      <c r="I10" s="892"/>
      <c r="J10" s="313"/>
      <c r="K10" s="313"/>
      <c r="L10" s="313"/>
      <c r="M10" s="313"/>
      <c r="N10" s="313"/>
    </row>
    <row r="11" spans="1:20" ht="15.95" customHeight="1">
      <c r="A11" s="888" t="s">
        <v>1029</v>
      </c>
      <c r="B11" s="889"/>
      <c r="C11" s="1464">
        <v>0.02</v>
      </c>
      <c r="D11" s="313"/>
      <c r="E11" s="313"/>
      <c r="F11" s="886" t="str">
        <f>'Allocation by Category'!A43</f>
        <v>Undergraduate revenues:</v>
      </c>
      <c r="G11" s="887"/>
      <c r="H11" s="1436">
        <f>'Allocation by Category'!C43</f>
        <v>0.69405032046912718</v>
      </c>
      <c r="I11" s="1437">
        <f>'Allocation by Category'!D43</f>
        <v>0.80067111168492489</v>
      </c>
      <c r="J11" s="313"/>
      <c r="K11" s="313"/>
      <c r="L11" s="313"/>
      <c r="M11" s="313"/>
      <c r="N11" s="313"/>
    </row>
    <row r="12" spans="1:20" ht="18.95" customHeight="1">
      <c r="A12" s="888" t="s">
        <v>165</v>
      </c>
      <c r="B12" s="889"/>
      <c r="C12" s="1464">
        <v>7.3999999999999996E-2</v>
      </c>
      <c r="D12" s="313"/>
      <c r="E12" s="313"/>
      <c r="F12" s="888" t="str">
        <f>'Allocation by Category'!A44</f>
        <v>Graduate revenues:</v>
      </c>
      <c r="G12" s="889"/>
      <c r="H12" s="1438">
        <f>'Allocation by Category'!C44</f>
        <v>0.16295240538184586</v>
      </c>
      <c r="I12" s="1439">
        <f>'Allocation by Category'!D44</f>
        <v>0.18798533726002178</v>
      </c>
      <c r="J12" s="313"/>
      <c r="K12" s="313"/>
      <c r="L12" s="313"/>
      <c r="M12" s="313"/>
      <c r="N12" s="313"/>
    </row>
    <row r="13" spans="1:20" ht="18.95" customHeight="1">
      <c r="A13" s="1465" t="s">
        <v>1207</v>
      </c>
      <c r="B13" s="1466"/>
      <c r="C13" s="1467" t="s">
        <v>179</v>
      </c>
      <c r="D13" s="313"/>
      <c r="E13" s="313"/>
      <c r="F13" s="888" t="str">
        <f>'Allocation by Category'!A45</f>
        <v>General research revenues:</v>
      </c>
      <c r="G13" s="889"/>
      <c r="H13" s="1438">
        <f>'Allocation by Category'!C45</f>
        <v>9.8329952587520898E-3</v>
      </c>
      <c r="I13" s="1439">
        <f>'Allocation by Category'!D45</f>
        <v>1.1343551055053275E-2</v>
      </c>
      <c r="J13" s="313"/>
      <c r="K13" s="313"/>
      <c r="L13" s="313"/>
      <c r="M13" s="313"/>
      <c r="N13" s="313"/>
    </row>
    <row r="14" spans="1:20" ht="20.100000000000001" customHeight="1" thickBot="1">
      <c r="A14" s="1458" t="s">
        <v>930</v>
      </c>
      <c r="B14" s="1459"/>
      <c r="C14" s="1468" t="s">
        <v>179</v>
      </c>
      <c r="D14" s="313"/>
      <c r="E14" s="313"/>
      <c r="F14" s="890" t="str">
        <f>'Allocation by Category'!A46</f>
        <v>Earmarked revenues:</v>
      </c>
      <c r="G14" s="891"/>
      <c r="H14" s="1440">
        <f>'Allocation by Category'!C46</f>
        <v>0.13316427889027491</v>
      </c>
      <c r="I14" s="1441">
        <f>'Allocation by Category'!D46</f>
        <v>0</v>
      </c>
      <c r="J14" s="313"/>
      <c r="K14" s="313"/>
      <c r="L14" s="313"/>
      <c r="M14" s="313"/>
      <c r="N14" s="313"/>
    </row>
    <row r="15" spans="1:20" ht="18.95" customHeight="1">
      <c r="A15" s="389"/>
      <c r="B15" s="389"/>
      <c r="C15" s="389"/>
      <c r="D15" s="389"/>
      <c r="E15" s="313"/>
      <c r="F15" s="313"/>
      <c r="G15" s="313"/>
      <c r="H15" s="313"/>
      <c r="I15" s="313"/>
      <c r="J15" s="313"/>
      <c r="K15" s="313"/>
      <c r="L15" s="313"/>
      <c r="M15" s="313"/>
      <c r="N15" s="313"/>
    </row>
    <row r="16" spans="1:20" ht="18.95" customHeight="1" thickBot="1">
      <c r="A16" s="313"/>
      <c r="B16" s="313"/>
      <c r="C16" s="313"/>
      <c r="D16" s="889"/>
      <c r="E16" s="313"/>
      <c r="F16" s="892" t="s">
        <v>816</v>
      </c>
      <c r="G16" s="892"/>
      <c r="H16" s="892"/>
      <c r="I16" s="892"/>
      <c r="J16" s="313"/>
      <c r="K16" s="313"/>
      <c r="L16" s="313"/>
      <c r="M16" s="313"/>
      <c r="N16" s="313"/>
    </row>
    <row r="17" spans="1:14" ht="18.95" customHeight="1">
      <c r="A17" s="1461" t="s">
        <v>1563</v>
      </c>
      <c r="B17" s="313"/>
      <c r="C17" s="313"/>
      <c r="D17" s="889"/>
      <c r="E17" s="313"/>
      <c r="F17" s="886" t="str">
        <f>'Allocation by Category'!A68</f>
        <v>Foundation Credit Hour Measures</v>
      </c>
      <c r="G17" s="887"/>
      <c r="H17" s="893">
        <f>'Allocation by Category'!C68</f>
        <v>0.34126110607040588</v>
      </c>
      <c r="I17" s="1442"/>
      <c r="J17" s="313"/>
      <c r="K17" s="313"/>
      <c r="L17" s="313"/>
      <c r="M17" s="313"/>
      <c r="N17" s="313"/>
    </row>
    <row r="18" spans="1:14" ht="18.95" customHeight="1" thickBot="1">
      <c r="A18" s="313"/>
      <c r="B18" s="313"/>
      <c r="C18" s="313"/>
      <c r="D18" s="313"/>
      <c r="E18" s="313"/>
      <c r="F18" s="888"/>
      <c r="G18" s="889"/>
      <c r="H18" s="1443"/>
      <c r="I18" s="1444"/>
      <c r="J18" s="313"/>
      <c r="K18" s="313"/>
      <c r="L18" s="313"/>
      <c r="M18" s="313"/>
      <c r="N18" s="313"/>
    </row>
    <row r="19" spans="1:14" ht="18.95" customHeight="1" thickBot="1">
      <c r="A19" s="1469" t="s">
        <v>298</v>
      </c>
      <c r="B19" s="1470" t="s">
        <v>255</v>
      </c>
      <c r="C19" s="1471" t="s">
        <v>299</v>
      </c>
      <c r="D19" s="1471" t="s">
        <v>300</v>
      </c>
      <c r="E19" s="313"/>
      <c r="F19" s="888" t="str">
        <f>'Allocation by Category'!A70</f>
        <v>Undergraduate Allocations</v>
      </c>
      <c r="G19" s="889"/>
      <c r="H19" s="885">
        <f>'Allocation by Category'!C70</f>
        <v>0.75132827086717791</v>
      </c>
      <c r="I19" s="1444"/>
      <c r="J19" s="313"/>
      <c r="K19" s="313"/>
      <c r="L19" s="313"/>
      <c r="M19" s="313"/>
      <c r="N19" s="313"/>
    </row>
    <row r="20" spans="1:14">
      <c r="A20" s="1472" t="s">
        <v>258</v>
      </c>
      <c r="B20" s="1473" t="s">
        <v>302</v>
      </c>
      <c r="C20" s="1758">
        <v>0.45</v>
      </c>
      <c r="D20" s="1756">
        <f>C20*(E$1-D$28-D$29)</f>
        <v>73126952.503813699</v>
      </c>
      <c r="E20" s="313"/>
      <c r="F20" s="888" t="str">
        <f>'Allocation by Category'!A71</f>
        <v>Graduate Allocations</v>
      </c>
      <c r="G20" s="889"/>
      <c r="H20" s="885">
        <f>'Allocation by Category'!C71</f>
        <v>0.21157813064690845</v>
      </c>
      <c r="I20" s="1444"/>
      <c r="J20" s="313"/>
      <c r="K20" s="313"/>
      <c r="L20" s="313"/>
      <c r="M20" s="313"/>
      <c r="N20" s="313"/>
    </row>
    <row r="21" spans="1:14" ht="16.5" thickBot="1">
      <c r="A21" s="1474"/>
      <c r="B21" s="1475" t="s">
        <v>411</v>
      </c>
      <c r="C21" s="1759"/>
      <c r="D21" s="1757"/>
      <c r="E21" s="313"/>
      <c r="F21" s="890" t="str">
        <f>'Allocation by Category'!A72</f>
        <v>Research Allocations</v>
      </c>
      <c r="G21" s="891"/>
      <c r="H21" s="894">
        <f>'Allocation by Category'!C72</f>
        <v>3.7093598485913683E-2</v>
      </c>
      <c r="I21" s="1445"/>
      <c r="J21" s="313"/>
      <c r="K21" s="313"/>
      <c r="L21" s="313"/>
      <c r="M21" s="313"/>
      <c r="N21" s="313"/>
    </row>
    <row r="22" spans="1:14">
      <c r="A22" s="1474"/>
      <c r="B22" s="1475" t="s">
        <v>412</v>
      </c>
      <c r="C22" s="1759"/>
      <c r="D22" s="1757"/>
      <c r="E22" s="313"/>
      <c r="F22" s="313"/>
      <c r="G22" s="313"/>
      <c r="H22" s="313"/>
      <c r="I22" s="313"/>
      <c r="J22" s="313"/>
      <c r="K22" s="313"/>
      <c r="L22" s="313"/>
      <c r="M22" s="313"/>
      <c r="N22" s="313"/>
    </row>
    <row r="23" spans="1:14" ht="16.5" thickBot="1">
      <c r="A23" s="1476"/>
      <c r="B23" s="1477" t="s">
        <v>260</v>
      </c>
      <c r="C23" s="1478">
        <v>5.0000000000000001E-3</v>
      </c>
      <c r="D23" s="1479">
        <f>C23*(E$1-D$28-D$29)</f>
        <v>812521.69448681897</v>
      </c>
      <c r="E23" s="313"/>
      <c r="F23" s="313"/>
      <c r="G23" s="313"/>
      <c r="H23" s="313"/>
      <c r="I23" s="313"/>
      <c r="J23" s="313"/>
      <c r="K23" s="313"/>
      <c r="L23" s="313"/>
      <c r="M23" s="313"/>
      <c r="N23" s="313"/>
    </row>
    <row r="24" spans="1:14">
      <c r="A24" s="1472" t="s">
        <v>297</v>
      </c>
      <c r="B24" s="1473" t="s">
        <v>181</v>
      </c>
      <c r="C24" s="1480">
        <v>0.15</v>
      </c>
      <c r="D24" s="1481">
        <f>C24*(E$1-D$28-D$29)</f>
        <v>24375650.834604565</v>
      </c>
      <c r="E24" s="313"/>
      <c r="F24" s="313"/>
      <c r="G24" s="313"/>
      <c r="H24" s="313"/>
      <c r="I24" s="313"/>
      <c r="J24" s="313"/>
      <c r="K24" s="313"/>
      <c r="L24" s="313"/>
      <c r="M24" s="313"/>
      <c r="N24" s="313"/>
    </row>
    <row r="25" spans="1:14" ht="16.5" thickBot="1">
      <c r="A25" s="1476"/>
      <c r="B25" s="1477" t="s">
        <v>259</v>
      </c>
      <c r="C25" s="1478">
        <v>0.1</v>
      </c>
      <c r="D25" s="1479">
        <f>C25*(E$1-D$28-D$29)</f>
        <v>16250433.889736379</v>
      </c>
      <c r="E25" s="313"/>
      <c r="F25" s="313"/>
      <c r="G25" s="313"/>
      <c r="H25" s="313"/>
      <c r="I25" s="313"/>
      <c r="J25" s="313"/>
      <c r="K25" s="313"/>
      <c r="L25" s="313"/>
      <c r="M25" s="313"/>
      <c r="N25" s="313"/>
    </row>
    <row r="26" spans="1:14">
      <c r="A26" s="1472" t="s">
        <v>261</v>
      </c>
      <c r="B26" s="1473" t="s">
        <v>16</v>
      </c>
      <c r="C26" s="1480">
        <v>0.12</v>
      </c>
      <c r="D26" s="1481">
        <f>C26*(E$1-D$28-D$29)</f>
        <v>19500520.667683654</v>
      </c>
      <c r="E26" s="313"/>
      <c r="F26" s="313"/>
      <c r="G26" s="313"/>
      <c r="H26" s="313"/>
      <c r="I26" s="313"/>
      <c r="J26" s="313"/>
      <c r="K26" s="313"/>
      <c r="L26" s="313"/>
      <c r="M26" s="313"/>
      <c r="N26" s="313"/>
    </row>
    <row r="27" spans="1:14" ht="16.5" thickBot="1">
      <c r="A27" s="1476"/>
      <c r="B27" s="1482" t="s">
        <v>163</v>
      </c>
      <c r="C27" s="1478">
        <v>0.08</v>
      </c>
      <c r="D27" s="1479">
        <f>C27*(E$1-D$28-D$29)</f>
        <v>13000347.111789104</v>
      </c>
      <c r="E27" s="313"/>
      <c r="F27" s="313"/>
      <c r="G27" s="313"/>
      <c r="H27" s="313"/>
      <c r="I27" s="313"/>
      <c r="J27" s="313"/>
      <c r="K27" s="313"/>
      <c r="L27" s="313"/>
      <c r="M27" s="313"/>
      <c r="N27" s="313"/>
    </row>
    <row r="28" spans="1:14" ht="16.5" thickBot="1">
      <c r="A28" s="1762" t="s">
        <v>313</v>
      </c>
      <c r="B28" s="1473" t="s">
        <v>741</v>
      </c>
      <c r="C28" s="1483"/>
      <c r="D28" s="1481">
        <f>'Pools, Rates, Reference'!E10</f>
        <v>48889296.292417973</v>
      </c>
      <c r="E28" s="313"/>
      <c r="F28" s="313"/>
      <c r="G28" s="313"/>
      <c r="H28" s="313"/>
      <c r="I28" s="313"/>
      <c r="J28" s="313"/>
      <c r="K28" s="313"/>
      <c r="L28" s="313"/>
      <c r="M28" s="313"/>
      <c r="N28" s="313"/>
    </row>
    <row r="29" spans="1:14">
      <c r="A29" s="1763"/>
      <c r="B29" s="1475" t="s">
        <v>742</v>
      </c>
      <c r="C29" s="1484" t="s">
        <v>1566</v>
      </c>
      <c r="D29" s="1481">
        <f>'Pools, Rates, Reference'!E11</f>
        <v>7652703.7075820267</v>
      </c>
      <c r="E29" s="389"/>
      <c r="F29" s="389"/>
      <c r="G29" s="318"/>
      <c r="H29" s="313"/>
      <c r="I29" s="313"/>
      <c r="J29" s="313"/>
      <c r="K29" s="313"/>
      <c r="L29" s="313"/>
      <c r="M29" s="313"/>
      <c r="N29" s="313"/>
    </row>
    <row r="30" spans="1:14">
      <c r="A30" s="1763"/>
      <c r="B30" s="1475" t="s">
        <v>674</v>
      </c>
      <c r="C30" s="1484"/>
      <c r="D30" s="1485">
        <v>0</v>
      </c>
      <c r="E30" s="389"/>
      <c r="F30" s="389"/>
      <c r="G30" s="318"/>
      <c r="H30" s="313"/>
      <c r="I30" s="313"/>
      <c r="J30" s="313"/>
      <c r="K30" s="313"/>
      <c r="L30" s="313"/>
      <c r="M30" s="313"/>
      <c r="N30" s="313"/>
    </row>
    <row r="31" spans="1:14" ht="16.5" thickBot="1">
      <c r="A31" s="1764"/>
      <c r="B31" s="1482" t="s">
        <v>262</v>
      </c>
      <c r="C31" s="1486">
        <v>0</v>
      </c>
      <c r="D31" s="1487">
        <f>C31*E$1</f>
        <v>0</v>
      </c>
      <c r="E31" s="389"/>
      <c r="F31" s="389"/>
      <c r="G31" s="318"/>
      <c r="H31" s="313"/>
      <c r="I31" s="1446"/>
      <c r="J31" s="313"/>
      <c r="K31" s="313"/>
      <c r="L31" s="313"/>
      <c r="M31" s="313"/>
      <c r="N31" s="313"/>
    </row>
    <row r="32" spans="1:14" ht="16.5" thickBot="1">
      <c r="A32" s="1488" t="s">
        <v>292</v>
      </c>
      <c r="B32" s="1489" t="s">
        <v>164</v>
      </c>
      <c r="C32" s="1490">
        <v>0.05</v>
      </c>
      <c r="D32" s="1479">
        <f>C32*(E$1-D$28-D$29)</f>
        <v>8125216.9448681893</v>
      </c>
      <c r="E32" s="389"/>
      <c r="F32" s="389"/>
      <c r="G32" s="313"/>
      <c r="H32" s="313"/>
      <c r="I32" s="313"/>
      <c r="J32" s="313"/>
      <c r="K32" s="313"/>
      <c r="L32" s="313"/>
      <c r="M32" s="313"/>
      <c r="N32" s="313"/>
    </row>
    <row r="33" spans="1:14" ht="17.100000000000001" customHeight="1">
      <c r="A33" s="1491" t="s">
        <v>293</v>
      </c>
      <c r="B33" s="1492" t="s">
        <v>675</v>
      </c>
      <c r="C33" s="1747">
        <v>0.04</v>
      </c>
      <c r="D33" s="1744">
        <f>C33*(E1-D28-D29)</f>
        <v>6500173.5558945518</v>
      </c>
      <c r="E33" s="389"/>
      <c r="F33" s="389"/>
      <c r="G33" s="319"/>
      <c r="H33" s="313"/>
      <c r="I33" s="285"/>
      <c r="J33" s="313"/>
      <c r="K33" s="313"/>
      <c r="L33" s="313"/>
      <c r="M33" s="313"/>
      <c r="N33" s="313"/>
    </row>
    <row r="34" spans="1:14" ht="17.100000000000001" customHeight="1">
      <c r="A34" s="1493" t="s">
        <v>677</v>
      </c>
      <c r="B34" s="1494">
        <v>1.4</v>
      </c>
      <c r="C34" s="1748"/>
      <c r="D34" s="1745"/>
      <c r="E34" s="389"/>
      <c r="F34" s="389"/>
      <c r="G34" s="319"/>
      <c r="H34" s="313"/>
      <c r="I34" s="285"/>
      <c r="J34" s="313"/>
      <c r="K34" s="313"/>
      <c r="L34" s="313"/>
      <c r="M34" s="313"/>
      <c r="N34" s="313"/>
    </row>
    <row r="35" spans="1:14" ht="17.100000000000001" customHeight="1">
      <c r="A35" s="1493" t="s">
        <v>676</v>
      </c>
      <c r="B35" s="1494">
        <v>1.2</v>
      </c>
      <c r="C35" s="1748"/>
      <c r="D35" s="1745"/>
      <c r="E35" s="389"/>
      <c r="F35" s="389"/>
      <c r="G35" s="319"/>
      <c r="H35" s="313"/>
      <c r="I35" s="285"/>
      <c r="J35" s="313"/>
      <c r="K35" s="313"/>
      <c r="L35" s="313"/>
      <c r="M35" s="313"/>
      <c r="N35" s="313"/>
    </row>
    <row r="36" spans="1:14">
      <c r="A36" s="1493" t="s">
        <v>613</v>
      </c>
      <c r="B36" s="1494">
        <v>0.3</v>
      </c>
      <c r="C36" s="1748"/>
      <c r="D36" s="1745"/>
      <c r="E36" s="389"/>
      <c r="F36" s="389"/>
      <c r="G36" s="313"/>
      <c r="H36" s="313"/>
      <c r="I36" s="285"/>
      <c r="J36" s="313"/>
      <c r="K36" s="313"/>
      <c r="L36" s="313"/>
      <c r="M36" s="313"/>
      <c r="N36" s="313"/>
    </row>
    <row r="37" spans="1:14">
      <c r="A37" s="1493"/>
      <c r="B37" s="1495"/>
      <c r="C37" s="1748"/>
      <c r="D37" s="1745"/>
      <c r="E37" s="389"/>
      <c r="F37" s="389"/>
      <c r="G37" s="1447"/>
      <c r="H37" s="1447"/>
      <c r="I37" s="285"/>
      <c r="J37" s="313"/>
      <c r="K37" s="313"/>
      <c r="L37" s="313"/>
      <c r="M37" s="313"/>
      <c r="N37" s="313"/>
    </row>
    <row r="38" spans="1:14" ht="16.5" thickBot="1">
      <c r="A38" s="1493"/>
      <c r="B38" s="1495"/>
      <c r="C38" s="1749"/>
      <c r="D38" s="1746"/>
      <c r="E38" s="389"/>
      <c r="F38" s="389"/>
      <c r="G38" s="313"/>
      <c r="H38" s="313"/>
      <c r="I38" s="285"/>
      <c r="J38" s="313"/>
      <c r="K38" s="313"/>
      <c r="L38" s="313"/>
      <c r="M38" s="313"/>
      <c r="N38" s="313"/>
    </row>
    <row r="39" spans="1:14" ht="16.5" thickBot="1">
      <c r="A39" s="1496" t="s">
        <v>678</v>
      </c>
      <c r="B39" s="1497"/>
      <c r="C39" s="1498">
        <v>5.0000000000000001E-3</v>
      </c>
      <c r="D39" s="1479">
        <f>C39*(E$1-D$28-D$29)</f>
        <v>812521.69448681897</v>
      </c>
      <c r="E39" s="389"/>
      <c r="F39" s="389"/>
      <c r="G39" s="1448"/>
      <c r="H39" s="313"/>
      <c r="I39" s="285"/>
      <c r="J39" s="1448"/>
      <c r="K39" s="313"/>
      <c r="L39" s="313"/>
      <c r="M39" s="313"/>
      <c r="N39" s="313"/>
    </row>
    <row r="40" spans="1:14">
      <c r="A40" s="389"/>
      <c r="B40" s="389"/>
      <c r="C40" s="389"/>
      <c r="D40" s="389"/>
      <c r="E40" s="389"/>
      <c r="F40" s="389"/>
      <c r="G40" s="1448"/>
      <c r="H40" s="313"/>
      <c r="I40" s="313"/>
      <c r="J40" s="313"/>
      <c r="K40" s="313"/>
      <c r="L40" s="313"/>
      <c r="M40" s="313"/>
      <c r="N40" s="313"/>
    </row>
    <row r="41" spans="1:14">
      <c r="A41" s="313"/>
      <c r="B41" s="313"/>
      <c r="C41" s="313"/>
      <c r="D41" s="313"/>
      <c r="E41" s="389"/>
      <c r="F41" s="389"/>
      <c r="G41" s="313"/>
      <c r="H41" s="313"/>
      <c r="I41" s="313"/>
      <c r="J41" s="313"/>
      <c r="K41" s="313"/>
      <c r="L41" s="313"/>
      <c r="M41" s="313"/>
      <c r="N41" s="313"/>
    </row>
    <row r="42" spans="1:14">
      <c r="A42" s="289" t="s">
        <v>15</v>
      </c>
      <c r="B42" s="289"/>
      <c r="C42" s="1499">
        <f>SUM(C20:C39)</f>
        <v>1</v>
      </c>
      <c r="D42" s="1500">
        <f>SUM(D20:D39)</f>
        <v>219046338.89736378</v>
      </c>
      <c r="E42" s="389"/>
      <c r="F42" s="389"/>
      <c r="G42" s="313"/>
      <c r="H42" s="313"/>
      <c r="I42" s="313"/>
      <c r="J42" s="313"/>
      <c r="K42" s="313"/>
      <c r="L42" s="313"/>
      <c r="M42" s="313"/>
      <c r="N42" s="313"/>
    </row>
    <row r="43" spans="1:14" ht="15" customHeight="1">
      <c r="A43" s="313"/>
      <c r="B43" s="313"/>
      <c r="C43" s="313"/>
      <c r="D43" s="1447"/>
      <c r="E43" s="389"/>
      <c r="F43" s="389"/>
      <c r="G43" s="313"/>
      <c r="H43" s="313"/>
      <c r="I43" s="313"/>
      <c r="J43" s="313"/>
      <c r="K43" s="313"/>
      <c r="L43" s="313"/>
      <c r="M43" s="313"/>
      <c r="N43" s="313"/>
    </row>
    <row r="44" spans="1:14">
      <c r="A44" s="313"/>
      <c r="B44" s="1501"/>
      <c r="C44" s="313"/>
      <c r="D44" s="1447"/>
      <c r="E44" s="389"/>
      <c r="F44" s="389"/>
      <c r="G44" s="313"/>
      <c r="H44" s="313"/>
      <c r="I44" s="313"/>
      <c r="J44" s="313"/>
      <c r="K44" s="313"/>
      <c r="L44" s="313"/>
      <c r="M44" s="313"/>
      <c r="N44" s="313"/>
    </row>
    <row r="45" spans="1:14">
      <c r="A45" s="1461" t="s">
        <v>1564</v>
      </c>
      <c r="B45" s="313"/>
      <c r="C45" s="313"/>
      <c r="D45" s="313"/>
      <c r="E45" s="389"/>
      <c r="F45" s="389"/>
      <c r="G45" s="313"/>
      <c r="H45" s="313"/>
      <c r="I45" s="313"/>
      <c r="J45" s="313"/>
      <c r="K45" s="313"/>
      <c r="L45" s="313"/>
      <c r="M45" s="313"/>
      <c r="N45" s="313"/>
    </row>
    <row r="46" spans="1:14" ht="21.95" customHeight="1">
      <c r="A46" s="313" t="s">
        <v>1565</v>
      </c>
      <c r="B46" s="313"/>
      <c r="C46" s="313"/>
      <c r="D46" s="1447"/>
      <c r="E46" s="389"/>
      <c r="F46" s="389"/>
      <c r="G46" s="313"/>
      <c r="H46" s="313"/>
      <c r="I46" s="313"/>
      <c r="J46" s="313"/>
      <c r="K46" s="313"/>
      <c r="L46" s="313"/>
      <c r="M46" s="313"/>
      <c r="N46" s="313"/>
    </row>
    <row r="47" spans="1:14">
      <c r="A47" s="313"/>
      <c r="B47" s="313"/>
      <c r="C47" s="313"/>
      <c r="D47" s="313"/>
      <c r="E47" s="389"/>
      <c r="F47" s="389"/>
      <c r="G47" s="313"/>
      <c r="H47" s="313"/>
      <c r="I47" s="313"/>
      <c r="J47" s="313"/>
      <c r="K47" s="313"/>
      <c r="L47" s="313"/>
      <c r="M47" s="313"/>
      <c r="N47" s="313"/>
    </row>
    <row r="48" spans="1:14">
      <c r="A48" s="1429" t="s">
        <v>311</v>
      </c>
      <c r="B48" s="1429"/>
      <c r="C48" s="994">
        <f>'Step 6a Service-Support Detail'!F56</f>
        <v>128817255.34579739</v>
      </c>
      <c r="D48" s="313"/>
      <c r="E48" s="389"/>
      <c r="F48" s="389"/>
      <c r="G48" s="313"/>
      <c r="H48" s="313"/>
      <c r="I48" s="313"/>
      <c r="J48" s="313"/>
      <c r="K48" s="313"/>
      <c r="L48" s="313"/>
      <c r="M48" s="313"/>
      <c r="N48" s="313"/>
    </row>
    <row r="49" spans="1:14">
      <c r="A49" s="1429" t="s">
        <v>312</v>
      </c>
      <c r="B49" s="1429"/>
      <c r="C49" s="994">
        <v>0</v>
      </c>
      <c r="D49" s="282"/>
      <c r="E49" s="389"/>
      <c r="F49" s="389"/>
      <c r="G49" s="313"/>
      <c r="H49" s="313"/>
      <c r="I49" s="313"/>
      <c r="J49" s="313"/>
      <c r="K49" s="313"/>
      <c r="L49" s="313"/>
      <c r="M49" s="313"/>
      <c r="N49" s="313"/>
    </row>
    <row r="50" spans="1:14">
      <c r="A50" s="389"/>
      <c r="B50" s="389"/>
      <c r="C50" s="389"/>
      <c r="D50" s="389"/>
      <c r="E50" s="389"/>
      <c r="F50" s="389"/>
      <c r="G50" s="313"/>
      <c r="H50" s="313"/>
      <c r="I50" s="313"/>
      <c r="J50" s="313"/>
      <c r="K50" s="313"/>
      <c r="L50" s="313"/>
      <c r="M50" s="313"/>
      <c r="N50" s="313"/>
    </row>
    <row r="51" spans="1:14">
      <c r="A51" s="389"/>
      <c r="B51" s="389"/>
      <c r="C51" s="389"/>
      <c r="D51" s="389"/>
      <c r="E51" s="282"/>
      <c r="F51" s="282"/>
      <c r="G51" s="313"/>
      <c r="H51" s="313"/>
      <c r="I51" s="313"/>
      <c r="J51" s="313"/>
      <c r="K51" s="313"/>
      <c r="L51" s="313"/>
      <c r="M51" s="313"/>
      <c r="N51" s="313"/>
    </row>
    <row r="52" spans="1:14">
      <c r="A52" s="389"/>
      <c r="B52" s="389"/>
      <c r="C52" s="389"/>
      <c r="D52" s="389"/>
      <c r="E52" s="282"/>
      <c r="F52" s="282"/>
      <c r="G52" s="313"/>
      <c r="H52" s="313"/>
      <c r="I52" s="313"/>
      <c r="J52" s="313"/>
      <c r="K52" s="313"/>
      <c r="L52" s="313"/>
      <c r="M52" s="313"/>
      <c r="N52" s="313"/>
    </row>
    <row r="53" spans="1:14">
      <c r="A53" s="389"/>
      <c r="B53" s="389"/>
      <c r="C53" s="389"/>
      <c r="D53" s="389"/>
      <c r="E53" s="282"/>
      <c r="F53" s="305"/>
      <c r="G53" s="313"/>
      <c r="H53" s="313"/>
      <c r="I53" s="313"/>
      <c r="J53" s="313"/>
      <c r="K53" s="313"/>
      <c r="L53" s="313"/>
      <c r="M53" s="313"/>
      <c r="N53" s="313"/>
    </row>
    <row r="54" spans="1:14">
      <c r="A54" s="389"/>
      <c r="B54" s="389"/>
      <c r="C54" s="389"/>
      <c r="D54" s="389"/>
      <c r="E54" s="291"/>
      <c r="F54" s="292"/>
      <c r="G54" s="313"/>
      <c r="H54" s="313"/>
      <c r="I54" s="313"/>
      <c r="J54" s="313"/>
      <c r="K54" s="313"/>
      <c r="L54" s="313"/>
      <c r="M54" s="313"/>
      <c r="N54" s="313"/>
    </row>
    <row r="55" spans="1:14">
      <c r="A55" s="389"/>
      <c r="B55" s="389"/>
      <c r="C55" s="389"/>
      <c r="D55" s="389"/>
      <c r="E55" s="293"/>
      <c r="F55" s="292"/>
      <c r="G55" s="313"/>
      <c r="H55" s="313"/>
      <c r="I55" s="313"/>
      <c r="J55" s="313"/>
      <c r="K55" s="313"/>
      <c r="L55" s="313"/>
      <c r="M55" s="313"/>
      <c r="N55" s="313"/>
    </row>
    <row r="56" spans="1:14">
      <c r="A56"/>
      <c r="B56"/>
      <c r="C56"/>
      <c r="D56"/>
      <c r="E56" s="294"/>
      <c r="F56" s="282"/>
    </row>
    <row r="57" spans="1:14">
      <c r="A57"/>
      <c r="B57"/>
      <c r="C57"/>
      <c r="D57"/>
      <c r="E57" s="294"/>
      <c r="F57" s="295"/>
    </row>
    <row r="58" spans="1:14">
      <c r="A58"/>
      <c r="B58"/>
      <c r="C58"/>
      <c r="D58"/>
      <c r="E58" s="282"/>
      <c r="F58" s="282"/>
    </row>
    <row r="59" spans="1:14">
      <c r="A59"/>
      <c r="B59"/>
      <c r="C59"/>
      <c r="D59"/>
    </row>
    <row r="60" spans="1:14">
      <c r="A60"/>
      <c r="B60"/>
      <c r="C60"/>
      <c r="D60"/>
      <c r="E60"/>
      <c r="F60"/>
    </row>
    <row r="61" spans="1:14">
      <c r="A61"/>
      <c r="B61"/>
      <c r="C61"/>
      <c r="D61"/>
      <c r="E61"/>
      <c r="F61"/>
      <c r="K61" s="278" t="s">
        <v>1561</v>
      </c>
    </row>
    <row r="62" spans="1:14">
      <c r="A62"/>
      <c r="B62"/>
      <c r="C62"/>
      <c r="D62"/>
      <c r="E62"/>
      <c r="F62"/>
    </row>
    <row r="63" spans="1:14">
      <c r="A63"/>
      <c r="B63"/>
      <c r="C63"/>
      <c r="D63"/>
      <c r="E63"/>
      <c r="F63"/>
    </row>
    <row r="64" spans="1:14">
      <c r="A64"/>
      <c r="B64"/>
      <c r="C64"/>
      <c r="D64"/>
      <c r="E64"/>
      <c r="F64"/>
    </row>
    <row r="65" spans="1:6">
      <c r="A65"/>
      <c r="B65"/>
      <c r="C65"/>
      <c r="D65"/>
      <c r="E65"/>
      <c r="F65"/>
    </row>
    <row r="66" spans="1:6">
      <c r="A66"/>
      <c r="B66"/>
      <c r="C66"/>
      <c r="D66"/>
      <c r="E66"/>
      <c r="F66"/>
    </row>
    <row r="67" spans="1:6">
      <c r="A67"/>
      <c r="B67"/>
      <c r="C67"/>
      <c r="D67"/>
      <c r="E67"/>
      <c r="F67"/>
    </row>
    <row r="68" spans="1:6">
      <c r="A68"/>
      <c r="B68"/>
      <c r="C68"/>
      <c r="D68"/>
      <c r="E68"/>
      <c r="F68"/>
    </row>
    <row r="69" spans="1:6">
      <c r="A69"/>
      <c r="B69"/>
      <c r="C69"/>
      <c r="D69"/>
      <c r="E69"/>
      <c r="F69"/>
    </row>
    <row r="70" spans="1:6">
      <c r="A70"/>
      <c r="B70"/>
      <c r="C70"/>
      <c r="D70"/>
      <c r="E70"/>
      <c r="F70"/>
    </row>
    <row r="71" spans="1:6">
      <c r="A71"/>
      <c r="B71"/>
      <c r="C71"/>
      <c r="D71"/>
      <c r="E71"/>
      <c r="F71"/>
    </row>
    <row r="72" spans="1:6">
      <c r="E72"/>
      <c r="F72"/>
    </row>
    <row r="73" spans="1:6">
      <c r="E73"/>
      <c r="F73"/>
    </row>
    <row r="74" spans="1:6">
      <c r="E74"/>
      <c r="F74"/>
    </row>
    <row r="75" spans="1:6">
      <c r="E75"/>
      <c r="F75"/>
    </row>
    <row r="76" spans="1:6">
      <c r="E76"/>
      <c r="F76"/>
    </row>
    <row r="77" spans="1:6">
      <c r="E77"/>
      <c r="F77"/>
    </row>
    <row r="78" spans="1:6">
      <c r="E78"/>
      <c r="F78"/>
    </row>
    <row r="79" spans="1:6">
      <c r="E79"/>
      <c r="F79"/>
    </row>
    <row r="80" spans="1:6">
      <c r="E80"/>
      <c r="F80"/>
    </row>
    <row r="81" spans="5:6">
      <c r="E81"/>
      <c r="F81"/>
    </row>
  </sheetData>
  <sheetProtection formatCells="0"/>
  <mergeCells count="9">
    <mergeCell ref="D33:D38"/>
    <mergeCell ref="C33:C38"/>
    <mergeCell ref="H1:L1"/>
    <mergeCell ref="H2:L2"/>
    <mergeCell ref="D20:D22"/>
    <mergeCell ref="C20:C22"/>
    <mergeCell ref="A3:F3"/>
    <mergeCell ref="A9:B9"/>
    <mergeCell ref="A28:A31"/>
  </mergeCells>
  <phoneticPr fontId="52" type="noConversion"/>
  <dataValidations xWindow="343" yWindow="861" count="5">
    <dataValidation type="decimal" allowBlank="1" showInputMessage="1" showErrorMessage="1" error="Must be 0% to 5%" prompt="Between 0% and 5%" sqref="C23">
      <formula1>0</formula1>
      <formula2>0.05</formula2>
    </dataValidation>
    <dataValidation type="decimal" allowBlank="1" showInputMessage="1" showErrorMessage="1" error="Must be 0% to 30%" prompt="Must be 0% to 30%" sqref="C26:C27">
      <formula1>0</formula1>
      <formula2>0.3</formula2>
    </dataValidation>
    <dataValidation type="decimal" allowBlank="1" showInputMessage="1" showErrorMessage="1" error="Must be 0% to 30%" prompt="Must be 0% to 30%" sqref="C25">
      <formula1>0</formula1>
      <formula2>0.35</formula2>
    </dataValidation>
    <dataValidation type="decimal" allowBlank="1" showInputMessage="1" showErrorMessage="1" error="Must be 0% to 35%" prompt="Must be 0% to 35%" sqref="C24:C25">
      <formula1>0</formula1>
      <formula2>0.35</formula2>
    </dataValidation>
    <dataValidation type="decimal" allowBlank="1" showInputMessage="1" showErrorMessage="1" error="Must be 0% to 8%" prompt="Must be beween 0% and 8%" sqref="C39 C32">
      <formula1>0</formula1>
      <formula2>0.08</formula2>
    </dataValidation>
  </dataValidations>
  <printOptions gridLines="1"/>
  <pageMargins left="0.75" right="0.75" top="1" bottom="1" header="0.5" footer="0.5"/>
  <pageSetup scale="25" orientation="portrait" horizontalDpi="4294967292" verticalDpi="4294967292"/>
  <ignoredErrors>
    <ignoredError sqref="F11:F14 F17 F19:F21 H11:H14 I11:I14 H17 H19:H20 H21" unlockedFormula="1"/>
  </ignoredError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B92"/>
  <sheetViews>
    <sheetView workbookViewId="0">
      <selection activeCell="B17" sqref="B17"/>
    </sheetView>
  </sheetViews>
  <sheetFormatPr defaultColWidth="11" defaultRowHeight="15.75"/>
  <cols>
    <col min="1" max="1" width="42.375" customWidth="1"/>
    <col min="2" max="2" width="12.375" customWidth="1"/>
    <col min="8" max="8" width="11.5" bestFit="1" customWidth="1"/>
    <col min="9" max="9" width="10.875" style="1091"/>
    <col min="10" max="10" width="4.375" customWidth="1"/>
    <col min="11" max="11" width="40.875" customWidth="1"/>
    <col min="12" max="12" width="13.375" customWidth="1"/>
    <col min="13" max="13" width="4" customWidth="1"/>
    <col min="14" max="15" width="13.375" customWidth="1"/>
    <col min="16" max="16" width="10.125" customWidth="1"/>
    <col min="17" max="17" width="15" customWidth="1"/>
    <col min="18" max="18" width="12.125" customWidth="1"/>
    <col min="19" max="19" width="46" customWidth="1"/>
    <col min="20" max="20" width="12" customWidth="1"/>
    <col min="21" max="21" width="12.125" customWidth="1"/>
    <col min="22" max="22" width="14.375" customWidth="1"/>
    <col min="23" max="23" width="14.5" customWidth="1"/>
    <col min="25" max="25" width="13" customWidth="1"/>
    <col min="27" max="27" width="12.125" customWidth="1"/>
    <col min="28" max="28" width="11.5" bestFit="1" customWidth="1"/>
  </cols>
  <sheetData>
    <row r="1" spans="1:27" ht="18.75">
      <c r="A1" s="928" t="s">
        <v>1544</v>
      </c>
      <c r="B1" s="226"/>
      <c r="C1" s="226"/>
      <c r="D1" s="226"/>
      <c r="E1" s="226"/>
      <c r="F1" s="226"/>
      <c r="G1" s="226"/>
      <c r="H1" s="226"/>
      <c r="I1" s="1090"/>
      <c r="J1" s="226"/>
      <c r="K1" s="226"/>
      <c r="L1" s="226"/>
      <c r="M1" s="226"/>
      <c r="N1" s="226"/>
      <c r="O1" s="226"/>
    </row>
    <row r="2" spans="1:27">
      <c r="A2" t="s">
        <v>173</v>
      </c>
    </row>
    <row r="3" spans="1:27">
      <c r="L3" s="1423" t="s">
        <v>1305</v>
      </c>
      <c r="M3" s="1423"/>
      <c r="N3" s="1423" t="s">
        <v>1307</v>
      </c>
      <c r="O3" s="1423" t="s">
        <v>1308</v>
      </c>
    </row>
    <row r="4" spans="1:27">
      <c r="A4" s="10" t="s">
        <v>1555</v>
      </c>
      <c r="D4" s="12"/>
      <c r="J4" s="10" t="s">
        <v>1542</v>
      </c>
      <c r="Q4" s="10" t="s">
        <v>1543</v>
      </c>
    </row>
    <row r="5" spans="1:27" ht="54" thickBot="1">
      <c r="A5" s="158" t="s">
        <v>150</v>
      </c>
      <c r="B5" s="158"/>
      <c r="C5" s="158"/>
      <c r="D5" s="158"/>
      <c r="E5" s="158"/>
      <c r="F5" s="158"/>
      <c r="G5" s="158"/>
      <c r="H5" s="159"/>
      <c r="J5" s="1109" t="s">
        <v>264</v>
      </c>
      <c r="K5" s="1109"/>
      <c r="L5" s="1110">
        <f>SUM(L6:L14)</f>
        <v>26139223</v>
      </c>
      <c r="M5" s="1262"/>
      <c r="N5" s="1110">
        <f>SUM(N6:N14)</f>
        <v>22828931</v>
      </c>
      <c r="O5" s="1110"/>
      <c r="P5" s="814"/>
      <c r="Q5" s="19"/>
      <c r="R5" s="20" t="s">
        <v>19</v>
      </c>
      <c r="S5" s="21" t="s">
        <v>20</v>
      </c>
      <c r="T5" s="22" t="s">
        <v>21</v>
      </c>
      <c r="U5" s="23" t="s">
        <v>1410</v>
      </c>
      <c r="V5" s="1008" t="s">
        <v>1411</v>
      </c>
      <c r="W5" s="1404" t="s">
        <v>1412</v>
      </c>
      <c r="X5" s="18"/>
      <c r="Y5" s="18"/>
      <c r="Z5" s="18"/>
      <c r="AA5" s="18"/>
    </row>
    <row r="6" spans="1:27" ht="18" thickTop="1">
      <c r="A6" s="154"/>
      <c r="B6" s="154"/>
      <c r="C6" s="154"/>
      <c r="D6" s="154"/>
      <c r="E6" s="154"/>
      <c r="F6" s="154"/>
      <c r="G6" s="154"/>
      <c r="H6" s="154"/>
      <c r="K6" s="160" t="s">
        <v>140</v>
      </c>
      <c r="L6" s="1344">
        <f>N6+O6</f>
        <v>11215508</v>
      </c>
      <c r="M6" s="1344"/>
      <c r="N6" s="1344">
        <v>8330484</v>
      </c>
      <c r="O6" s="1344">
        <v>2885024</v>
      </c>
      <c r="P6" s="1632"/>
      <c r="Q6" s="24"/>
      <c r="R6" s="25" t="s">
        <v>22</v>
      </c>
      <c r="S6" s="26" t="s">
        <v>23</v>
      </c>
      <c r="T6" s="26" t="s">
        <v>24</v>
      </c>
      <c r="U6" s="323">
        <v>-1076707</v>
      </c>
      <c r="V6" s="324">
        <f>56977-19226-300000+150000-1840700-797-200000-5000000-24000-750000+54000-2701743-435393-2800000-1050000-290984-200000+104976-2000000-740000-500000-285425-20000-50000-10533-250000+553171+901831+1318913+6327821</f>
        <v>-10001112</v>
      </c>
      <c r="W6" s="1405">
        <f>U6+V6</f>
        <v>-11077819</v>
      </c>
      <c r="X6" s="1348" t="s">
        <v>1413</v>
      </c>
      <c r="Y6" s="18"/>
      <c r="Z6" s="18"/>
      <c r="AA6" s="18"/>
    </row>
    <row r="7" spans="1:27" ht="17.25">
      <c r="A7" s="156" t="s">
        <v>151</v>
      </c>
      <c r="B7" s="157">
        <v>0</v>
      </c>
      <c r="C7" s="157"/>
      <c r="D7" s="156"/>
      <c r="E7" s="156"/>
      <c r="F7" s="156"/>
      <c r="G7" s="156"/>
      <c r="H7" s="156"/>
      <c r="K7" s="160" t="s">
        <v>143</v>
      </c>
      <c r="L7" s="1344">
        <f t="shared" ref="L7:L14" si="0">N7+O7</f>
        <v>-8857865</v>
      </c>
      <c r="M7" s="1344"/>
      <c r="N7" s="1344">
        <v>-7036378</v>
      </c>
      <c r="O7" s="1344">
        <v>-1821487</v>
      </c>
      <c r="P7" s="1632"/>
      <c r="Q7" s="24"/>
      <c r="R7" s="25"/>
      <c r="S7" s="26"/>
      <c r="T7" s="26"/>
      <c r="U7" s="323"/>
      <c r="V7" s="324"/>
      <c r="W7" s="1405"/>
      <c r="X7" s="29"/>
      <c r="Y7" s="29"/>
      <c r="Z7" s="29"/>
      <c r="AA7" s="29"/>
    </row>
    <row r="8" spans="1:27" ht="17.25">
      <c r="A8" s="360" t="s">
        <v>1319</v>
      </c>
      <c r="B8" s="235">
        <f>0.01*('Step 0 FY18 Revenue'!Q27+'Step 0 FY18 Revenue'!Q28+'Step 0 FY18 Revenue'!Q35)</f>
        <v>3161000</v>
      </c>
      <c r="C8" s="149"/>
      <c r="D8" s="154"/>
      <c r="E8" s="154"/>
      <c r="F8" s="154"/>
      <c r="G8" s="154"/>
      <c r="H8" s="154"/>
      <c r="K8" s="160" t="s">
        <v>141</v>
      </c>
      <c r="L8" s="1344">
        <f t="shared" si="0"/>
        <v>9030543</v>
      </c>
      <c r="M8" s="1344"/>
      <c r="N8" s="1344">
        <v>7543543</v>
      </c>
      <c r="O8" s="1344">
        <v>1487000</v>
      </c>
      <c r="P8" s="1632"/>
      <c r="Q8" s="1347" t="s">
        <v>1414</v>
      </c>
      <c r="R8" s="25"/>
      <c r="S8" s="26"/>
      <c r="T8" s="26"/>
      <c r="U8" s="323"/>
      <c r="V8" s="324"/>
      <c r="W8" s="1405"/>
      <c r="X8" s="29"/>
      <c r="Y8" s="29"/>
      <c r="Z8" s="29"/>
      <c r="AA8" s="29"/>
    </row>
    <row r="9" spans="1:27" ht="17.25">
      <c r="A9" s="33"/>
      <c r="B9" s="356"/>
      <c r="C9" s="149"/>
      <c r="D9" s="154"/>
      <c r="E9" s="154"/>
      <c r="F9" s="154"/>
      <c r="G9" s="154"/>
      <c r="H9" s="154"/>
      <c r="K9" s="160" t="s">
        <v>142</v>
      </c>
      <c r="L9" s="1344">
        <f t="shared" si="0"/>
        <v>7700000</v>
      </c>
      <c r="M9" s="1344"/>
      <c r="N9" s="1344">
        <v>7619467</v>
      </c>
      <c r="O9" s="1344">
        <v>80533</v>
      </c>
      <c r="P9" s="1632"/>
      <c r="Q9" s="24"/>
      <c r="R9" s="27" t="s">
        <v>22</v>
      </c>
      <c r="S9" s="325" t="s">
        <v>997</v>
      </c>
      <c r="T9" s="325" t="s">
        <v>36</v>
      </c>
      <c r="U9" s="323">
        <v>5000000</v>
      </c>
      <c r="V9" s="324">
        <v>5000000</v>
      </c>
      <c r="W9" s="1403">
        <f>U9+V9</f>
        <v>10000000</v>
      </c>
      <c r="X9" s="1348" t="s">
        <v>1413</v>
      </c>
      <c r="Y9" s="29"/>
      <c r="Z9" s="29"/>
      <c r="AA9" s="29"/>
    </row>
    <row r="10" spans="1:27" ht="17.25">
      <c r="A10" s="156" t="s">
        <v>468</v>
      </c>
      <c r="B10" s="157">
        <v>0</v>
      </c>
      <c r="C10" s="157"/>
      <c r="D10" s="156"/>
      <c r="E10" s="156"/>
      <c r="F10" s="156"/>
      <c r="G10" s="156"/>
      <c r="H10" s="156"/>
      <c r="K10" s="160" t="s">
        <v>144</v>
      </c>
      <c r="L10" s="1344">
        <f t="shared" si="0"/>
        <v>3000000</v>
      </c>
      <c r="M10" s="1344"/>
      <c r="N10" s="1344">
        <v>3000000</v>
      </c>
      <c r="O10" s="1344">
        <v>0</v>
      </c>
      <c r="P10" s="1632"/>
      <c r="Q10" s="24"/>
      <c r="R10" s="25"/>
      <c r="S10" s="26"/>
      <c r="T10" s="26"/>
      <c r="U10" s="323"/>
      <c r="V10" s="324"/>
      <c r="W10" s="1405"/>
      <c r="X10" s="29"/>
      <c r="Y10" s="29"/>
      <c r="Z10" s="29"/>
      <c r="AA10" s="29"/>
    </row>
    <row r="11" spans="1:27" ht="17.25">
      <c r="A11" s="359" t="s">
        <v>152</v>
      </c>
      <c r="B11" s="364">
        <f>L33-B8</f>
        <v>3111300</v>
      </c>
      <c r="C11" s="149"/>
      <c r="D11" s="154"/>
      <c r="E11" s="154"/>
      <c r="F11" s="154"/>
      <c r="G11" s="154"/>
      <c r="H11" s="154"/>
      <c r="K11" s="160" t="s">
        <v>145</v>
      </c>
      <c r="L11" s="1344">
        <f t="shared" si="0"/>
        <v>1500000</v>
      </c>
      <c r="M11" s="1344"/>
      <c r="N11" s="1344">
        <v>1300000</v>
      </c>
      <c r="O11" s="1344">
        <v>200000</v>
      </c>
      <c r="P11" s="1632"/>
      <c r="Q11" s="1347" t="s">
        <v>1415</v>
      </c>
      <c r="R11" s="29"/>
      <c r="S11" s="26"/>
      <c r="T11" s="26"/>
      <c r="U11" s="323"/>
      <c r="V11" s="324"/>
      <c r="W11" s="1405"/>
      <c r="X11" s="29"/>
      <c r="Y11" s="29"/>
      <c r="Z11" s="29"/>
      <c r="AA11" s="29"/>
    </row>
    <row r="12" spans="1:27" ht="17.25">
      <c r="K12" s="160" t="s">
        <v>153</v>
      </c>
      <c r="L12" s="1344">
        <f t="shared" si="0"/>
        <v>430000</v>
      </c>
      <c r="M12" s="1344"/>
      <c r="N12" s="1344">
        <v>412000</v>
      </c>
      <c r="O12" s="1344">
        <v>18000</v>
      </c>
      <c r="P12" s="1632"/>
      <c r="Q12" s="29"/>
      <c r="R12" s="25" t="s">
        <v>22</v>
      </c>
      <c r="S12" s="26" t="s">
        <v>414</v>
      </c>
      <c r="T12" s="325" t="s">
        <v>415</v>
      </c>
      <c r="U12" s="326">
        <v>9166451</v>
      </c>
      <c r="V12" s="1009">
        <f>-1030830-310000-268377</f>
        <v>-1609207</v>
      </c>
      <c r="W12" s="1406">
        <f>U12+V12</f>
        <v>7557244</v>
      </c>
      <c r="X12" s="1348" t="s">
        <v>1413</v>
      </c>
      <c r="Y12" s="28">
        <f>SUM(U12,U13,U15)</f>
        <v>11725457</v>
      </c>
      <c r="Z12" s="28">
        <f>SUM(V12,V13,V15)</f>
        <v>-2368213</v>
      </c>
      <c r="AA12" s="28">
        <f>SUM(W12,W13,W15)</f>
        <v>9357244</v>
      </c>
    </row>
    <row r="13" spans="1:27" ht="17.25">
      <c r="A13" s="161" t="s">
        <v>264</v>
      </c>
      <c r="B13" s="157"/>
      <c r="C13" s="157"/>
      <c r="D13" s="156"/>
      <c r="E13" s="156"/>
      <c r="F13" s="156"/>
      <c r="G13" s="156"/>
      <c r="H13" s="156"/>
      <c r="K13" s="162" t="s">
        <v>146</v>
      </c>
      <c r="L13" s="1344">
        <f t="shared" si="0"/>
        <v>1379159</v>
      </c>
      <c r="M13" s="1344"/>
      <c r="N13" s="1344">
        <v>1117937</v>
      </c>
      <c r="O13" s="1344">
        <v>261222</v>
      </c>
      <c r="P13" s="1632"/>
      <c r="Q13" s="29"/>
      <c r="R13" s="25" t="s">
        <v>22</v>
      </c>
      <c r="S13" s="26" t="s">
        <v>416</v>
      </c>
      <c r="T13" s="325" t="s">
        <v>417</v>
      </c>
      <c r="U13" s="326">
        <v>1859006</v>
      </c>
      <c r="V13" s="324">
        <f>-759006</f>
        <v>-759006</v>
      </c>
      <c r="W13" s="1406">
        <f>U13+V13</f>
        <v>1100000</v>
      </c>
      <c r="X13" s="1348" t="s">
        <v>1413</v>
      </c>
      <c r="Y13" s="18"/>
      <c r="Z13" s="18"/>
      <c r="AA13" s="18"/>
    </row>
    <row r="14" spans="1:27" ht="17.25">
      <c r="A14" s="361" t="s">
        <v>469</v>
      </c>
      <c r="B14" s="357">
        <f>L5</f>
        <v>26139223</v>
      </c>
      <c r="C14" s="149"/>
      <c r="D14" s="154"/>
      <c r="E14" s="154"/>
      <c r="F14" s="154"/>
      <c r="G14" s="154"/>
      <c r="H14" s="154"/>
      <c r="K14" s="162" t="s">
        <v>418</v>
      </c>
      <c r="L14" s="1344">
        <f t="shared" si="0"/>
        <v>741878</v>
      </c>
      <c r="M14" s="1344"/>
      <c r="N14" s="1344">
        <v>541878</v>
      </c>
      <c r="O14" s="1344">
        <v>200000</v>
      </c>
      <c r="P14" s="1630"/>
      <c r="Q14" s="29"/>
      <c r="R14" s="25" t="s">
        <v>22</v>
      </c>
      <c r="S14" s="26" t="s">
        <v>1416</v>
      </c>
      <c r="T14" s="26" t="s">
        <v>48</v>
      </c>
      <c r="U14" s="323">
        <v>2270114</v>
      </c>
      <c r="V14" s="324">
        <v>-745114</v>
      </c>
      <c r="W14" s="1406">
        <f>U14+V14</f>
        <v>1525000</v>
      </c>
      <c r="X14" s="1348" t="s">
        <v>1413</v>
      </c>
      <c r="Y14" s="28">
        <f>U14</f>
        <v>2270114</v>
      </c>
      <c r="Z14" s="28">
        <f>V14</f>
        <v>-745114</v>
      </c>
      <c r="AA14" s="28">
        <f>W14</f>
        <v>1525000</v>
      </c>
    </row>
    <row r="15" spans="1:27" ht="17.25">
      <c r="K15" s="162"/>
      <c r="L15" s="31"/>
      <c r="M15" s="31"/>
      <c r="N15" s="31"/>
      <c r="O15" s="31"/>
      <c r="P15" s="355"/>
      <c r="Q15" s="29"/>
      <c r="R15" s="27" t="s">
        <v>55</v>
      </c>
      <c r="S15" s="26" t="s">
        <v>1417</v>
      </c>
      <c r="T15" s="30" t="s">
        <v>52</v>
      </c>
      <c r="U15" s="326">
        <v>700000</v>
      </c>
      <c r="V15" s="1349">
        <v>0</v>
      </c>
      <c r="W15" s="1406">
        <f t="shared" ref="W15:W23" si="1">U15+V15</f>
        <v>700000</v>
      </c>
      <c r="X15" s="1348" t="s">
        <v>1413</v>
      </c>
      <c r="Y15" s="18"/>
      <c r="Z15" s="18"/>
      <c r="AA15" s="18"/>
    </row>
    <row r="16" spans="1:27" ht="17.25">
      <c r="A16" s="161" t="s">
        <v>470</v>
      </c>
      <c r="B16" s="157"/>
      <c r="C16" s="157"/>
      <c r="D16" s="156"/>
      <c r="E16" s="156"/>
      <c r="F16" s="156"/>
      <c r="G16" s="156"/>
      <c r="H16" s="156"/>
      <c r="J16" s="1109" t="s">
        <v>182</v>
      </c>
      <c r="K16" s="1109"/>
      <c r="L16" s="1340">
        <f>SUM(L17:L21)</f>
        <v>18178922</v>
      </c>
      <c r="M16" s="1341"/>
      <c r="N16" s="1340">
        <f>SUM(N17:N21)</f>
        <v>21146425</v>
      </c>
      <c r="O16" s="1340"/>
      <c r="P16" s="149"/>
      <c r="Q16" s="29"/>
      <c r="R16" s="27" t="s">
        <v>22</v>
      </c>
      <c r="S16" s="26" t="s">
        <v>1418</v>
      </c>
      <c r="T16" s="26" t="s">
        <v>42</v>
      </c>
      <c r="U16" s="323">
        <v>6046678</v>
      </c>
      <c r="V16" s="324">
        <v>500000</v>
      </c>
      <c r="W16" s="1406">
        <f t="shared" si="1"/>
        <v>6546678</v>
      </c>
      <c r="X16" s="1348" t="s">
        <v>1413</v>
      </c>
      <c r="Y16" s="28">
        <f>U16</f>
        <v>6046678</v>
      </c>
      <c r="Z16" s="28">
        <f>V16</f>
        <v>500000</v>
      </c>
      <c r="AA16" s="28">
        <f>W16</f>
        <v>6546678</v>
      </c>
    </row>
    <row r="17" spans="1:28" ht="17.25">
      <c r="A17" s="362" t="s">
        <v>471</v>
      </c>
      <c r="B17" s="358">
        <f>SUM(L34:L39)</f>
        <v>3879280</v>
      </c>
      <c r="C17" s="149"/>
      <c r="D17" s="154"/>
      <c r="E17" s="154"/>
      <c r="F17" s="163"/>
      <c r="G17" s="154"/>
      <c r="H17" s="154"/>
      <c r="K17" s="148" t="s">
        <v>464</v>
      </c>
      <c r="L17" s="1344">
        <f>N17+O17</f>
        <v>9357244</v>
      </c>
      <c r="M17" s="1344"/>
      <c r="N17" s="1344">
        <v>11725457</v>
      </c>
      <c r="O17" s="1344">
        <v>-2368213</v>
      </c>
      <c r="P17" s="1629"/>
      <c r="Q17" s="29"/>
      <c r="R17" s="27" t="s">
        <v>22</v>
      </c>
      <c r="S17" s="325" t="s">
        <v>1419</v>
      </c>
      <c r="T17" s="325" t="s">
        <v>50</v>
      </c>
      <c r="U17" s="323">
        <v>500000</v>
      </c>
      <c r="V17" s="324">
        <v>0</v>
      </c>
      <c r="W17" s="1406">
        <f t="shared" si="1"/>
        <v>500000</v>
      </c>
      <c r="X17" s="1348" t="s">
        <v>1413</v>
      </c>
      <c r="Y17" s="18"/>
      <c r="Z17" s="18"/>
      <c r="AA17" s="18"/>
    </row>
    <row r="18" spans="1:28" ht="17.25">
      <c r="A18" s="148" t="s">
        <v>1004</v>
      </c>
      <c r="B18" s="149">
        <f>L32</f>
        <v>10000000</v>
      </c>
      <c r="C18" s="149"/>
      <c r="D18" s="154"/>
      <c r="E18" s="154"/>
      <c r="F18" s="154"/>
      <c r="G18" s="154"/>
      <c r="H18" s="154"/>
      <c r="K18" s="148" t="s">
        <v>419</v>
      </c>
      <c r="L18" s="1344">
        <f>N18+O18</f>
        <v>1525000</v>
      </c>
      <c r="M18" s="1344"/>
      <c r="N18" s="1344">
        <v>2270114</v>
      </c>
      <c r="O18" s="1344">
        <v>-745114</v>
      </c>
      <c r="P18" s="1632"/>
      <c r="Q18" s="29"/>
      <c r="R18" s="27" t="s">
        <v>22</v>
      </c>
      <c r="S18" s="325" t="s">
        <v>866</v>
      </c>
      <c r="T18" s="325" t="s">
        <v>50</v>
      </c>
      <c r="U18" s="323">
        <v>50000</v>
      </c>
      <c r="V18" s="324">
        <v>0</v>
      </c>
      <c r="W18" s="1406">
        <f t="shared" si="1"/>
        <v>50000</v>
      </c>
      <c r="X18" s="1348" t="s">
        <v>1413</v>
      </c>
      <c r="Y18" s="28">
        <f>SUM(U17,U18,U23)</f>
        <v>726000</v>
      </c>
      <c r="Z18" s="28">
        <f>SUM(V17,V18,V23)</f>
        <v>24000</v>
      </c>
      <c r="AA18" s="28">
        <f>SUM(W17,W18,W23)</f>
        <v>750000</v>
      </c>
    </row>
    <row r="19" spans="1:28" ht="17.25">
      <c r="A19" s="161" t="s">
        <v>473</v>
      </c>
      <c r="B19" s="157"/>
      <c r="C19" s="157"/>
      <c r="D19" s="156"/>
      <c r="E19" s="156"/>
      <c r="F19" s="156"/>
      <c r="G19" s="156"/>
      <c r="H19" s="156"/>
      <c r="K19" s="148" t="s">
        <v>420</v>
      </c>
      <c r="L19" s="1344">
        <f>N19+O19</f>
        <v>0</v>
      </c>
      <c r="M19" s="1344"/>
      <c r="N19" s="1344">
        <v>378176</v>
      </c>
      <c r="O19" s="1344">
        <v>-378176</v>
      </c>
      <c r="P19" s="1632"/>
      <c r="Q19" s="29"/>
      <c r="R19" s="25" t="s">
        <v>22</v>
      </c>
      <c r="S19" s="30" t="s">
        <v>995</v>
      </c>
      <c r="T19" s="325" t="s">
        <v>42</v>
      </c>
      <c r="U19" s="323">
        <v>2525000</v>
      </c>
      <c r="V19" s="324">
        <v>-2525000</v>
      </c>
      <c r="W19" s="1406">
        <f t="shared" si="1"/>
        <v>0</v>
      </c>
      <c r="X19" s="1348" t="s">
        <v>1413</v>
      </c>
      <c r="Y19" s="18"/>
      <c r="Z19" s="18"/>
      <c r="AA19" s="18"/>
    </row>
    <row r="20" spans="1:28" ht="17.25">
      <c r="A20" s="359" t="s">
        <v>474</v>
      </c>
      <c r="B20" s="365">
        <f>L16</f>
        <v>18178922</v>
      </c>
      <c r="C20" s="149"/>
      <c r="D20" s="154"/>
      <c r="E20" s="154"/>
      <c r="F20" s="154"/>
      <c r="G20" s="154"/>
      <c r="H20" s="154"/>
      <c r="K20" s="148" t="s">
        <v>421</v>
      </c>
      <c r="L20" s="1344">
        <f>N20+O20</f>
        <v>6546678</v>
      </c>
      <c r="M20" s="1344"/>
      <c r="N20" s="1344">
        <v>6046678</v>
      </c>
      <c r="O20" s="1344">
        <v>500000</v>
      </c>
      <c r="P20" s="1632"/>
      <c r="Q20" s="29"/>
      <c r="R20" s="25" t="s">
        <v>22</v>
      </c>
      <c r="S20" s="30" t="s">
        <v>996</v>
      </c>
      <c r="T20" s="325" t="s">
        <v>42</v>
      </c>
      <c r="U20" s="323">
        <v>1200000</v>
      </c>
      <c r="V20" s="324">
        <v>-1200000</v>
      </c>
      <c r="W20" s="1406">
        <f t="shared" si="1"/>
        <v>0</v>
      </c>
      <c r="X20" s="1348" t="s">
        <v>1413</v>
      </c>
      <c r="Y20" s="18"/>
      <c r="Z20" s="18"/>
      <c r="AA20" s="18"/>
    </row>
    <row r="21" spans="1:28" ht="17.25">
      <c r="D21" s="154"/>
      <c r="E21" s="154"/>
      <c r="F21" s="154"/>
      <c r="G21" s="154"/>
      <c r="H21" s="154"/>
      <c r="K21" s="359" t="s">
        <v>946</v>
      </c>
      <c r="L21" s="1345">
        <f>N21+O21</f>
        <v>750000</v>
      </c>
      <c r="M21" s="1345"/>
      <c r="N21" s="1345">
        <v>726000</v>
      </c>
      <c r="O21" s="1345">
        <v>24000</v>
      </c>
      <c r="P21" s="1632"/>
      <c r="Q21" s="29"/>
      <c r="R21" s="25" t="s">
        <v>22</v>
      </c>
      <c r="S21" s="30" t="s">
        <v>1420</v>
      </c>
      <c r="T21" s="325" t="s">
        <v>42</v>
      </c>
      <c r="U21" s="323">
        <v>0</v>
      </c>
      <c r="V21" s="324">
        <v>2800000</v>
      </c>
      <c r="W21" s="1406">
        <f t="shared" si="1"/>
        <v>2800000</v>
      </c>
      <c r="X21" s="1348" t="s">
        <v>1413</v>
      </c>
      <c r="Y21" s="28">
        <f>SUM(U19:U22)</f>
        <v>3725000</v>
      </c>
      <c r="Z21" s="28">
        <f>SUM(V19:V22)</f>
        <v>125000</v>
      </c>
      <c r="AA21" s="28">
        <f>SUM(W19:W22)</f>
        <v>3850000</v>
      </c>
      <c r="AB21" s="180">
        <f>SUM(AA12:AA21)</f>
        <v>22028922</v>
      </c>
    </row>
    <row r="22" spans="1:28" ht="17.25">
      <c r="A22" s="161" t="s">
        <v>475</v>
      </c>
      <c r="B22" s="157"/>
      <c r="C22" s="157"/>
      <c r="D22" s="156"/>
      <c r="E22" s="156"/>
      <c r="F22" s="156"/>
      <c r="G22" s="156"/>
      <c r="H22" s="156"/>
      <c r="L22" s="365"/>
      <c r="M22" s="365"/>
      <c r="N22" s="365"/>
      <c r="O22" s="365"/>
      <c r="P22" s="28"/>
      <c r="Q22" s="29"/>
      <c r="R22" s="25" t="s">
        <v>22</v>
      </c>
      <c r="S22" s="30" t="s">
        <v>1421</v>
      </c>
      <c r="T22" s="325" t="s">
        <v>42</v>
      </c>
      <c r="U22" s="323">
        <v>0</v>
      </c>
      <c r="V22" s="324">
        <v>1050000</v>
      </c>
      <c r="W22" s="1406">
        <f t="shared" si="1"/>
        <v>1050000</v>
      </c>
      <c r="X22" s="1348" t="s">
        <v>1413</v>
      </c>
      <c r="Y22" s="18"/>
      <c r="Z22" s="18"/>
      <c r="AA22" s="18"/>
    </row>
    <row r="23" spans="1:28" ht="17.25">
      <c r="A23" s="359" t="s">
        <v>465</v>
      </c>
      <c r="B23" s="366">
        <f>L23</f>
        <v>4150000</v>
      </c>
      <c r="C23" s="149"/>
      <c r="D23" s="154"/>
      <c r="E23" s="154"/>
      <c r="F23" s="154"/>
      <c r="G23" s="154"/>
      <c r="H23" s="154"/>
      <c r="J23" s="1109" t="s">
        <v>465</v>
      </c>
      <c r="K23" s="1109"/>
      <c r="L23" s="1340">
        <f>L24+L25</f>
        <v>4150000</v>
      </c>
      <c r="M23" s="1341"/>
      <c r="N23" s="1340">
        <f>N24+N25</f>
        <v>4025000</v>
      </c>
      <c r="O23" s="1340"/>
      <c r="P23" s="355"/>
      <c r="Q23" s="29"/>
      <c r="R23" s="25" t="s">
        <v>22</v>
      </c>
      <c r="S23" s="26" t="s">
        <v>423</v>
      </c>
      <c r="T23" s="26" t="s">
        <v>50</v>
      </c>
      <c r="U23" s="323">
        <v>176000</v>
      </c>
      <c r="V23" s="324">
        <v>24000</v>
      </c>
      <c r="W23" s="1406">
        <f t="shared" si="1"/>
        <v>200000</v>
      </c>
      <c r="X23" s="1348" t="s">
        <v>1413</v>
      </c>
      <c r="Y23" s="18"/>
      <c r="Z23" s="18"/>
      <c r="AA23" s="18"/>
    </row>
    <row r="24" spans="1:28" ht="18" thickBot="1">
      <c r="A24" s="363"/>
      <c r="B24" s="363"/>
      <c r="C24" s="363"/>
      <c r="D24" s="363"/>
      <c r="E24" s="363"/>
      <c r="F24" s="363"/>
      <c r="G24" s="363"/>
      <c r="H24" s="363"/>
      <c r="K24" s="352" t="s">
        <v>422</v>
      </c>
      <c r="L24" s="1346">
        <f>N24+O24</f>
        <v>3850000</v>
      </c>
      <c r="M24" s="1346"/>
      <c r="N24" s="1346">
        <v>3725000</v>
      </c>
      <c r="O24" s="1346">
        <v>125000</v>
      </c>
      <c r="P24" s="1631"/>
      <c r="Q24" s="29"/>
      <c r="R24" s="25"/>
      <c r="S24" s="26"/>
      <c r="T24" s="26"/>
      <c r="U24" s="323"/>
      <c r="V24" s="324"/>
      <c r="W24" s="1406"/>
      <c r="X24" s="29"/>
      <c r="Y24" s="18"/>
      <c r="Z24" s="18"/>
      <c r="AA24" s="18"/>
    </row>
    <row r="25" spans="1:28" ht="18" thickTop="1">
      <c r="A25" s="164" t="s">
        <v>472</v>
      </c>
      <c r="B25" s="322">
        <f>B8+B11+B14+B17+B20+B23+B18</f>
        <v>68619725</v>
      </c>
      <c r="K25" s="352" t="s">
        <v>424</v>
      </c>
      <c r="L25" s="1346">
        <f>N25+O25</f>
        <v>300000</v>
      </c>
      <c r="M25" s="1346"/>
      <c r="N25" s="1346">
        <v>300000</v>
      </c>
      <c r="O25" s="1346">
        <v>0</v>
      </c>
      <c r="P25" s="1631"/>
      <c r="Q25" s="1347" t="s">
        <v>1422</v>
      </c>
      <c r="R25" s="25"/>
      <c r="S25" s="26"/>
      <c r="T25" s="26"/>
      <c r="U25" s="323"/>
      <c r="V25" s="324"/>
      <c r="W25" s="1406"/>
      <c r="X25" s="29"/>
      <c r="Y25" s="18"/>
      <c r="Z25" s="18"/>
      <c r="AA25" s="18"/>
    </row>
    <row r="26" spans="1:28" ht="17.25">
      <c r="K26" s="354"/>
      <c r="L26" s="1339"/>
      <c r="M26" s="1339"/>
      <c r="N26" s="1339"/>
      <c r="O26" s="1339"/>
      <c r="P26" s="815"/>
      <c r="Q26" s="29"/>
      <c r="R26" s="27" t="s">
        <v>22</v>
      </c>
      <c r="S26" s="325" t="s">
        <v>40</v>
      </c>
      <c r="T26" s="325" t="s">
        <v>41</v>
      </c>
      <c r="U26" s="323">
        <v>1300000</v>
      </c>
      <c r="V26" s="324">
        <v>200000</v>
      </c>
      <c r="W26" s="1406">
        <f t="shared" ref="W26:W33" si="2">U26+V26</f>
        <v>1500000</v>
      </c>
      <c r="X26" s="1348" t="s">
        <v>1413</v>
      </c>
      <c r="Y26" s="18"/>
      <c r="Z26" s="18"/>
      <c r="AA26" s="18"/>
    </row>
    <row r="27" spans="1:28" ht="17.25">
      <c r="A27" s="164" t="s">
        <v>476</v>
      </c>
      <c r="B27" s="322">
        <f>B81+C81+D81+E81+F81</f>
        <v>0</v>
      </c>
      <c r="J27" s="1109" t="s">
        <v>466</v>
      </c>
      <c r="K27" s="1109"/>
      <c r="L27" s="1340"/>
      <c r="M27" s="1341"/>
      <c r="N27" s="1340"/>
      <c r="O27" s="1340"/>
      <c r="P27" s="353"/>
      <c r="Q27" s="29"/>
      <c r="R27" s="25" t="s">
        <v>22</v>
      </c>
      <c r="S27" s="26" t="s">
        <v>43</v>
      </c>
      <c r="T27" s="325" t="s">
        <v>42</v>
      </c>
      <c r="U27" s="323">
        <v>300000</v>
      </c>
      <c r="V27" s="324">
        <v>0</v>
      </c>
      <c r="W27" s="1406">
        <f t="shared" si="2"/>
        <v>300000</v>
      </c>
      <c r="X27" s="1348" t="s">
        <v>1413</v>
      </c>
      <c r="Y27" s="18"/>
      <c r="Z27" s="18"/>
      <c r="AA27" s="18">
        <v>300000</v>
      </c>
    </row>
    <row r="28" spans="1:28" ht="17.25">
      <c r="A28" s="164" t="s">
        <v>1006</v>
      </c>
      <c r="B28" s="322">
        <f>L44</f>
        <v>3650000</v>
      </c>
      <c r="L28" s="46"/>
      <c r="M28" s="46"/>
      <c r="N28" s="46"/>
      <c r="O28" s="46"/>
      <c r="P28" s="353"/>
      <c r="Q28" s="29"/>
      <c r="R28" s="25" t="s">
        <v>22</v>
      </c>
      <c r="S28" s="26" t="s">
        <v>49</v>
      </c>
      <c r="T28" s="26" t="s">
        <v>48</v>
      </c>
      <c r="U28" s="323">
        <v>412000</v>
      </c>
      <c r="V28" s="324">
        <v>18000</v>
      </c>
      <c r="W28" s="1406">
        <f t="shared" si="2"/>
        <v>430000</v>
      </c>
      <c r="X28" s="1348" t="s">
        <v>1413</v>
      </c>
      <c r="Y28" s="18"/>
      <c r="Z28" s="18"/>
      <c r="AA28" s="18"/>
    </row>
    <row r="29" spans="1:28" ht="17.25">
      <c r="A29" s="164" t="s">
        <v>477</v>
      </c>
      <c r="B29" s="322">
        <f>B25+B27+B28</f>
        <v>72269725</v>
      </c>
      <c r="L29" s="46"/>
      <c r="M29" s="46"/>
      <c r="N29" s="46"/>
      <c r="O29" s="46"/>
      <c r="P29" s="355"/>
      <c r="Q29" s="29"/>
      <c r="R29" s="27" t="s">
        <v>22</v>
      </c>
      <c r="S29" s="325" t="s">
        <v>37</v>
      </c>
      <c r="T29" s="325" t="s">
        <v>38</v>
      </c>
      <c r="U29" s="323">
        <v>3000000</v>
      </c>
      <c r="V29" s="324">
        <v>0</v>
      </c>
      <c r="W29" s="1406">
        <f t="shared" si="2"/>
        <v>3000000</v>
      </c>
      <c r="X29" s="1348" t="s">
        <v>1413</v>
      </c>
      <c r="Y29" s="29"/>
      <c r="Z29" s="29"/>
      <c r="AA29" s="29"/>
    </row>
    <row r="30" spans="1:28" ht="17.25">
      <c r="J30" s="1109" t="s">
        <v>467</v>
      </c>
      <c r="K30" s="1109"/>
      <c r="L30" s="1340">
        <f>SUM(L32:L39)</f>
        <v>20151580</v>
      </c>
      <c r="M30" s="1341"/>
      <c r="N30" s="1340">
        <f>N32+N33+N34</f>
        <v>9956000</v>
      </c>
      <c r="O30" s="1340">
        <f>SUM(O32:O39)</f>
        <v>10195580</v>
      </c>
      <c r="P30" s="149"/>
      <c r="Q30" s="29"/>
      <c r="R30" s="27" t="s">
        <v>22</v>
      </c>
      <c r="S30" s="325" t="s">
        <v>418</v>
      </c>
      <c r="T30" s="325" t="s">
        <v>26</v>
      </c>
      <c r="U30" s="323">
        <v>541878</v>
      </c>
      <c r="V30" s="1349">
        <v>200000</v>
      </c>
      <c r="W30" s="1406">
        <f t="shared" si="2"/>
        <v>741878</v>
      </c>
      <c r="X30" s="1348" t="s">
        <v>1413</v>
      </c>
      <c r="Y30" s="29"/>
      <c r="Z30" s="29"/>
      <c r="AA30" s="29"/>
    </row>
    <row r="31" spans="1:28" ht="17.25">
      <c r="L31" s="50"/>
      <c r="M31" s="50"/>
      <c r="N31" s="50"/>
      <c r="O31" s="50"/>
      <c r="Q31" s="29"/>
      <c r="R31" s="27" t="s">
        <v>22</v>
      </c>
      <c r="S31" s="325" t="s">
        <v>39</v>
      </c>
      <c r="T31" s="325" t="s">
        <v>38</v>
      </c>
      <c r="U31" s="323">
        <v>214575</v>
      </c>
      <c r="V31" s="324">
        <v>285425</v>
      </c>
      <c r="W31" s="1406">
        <f t="shared" si="2"/>
        <v>500000</v>
      </c>
      <c r="X31" s="1348" t="s">
        <v>1413</v>
      </c>
      <c r="Y31" s="29"/>
      <c r="Z31" s="29"/>
      <c r="AA31" s="29"/>
    </row>
    <row r="32" spans="1:28" ht="17.25">
      <c r="K32" s="29" t="s">
        <v>945</v>
      </c>
      <c r="L32" s="1344">
        <f>N32+O32</f>
        <v>10000000</v>
      </c>
      <c r="M32" s="1344"/>
      <c r="N32" s="1344">
        <v>5000000</v>
      </c>
      <c r="O32" s="1344">
        <v>5000000</v>
      </c>
      <c r="P32" s="1629"/>
      <c r="Q32" s="29"/>
      <c r="R32" s="27" t="s">
        <v>59</v>
      </c>
      <c r="S32" s="30" t="s">
        <v>1423</v>
      </c>
      <c r="T32" s="30" t="s">
        <v>52</v>
      </c>
      <c r="U32" s="326">
        <v>50000</v>
      </c>
      <c r="V32" s="1349"/>
      <c r="W32" s="1406">
        <f t="shared" si="2"/>
        <v>50000</v>
      </c>
      <c r="X32" s="1348" t="s">
        <v>1413</v>
      </c>
      <c r="Y32" s="31">
        <f>SUM(U31,U32,U33,U43,U44,U45,U46,U47,U48)</f>
        <v>1117937.1600000001</v>
      </c>
      <c r="Z32" s="31">
        <f>SUM(V31,V32,V33,V43,V44,V45,V46,V47,V48)</f>
        <v>261222</v>
      </c>
      <c r="AA32" s="31">
        <f>SUM(W31,W32,W33,W43,W44,W45,W46,W47,W48)</f>
        <v>1379159.16</v>
      </c>
    </row>
    <row r="33" spans="9:27" ht="17.25">
      <c r="K33" s="29" t="s">
        <v>1003</v>
      </c>
      <c r="L33" s="31">
        <f>N33+O33</f>
        <v>6272300</v>
      </c>
      <c r="M33" s="31"/>
      <c r="N33" s="31">
        <v>2456000</v>
      </c>
      <c r="O33" s="31">
        <v>3816300</v>
      </c>
      <c r="Q33" s="29"/>
      <c r="R33" s="27" t="s">
        <v>59</v>
      </c>
      <c r="S33" s="30" t="s">
        <v>1001</v>
      </c>
      <c r="T33" s="30" t="s">
        <v>52</v>
      </c>
      <c r="U33" s="326">
        <v>30000</v>
      </c>
      <c r="V33" s="1009">
        <v>0</v>
      </c>
      <c r="W33" s="1406">
        <f t="shared" si="2"/>
        <v>30000</v>
      </c>
      <c r="X33" s="1348" t="s">
        <v>1413</v>
      </c>
      <c r="Y33" s="29"/>
      <c r="Z33" s="29"/>
      <c r="AA33" s="29"/>
    </row>
    <row r="34" spans="9:27" ht="17.25">
      <c r="K34" s="29" t="s">
        <v>1005</v>
      </c>
      <c r="L34" s="1344">
        <f>N34+O34</f>
        <v>950000</v>
      </c>
      <c r="M34" s="1344"/>
      <c r="N34" s="1344">
        <v>2500000</v>
      </c>
      <c r="O34" s="1344">
        <f>-2500000+500000+450000</f>
        <v>-1550000</v>
      </c>
      <c r="Q34" s="18"/>
      <c r="R34" s="25"/>
      <c r="S34" s="26"/>
      <c r="T34" s="26"/>
      <c r="U34" s="323"/>
      <c r="V34" s="324"/>
      <c r="W34" s="1406"/>
      <c r="X34" s="29"/>
      <c r="Y34" s="29"/>
      <c r="Z34" s="29"/>
      <c r="AA34" s="29"/>
    </row>
    <row r="35" spans="9:27" ht="17.25">
      <c r="K35" s="29" t="s">
        <v>1309</v>
      </c>
      <c r="L35" s="1344">
        <f>N35+O35</f>
        <v>1600000</v>
      </c>
      <c r="M35" s="1344"/>
      <c r="N35" s="1344"/>
      <c r="O35" s="1344">
        <v>1600000</v>
      </c>
      <c r="P35" s="1629"/>
      <c r="Q35" s="1347" t="s">
        <v>1424</v>
      </c>
      <c r="R35" s="25"/>
      <c r="S35" s="26"/>
      <c r="T35" s="26"/>
      <c r="U35" s="323"/>
      <c r="V35" s="324"/>
      <c r="W35" s="1406"/>
      <c r="X35" s="29"/>
      <c r="Y35" s="29"/>
      <c r="Z35" s="29"/>
      <c r="AA35" s="29"/>
    </row>
    <row r="36" spans="9:27" ht="17.25">
      <c r="K36" s="29" t="s">
        <v>1680</v>
      </c>
      <c r="L36" s="1344">
        <f t="shared" ref="L36:L39" si="3">N36+O36</f>
        <v>550000</v>
      </c>
      <c r="M36" s="1344"/>
      <c r="N36" s="1344"/>
      <c r="O36" s="1344">
        <v>550000</v>
      </c>
      <c r="P36" s="1633"/>
      <c r="Q36" s="18"/>
      <c r="R36" s="27" t="s">
        <v>22</v>
      </c>
      <c r="S36" s="325" t="s">
        <v>27</v>
      </c>
      <c r="T36" s="325" t="s">
        <v>26</v>
      </c>
      <c r="U36" s="326">
        <v>3835000</v>
      </c>
      <c r="V36" s="1349">
        <f>2500000+87000+1200000</f>
        <v>3787000</v>
      </c>
      <c r="W36" s="1408">
        <f>U36+V36</f>
        <v>7622000</v>
      </c>
      <c r="X36" s="1348" t="s">
        <v>1413</v>
      </c>
      <c r="Y36" s="31">
        <f>SUM(U36:U38)</f>
        <v>7543543</v>
      </c>
      <c r="Z36" s="31">
        <f>SUM(V36:V38)</f>
        <v>1487000</v>
      </c>
      <c r="AA36" s="31">
        <f>SUM(W36:W38)</f>
        <v>9030543</v>
      </c>
    </row>
    <row r="37" spans="9:27" ht="17.25">
      <c r="K37" s="29" t="s">
        <v>1681</v>
      </c>
      <c r="L37" s="1344">
        <f t="shared" si="3"/>
        <v>450000</v>
      </c>
      <c r="M37" s="1344"/>
      <c r="N37" s="1344"/>
      <c r="O37" s="1344">
        <v>450000</v>
      </c>
      <c r="P37" s="1632"/>
      <c r="Q37" s="18"/>
      <c r="R37" s="27" t="s">
        <v>22</v>
      </c>
      <c r="S37" s="325" t="s">
        <v>993</v>
      </c>
      <c r="T37" s="325" t="s">
        <v>26</v>
      </c>
      <c r="U37" s="326">
        <v>1208543</v>
      </c>
      <c r="V37" s="324">
        <v>200000</v>
      </c>
      <c r="W37" s="1408">
        <f>U37+V37</f>
        <v>1408543</v>
      </c>
      <c r="X37" s="1348" t="s">
        <v>1413</v>
      </c>
      <c r="Y37" s="18"/>
      <c r="Z37" s="18"/>
      <c r="AA37" s="18"/>
    </row>
    <row r="38" spans="9:27" ht="17.25">
      <c r="K38" s="41" t="s">
        <v>1685</v>
      </c>
      <c r="L38" s="1344">
        <f t="shared" si="3"/>
        <v>129280</v>
      </c>
      <c r="M38" s="1344"/>
      <c r="N38" s="1344"/>
      <c r="O38" s="1344">
        <v>129280</v>
      </c>
      <c r="P38" s="1632"/>
      <c r="Q38" s="18"/>
      <c r="R38" s="27" t="s">
        <v>22</v>
      </c>
      <c r="S38" s="325" t="s">
        <v>865</v>
      </c>
      <c r="T38" s="325" t="s">
        <v>26</v>
      </c>
      <c r="U38" s="323">
        <v>2500000</v>
      </c>
      <c r="V38" s="1349">
        <v>-2500000</v>
      </c>
      <c r="W38" s="1403">
        <f>U38+V38</f>
        <v>0</v>
      </c>
      <c r="X38" s="1348" t="s">
        <v>1413</v>
      </c>
      <c r="Y38" s="18"/>
      <c r="Z38" s="18"/>
      <c r="AA38" s="18"/>
    </row>
    <row r="39" spans="9:27" ht="17.25">
      <c r="I39" s="1092"/>
      <c r="K39" s="29" t="s">
        <v>1682</v>
      </c>
      <c r="L39" s="1344">
        <f t="shared" si="3"/>
        <v>200000</v>
      </c>
      <c r="M39" s="46"/>
      <c r="N39" s="1344"/>
      <c r="O39" s="1344">
        <v>200000</v>
      </c>
      <c r="P39" s="1632"/>
      <c r="Q39" s="18"/>
      <c r="R39" s="27" t="s">
        <v>22</v>
      </c>
      <c r="S39" s="1502" t="s">
        <v>25</v>
      </c>
      <c r="T39" s="325" t="s">
        <v>26</v>
      </c>
      <c r="U39" s="326">
        <v>4102529</v>
      </c>
      <c r="V39" s="324">
        <v>-1487320</v>
      </c>
      <c r="W39" s="1407">
        <f t="shared" ref="W39:W48" si="4">U39+V39</f>
        <v>2615209</v>
      </c>
      <c r="X39" s="1348" t="s">
        <v>1413</v>
      </c>
      <c r="Y39" s="18"/>
      <c r="Z39" s="18"/>
      <c r="AA39" s="18"/>
    </row>
    <row r="40" spans="9:27" ht="17.25">
      <c r="K40" s="29"/>
      <c r="L40" s="1344"/>
      <c r="M40" s="46"/>
      <c r="N40" s="1344"/>
      <c r="O40" s="1344"/>
      <c r="Q40" s="18"/>
      <c r="R40" s="25" t="s">
        <v>22</v>
      </c>
      <c r="S40" s="26" t="s">
        <v>44</v>
      </c>
      <c r="T40" s="325" t="s">
        <v>45</v>
      </c>
      <c r="U40" s="323">
        <v>6080000</v>
      </c>
      <c r="V40" s="324">
        <v>20000</v>
      </c>
      <c r="W40" s="1406">
        <f t="shared" si="4"/>
        <v>6100000</v>
      </c>
      <c r="X40" s="1348" t="s">
        <v>1413</v>
      </c>
      <c r="Y40" s="31">
        <f>SUM(U40:U42)</f>
        <v>7619467</v>
      </c>
      <c r="Z40" s="31">
        <f>SUM(V40:V42)</f>
        <v>80533</v>
      </c>
      <c r="AA40" s="31">
        <f>SUM(W40:W42)</f>
        <v>7700000</v>
      </c>
    </row>
    <row r="41" spans="9:27" ht="17.25">
      <c r="J41" s="974" t="s">
        <v>184</v>
      </c>
      <c r="K41" s="974"/>
      <c r="L41" s="1342">
        <f>L5+L16+L23+L27+L30</f>
        <v>68619725</v>
      </c>
      <c r="M41" s="1343"/>
      <c r="N41" s="1342">
        <f>N5+N16+N23+N27+N30</f>
        <v>57956356</v>
      </c>
      <c r="O41" s="1342">
        <f>SUM(O6:O35)</f>
        <v>19529669</v>
      </c>
      <c r="Q41" s="18"/>
      <c r="R41" s="25" t="s">
        <v>22</v>
      </c>
      <c r="S41" s="26" t="s">
        <v>46</v>
      </c>
      <c r="T41" s="325" t="s">
        <v>45</v>
      </c>
      <c r="U41" s="323">
        <v>1050000</v>
      </c>
      <c r="V41" s="324">
        <v>50000</v>
      </c>
      <c r="W41" s="1406">
        <f t="shared" si="4"/>
        <v>1100000</v>
      </c>
      <c r="X41" s="1348" t="s">
        <v>1413</v>
      </c>
      <c r="Y41" s="29"/>
      <c r="Z41" s="29"/>
      <c r="AA41" s="29"/>
    </row>
    <row r="42" spans="9:27" ht="17.25">
      <c r="I42" s="1092"/>
      <c r="L42" s="50"/>
      <c r="M42" s="46"/>
      <c r="N42" s="46"/>
      <c r="O42" s="46"/>
      <c r="Q42" s="18"/>
      <c r="R42" s="25" t="s">
        <v>22</v>
      </c>
      <c r="S42" s="30" t="s">
        <v>47</v>
      </c>
      <c r="T42" s="325" t="s">
        <v>45</v>
      </c>
      <c r="U42" s="323">
        <v>489467</v>
      </c>
      <c r="V42" s="324">
        <v>10533</v>
      </c>
      <c r="W42" s="1406">
        <f t="shared" si="4"/>
        <v>500000</v>
      </c>
      <c r="X42" s="1348" t="s">
        <v>1413</v>
      </c>
      <c r="Y42" s="29"/>
      <c r="Z42" s="29"/>
      <c r="AA42" s="29"/>
    </row>
    <row r="43" spans="9:27" ht="17.25">
      <c r="I43" s="1093"/>
      <c r="L43" s="46"/>
      <c r="M43" s="46"/>
      <c r="N43" s="46"/>
      <c r="O43" s="46"/>
      <c r="P43" s="816"/>
      <c r="Q43" s="18"/>
      <c r="R43" s="32" t="s">
        <v>867</v>
      </c>
      <c r="S43" s="30" t="s">
        <v>868</v>
      </c>
      <c r="T43" s="30" t="s">
        <v>52</v>
      </c>
      <c r="U43" s="326">
        <v>50000</v>
      </c>
      <c r="V43" s="324">
        <v>0</v>
      </c>
      <c r="W43" s="1406">
        <f t="shared" si="4"/>
        <v>50000</v>
      </c>
      <c r="X43" s="1348" t="s">
        <v>1413</v>
      </c>
      <c r="Y43" s="18"/>
      <c r="Z43" s="18"/>
      <c r="AA43" s="18"/>
    </row>
    <row r="44" spans="9:27" ht="17.25">
      <c r="J44" s="1109" t="s">
        <v>1409</v>
      </c>
      <c r="K44" s="1109"/>
      <c r="L44" s="1340">
        <f>N44+O44</f>
        <v>3650000</v>
      </c>
      <c r="M44" s="1341"/>
      <c r="N44" s="1340">
        <v>3450000</v>
      </c>
      <c r="O44" s="1340">
        <v>200000</v>
      </c>
      <c r="P44" s="1630"/>
      <c r="Q44" s="18"/>
      <c r="R44" s="32" t="s">
        <v>998</v>
      </c>
      <c r="S44" s="30" t="s">
        <v>999</v>
      </c>
      <c r="T44" s="30" t="s">
        <v>52</v>
      </c>
      <c r="U44" s="326">
        <v>400000</v>
      </c>
      <c r="V44" s="324">
        <v>0</v>
      </c>
      <c r="W44" s="1406">
        <f t="shared" si="4"/>
        <v>400000</v>
      </c>
      <c r="X44" s="1348" t="s">
        <v>1413</v>
      </c>
      <c r="Y44" s="18"/>
      <c r="Z44" s="18"/>
      <c r="AA44" s="18"/>
    </row>
    <row r="45" spans="9:27" ht="17.25">
      <c r="L45" s="50"/>
      <c r="M45" s="50"/>
      <c r="N45" s="50"/>
      <c r="O45" s="50"/>
      <c r="Q45" s="18"/>
      <c r="R45" s="32" t="s">
        <v>53</v>
      </c>
      <c r="S45" s="30" t="s">
        <v>54</v>
      </c>
      <c r="T45" s="30" t="s">
        <v>52</v>
      </c>
      <c r="U45" s="326">
        <v>98362.16</v>
      </c>
      <c r="V45" s="324">
        <f>99159-98362</f>
        <v>797</v>
      </c>
      <c r="W45" s="1406">
        <f t="shared" si="4"/>
        <v>99159.16</v>
      </c>
      <c r="X45" s="1348" t="s">
        <v>1413</v>
      </c>
      <c r="Y45" s="18"/>
      <c r="Z45" s="18"/>
      <c r="AA45" s="18"/>
    </row>
    <row r="46" spans="9:27" ht="17.25">
      <c r="K46" s="29"/>
      <c r="L46" s="31"/>
      <c r="M46" s="31"/>
      <c r="N46" s="31"/>
      <c r="O46" s="31"/>
      <c r="P46" s="180"/>
      <c r="Q46" s="18"/>
      <c r="R46" s="32" t="s">
        <v>869</v>
      </c>
      <c r="S46" s="30" t="s">
        <v>870</v>
      </c>
      <c r="T46" s="30" t="s">
        <v>52</v>
      </c>
      <c r="U46" s="326">
        <v>200000</v>
      </c>
      <c r="V46" s="324">
        <v>0</v>
      </c>
      <c r="W46" s="1406">
        <f t="shared" si="4"/>
        <v>200000</v>
      </c>
      <c r="X46" s="1348" t="s">
        <v>1413</v>
      </c>
      <c r="Y46" s="18"/>
      <c r="Z46" s="18"/>
      <c r="AA46" s="18"/>
    </row>
    <row r="47" spans="9:27" ht="17.25">
      <c r="K47" s="29"/>
      <c r="L47" s="31"/>
      <c r="M47" s="31"/>
      <c r="N47" s="31"/>
      <c r="O47" s="31"/>
      <c r="P47" s="12"/>
      <c r="Q47" s="18"/>
      <c r="R47" s="27" t="s">
        <v>59</v>
      </c>
      <c r="S47" s="30" t="s">
        <v>60</v>
      </c>
      <c r="T47" s="30" t="s">
        <v>52</v>
      </c>
      <c r="U47" s="326">
        <v>25000</v>
      </c>
      <c r="V47" s="1349">
        <v>-25000</v>
      </c>
      <c r="W47" s="1406">
        <f t="shared" si="4"/>
        <v>0</v>
      </c>
      <c r="X47" s="1348" t="s">
        <v>1413</v>
      </c>
      <c r="Y47" s="18"/>
      <c r="Z47" s="18"/>
      <c r="AA47" s="18"/>
    </row>
    <row r="48" spans="9:27" ht="17.25">
      <c r="Q48" s="18"/>
      <c r="R48" s="27" t="s">
        <v>56</v>
      </c>
      <c r="S48" s="26" t="s">
        <v>57</v>
      </c>
      <c r="T48" s="30" t="s">
        <v>52</v>
      </c>
      <c r="U48" s="326">
        <v>50000</v>
      </c>
      <c r="V48" s="1349"/>
      <c r="W48" s="1406">
        <f t="shared" si="4"/>
        <v>50000</v>
      </c>
      <c r="X48" s="1348" t="s">
        <v>1413</v>
      </c>
      <c r="Y48" s="18"/>
      <c r="Z48" s="18"/>
      <c r="AA48" s="18"/>
    </row>
    <row r="49" spans="10:27" ht="17.25">
      <c r="Q49" s="18"/>
      <c r="R49" s="25"/>
      <c r="S49" s="30"/>
      <c r="T49" s="325"/>
      <c r="U49" s="323"/>
      <c r="V49" s="324"/>
      <c r="W49" s="1406"/>
      <c r="X49" s="1348"/>
      <c r="Y49" s="18"/>
      <c r="Z49" s="18"/>
      <c r="AA49" s="18"/>
    </row>
    <row r="50" spans="10:27" ht="17.25">
      <c r="J50" s="974" t="s">
        <v>947</v>
      </c>
      <c r="K50" s="974"/>
      <c r="L50" s="1342">
        <v>-11077819</v>
      </c>
      <c r="M50" s="1343"/>
      <c r="N50" s="1342">
        <v>-1076707</v>
      </c>
      <c r="O50" s="1342">
        <v>-10001112</v>
      </c>
      <c r="Q50" s="1347" t="s">
        <v>1425</v>
      </c>
      <c r="R50" s="18"/>
      <c r="S50" s="18"/>
      <c r="T50" s="18"/>
      <c r="U50" s="18"/>
      <c r="V50" s="18"/>
      <c r="W50" s="18"/>
      <c r="X50" s="29"/>
      <c r="Y50" s="18"/>
      <c r="Z50" s="18"/>
      <c r="AA50" s="18"/>
    </row>
    <row r="51" spans="10:27" ht="17.25">
      <c r="J51" s="215" t="s">
        <v>184</v>
      </c>
      <c r="K51" s="215"/>
      <c r="L51" s="221">
        <f>L50+L44+L41</f>
        <v>61191906</v>
      </c>
      <c r="M51" s="816"/>
      <c r="N51" s="221">
        <f>N50+N44+N41</f>
        <v>60329649</v>
      </c>
      <c r="O51" s="221">
        <f>O50+O44+O41</f>
        <v>9728557</v>
      </c>
      <c r="Q51" s="18"/>
      <c r="R51" s="27" t="s">
        <v>22</v>
      </c>
      <c r="S51" s="325" t="s">
        <v>28</v>
      </c>
      <c r="T51" s="325" t="s">
        <v>29</v>
      </c>
      <c r="U51" s="323">
        <v>600000</v>
      </c>
      <c r="V51" s="324">
        <v>250000</v>
      </c>
      <c r="W51" s="1406">
        <f>U51+V51</f>
        <v>850000</v>
      </c>
      <c r="X51" s="1348" t="s">
        <v>1413</v>
      </c>
      <c r="Y51" s="18"/>
      <c r="Z51" s="18"/>
      <c r="AA51" s="18"/>
    </row>
    <row r="52" spans="10:27" ht="17.25">
      <c r="L52" s="12">
        <f>L51-L50</f>
        <v>72269725</v>
      </c>
      <c r="M52" s="12"/>
      <c r="N52" s="12"/>
      <c r="O52" s="12"/>
      <c r="Q52" s="18"/>
      <c r="R52" s="27" t="s">
        <v>22</v>
      </c>
      <c r="S52" s="325" t="s">
        <v>30</v>
      </c>
      <c r="T52" s="325" t="s">
        <v>29</v>
      </c>
      <c r="U52" s="323">
        <v>10000</v>
      </c>
      <c r="V52" s="324">
        <v>740000</v>
      </c>
      <c r="W52" s="1403">
        <f>U52+V52</f>
        <v>750000</v>
      </c>
      <c r="X52" s="1348" t="s">
        <v>1413</v>
      </c>
      <c r="Y52" s="18"/>
      <c r="Z52" s="18"/>
      <c r="AA52" s="18"/>
    </row>
    <row r="53" spans="10:27" ht="17.25">
      <c r="N53" s="12"/>
      <c r="Q53" s="18"/>
      <c r="R53" s="27" t="s">
        <v>22</v>
      </c>
      <c r="S53" s="325" t="s">
        <v>31</v>
      </c>
      <c r="T53" s="325" t="s">
        <v>32</v>
      </c>
      <c r="U53" s="323">
        <v>6357257</v>
      </c>
      <c r="V53" s="324">
        <v>2000000</v>
      </c>
      <c r="W53" s="1403">
        <f>U53+V53</f>
        <v>8357257</v>
      </c>
      <c r="X53" s="1348" t="s">
        <v>1413</v>
      </c>
      <c r="Y53" s="28">
        <f>SUM(U51:U54)</f>
        <v>8330484</v>
      </c>
      <c r="Z53" s="28">
        <f>SUM(V51:V54)</f>
        <v>2885024</v>
      </c>
      <c r="AA53" s="28">
        <f>SUM(W51:W54)</f>
        <v>11215508</v>
      </c>
    </row>
    <row r="54" spans="10:27" ht="17.25">
      <c r="Q54" s="18"/>
      <c r="R54" s="27" t="s">
        <v>22</v>
      </c>
      <c r="S54" s="325" t="s">
        <v>33</v>
      </c>
      <c r="T54" s="325" t="s">
        <v>32</v>
      </c>
      <c r="U54" s="323">
        <v>1363227</v>
      </c>
      <c r="V54" s="324">
        <f>-1363227+1258251</f>
        <v>-104976</v>
      </c>
      <c r="W54" s="1406">
        <f>U54+V54</f>
        <v>1258251</v>
      </c>
      <c r="X54" s="1348" t="s">
        <v>1413</v>
      </c>
      <c r="Y54" s="18"/>
      <c r="Z54" s="18"/>
      <c r="AA54" s="18"/>
    </row>
    <row r="55" spans="10:27" ht="17.25">
      <c r="Q55" s="18"/>
      <c r="R55" s="41"/>
      <c r="S55" s="41"/>
      <c r="T55" s="41"/>
      <c r="U55" s="41"/>
      <c r="V55" s="41"/>
      <c r="W55" s="41"/>
      <c r="X55" s="29"/>
      <c r="Y55" s="18"/>
      <c r="Z55" s="18"/>
      <c r="AA55" s="18"/>
    </row>
    <row r="56" spans="10:27" ht="17.25">
      <c r="Q56" s="1347" t="s">
        <v>1426</v>
      </c>
      <c r="R56" s="41"/>
      <c r="S56" s="41"/>
      <c r="T56" s="41"/>
      <c r="U56" s="41"/>
      <c r="V56" s="41"/>
      <c r="W56" s="41"/>
      <c r="X56" s="29"/>
      <c r="Y56" s="18"/>
      <c r="Z56" s="18"/>
      <c r="AA56" s="18"/>
    </row>
    <row r="57" spans="10:27" ht="17.25">
      <c r="Q57" s="18"/>
      <c r="R57" s="25" t="s">
        <v>22</v>
      </c>
      <c r="S57" s="26" t="s">
        <v>425</v>
      </c>
      <c r="T57" s="26" t="s">
        <v>24</v>
      </c>
      <c r="U57" s="326">
        <v>378176</v>
      </c>
      <c r="V57" s="324">
        <f>-163586-13703-31974-168913</f>
        <v>-378176</v>
      </c>
      <c r="W57" s="1406">
        <f>U57+V57</f>
        <v>0</v>
      </c>
      <c r="X57" s="41" t="s">
        <v>1413</v>
      </c>
      <c r="Y57" s="35"/>
      <c r="Z57" s="35"/>
      <c r="AA57" s="35"/>
    </row>
    <row r="58" spans="10:27" ht="16.5">
      <c r="Q58" s="41"/>
      <c r="R58" s="32" t="s">
        <v>1000</v>
      </c>
      <c r="S58" s="30" t="s">
        <v>1427</v>
      </c>
      <c r="T58" s="30" t="s">
        <v>52</v>
      </c>
      <c r="U58" s="326">
        <v>2500000</v>
      </c>
      <c r="V58" s="324">
        <v>-2500000</v>
      </c>
      <c r="W58" s="1406">
        <f>U58+V58</f>
        <v>0</v>
      </c>
      <c r="X58" s="41" t="s">
        <v>1413</v>
      </c>
      <c r="Y58" s="41"/>
      <c r="Z58" s="41"/>
      <c r="AA58" s="41"/>
    </row>
    <row r="59" spans="10:27" ht="17.25">
      <c r="Q59" s="29"/>
      <c r="R59" s="41" t="s">
        <v>1000</v>
      </c>
      <c r="S59" s="41" t="s">
        <v>1428</v>
      </c>
      <c r="T59" s="41"/>
      <c r="U59" s="41"/>
      <c r="V59" s="324">
        <v>1600000</v>
      </c>
      <c r="W59" s="1403">
        <v>1600000</v>
      </c>
      <c r="X59" s="1634" t="s">
        <v>1413</v>
      </c>
      <c r="Y59" s="41"/>
      <c r="Z59" s="41"/>
      <c r="AA59" s="41"/>
    </row>
    <row r="60" spans="10:27" ht="17.25">
      <c r="Q60" s="29"/>
      <c r="R60" s="41" t="s">
        <v>1683</v>
      </c>
      <c r="S60" s="41" t="s">
        <v>1679</v>
      </c>
      <c r="T60" s="41"/>
      <c r="U60" s="41"/>
      <c r="V60" s="324">
        <v>550000</v>
      </c>
      <c r="W60" s="1403">
        <v>550000</v>
      </c>
      <c r="X60" s="1634"/>
      <c r="Y60" s="41"/>
      <c r="Z60" s="41"/>
      <c r="AA60" s="41"/>
    </row>
    <row r="61" spans="10:27" ht="17.25">
      <c r="Q61" s="29"/>
      <c r="R61" s="41" t="s">
        <v>340</v>
      </c>
      <c r="S61" s="41" t="s">
        <v>1678</v>
      </c>
      <c r="T61" s="41"/>
      <c r="U61" s="41"/>
      <c r="V61" s="324">
        <v>200000</v>
      </c>
      <c r="W61" s="1403">
        <v>200000</v>
      </c>
      <c r="X61" s="1634"/>
      <c r="Y61" s="41"/>
      <c r="Z61" s="41"/>
      <c r="AA61" s="41"/>
    </row>
    <row r="62" spans="10:27" ht="17.25">
      <c r="Q62" s="29"/>
      <c r="R62" s="41" t="s">
        <v>340</v>
      </c>
      <c r="S62" s="41" t="s">
        <v>1686</v>
      </c>
      <c r="T62" s="41"/>
      <c r="U62" s="41"/>
      <c r="V62" s="324"/>
      <c r="W62" s="1403">
        <v>450000</v>
      </c>
      <c r="X62" s="1634"/>
      <c r="Y62" s="41"/>
      <c r="Z62" s="41"/>
      <c r="AA62" s="41"/>
    </row>
    <row r="63" spans="10:27" ht="17.25">
      <c r="Q63" s="29"/>
      <c r="R63" s="41" t="s">
        <v>1684</v>
      </c>
      <c r="S63" s="41" t="s">
        <v>1685</v>
      </c>
      <c r="T63" s="41"/>
      <c r="U63" s="41"/>
      <c r="V63" s="324"/>
      <c r="W63" s="1403">
        <v>129280</v>
      </c>
      <c r="X63" s="1634"/>
      <c r="Y63" s="41"/>
      <c r="Z63" s="41"/>
      <c r="AA63" s="41"/>
    </row>
    <row r="64" spans="10:27" ht="17.25">
      <c r="Q64" s="29"/>
      <c r="R64" s="41" t="s">
        <v>1673</v>
      </c>
      <c r="S64" s="41" t="s">
        <v>1674</v>
      </c>
      <c r="T64" s="41"/>
      <c r="U64" s="41"/>
      <c r="V64" s="324">
        <v>450000</v>
      </c>
      <c r="W64" s="1403">
        <v>450000</v>
      </c>
      <c r="X64" s="1634"/>
      <c r="Y64" s="41"/>
      <c r="Z64" s="41"/>
      <c r="AA64" s="41"/>
    </row>
    <row r="65" spans="9:27" ht="17.25">
      <c r="Q65" s="18"/>
      <c r="R65" s="41" t="s">
        <v>22</v>
      </c>
      <c r="S65" s="41" t="s">
        <v>1506</v>
      </c>
      <c r="T65" s="41"/>
      <c r="U65" s="41"/>
      <c r="V65" s="1409">
        <v>500000</v>
      </c>
      <c r="W65" s="1410">
        <v>500000</v>
      </c>
      <c r="X65" s="41"/>
      <c r="Y65" s="41"/>
      <c r="Z65" s="41"/>
      <c r="AA65" s="41"/>
    </row>
    <row r="66" spans="9:27" ht="17.25">
      <c r="Q66" s="1347" t="s">
        <v>1429</v>
      </c>
      <c r="R66" s="18"/>
      <c r="S66" s="18"/>
      <c r="T66" s="18"/>
      <c r="U66" s="18"/>
      <c r="V66" s="18"/>
      <c r="W66" s="18"/>
      <c r="X66" s="41"/>
      <c r="Y66" s="1350">
        <f>SUM(U67,U68,U69)</f>
        <v>2456000</v>
      </c>
      <c r="Z66" s="1350">
        <f>SUM(V67,V68,V69)</f>
        <v>3816300</v>
      </c>
      <c r="AA66" s="1350">
        <f>SUM(W67,W68,W69)</f>
        <v>6272300</v>
      </c>
    </row>
    <row r="67" spans="9:27" ht="17.25">
      <c r="Q67" s="18"/>
      <c r="R67" s="25" t="s">
        <v>22</v>
      </c>
      <c r="S67" s="26" t="s">
        <v>51</v>
      </c>
      <c r="T67" s="26" t="s">
        <v>24</v>
      </c>
      <c r="U67" s="323">
        <v>2250000</v>
      </c>
      <c r="V67" s="324">
        <v>750000</v>
      </c>
      <c r="W67" s="1406">
        <f>U67+V67</f>
        <v>3000000</v>
      </c>
      <c r="X67" s="41"/>
      <c r="Y67" s="41"/>
      <c r="Z67" s="41"/>
      <c r="AA67" s="41"/>
    </row>
    <row r="68" spans="9:27" ht="17.25">
      <c r="Q68" s="41"/>
      <c r="R68" s="25" t="s">
        <v>22</v>
      </c>
      <c r="S68" s="26" t="s">
        <v>864</v>
      </c>
      <c r="T68" s="26" t="s">
        <v>48</v>
      </c>
      <c r="U68" s="323">
        <v>206000</v>
      </c>
      <c r="V68" s="324">
        <v>1514000</v>
      </c>
      <c r="W68" s="1406">
        <f>U68+V68</f>
        <v>1720000</v>
      </c>
      <c r="X68" s="29"/>
      <c r="Y68" s="18"/>
      <c r="Z68" s="18"/>
      <c r="AA68" s="18"/>
    </row>
    <row r="69" spans="9:27" ht="17.25">
      <c r="Q69" s="29"/>
      <c r="R69" s="27" t="s">
        <v>22</v>
      </c>
      <c r="S69" s="325" t="s">
        <v>1430</v>
      </c>
      <c r="T69" s="325" t="s">
        <v>26</v>
      </c>
      <c r="U69" s="326">
        <v>0</v>
      </c>
      <c r="V69" s="324">
        <f>1487320+64980</f>
        <v>1552300</v>
      </c>
      <c r="W69" s="1407">
        <f>U69+V69</f>
        <v>1552300</v>
      </c>
      <c r="X69" s="29" t="s">
        <v>1413</v>
      </c>
      <c r="Y69" s="28">
        <f>SUM(U70,U71,U39)</f>
        <v>-7036378</v>
      </c>
      <c r="Z69" s="28">
        <f>SUM(V70,V71,V39)</f>
        <v>-1821487.21</v>
      </c>
      <c r="AA69" s="28">
        <f>SUM(W70,W71,W39)</f>
        <v>-8857865.2100000009</v>
      </c>
    </row>
    <row r="70" spans="9:27" ht="17.25">
      <c r="Q70" s="18"/>
      <c r="R70" s="27" t="s">
        <v>22</v>
      </c>
      <c r="S70" s="325" t="s">
        <v>34</v>
      </c>
      <c r="T70" s="325" t="s">
        <v>35</v>
      </c>
      <c r="U70" s="323">
        <v>-7242000</v>
      </c>
      <c r="V70" s="1349">
        <f>0.03*U70</f>
        <v>-217260</v>
      </c>
      <c r="W70" s="1406">
        <f>U70+V70</f>
        <v>-7459260</v>
      </c>
      <c r="X70" s="1348" t="s">
        <v>1413</v>
      </c>
      <c r="Y70" s="18"/>
      <c r="Z70" s="18"/>
      <c r="AA70" s="18"/>
    </row>
    <row r="71" spans="9:27" ht="17.25">
      <c r="I71" s="1092"/>
      <c r="Q71" s="18"/>
      <c r="R71" s="27" t="s">
        <v>22</v>
      </c>
      <c r="S71" s="325" t="s">
        <v>994</v>
      </c>
      <c r="T71" s="325" t="s">
        <v>35</v>
      </c>
      <c r="U71" s="323">
        <v>-3896907</v>
      </c>
      <c r="V71" s="1349">
        <f>0.03*U71</f>
        <v>-116907.20999999999</v>
      </c>
      <c r="W71" s="1406">
        <f>U71+V71</f>
        <v>-4013814.21</v>
      </c>
      <c r="X71" s="1348"/>
      <c r="Y71" s="18"/>
      <c r="Z71" s="18"/>
      <c r="AA71" s="18"/>
    </row>
    <row r="72" spans="9:27" ht="17.25">
      <c r="Q72" s="18"/>
      <c r="R72" s="25"/>
      <c r="S72" s="26"/>
      <c r="T72" s="26"/>
      <c r="U72" s="323"/>
      <c r="V72" s="324"/>
      <c r="W72" s="1406"/>
      <c r="X72" s="29"/>
      <c r="Y72" s="18"/>
      <c r="Z72" s="18"/>
      <c r="AA72" s="18"/>
    </row>
    <row r="73" spans="9:27" ht="17.25">
      <c r="Q73" s="18"/>
      <c r="R73" s="25"/>
      <c r="S73" s="26"/>
      <c r="T73" s="26"/>
      <c r="U73" s="323"/>
      <c r="V73" s="324"/>
      <c r="W73" s="1406"/>
      <c r="X73" s="29"/>
      <c r="Y73" s="1010">
        <f>SUM(Y6:Y70)</f>
        <v>44524302.159999996</v>
      </c>
      <c r="Z73" s="1010">
        <f>SUM(Z6:Z70)</f>
        <v>4244264.79</v>
      </c>
      <c r="AA73" s="1010">
        <f>SUM(AA6:AA70)</f>
        <v>49068566.949999996</v>
      </c>
    </row>
    <row r="74" spans="9:27" ht="17.25">
      <c r="Q74" s="33" t="s">
        <v>1431</v>
      </c>
      <c r="R74" s="18"/>
      <c r="S74" s="18"/>
      <c r="T74" s="30"/>
      <c r="U74" s="1010">
        <f>SUM(U6:U71)</f>
        <v>56879649.159999996</v>
      </c>
      <c r="V74" s="1010">
        <f>SUM(V6:V71)</f>
        <v>82976.790000000008</v>
      </c>
      <c r="W74" s="1010">
        <f>SUM(W6:W71)</f>
        <v>57541905.949999996</v>
      </c>
      <c r="X74" s="29"/>
      <c r="Y74" s="18"/>
      <c r="Z74" s="18"/>
      <c r="AA74" s="18"/>
    </row>
    <row r="75" spans="9:27" ht="17.25">
      <c r="Q75" s="33"/>
      <c r="R75" s="18"/>
      <c r="S75" s="18"/>
      <c r="T75" s="325"/>
      <c r="U75" s="37"/>
      <c r="V75" s="1011"/>
      <c r="W75" s="1351"/>
      <c r="X75" s="29"/>
      <c r="Y75" s="18"/>
      <c r="Z75" s="18"/>
      <c r="AA75" s="18"/>
    </row>
    <row r="76" spans="9:27" ht="17.25">
      <c r="Q76" s="18"/>
      <c r="R76" s="18"/>
      <c r="S76" s="325"/>
      <c r="T76" s="1107" t="s">
        <v>1002</v>
      </c>
      <c r="U76" s="1012">
        <v>3450000</v>
      </c>
      <c r="V76" s="1012">
        <v>200000</v>
      </c>
      <c r="W76" s="1012">
        <f>+U76+V76</f>
        <v>3650000</v>
      </c>
      <c r="X76" s="1348"/>
      <c r="Y76" s="18"/>
      <c r="Z76" s="18"/>
      <c r="AA76" s="18"/>
    </row>
    <row r="77" spans="9:27" ht="17.25">
      <c r="Q77" s="39"/>
      <c r="R77" s="27"/>
      <c r="S77" s="325"/>
      <c r="T77" s="26"/>
      <c r="U77" s="1012"/>
      <c r="V77" s="1012"/>
      <c r="W77" s="1012"/>
      <c r="X77" s="29"/>
      <c r="Y77" s="18"/>
      <c r="Z77" s="18"/>
      <c r="AA77" s="18"/>
    </row>
    <row r="78" spans="9:27" ht="17.25">
      <c r="Q78" s="41"/>
      <c r="R78" s="36"/>
      <c r="S78" s="26"/>
      <c r="T78" s="26"/>
      <c r="U78" s="1012">
        <f>SUM(U74:U76)</f>
        <v>60329649.159999996</v>
      </c>
      <c r="V78" s="1012">
        <f>SUM(V74:V76)</f>
        <v>282976.79000000004</v>
      </c>
      <c r="W78" s="1012">
        <f>SUM(W74:W76)</f>
        <v>61191905.949999996</v>
      </c>
      <c r="X78" s="29"/>
      <c r="Y78" s="18"/>
      <c r="Z78" s="18"/>
      <c r="AA78" s="18"/>
    </row>
    <row r="79" spans="9:27" ht="17.25">
      <c r="Q79" s="39"/>
      <c r="R79" s="38"/>
      <c r="S79" s="1107"/>
      <c r="T79" s="41"/>
      <c r="U79" s="41"/>
      <c r="V79" s="1352">
        <f>V74-E53</f>
        <v>82976.790000000008</v>
      </c>
      <c r="W79" s="1352">
        <f>W78-W6</f>
        <v>72269724.949999988</v>
      </c>
      <c r="X79" s="29"/>
      <c r="Y79" s="18"/>
      <c r="Z79" s="18"/>
      <c r="AA79" s="18"/>
    </row>
    <row r="80" spans="9:27" ht="16.5">
      <c r="I80" s="1092"/>
      <c r="Q80" s="39"/>
      <c r="R80" s="40"/>
      <c r="S80" s="26"/>
      <c r="T80" s="41"/>
      <c r="U80" s="1352"/>
      <c r="V80" s="41"/>
      <c r="W80" s="41"/>
    </row>
    <row r="92" spans="8:8">
      <c r="H92" s="12"/>
    </row>
  </sheetData>
  <phoneticPr fontId="52" type="noConversion"/>
  <pageMargins left="0.75" right="0.75" top="1" bottom="1" header="0.5" footer="0.5"/>
  <pageSetup paperSize="5" scale="66" orientation="portrait" horizontalDpi="4294967292" verticalDpi="4294967292" copies="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62"/>
  <sheetViews>
    <sheetView topLeftCell="G1" zoomScale="110" zoomScaleNormal="110" zoomScalePageLayoutView="110" workbookViewId="0">
      <selection activeCell="E16" sqref="E16:E35"/>
    </sheetView>
  </sheetViews>
  <sheetFormatPr defaultColWidth="11" defaultRowHeight="15.75"/>
  <cols>
    <col min="1" max="1" width="36.125" customWidth="1"/>
    <col min="2" max="2" width="11.125" customWidth="1"/>
    <col min="3" max="4" width="11.5" customWidth="1"/>
    <col min="5" max="5" width="15.625" customWidth="1"/>
    <col min="6" max="6" width="3.375" customWidth="1"/>
    <col min="7" max="9" width="11" customWidth="1"/>
    <col min="10" max="10" width="12" customWidth="1"/>
    <col min="11" max="11" width="5.625" customWidth="1"/>
    <col min="12" max="12" width="11.875" customWidth="1"/>
    <col min="13" max="13" width="4.125" customWidth="1"/>
    <col min="14" max="14" width="3.125" customWidth="1"/>
    <col min="15" max="15" width="11" customWidth="1"/>
    <col min="16" max="16" width="12" customWidth="1"/>
    <col min="17" max="17" width="3.125" customWidth="1"/>
    <col min="18" max="18" width="13.875" customWidth="1"/>
    <col min="19" max="19" width="7.875" customWidth="1"/>
    <col min="20" max="20" width="12.875" customWidth="1"/>
    <col min="21" max="21" width="13.625" bestFit="1" customWidth="1"/>
    <col min="22" max="22" width="11.625" bestFit="1" customWidth="1"/>
    <col min="24" max="24" width="15.375" customWidth="1"/>
  </cols>
  <sheetData>
    <row r="1" spans="1:24">
      <c r="A1" s="175" t="s">
        <v>62</v>
      </c>
      <c r="B1" s="175"/>
      <c r="C1" s="175"/>
      <c r="D1" s="175"/>
      <c r="E1" s="175"/>
      <c r="F1" s="175"/>
      <c r="G1" s="175"/>
      <c r="H1" s="175"/>
      <c r="I1" s="1386" t="s">
        <v>736</v>
      </c>
      <c r="J1" s="399"/>
      <c r="K1" s="1387"/>
      <c r="L1" s="1388">
        <v>0.02</v>
      </c>
      <c r="M1" s="175"/>
      <c r="N1" s="175"/>
      <c r="O1" s="175"/>
      <c r="Q1" s="175"/>
      <c r="R1" s="202" t="s">
        <v>177</v>
      </c>
      <c r="S1" s="203"/>
      <c r="T1" s="207">
        <f>'Step 0 FY18 Revenue'!L59</f>
        <v>581608334.94857144</v>
      </c>
      <c r="U1" s="175"/>
      <c r="V1" s="202" t="s">
        <v>1507</v>
      </c>
      <c r="W1" s="203"/>
      <c r="X1" s="207">
        <f>'Step 2 Productivity Split'!C18</f>
        <v>180028401.64054096</v>
      </c>
    </row>
    <row r="2" spans="1:24" ht="16.5" thickBot="1">
      <c r="A2" s="175" t="s">
        <v>1321</v>
      </c>
      <c r="B2" s="175"/>
      <c r="C2" s="175"/>
      <c r="D2" s="175"/>
      <c r="E2" s="175"/>
      <c r="F2" s="175"/>
      <c r="G2" s="175"/>
      <c r="H2" s="175"/>
      <c r="I2" s="1389" t="s">
        <v>737</v>
      </c>
      <c r="J2" s="405"/>
      <c r="K2" s="1390"/>
      <c r="L2" s="1391">
        <v>3.5000000000000003E-2</v>
      </c>
      <c r="M2" s="175"/>
      <c r="N2" s="175"/>
      <c r="O2" s="175"/>
      <c r="P2" s="175"/>
      <c r="Q2" s="175"/>
      <c r="R2" s="204" t="s">
        <v>178</v>
      </c>
      <c r="S2" s="205"/>
      <c r="T2" s="206">
        <f>T1-SUM(B59:P59)</f>
        <v>143166878.64054096</v>
      </c>
      <c r="U2" s="175"/>
      <c r="V2" s="204" t="s">
        <v>1508</v>
      </c>
      <c r="W2" s="205"/>
      <c r="X2" s="206">
        <f>X1-SUM(B6,B7,B11,B12)-C59-E58-E8</f>
        <v>143466878.64054096</v>
      </c>
    </row>
    <row r="3" spans="1:24">
      <c r="A3" s="175"/>
      <c r="B3" s="394"/>
      <c r="C3" s="175"/>
      <c r="D3" s="175"/>
      <c r="E3" s="175"/>
      <c r="F3" s="175"/>
      <c r="G3" s="175"/>
      <c r="H3" s="175"/>
      <c r="M3" s="175"/>
      <c r="N3" s="175"/>
      <c r="O3" s="175"/>
      <c r="P3" s="175"/>
      <c r="Q3" s="175"/>
    </row>
    <row r="4" spans="1:24">
      <c r="A4" s="176"/>
      <c r="B4" s="1780" t="s">
        <v>168</v>
      </c>
      <c r="C4" s="1780"/>
      <c r="D4" s="1780"/>
      <c r="E4" s="1780"/>
      <c r="F4" s="196"/>
      <c r="G4" s="1781" t="s">
        <v>169</v>
      </c>
      <c r="H4" s="1781"/>
      <c r="I4" s="1781"/>
      <c r="J4" s="1781"/>
      <c r="K4" s="196"/>
      <c r="L4" s="1787" t="s">
        <v>666</v>
      </c>
      <c r="M4" s="1787"/>
      <c r="N4" s="176"/>
      <c r="O4" s="1782" t="s">
        <v>154</v>
      </c>
      <c r="P4" s="1782"/>
      <c r="Q4" s="176"/>
      <c r="R4" s="176"/>
      <c r="S4" s="176"/>
      <c r="T4" s="414"/>
      <c r="U4" s="414"/>
      <c r="V4" s="176"/>
    </row>
    <row r="5" spans="1:24" s="188" customFormat="1" ht="63.75">
      <c r="A5" s="186" t="s">
        <v>69</v>
      </c>
      <c r="B5" s="231" t="s">
        <v>175</v>
      </c>
      <c r="C5" s="231" t="s">
        <v>738</v>
      </c>
      <c r="D5" s="231" t="s">
        <v>672</v>
      </c>
      <c r="E5" s="231" t="s">
        <v>1554</v>
      </c>
      <c r="F5" s="231"/>
      <c r="G5" s="231" t="s">
        <v>159</v>
      </c>
      <c r="H5" s="231" t="s">
        <v>160</v>
      </c>
      <c r="I5" s="231" t="s">
        <v>161</v>
      </c>
      <c r="J5" s="231" t="s">
        <v>162</v>
      </c>
      <c r="K5" s="231"/>
      <c r="L5" s="661"/>
      <c r="M5" s="661"/>
      <c r="N5" s="231"/>
      <c r="O5" s="231" t="s">
        <v>167</v>
      </c>
      <c r="P5" s="231" t="s">
        <v>171</v>
      </c>
      <c r="Q5" s="1069"/>
      <c r="R5" s="231" t="s">
        <v>1030</v>
      </c>
      <c r="S5" s="1140"/>
      <c r="T5" s="1141" t="s">
        <v>1031</v>
      </c>
    </row>
    <row r="6" spans="1:24">
      <c r="A6" s="177" t="s">
        <v>479</v>
      </c>
      <c r="B6" s="44">
        <f>'Step 4a IM Summary'!B8</f>
        <v>3161000</v>
      </c>
      <c r="C6" s="44">
        <f>'Step 3 Acad Product &amp; Pools'!C6</f>
        <v>0</v>
      </c>
      <c r="D6" s="44"/>
      <c r="E6" s="44">
        <f>'Step 3 Acad Product &amp; Pools'!E6</f>
        <v>0</v>
      </c>
      <c r="F6" s="44"/>
      <c r="G6" s="44">
        <f>'Step 3 Acad Product &amp; Pools'!G6</f>
        <v>0</v>
      </c>
      <c r="H6" s="44">
        <f>'Step 3 Acad Product &amp; Pools'!H6</f>
        <v>0</v>
      </c>
      <c r="I6" s="44">
        <f>'Step 3 Acad Product &amp; Pools'!I6</f>
        <v>0</v>
      </c>
      <c r="J6" s="44">
        <f>'Step 3 Acad Product &amp; Pools'!J6</f>
        <v>0</v>
      </c>
      <c r="K6" s="44"/>
      <c r="L6" s="44">
        <f>SUM('Step 3 Acad Product &amp; Pools'!L6:Q6)</f>
        <v>0</v>
      </c>
      <c r="M6" s="44"/>
      <c r="N6" s="48"/>
      <c r="O6" s="44">
        <f>'Step 3 Acad Product &amp; Pools'!T6</f>
        <v>0</v>
      </c>
      <c r="P6" s="44">
        <f>'Step 3 Acad Product &amp; Pools'!U6</f>
        <v>0</v>
      </c>
      <c r="R6" s="44">
        <f t="shared" ref="R6:R12" si="0">SUM(B6:P6)</f>
        <v>3161000</v>
      </c>
      <c r="S6" s="167"/>
      <c r="T6" s="1765">
        <v>55820357</v>
      </c>
    </row>
    <row r="7" spans="1:24">
      <c r="A7" s="177" t="s">
        <v>1519</v>
      </c>
      <c r="B7" s="44">
        <f>'Step 4a IM Summary'!B11</f>
        <v>3111300</v>
      </c>
      <c r="C7" s="44">
        <v>0</v>
      </c>
      <c r="D7" s="44"/>
      <c r="E7" s="44">
        <f>'Step 3 Acad Product &amp; Pools'!E7</f>
        <v>0</v>
      </c>
      <c r="F7" s="44"/>
      <c r="G7" s="44">
        <f>'Step 3 Acad Product &amp; Pools'!G7</f>
        <v>0</v>
      </c>
      <c r="H7" s="44">
        <f>'Step 3 Acad Product &amp; Pools'!H7</f>
        <v>0</v>
      </c>
      <c r="I7" s="44">
        <f>'Step 3 Acad Product &amp; Pools'!I7</f>
        <v>0</v>
      </c>
      <c r="J7" s="44">
        <f>'Step 3 Acad Product &amp; Pools'!J7</f>
        <v>0</v>
      </c>
      <c r="K7" s="44"/>
      <c r="L7" s="44">
        <f>SUM('Step 3 Acad Product &amp; Pools'!L7:Q7)</f>
        <v>0</v>
      </c>
      <c r="M7" s="44"/>
      <c r="N7" s="48"/>
      <c r="O7" s="44">
        <f>'Step 3 Acad Product &amp; Pools'!T7</f>
        <v>-270100</v>
      </c>
      <c r="P7" s="44">
        <f>'Step 3 Acad Product &amp; Pools'!U7</f>
        <v>3650000</v>
      </c>
      <c r="R7" s="44">
        <f t="shared" si="0"/>
        <v>6491200</v>
      </c>
      <c r="S7" s="167"/>
      <c r="T7" s="1766"/>
    </row>
    <row r="8" spans="1:24">
      <c r="A8" s="177" t="s">
        <v>1518</v>
      </c>
      <c r="B8" s="44">
        <f>'Step 3 Acad Product &amp; Pools'!B8</f>
        <v>0</v>
      </c>
      <c r="C8" s="44">
        <v>0</v>
      </c>
      <c r="D8" s="44"/>
      <c r="E8" s="44">
        <v>0</v>
      </c>
      <c r="F8" s="44"/>
      <c r="G8" s="44">
        <f>'Step 3 Acad Product &amp; Pools'!G8</f>
        <v>0</v>
      </c>
      <c r="H8" s="44">
        <f>'Step 3 Acad Product &amp; Pools'!H8</f>
        <v>0</v>
      </c>
      <c r="I8" s="44">
        <f>'Step 3 Acad Product &amp; Pools'!I8</f>
        <v>0</v>
      </c>
      <c r="J8" s="44">
        <f>'Step 3 Acad Product &amp; Pools'!J8</f>
        <v>0</v>
      </c>
      <c r="K8" s="44"/>
      <c r="L8" s="44">
        <f>SUM('Step 3 Acad Product &amp; Pools'!L8:Q8)</f>
        <v>0</v>
      </c>
      <c r="M8" s="44"/>
      <c r="N8" s="48"/>
      <c r="O8" s="44">
        <f>'Step 3 Acad Product &amp; Pools'!T8</f>
        <v>0</v>
      </c>
      <c r="P8" s="44">
        <f>'Step 3 Acad Product &amp; Pools'!U8</f>
        <v>0</v>
      </c>
      <c r="R8" s="44">
        <f t="shared" si="0"/>
        <v>0</v>
      </c>
      <c r="S8" s="167"/>
      <c r="T8" s="1766"/>
      <c r="V8" s="12"/>
    </row>
    <row r="9" spans="1:24">
      <c r="A9" s="177" t="s">
        <v>753</v>
      </c>
      <c r="B9" s="44">
        <f>'Step 3 Acad Product &amp; Pools'!B9</f>
        <v>0</v>
      </c>
      <c r="C9" s="44">
        <f>'Step 3 Acad Product &amp; Pools'!C9</f>
        <v>0</v>
      </c>
      <c r="D9" s="44"/>
      <c r="E9" s="44">
        <f>'Step 3 Acad Product &amp; Pools'!E9</f>
        <v>0</v>
      </c>
      <c r="F9" s="44"/>
      <c r="G9" s="44">
        <f>'Step 3 Acad Product &amp; Pools'!G9</f>
        <v>0</v>
      </c>
      <c r="H9" s="44">
        <f>'Step 3 Acad Product &amp; Pools'!H9</f>
        <v>0</v>
      </c>
      <c r="I9" s="44">
        <f>'Step 3 Acad Product &amp; Pools'!I9</f>
        <v>0</v>
      </c>
      <c r="J9" s="44">
        <f>'Step 3 Acad Product &amp; Pools'!J9</f>
        <v>0</v>
      </c>
      <c r="K9" s="44"/>
      <c r="L9" s="44">
        <f>SUM('Step 3 Acad Product &amp; Pools'!L9:Q9)</f>
        <v>0</v>
      </c>
      <c r="M9" s="44"/>
      <c r="N9" s="48"/>
      <c r="O9" s="44">
        <f>'Step 3 Acad Product &amp; Pools'!T9</f>
        <v>0</v>
      </c>
      <c r="P9" s="44">
        <f>'Step 3 Acad Product &amp; Pools'!U9</f>
        <v>10000000</v>
      </c>
      <c r="R9" s="44">
        <f t="shared" si="0"/>
        <v>10000000</v>
      </c>
      <c r="S9" s="167"/>
      <c r="T9" s="1766"/>
    </row>
    <row r="10" spans="1:24">
      <c r="A10" s="177" t="s">
        <v>480</v>
      </c>
      <c r="B10" s="44">
        <f>'Step 3 Acad Product &amp; Pools'!B10</f>
        <v>18178922</v>
      </c>
      <c r="C10" s="44">
        <f>'Step 3 Acad Product &amp; Pools'!C10</f>
        <v>0</v>
      </c>
      <c r="D10" s="44"/>
      <c r="E10" s="44">
        <f>'Step 3 Acad Product &amp; Pools'!E10</f>
        <v>0</v>
      </c>
      <c r="F10" s="44"/>
      <c r="G10" s="44">
        <f>'Step 3 Acad Product &amp; Pools'!G10</f>
        <v>0</v>
      </c>
      <c r="H10" s="44">
        <f>'Step 3 Acad Product &amp; Pools'!H10</f>
        <v>0</v>
      </c>
      <c r="I10" s="44">
        <f>'Step 3 Acad Product &amp; Pools'!I10</f>
        <v>0</v>
      </c>
      <c r="J10" s="44">
        <f>'Step 3 Acad Product &amp; Pools'!J10</f>
        <v>0</v>
      </c>
      <c r="K10" s="44"/>
      <c r="L10" s="44">
        <f>SUM('Step 3 Acad Product &amp; Pools'!L10:Q10)</f>
        <v>0</v>
      </c>
      <c r="M10" s="44"/>
      <c r="N10" s="48"/>
      <c r="O10" s="44">
        <f>'Step 3 Acad Product &amp; Pools'!T10</f>
        <v>0</v>
      </c>
      <c r="P10" s="44">
        <f>'Step 3 Acad Product &amp; Pools'!U10</f>
        <v>0</v>
      </c>
      <c r="R10" s="44">
        <f t="shared" si="0"/>
        <v>18178922</v>
      </c>
      <c r="S10" s="167"/>
      <c r="T10" s="1766"/>
    </row>
    <row r="11" spans="1:24">
      <c r="A11" s="177" t="s">
        <v>481</v>
      </c>
      <c r="B11" s="44">
        <f>'Step 4a IM Summary'!B23</f>
        <v>4150000</v>
      </c>
      <c r="C11" s="44">
        <f>'Step 3 Acad Product &amp; Pools'!C11</f>
        <v>0</v>
      </c>
      <c r="D11" s="44"/>
      <c r="E11" s="44">
        <f>'Step 3 Acad Product &amp; Pools'!E11</f>
        <v>0</v>
      </c>
      <c r="F11" s="44"/>
      <c r="G11" s="44">
        <f>'Step 3 Acad Product &amp; Pools'!G11</f>
        <v>0</v>
      </c>
      <c r="H11" s="44">
        <f>'Step 3 Acad Product &amp; Pools'!H11</f>
        <v>0</v>
      </c>
      <c r="I11" s="44">
        <f>'Step 3 Acad Product &amp; Pools'!I11</f>
        <v>0</v>
      </c>
      <c r="J11" s="44">
        <f>'Step 3 Acad Product &amp; Pools'!J11</f>
        <v>0</v>
      </c>
      <c r="K11" s="44"/>
      <c r="L11" s="44">
        <f>SUM('Step 3 Acad Product &amp; Pools'!L11:Q11)</f>
        <v>0</v>
      </c>
      <c r="M11" s="44"/>
      <c r="N11" s="48"/>
      <c r="O11" s="44">
        <f>'Step 3 Acad Product &amp; Pools'!T11</f>
        <v>0</v>
      </c>
      <c r="P11" s="44">
        <f>'Step 3 Acad Product &amp; Pools'!U11</f>
        <v>0</v>
      </c>
      <c r="R11" s="44">
        <f t="shared" si="0"/>
        <v>4150000</v>
      </c>
      <c r="S11" s="167"/>
      <c r="T11" s="1766"/>
    </row>
    <row r="12" spans="1:24">
      <c r="A12" s="177" t="s">
        <v>482</v>
      </c>
      <c r="B12" s="44">
        <f>'Step 4a IM Summary'!B14</f>
        <v>26139223</v>
      </c>
      <c r="C12" s="44">
        <f>'Step 3 Acad Product &amp; Pools'!C12</f>
        <v>0</v>
      </c>
      <c r="D12" s="44"/>
      <c r="E12" s="44">
        <f>'Step 3 Acad Product &amp; Pools'!E12</f>
        <v>0</v>
      </c>
      <c r="F12" s="44"/>
      <c r="G12" s="44">
        <f>'Step 3 Acad Product &amp; Pools'!G12</f>
        <v>0</v>
      </c>
      <c r="H12" s="44">
        <f>'Step 3 Acad Product &amp; Pools'!H12</f>
        <v>0</v>
      </c>
      <c r="I12" s="44">
        <f>'Step 3 Acad Product &amp; Pools'!I12</f>
        <v>0</v>
      </c>
      <c r="J12" s="44">
        <f>'Step 3 Acad Product &amp; Pools'!J12</f>
        <v>0</v>
      </c>
      <c r="K12" s="44"/>
      <c r="L12" s="44">
        <f>SUM('Step 3 Acad Product &amp; Pools'!L12:Q12)</f>
        <v>0</v>
      </c>
      <c r="M12" s="44"/>
      <c r="N12" s="48"/>
      <c r="O12" s="44">
        <f>'Step 3 Acad Product &amp; Pools'!T12</f>
        <v>0</v>
      </c>
      <c r="P12" s="44">
        <f>'Step 3 Acad Product &amp; Pools'!U12</f>
        <v>0</v>
      </c>
      <c r="R12" s="44">
        <f t="shared" si="0"/>
        <v>26139223</v>
      </c>
      <c r="S12" s="167"/>
      <c r="T12" s="1766"/>
    </row>
    <row r="13" spans="1:24">
      <c r="A13" s="168"/>
      <c r="B13" s="48"/>
      <c r="C13" s="48"/>
      <c r="D13" s="48"/>
      <c r="E13" s="48"/>
      <c r="F13" s="48"/>
      <c r="G13" s="48"/>
      <c r="H13" s="48"/>
      <c r="I13" s="48"/>
      <c r="J13" s="48"/>
      <c r="K13" s="48"/>
      <c r="L13" s="48"/>
      <c r="M13" s="48"/>
      <c r="N13" s="48"/>
      <c r="O13" s="48"/>
      <c r="P13" s="48"/>
      <c r="R13" s="48"/>
      <c r="S13" s="168"/>
      <c r="T13" s="48"/>
    </row>
    <row r="14" spans="1:24">
      <c r="A14" s="51" t="s">
        <v>72</v>
      </c>
      <c r="B14" s="34"/>
      <c r="C14" s="34"/>
      <c r="D14" s="34"/>
      <c r="E14" s="34"/>
      <c r="F14" s="34"/>
      <c r="G14" s="34"/>
      <c r="H14" s="34"/>
      <c r="I14" s="34"/>
      <c r="J14" s="34"/>
      <c r="K14" s="34"/>
      <c r="L14" s="34"/>
      <c r="M14" s="34"/>
      <c r="N14" s="49"/>
      <c r="O14" s="34"/>
      <c r="P14" s="34"/>
      <c r="R14" s="48"/>
      <c r="S14" s="168"/>
      <c r="T14" s="34"/>
    </row>
    <row r="15" spans="1:24">
      <c r="A15" s="1382" t="s">
        <v>1514</v>
      </c>
      <c r="B15" s="55">
        <f>'Step 3 Acad Product &amp; Pools'!B15</f>
        <v>0</v>
      </c>
      <c r="C15" s="55">
        <f>'Step 3 Acad Product &amp; Pools'!C15</f>
        <v>0</v>
      </c>
      <c r="D15" s="55"/>
      <c r="E15" s="55">
        <f>'Step 3 Acad Product &amp; Pools'!E15</f>
        <v>0</v>
      </c>
      <c r="F15" s="55"/>
      <c r="G15" s="55">
        <f>'Step 3 Acad Product &amp; Pools'!G15</f>
        <v>0</v>
      </c>
      <c r="H15" s="55">
        <f>'Step 3 Acad Product &amp; Pools'!H15</f>
        <v>0</v>
      </c>
      <c r="I15" s="55">
        <f>'Step 3 Acad Product &amp; Pools'!I15</f>
        <v>0</v>
      </c>
      <c r="J15" s="55">
        <f>'Step 3 Acad Product &amp; Pools'!J15</f>
        <v>0</v>
      </c>
      <c r="K15" s="55"/>
      <c r="L15" s="55">
        <f>SUM('Step 3 Acad Product &amp; Pools'!L15:Q15)</f>
        <v>0</v>
      </c>
      <c r="M15" s="34"/>
      <c r="N15" s="49"/>
      <c r="O15" s="34"/>
      <c r="P15" s="34"/>
      <c r="R15" s="34"/>
      <c r="S15" s="167"/>
      <c r="T15" s="34"/>
    </row>
    <row r="16" spans="1:24">
      <c r="A16" s="179" t="s">
        <v>73</v>
      </c>
      <c r="B16" s="44">
        <f>'Step 3 Acad Product &amp; Pools'!B16</f>
        <v>0</v>
      </c>
      <c r="C16" s="44">
        <f>'Step 3 Acad Product &amp; Pools'!C16</f>
        <v>0</v>
      </c>
      <c r="D16" s="44"/>
      <c r="E16" s="44">
        <f>'Step 3 Acad Product &amp; Pools'!E16</f>
        <v>0</v>
      </c>
      <c r="F16" s="44"/>
      <c r="G16" s="44">
        <f>'Step 3 Acad Product &amp; Pools'!G16</f>
        <v>0</v>
      </c>
      <c r="H16" s="44">
        <f>'Step 3 Acad Product &amp; Pools'!H16</f>
        <v>0</v>
      </c>
      <c r="I16" s="44">
        <f>'Step 3 Acad Product &amp; Pools'!I16</f>
        <v>0</v>
      </c>
      <c r="J16" s="44">
        <f>'Step 3 Acad Product &amp; Pools'!J16</f>
        <v>0</v>
      </c>
      <c r="K16" s="44"/>
      <c r="L16" s="381">
        <f>SUM('Step 3 Acad Product &amp; Pools'!L16:Q16)</f>
        <v>20780776.088287428</v>
      </c>
      <c r="M16" s="381"/>
      <c r="N16" s="48"/>
      <c r="O16" s="381">
        <f>'Step 1 Dedicated Funds'!N16</f>
        <v>-129925.12999999999</v>
      </c>
      <c r="P16" s="381">
        <f>SUM('Step 1 Dedicated Funds'!O16:T16)</f>
        <v>3655745</v>
      </c>
      <c r="R16" s="44">
        <f>SUM(B16:P16)</f>
        <v>24306595.958287429</v>
      </c>
      <c r="S16" s="168"/>
      <c r="T16" s="241">
        <v>24815559</v>
      </c>
    </row>
    <row r="17" spans="1:20">
      <c r="A17" s="54" t="s">
        <v>74</v>
      </c>
      <c r="B17" s="48">
        <f>'Step 3 Acad Product &amp; Pools'!B17</f>
        <v>0</v>
      </c>
      <c r="C17" s="48">
        <f>'Step 3 Acad Product &amp; Pools'!C17</f>
        <v>0</v>
      </c>
      <c r="D17" s="48"/>
      <c r="E17" s="48">
        <f>'Step 3 Acad Product &amp; Pools'!E17</f>
        <v>0</v>
      </c>
      <c r="F17" s="48"/>
      <c r="G17" s="48">
        <f>'Step 3 Acad Product &amp; Pools'!G17</f>
        <v>0</v>
      </c>
      <c r="H17" s="48">
        <f>'Step 3 Acad Product &amp; Pools'!H17</f>
        <v>0</v>
      </c>
      <c r="I17" s="48">
        <f>'Step 3 Acad Product &amp; Pools'!I17</f>
        <v>0</v>
      </c>
      <c r="J17" s="48">
        <f>'Step 3 Acad Product &amp; Pools'!J17</f>
        <v>0</v>
      </c>
      <c r="K17" s="48"/>
      <c r="L17" s="382">
        <f>SUM('Step 3 Acad Product &amp; Pools'!L17:Q17)</f>
        <v>18571463.202492423</v>
      </c>
      <c r="M17" s="382"/>
      <c r="N17" s="48"/>
      <c r="O17" s="382">
        <f>'Step 1 Dedicated Funds'!N17</f>
        <v>-27905.178</v>
      </c>
      <c r="P17" s="382">
        <f>SUM('Step 1 Dedicated Funds'!O17:T17)</f>
        <v>3222744.8739999998</v>
      </c>
      <c r="R17" s="48">
        <f t="shared" ref="R17:R34" si="1">SUM(B17:P17)</f>
        <v>21766302.898492426</v>
      </c>
      <c r="S17" s="168"/>
      <c r="T17" s="821">
        <v>20462422</v>
      </c>
    </row>
    <row r="18" spans="1:20">
      <c r="A18" s="178" t="s">
        <v>75</v>
      </c>
      <c r="B18" s="48">
        <f>'Step 3 Acad Product &amp; Pools'!B18</f>
        <v>0</v>
      </c>
      <c r="C18" s="48">
        <f>'Step 3 Acad Product &amp; Pools'!C18</f>
        <v>0</v>
      </c>
      <c r="D18" s="48"/>
      <c r="E18" s="48">
        <f>'Step 3 Acad Product &amp; Pools'!E18</f>
        <v>0</v>
      </c>
      <c r="F18" s="48"/>
      <c r="G18" s="48">
        <f>'Step 3 Acad Product &amp; Pools'!G18</f>
        <v>0</v>
      </c>
      <c r="H18" s="48">
        <f>'Step 3 Acad Product &amp; Pools'!H18</f>
        <v>0</v>
      </c>
      <c r="I18" s="48">
        <f>'Step 3 Acad Product &amp; Pools'!I18</f>
        <v>0</v>
      </c>
      <c r="J18" s="48">
        <f>'Step 3 Acad Product &amp; Pools'!J18</f>
        <v>0</v>
      </c>
      <c r="K18" s="48"/>
      <c r="L18" s="382">
        <f>SUM('Step 3 Acad Product &amp; Pools'!L18:Q18)</f>
        <v>48274832.848570772</v>
      </c>
      <c r="M18" s="382"/>
      <c r="N18" s="48"/>
      <c r="O18" s="382">
        <f>'Step 1 Dedicated Funds'!N18</f>
        <v>-629629.88800000004</v>
      </c>
      <c r="P18" s="382">
        <f>SUM('Step 1 Dedicated Funds'!O18:T18)</f>
        <v>20155899.276666667</v>
      </c>
      <c r="R18" s="48">
        <f t="shared" si="1"/>
        <v>67801102.237237439</v>
      </c>
      <c r="S18" s="168"/>
      <c r="T18" s="821">
        <v>64222079</v>
      </c>
    </row>
    <row r="19" spans="1:20">
      <c r="A19" s="179" t="s">
        <v>76</v>
      </c>
      <c r="B19" s="44">
        <f>'Step 3 Acad Product &amp; Pools'!B19</f>
        <v>0</v>
      </c>
      <c r="C19" s="44">
        <f>'Step 3 Acad Product &amp; Pools'!C19</f>
        <v>0</v>
      </c>
      <c r="D19" s="44"/>
      <c r="E19" s="44">
        <f>'Step 3 Acad Product &amp; Pools'!E19</f>
        <v>750000</v>
      </c>
      <c r="F19" s="44"/>
      <c r="G19" s="44">
        <f>'Step 3 Acad Product &amp; Pools'!G19</f>
        <v>0</v>
      </c>
      <c r="H19" s="44">
        <f>'Step 3 Acad Product &amp; Pools'!H19</f>
        <v>0</v>
      </c>
      <c r="I19" s="44">
        <f>'Step 3 Acad Product &amp; Pools'!I19</f>
        <v>0</v>
      </c>
      <c r="J19" s="44">
        <f>'Step 3 Acad Product &amp; Pools'!J19</f>
        <v>0</v>
      </c>
      <c r="K19" s="44"/>
      <c r="L19" s="381">
        <f>SUM('Step 3 Acad Product &amp; Pools'!L19:Q19)</f>
        <v>5641472.7866717987</v>
      </c>
      <c r="M19" s="381"/>
      <c r="N19" s="48"/>
      <c r="O19" s="381">
        <f>'Step 1 Dedicated Funds'!N19</f>
        <v>-206605.74669999999</v>
      </c>
      <c r="P19" s="381">
        <f>SUM('Step 1 Dedicated Funds'!O19:T19)</f>
        <v>3349197.25</v>
      </c>
      <c r="R19" s="44">
        <f t="shared" si="1"/>
        <v>9534064.2899717987</v>
      </c>
      <c r="S19" s="168"/>
      <c r="T19" s="241">
        <v>9355600</v>
      </c>
    </row>
    <row r="20" spans="1:20">
      <c r="A20" s="54" t="s">
        <v>77</v>
      </c>
      <c r="B20" s="48">
        <f>'Step 3 Acad Product &amp; Pools'!B20</f>
        <v>0</v>
      </c>
      <c r="C20" s="48"/>
      <c r="D20" s="48"/>
      <c r="E20" s="48">
        <f>'Step 3 Acad Product &amp; Pools'!E20</f>
        <v>0</v>
      </c>
      <c r="F20" s="48"/>
      <c r="G20" s="48">
        <f>'Step 3 Acad Product &amp; Pools'!G20</f>
        <v>0</v>
      </c>
      <c r="H20" s="48">
        <f>'Step 3 Acad Product &amp; Pools'!H20</f>
        <v>0</v>
      </c>
      <c r="I20" s="48">
        <f>'Step 3 Acad Product &amp; Pools'!I20</f>
        <v>0</v>
      </c>
      <c r="J20" s="48">
        <f>'Step 3 Acad Product &amp; Pools'!J20</f>
        <v>0</v>
      </c>
      <c r="K20" s="48"/>
      <c r="L20" s="382">
        <f>SUM('Step 3 Acad Product &amp; Pools'!L20:Q20)</f>
        <v>16989778.787978765</v>
      </c>
      <c r="M20" s="382"/>
      <c r="N20" s="48"/>
      <c r="O20" s="382">
        <f>'Step 1 Dedicated Funds'!N20</f>
        <v>-100853.046</v>
      </c>
      <c r="P20" s="382">
        <f>SUM('Step 1 Dedicated Funds'!O20:T20)</f>
        <v>2262879</v>
      </c>
      <c r="R20" s="48">
        <f t="shared" si="1"/>
        <v>19151804.741978765</v>
      </c>
      <c r="S20" s="168"/>
      <c r="T20" s="821">
        <v>20440194</v>
      </c>
    </row>
    <row r="21" spans="1:20">
      <c r="A21" s="178" t="s">
        <v>78</v>
      </c>
      <c r="B21" s="48">
        <f>'Step 3 Acad Product &amp; Pools'!B21</f>
        <v>0</v>
      </c>
      <c r="C21" s="48"/>
      <c r="D21" s="48"/>
      <c r="E21" s="48">
        <f>'Step 3 Acad Product &amp; Pools'!E21</f>
        <v>250000</v>
      </c>
      <c r="F21" s="48"/>
      <c r="G21" s="48">
        <f>'Step 3 Acad Product &amp; Pools'!G21</f>
        <v>0</v>
      </c>
      <c r="H21" s="48">
        <f>'Step 3 Acad Product &amp; Pools'!H21</f>
        <v>0</v>
      </c>
      <c r="I21" s="48">
        <f>'Step 3 Acad Product &amp; Pools'!I21</f>
        <v>0</v>
      </c>
      <c r="J21" s="48">
        <f>'Step 3 Acad Product &amp; Pools'!J21</f>
        <v>0</v>
      </c>
      <c r="K21" s="48"/>
      <c r="L21" s="382">
        <f>SUM('Step 3 Acad Product &amp; Pools'!L21:Q21)</f>
        <v>4689577.0242793197</v>
      </c>
      <c r="M21" s="382"/>
      <c r="N21" s="48"/>
      <c r="O21" s="382">
        <f>'Step 1 Dedicated Funds'!N21</f>
        <v>-5920</v>
      </c>
      <c r="P21" s="382">
        <f>SUM('Step 1 Dedicated Funds'!O21:T21)</f>
        <v>105000</v>
      </c>
      <c r="R21" s="48">
        <f t="shared" si="1"/>
        <v>5038657.0242793197</v>
      </c>
      <c r="S21" s="168"/>
      <c r="T21" s="821">
        <v>4830008</v>
      </c>
    </row>
    <row r="22" spans="1:20">
      <c r="A22" s="179" t="s">
        <v>79</v>
      </c>
      <c r="B22" s="44">
        <f>'Step 3 Acad Product &amp; Pools'!B22</f>
        <v>0</v>
      </c>
      <c r="C22" s="44"/>
      <c r="D22" s="44"/>
      <c r="E22" s="44">
        <f>'Step 3 Acad Product &amp; Pools'!E22</f>
        <v>0</v>
      </c>
      <c r="F22" s="44"/>
      <c r="G22" s="44">
        <f>'Step 3 Acad Product &amp; Pools'!G22</f>
        <v>0</v>
      </c>
      <c r="H22" s="44">
        <f>'Step 3 Acad Product &amp; Pools'!H22</f>
        <v>0</v>
      </c>
      <c r="I22" s="44">
        <f>'Step 3 Acad Product &amp; Pools'!I22</f>
        <v>0</v>
      </c>
      <c r="J22" s="44">
        <f>'Step 3 Acad Product &amp; Pools'!J22</f>
        <v>0</v>
      </c>
      <c r="K22" s="44"/>
      <c r="L22" s="381">
        <f>SUM('Step 3 Acad Product &amp; Pools'!L22:Q22)</f>
        <v>42856488.683382079</v>
      </c>
      <c r="M22" s="381"/>
      <c r="N22" s="48"/>
      <c r="O22" s="381">
        <f>'Step 1 Dedicated Funds'!N22</f>
        <v>-124520.466</v>
      </c>
      <c r="P22" s="381">
        <f>SUM('Step 1 Dedicated Funds'!O22:T22)</f>
        <v>1762709</v>
      </c>
      <c r="R22" s="44">
        <f t="shared" si="1"/>
        <v>44494677.217382081</v>
      </c>
      <c r="S22" s="168"/>
      <c r="T22" s="241">
        <v>45922830</v>
      </c>
    </row>
    <row r="23" spans="1:20">
      <c r="A23" s="178" t="s">
        <v>80</v>
      </c>
      <c r="B23" s="48">
        <f>'Step 3 Acad Product &amp; Pools'!B23</f>
        <v>0</v>
      </c>
      <c r="C23" s="48"/>
      <c r="D23" s="48"/>
      <c r="E23" s="48">
        <f>'Step 3 Acad Product &amp; Pools'!E23</f>
        <v>2600000</v>
      </c>
      <c r="F23" s="48"/>
      <c r="G23" s="48">
        <f>'Step 3 Acad Product &amp; Pools'!G23</f>
        <v>0</v>
      </c>
      <c r="H23" s="48">
        <f>'Step 3 Acad Product &amp; Pools'!H23</f>
        <v>0</v>
      </c>
      <c r="I23" s="48">
        <f>'Step 3 Acad Product &amp; Pools'!I23</f>
        <v>0</v>
      </c>
      <c r="J23" s="48">
        <f>'Step 3 Acad Product &amp; Pools'!J23</f>
        <v>0</v>
      </c>
      <c r="K23" s="48"/>
      <c r="L23" s="382">
        <f>SUM('Step 3 Acad Product &amp; Pools'!L23:Q23)</f>
        <v>8391763.3001100272</v>
      </c>
      <c r="M23" s="382"/>
      <c r="N23" s="48"/>
      <c r="O23" s="382">
        <f>'Step 1 Dedicated Funds'!N23</f>
        <v>-76433.248019999999</v>
      </c>
      <c r="P23" s="382">
        <f>SUM('Step 1 Dedicated Funds'!O23:T23)</f>
        <v>8032881.7300000004</v>
      </c>
      <c r="R23" s="48">
        <f t="shared" si="1"/>
        <v>18948211.782090027</v>
      </c>
      <c r="S23" s="168"/>
      <c r="T23" s="821">
        <v>14831995</v>
      </c>
    </row>
    <row r="24" spans="1:20">
      <c r="A24" s="178" t="s">
        <v>81</v>
      </c>
      <c r="B24" s="55">
        <f>'Step 3 Acad Product &amp; Pools'!B24</f>
        <v>0</v>
      </c>
      <c r="C24" s="55"/>
      <c r="D24" s="55"/>
      <c r="E24" s="55">
        <f>'Step 3 Acad Product &amp; Pools'!E24</f>
        <v>2930000</v>
      </c>
      <c r="F24" s="55"/>
      <c r="G24" s="55">
        <f>'Step 3 Acad Product &amp; Pools'!G24</f>
        <v>0</v>
      </c>
      <c r="H24" s="55">
        <f>'Step 3 Acad Product &amp; Pools'!H24</f>
        <v>0</v>
      </c>
      <c r="I24" s="55">
        <f>'Step 3 Acad Product &amp; Pools'!I24</f>
        <v>0</v>
      </c>
      <c r="J24" s="55">
        <f>'Step 3 Acad Product &amp; Pools'!J24</f>
        <v>0</v>
      </c>
      <c r="K24" s="55"/>
      <c r="L24" s="383">
        <f>SUM('Step 3 Acad Product &amp; Pools'!L24:Q24)</f>
        <v>4143448.147322949</v>
      </c>
      <c r="M24" s="383"/>
      <c r="N24" s="55"/>
      <c r="O24" s="383">
        <f>'Step 1 Dedicated Funds'!N24</f>
        <v>-109608.874</v>
      </c>
      <c r="P24" s="383">
        <f>SUM('Step 1 Dedicated Funds'!O24:T24)</f>
        <v>5749942.5599999996</v>
      </c>
      <c r="R24" s="55">
        <f t="shared" si="1"/>
        <v>12713781.83332295</v>
      </c>
      <c r="S24" s="168"/>
      <c r="T24" s="821">
        <v>12737398</v>
      </c>
    </row>
    <row r="25" spans="1:20">
      <c r="A25" s="179" t="s">
        <v>82</v>
      </c>
      <c r="B25" s="44">
        <f>'Step 3 Acad Product &amp; Pools'!B25</f>
        <v>0</v>
      </c>
      <c r="C25" s="44"/>
      <c r="D25" s="44"/>
      <c r="E25" s="44">
        <f>'Step 3 Acad Product &amp; Pools'!E25</f>
        <v>0</v>
      </c>
      <c r="F25" s="44"/>
      <c r="G25" s="44">
        <f>'Step 3 Acad Product &amp; Pools'!G25</f>
        <v>0</v>
      </c>
      <c r="H25" s="44">
        <f>'Step 3 Acad Product &amp; Pools'!H25</f>
        <v>0</v>
      </c>
      <c r="I25" s="44">
        <f>'Step 3 Acad Product &amp; Pools'!I25</f>
        <v>0</v>
      </c>
      <c r="J25" s="44">
        <f>'Step 3 Acad Product &amp; Pools'!J25</f>
        <v>0</v>
      </c>
      <c r="K25" s="44"/>
      <c r="L25" s="381">
        <f>SUM('Step 3 Acad Product &amp; Pools'!L25:Q25)</f>
        <v>39503713.479171857</v>
      </c>
      <c r="M25" s="381"/>
      <c r="N25" s="48"/>
      <c r="O25" s="381">
        <f>'Step 1 Dedicated Funds'!N25</f>
        <v>-117008.57799999999</v>
      </c>
      <c r="P25" s="381">
        <f>SUM('Step 1 Dedicated Funds'!O25:T25)</f>
        <v>2381197</v>
      </c>
      <c r="R25" s="44">
        <f t="shared" si="1"/>
        <v>41767901.901171856</v>
      </c>
      <c r="S25" s="168"/>
      <c r="T25" s="241">
        <v>42113801</v>
      </c>
    </row>
    <row r="26" spans="1:20">
      <c r="A26" s="178" t="s">
        <v>83</v>
      </c>
      <c r="B26" s="55">
        <f>'Step 3 Acad Product &amp; Pools'!B26</f>
        <v>0</v>
      </c>
      <c r="C26" s="55"/>
      <c r="D26" s="55"/>
      <c r="E26" s="55">
        <f>'Step 3 Acad Product &amp; Pools'!E26</f>
        <v>7210000</v>
      </c>
      <c r="F26" s="55"/>
      <c r="G26" s="55">
        <f>'Step 3 Acad Product &amp; Pools'!G26</f>
        <v>0</v>
      </c>
      <c r="H26" s="55">
        <f>'Step 3 Acad Product &amp; Pools'!H26</f>
        <v>0</v>
      </c>
      <c r="I26" s="55">
        <f>'Step 3 Acad Product &amp; Pools'!I26</f>
        <v>0</v>
      </c>
      <c r="J26" s="55">
        <f>'Step 3 Acad Product &amp; Pools'!J26</f>
        <v>0</v>
      </c>
      <c r="K26" s="55"/>
      <c r="L26" s="383">
        <f>SUM('Step 3 Acad Product &amp; Pools'!L26:Q26)</f>
        <v>2879613.1700006318</v>
      </c>
      <c r="M26" s="383"/>
      <c r="N26" s="55"/>
      <c r="O26" s="383">
        <f>'Step 1 Dedicated Funds'!N26</f>
        <v>-1047873.6699999999</v>
      </c>
      <c r="P26" s="383">
        <f>SUM('Step 1 Dedicated Funds'!O26:T26)</f>
        <v>17286699.48</v>
      </c>
      <c r="R26" s="55">
        <f t="shared" si="1"/>
        <v>26328438.98000063</v>
      </c>
      <c r="S26" s="168"/>
      <c r="T26" s="821">
        <v>24909417</v>
      </c>
    </row>
    <row r="27" spans="1:20">
      <c r="A27" s="178" t="s">
        <v>84</v>
      </c>
      <c r="B27" s="48">
        <f>'Step 3 Acad Product &amp; Pools'!B27</f>
        <v>0</v>
      </c>
      <c r="C27" s="48"/>
      <c r="D27" s="48"/>
      <c r="E27" s="48">
        <f>'Step 3 Acad Product &amp; Pools'!E27</f>
        <v>0</v>
      </c>
      <c r="F27" s="48"/>
      <c r="G27" s="48">
        <f>'Step 3 Acad Product &amp; Pools'!G27</f>
        <v>0</v>
      </c>
      <c r="H27" s="48">
        <f>'Step 3 Acad Product &amp; Pools'!H27</f>
        <v>0</v>
      </c>
      <c r="I27" s="48">
        <f>'Step 3 Acad Product &amp; Pools'!I27</f>
        <v>0</v>
      </c>
      <c r="J27" s="48">
        <f>'Step 3 Acad Product &amp; Pools'!J27</f>
        <v>0</v>
      </c>
      <c r="K27" s="48"/>
      <c r="L27" s="382">
        <f>SUM('Step 3 Acad Product &amp; Pools'!L27:Q27)</f>
        <v>0</v>
      </c>
      <c r="M27" s="382"/>
      <c r="N27" s="48"/>
      <c r="O27" s="382">
        <f>'Step 1 Dedicated Funds'!N27</f>
        <v>0</v>
      </c>
      <c r="P27" s="382">
        <f>SUM('Step 1 Dedicated Funds'!O27:T27)</f>
        <v>0</v>
      </c>
      <c r="R27" s="48">
        <f t="shared" si="1"/>
        <v>0</v>
      </c>
      <c r="S27" s="168"/>
      <c r="T27" s="821">
        <v>543366</v>
      </c>
    </row>
    <row r="28" spans="1:20">
      <c r="A28" s="179" t="s">
        <v>85</v>
      </c>
      <c r="B28" s="44">
        <f>'Step 3 Acad Product &amp; Pools'!B28</f>
        <v>0</v>
      </c>
      <c r="C28" s="44"/>
      <c r="D28" s="44"/>
      <c r="E28" s="44">
        <f>'Step 3 Acad Product &amp; Pools'!E28</f>
        <v>0</v>
      </c>
      <c r="F28" s="44"/>
      <c r="G28" s="44">
        <f>'Step 3 Acad Product &amp; Pools'!G28</f>
        <v>0</v>
      </c>
      <c r="H28" s="44">
        <f>'Step 3 Acad Product &amp; Pools'!H28</f>
        <v>0</v>
      </c>
      <c r="I28" s="44">
        <f>'Step 3 Acad Product &amp; Pools'!I28</f>
        <v>0</v>
      </c>
      <c r="J28" s="44">
        <f>'Step 3 Acad Product &amp; Pools'!J28</f>
        <v>0</v>
      </c>
      <c r="K28" s="44"/>
      <c r="L28" s="381">
        <f>SUM('Step 3 Acad Product &amp; Pools'!L28:Q28)</f>
        <v>1847054.2942578935</v>
      </c>
      <c r="M28" s="381"/>
      <c r="N28" s="48"/>
      <c r="O28" s="381">
        <f>'Step 1 Dedicated Funds'!N28</f>
        <v>-12506</v>
      </c>
      <c r="P28" s="381">
        <f>SUM('Step 1 Dedicated Funds'!O28:T28)</f>
        <v>1608386</v>
      </c>
      <c r="R28" s="44">
        <f t="shared" si="1"/>
        <v>3442934.2942578932</v>
      </c>
      <c r="S28" s="168"/>
      <c r="T28" s="241">
        <v>2839964</v>
      </c>
    </row>
    <row r="29" spans="1:20">
      <c r="A29" s="54" t="s">
        <v>87</v>
      </c>
      <c r="B29" s="55">
        <f>'Step 3 Acad Product &amp; Pools'!B29</f>
        <v>0</v>
      </c>
      <c r="C29" s="55"/>
      <c r="D29" s="55"/>
      <c r="E29" s="55">
        <f>'Step 3 Acad Product &amp; Pools'!E29</f>
        <v>0</v>
      </c>
      <c r="F29" s="55"/>
      <c r="G29" s="55">
        <f>'Step 3 Acad Product &amp; Pools'!G29</f>
        <v>0</v>
      </c>
      <c r="H29" s="55">
        <f>'Step 3 Acad Product &amp; Pools'!H29</f>
        <v>0</v>
      </c>
      <c r="I29" s="55">
        <f>'Step 3 Acad Product &amp; Pools'!I29</f>
        <v>0</v>
      </c>
      <c r="J29" s="55">
        <f>'Step 3 Acad Product &amp; Pools'!J29</f>
        <v>0</v>
      </c>
      <c r="K29" s="55"/>
      <c r="L29" s="55">
        <f>SUM('Step 3 Acad Product &amp; Pools'!L29:Q29)</f>
        <v>0</v>
      </c>
      <c r="M29" s="55"/>
      <c r="N29" s="55"/>
      <c r="O29" s="55">
        <f>'Step 1 Dedicated Funds'!N29</f>
        <v>0</v>
      </c>
      <c r="P29" s="55">
        <f>SUM('Step 1 Dedicated Funds'!O29:T29)</f>
        <v>20115497</v>
      </c>
      <c r="Q29" s="46"/>
      <c r="R29" s="55">
        <f t="shared" si="1"/>
        <v>20115497</v>
      </c>
      <c r="S29" s="168"/>
      <c r="T29" s="821">
        <v>18786975</v>
      </c>
    </row>
    <row r="30" spans="1:20">
      <c r="A30" s="178" t="s">
        <v>88</v>
      </c>
      <c r="B30" s="48">
        <f>'Step 3 Acad Product &amp; Pools'!B30</f>
        <v>0</v>
      </c>
      <c r="C30" s="48"/>
      <c r="D30" s="48"/>
      <c r="E30" s="48">
        <f>'Step 3 Acad Product &amp; Pools'!E30</f>
        <v>0</v>
      </c>
      <c r="F30" s="48"/>
      <c r="G30" s="48">
        <f>'Step 3 Acad Product &amp; Pools'!G30</f>
        <v>0</v>
      </c>
      <c r="H30" s="48">
        <f>'Step 3 Acad Product &amp; Pools'!H30</f>
        <v>0</v>
      </c>
      <c r="I30" s="48">
        <f>'Step 3 Acad Product &amp; Pools'!I30</f>
        <v>0</v>
      </c>
      <c r="J30" s="48">
        <f>'Step 3 Acad Product &amp; Pools'!J30</f>
        <v>0</v>
      </c>
      <c r="K30" s="48"/>
      <c r="L30" s="48">
        <f>SUM('Step 3 Acad Product &amp; Pools'!L30:Q30)</f>
        <v>0</v>
      </c>
      <c r="M30" s="48"/>
      <c r="N30" s="48"/>
      <c r="O30" s="48">
        <f>'Step 1 Dedicated Funds'!N30</f>
        <v>0</v>
      </c>
      <c r="P30" s="48">
        <f>SUM('Step 1 Dedicated Funds'!O30:T30)</f>
        <v>3440000</v>
      </c>
      <c r="Q30" s="46"/>
      <c r="R30" s="48">
        <f t="shared" si="1"/>
        <v>3440000</v>
      </c>
      <c r="S30" s="168"/>
      <c r="T30" s="241">
        <v>3296000</v>
      </c>
    </row>
    <row r="31" spans="1:20">
      <c r="A31" s="368" t="s">
        <v>461</v>
      </c>
      <c r="B31" s="228">
        <f>'Step 3 Acad Product &amp; Pools'!B31</f>
        <v>0</v>
      </c>
      <c r="C31" s="228"/>
      <c r="D31" s="228"/>
      <c r="E31" s="228">
        <f>'Step 3 Acad Product &amp; Pools'!E31</f>
        <v>0</v>
      </c>
      <c r="F31" s="228"/>
      <c r="G31" s="228">
        <f>'Step 3 Acad Product &amp; Pools'!G31</f>
        <v>0</v>
      </c>
      <c r="H31" s="228">
        <f>'Step 3 Acad Product &amp; Pools'!H31</f>
        <v>0</v>
      </c>
      <c r="I31" s="228">
        <f>'Step 3 Acad Product &amp; Pools'!I31</f>
        <v>0</v>
      </c>
      <c r="J31" s="228">
        <f>'Step 3 Acad Product &amp; Pools'!J31</f>
        <v>0</v>
      </c>
      <c r="K31" s="228"/>
      <c r="L31" s="228">
        <f>SUM('Step 3 Acad Product &amp; Pools'!L31:Q31)</f>
        <v>331301.32802384964</v>
      </c>
      <c r="M31" s="228"/>
      <c r="N31" s="48"/>
      <c r="O31" s="228">
        <f>'Step 1 Dedicated Funds'!N31</f>
        <v>-259</v>
      </c>
      <c r="P31" s="228">
        <f>SUM('Step 1 Dedicated Funds'!O31:T31)</f>
        <v>3500</v>
      </c>
      <c r="Q31" s="46"/>
      <c r="R31" s="228">
        <f t="shared" si="1"/>
        <v>334542.32802384964</v>
      </c>
      <c r="S31" s="168"/>
      <c r="T31" s="821">
        <v>4706010</v>
      </c>
    </row>
    <row r="32" spans="1:20">
      <c r="A32" s="367" t="s">
        <v>462</v>
      </c>
      <c r="B32" s="55">
        <f>'Step 3 Acad Product &amp; Pools'!B32</f>
        <v>0</v>
      </c>
      <c r="C32" s="55"/>
      <c r="D32" s="55"/>
      <c r="E32" s="55">
        <f>'Step 3 Acad Product &amp; Pools'!E32</f>
        <v>0</v>
      </c>
      <c r="F32" s="55"/>
      <c r="G32" s="55">
        <f>'Step 3 Acad Product &amp; Pools'!G32</f>
        <v>0</v>
      </c>
      <c r="H32" s="55">
        <f>'Step 3 Acad Product &amp; Pools'!H32</f>
        <v>0</v>
      </c>
      <c r="I32" s="55">
        <f>'Step 3 Acad Product &amp; Pools'!I32</f>
        <v>0</v>
      </c>
      <c r="J32" s="55">
        <f>'Step 3 Acad Product &amp; Pools'!J32</f>
        <v>0</v>
      </c>
      <c r="K32" s="55"/>
      <c r="L32" s="55">
        <f>SUM('Step 3 Acad Product &amp; Pools'!L32:Q32)</f>
        <v>1374528.9702927922</v>
      </c>
      <c r="M32" s="55"/>
      <c r="N32" s="55"/>
      <c r="O32" s="55">
        <f>'Step 1 Dedicated Funds'!N32</f>
        <v>0</v>
      </c>
      <c r="P32" s="55">
        <f>SUM('Step 1 Dedicated Funds'!O32:T32)</f>
        <v>0</v>
      </c>
      <c r="Q32" s="46"/>
      <c r="R32" s="55">
        <f t="shared" si="1"/>
        <v>1374528.9702927922</v>
      </c>
      <c r="S32" s="168"/>
      <c r="T32" s="821">
        <v>838394</v>
      </c>
    </row>
    <row r="33" spans="1:20">
      <c r="A33" s="178" t="s">
        <v>89</v>
      </c>
      <c r="B33" s="48">
        <f>'Step 3 Acad Product &amp; Pools'!B33</f>
        <v>0</v>
      </c>
      <c r="C33" s="48"/>
      <c r="D33" s="48"/>
      <c r="E33" s="48">
        <f>'Step 3 Acad Product &amp; Pools'!E33</f>
        <v>0</v>
      </c>
      <c r="F33" s="48"/>
      <c r="G33" s="48">
        <f>'Step 3 Acad Product &amp; Pools'!G33</f>
        <v>0</v>
      </c>
      <c r="H33" s="48">
        <f>'Step 3 Acad Product &amp; Pools'!H33</f>
        <v>0</v>
      </c>
      <c r="I33" s="48">
        <f>'Step 3 Acad Product &amp; Pools'!I33</f>
        <v>0</v>
      </c>
      <c r="J33" s="48">
        <f>'Step 3 Acad Product &amp; Pools'!J33</f>
        <v>0</v>
      </c>
      <c r="K33" s="48"/>
      <c r="L33" s="48">
        <f>SUM('Step 3 Acad Product &amp; Pools'!L33:Q33)</f>
        <v>3206.9413329626632</v>
      </c>
      <c r="M33" s="48"/>
      <c r="N33" s="48"/>
      <c r="O33" s="48">
        <f>'Step 1 Dedicated Funds'!N33</f>
        <v>-22210.36</v>
      </c>
      <c r="P33" s="48">
        <f>SUM('Step 1 Dedicated Funds'!O33:T33)</f>
        <v>2880140</v>
      </c>
      <c r="Q33" s="46"/>
      <c r="R33" s="48">
        <f t="shared" si="1"/>
        <v>2861136.5813329625</v>
      </c>
      <c r="S33" s="168"/>
      <c r="T33" s="241">
        <v>14579961</v>
      </c>
    </row>
    <row r="34" spans="1:20">
      <c r="A34" s="368" t="s">
        <v>90</v>
      </c>
      <c r="B34" s="228">
        <f>'Step 3 Acad Product &amp; Pools'!B34</f>
        <v>0</v>
      </c>
      <c r="C34" s="48"/>
      <c r="D34" s="48"/>
      <c r="E34" s="228">
        <f>'Step 3 Acad Product &amp; Pools'!E34</f>
        <v>8400000</v>
      </c>
      <c r="F34" s="228"/>
      <c r="G34" s="228">
        <f>'Step 3 Acad Product &amp; Pools'!G34</f>
        <v>0</v>
      </c>
      <c r="H34" s="228">
        <f>'Step 3 Acad Product &amp; Pools'!H34</f>
        <v>0</v>
      </c>
      <c r="I34" s="228">
        <f>'Step 3 Acad Product &amp; Pools'!I34</f>
        <v>0</v>
      </c>
      <c r="J34" s="228">
        <f>'Step 3 Acad Product &amp; Pools'!J34</f>
        <v>0</v>
      </c>
      <c r="K34" s="228"/>
      <c r="L34" s="384">
        <f>SUM('Step 3 Acad Product &amp; Pools'!L34:Q34)</f>
        <v>849637.58558934915</v>
      </c>
      <c r="M34" s="384"/>
      <c r="N34" s="48"/>
      <c r="O34" s="384">
        <f>'Step 1 Dedicated Funds'!N34</f>
        <v>-100546.11176</v>
      </c>
      <c r="P34" s="384">
        <f>SUM('Step 1 Dedicated Funds'!O34:T34)</f>
        <v>2358731.2400000002</v>
      </c>
      <c r="Q34" s="46"/>
      <c r="R34" s="228">
        <f t="shared" si="1"/>
        <v>11507822.71382935</v>
      </c>
      <c r="S34" s="168"/>
      <c r="T34" s="821">
        <v>11354044</v>
      </c>
    </row>
    <row r="35" spans="1:20">
      <c r="A35" s="371" t="s">
        <v>91</v>
      </c>
      <c r="B35" s="372">
        <f>SUM(B16:B34)</f>
        <v>0</v>
      </c>
      <c r="C35" s="817">
        <f>SUM(C16:C34)</f>
        <v>0</v>
      </c>
      <c r="D35" s="817"/>
      <c r="E35" s="372">
        <f>SUM(E16:E34)</f>
        <v>22140000</v>
      </c>
      <c r="F35" s="372"/>
      <c r="G35" s="372">
        <f>SUM(G16:G34)</f>
        <v>0</v>
      </c>
      <c r="H35" s="372">
        <f>SUM(H16:H34)</f>
        <v>0</v>
      </c>
      <c r="I35" s="372">
        <f>SUM(I16:I34)</f>
        <v>0</v>
      </c>
      <c r="J35" s="372">
        <f>SUM(J16:J34)</f>
        <v>0</v>
      </c>
      <c r="K35" s="372"/>
      <c r="L35" s="372">
        <f>SUM(L16:L34)</f>
        <v>217128656.63776493</v>
      </c>
      <c r="M35" s="372">
        <f>SUM(M16:M34)</f>
        <v>0</v>
      </c>
      <c r="N35" s="372"/>
      <c r="O35" s="372">
        <f>SUM(O16:O34)</f>
        <v>-2711805.29648</v>
      </c>
      <c r="P35" s="372">
        <f>SUM(P16:P34)</f>
        <v>98371149.410666674</v>
      </c>
      <c r="Q35" s="46"/>
      <c r="R35" s="372">
        <f>SUM(R16:R34)</f>
        <v>334928000.75195158</v>
      </c>
      <c r="S35" s="168"/>
      <c r="T35" s="372">
        <f>SUM(T16:T34)</f>
        <v>341586017</v>
      </c>
    </row>
    <row r="36" spans="1:20">
      <c r="A36" s="178"/>
      <c r="B36" s="46"/>
      <c r="C36" s="48"/>
      <c r="D36" s="48"/>
      <c r="E36" s="46"/>
      <c r="F36" s="46"/>
      <c r="G36" s="46"/>
      <c r="H36" s="46"/>
      <c r="I36" s="46"/>
      <c r="J36" s="46"/>
      <c r="K36" s="46"/>
      <c r="L36" s="46"/>
      <c r="M36" s="46"/>
      <c r="N36" s="46"/>
      <c r="O36" s="46"/>
      <c r="P36" s="46"/>
      <c r="Q36" s="46"/>
      <c r="R36" s="46"/>
      <c r="S36" s="168"/>
      <c r="T36" s="43"/>
    </row>
    <row r="37" spans="1:20">
      <c r="A37" s="168"/>
      <c r="C37" s="48"/>
      <c r="D37" s="48"/>
      <c r="N37" s="46"/>
      <c r="Q37" s="46"/>
      <c r="S37" s="173"/>
      <c r="T37" s="173"/>
    </row>
    <row r="38" spans="1:20">
      <c r="A38" s="54" t="s">
        <v>92</v>
      </c>
      <c r="B38" s="55"/>
      <c r="C38" s="55"/>
      <c r="D38" s="55"/>
      <c r="E38" s="55"/>
      <c r="F38" s="55"/>
      <c r="G38" s="55"/>
      <c r="H38" s="55"/>
      <c r="I38" s="55"/>
      <c r="J38" s="55"/>
      <c r="K38" s="55"/>
      <c r="L38" s="55"/>
      <c r="M38" s="55"/>
      <c r="N38" s="55"/>
      <c r="O38" s="55"/>
      <c r="P38" s="55"/>
      <c r="Q38" s="46"/>
      <c r="R38" s="55"/>
      <c r="S38" s="168"/>
      <c r="T38" s="55"/>
    </row>
    <row r="39" spans="1:20">
      <c r="A39" s="179" t="s">
        <v>93</v>
      </c>
      <c r="B39" s="44">
        <f>'Step 3 Acad Product &amp; Pools'!B39</f>
        <v>0</v>
      </c>
      <c r="C39" s="44"/>
      <c r="D39" s="44"/>
      <c r="E39" s="182"/>
      <c r="F39" s="182"/>
      <c r="G39" s="182">
        <f>'Step 3 Acad Product &amp; Pools'!G39</f>
        <v>0</v>
      </c>
      <c r="H39" s="182">
        <f>'Step 3 Acad Product &amp; Pools'!H39</f>
        <v>0</v>
      </c>
      <c r="I39" s="182">
        <f>'Step 3 Acad Product &amp; Pools'!I39</f>
        <v>0</v>
      </c>
      <c r="J39" s="182">
        <f>'Step 3 Acad Product &amp; Pools'!J39</f>
        <v>0</v>
      </c>
      <c r="K39" s="182"/>
      <c r="L39" s="182">
        <f>SUM('Step 3 Acad Product &amp; Pools'!L39:Q39)</f>
        <v>11.536233093548432</v>
      </c>
      <c r="M39" s="182"/>
      <c r="N39" s="48"/>
      <c r="O39" s="182">
        <f>'Step 3 Acad Product &amp; Pools'!T39</f>
        <v>0</v>
      </c>
      <c r="P39" s="182">
        <f>'Step 3 Acad Product &amp; Pools'!U39</f>
        <v>0</v>
      </c>
      <c r="Q39" s="46"/>
      <c r="R39" s="44">
        <f t="shared" ref="R39:R57" si="2">SUM(B39:P39)</f>
        <v>11.536233093548432</v>
      </c>
      <c r="S39" s="168"/>
      <c r="T39" s="241">
        <v>8383602</v>
      </c>
    </row>
    <row r="40" spans="1:20">
      <c r="A40" s="367" t="s">
        <v>344</v>
      </c>
      <c r="B40" s="55"/>
      <c r="C40" s="55"/>
      <c r="D40" s="55"/>
      <c r="E40" s="55"/>
      <c r="F40" s="55"/>
      <c r="G40" s="55"/>
      <c r="H40" s="55"/>
      <c r="I40" s="55"/>
      <c r="J40" s="55"/>
      <c r="K40" s="55"/>
      <c r="L40" s="55"/>
      <c r="M40" s="55"/>
      <c r="N40" s="55"/>
      <c r="O40" s="55"/>
      <c r="P40" s="55"/>
      <c r="Q40" s="46"/>
      <c r="R40" s="55"/>
      <c r="S40" s="168"/>
      <c r="T40" s="821">
        <v>5500000</v>
      </c>
    </row>
    <row r="41" spans="1:20">
      <c r="A41" s="178" t="s">
        <v>94</v>
      </c>
      <c r="B41" s="55">
        <f>'Step 3 Acad Product &amp; Pools'!B41</f>
        <v>0</v>
      </c>
      <c r="C41" s="55"/>
      <c r="D41" s="55"/>
      <c r="E41" s="55"/>
      <c r="F41" s="55"/>
      <c r="G41" s="55">
        <f>'Step 3 Acad Product &amp; Pools'!G41</f>
        <v>0</v>
      </c>
      <c r="H41" s="55">
        <f>'Step 3 Acad Product &amp; Pools'!H41</f>
        <v>0</v>
      </c>
      <c r="I41" s="55">
        <f>'Step 3 Acad Product &amp; Pools'!I41</f>
        <v>0</v>
      </c>
      <c r="J41" s="55">
        <f>'Step 3 Acad Product &amp; Pools'!J41</f>
        <v>0</v>
      </c>
      <c r="K41" s="55"/>
      <c r="L41" s="55">
        <f>SUM('Step 3 Acad Product &amp; Pools'!L41:Q41)</f>
        <v>0</v>
      </c>
      <c r="M41" s="55"/>
      <c r="N41" s="55"/>
      <c r="O41" s="55">
        <f>'Step 3 Acad Product &amp; Pools'!T41</f>
        <v>0</v>
      </c>
      <c r="P41" s="55">
        <f>'Step 3 Acad Product &amp; Pools'!U41</f>
        <v>0</v>
      </c>
      <c r="Q41" s="46"/>
      <c r="R41" s="55">
        <f t="shared" si="2"/>
        <v>0</v>
      </c>
      <c r="S41" s="168"/>
      <c r="T41" s="821">
        <v>4019773</v>
      </c>
    </row>
    <row r="42" spans="1:20">
      <c r="A42" s="54" t="s">
        <v>95</v>
      </c>
      <c r="B42" s="55">
        <f>'Step 3 Acad Product &amp; Pools'!B42</f>
        <v>0</v>
      </c>
      <c r="C42" s="55"/>
      <c r="D42" s="55"/>
      <c r="E42" s="184"/>
      <c r="F42" s="184"/>
      <c r="G42" s="184">
        <f>'Step 3 Acad Product &amp; Pools'!G42</f>
        <v>0</v>
      </c>
      <c r="H42" s="184">
        <f>'Step 3 Acad Product &amp; Pools'!H42</f>
        <v>0</v>
      </c>
      <c r="I42" s="184">
        <f>'Step 3 Acad Product &amp; Pools'!I42</f>
        <v>0</v>
      </c>
      <c r="J42" s="184">
        <f>'Step 3 Acad Product &amp; Pools'!J42</f>
        <v>0</v>
      </c>
      <c r="K42" s="184"/>
      <c r="L42" s="184">
        <f>SUM('Step 3 Acad Product &amp; Pools'!L42:Q42)</f>
        <v>0</v>
      </c>
      <c r="M42" s="184"/>
      <c r="N42" s="55"/>
      <c r="O42" s="184">
        <f>'Step 3 Acad Product &amp; Pools'!T42</f>
        <v>0</v>
      </c>
      <c r="P42" s="184">
        <f>'Step 3 Acad Product &amp; Pools'!U42</f>
        <v>0</v>
      </c>
      <c r="Q42" s="46"/>
      <c r="R42" s="55">
        <f t="shared" si="2"/>
        <v>0</v>
      </c>
      <c r="S42" s="168"/>
      <c r="T42" s="821">
        <v>1435806</v>
      </c>
    </row>
    <row r="43" spans="1:20">
      <c r="A43" s="179" t="s">
        <v>96</v>
      </c>
      <c r="B43" s="44">
        <f>'Step 3 Acad Product &amp; Pools'!B43</f>
        <v>0</v>
      </c>
      <c r="C43" s="44"/>
      <c r="D43" s="44"/>
      <c r="E43" s="182"/>
      <c r="F43" s="182"/>
      <c r="G43" s="182">
        <f>'Step 3 Acad Product &amp; Pools'!G43</f>
        <v>0</v>
      </c>
      <c r="H43" s="182">
        <f>'Step 3 Acad Product &amp; Pools'!H43</f>
        <v>0</v>
      </c>
      <c r="I43" s="182">
        <f>'Step 3 Acad Product &amp; Pools'!I43</f>
        <v>0</v>
      </c>
      <c r="J43" s="182">
        <f>'Step 3 Acad Product &amp; Pools'!J43</f>
        <v>0</v>
      </c>
      <c r="K43" s="182"/>
      <c r="L43" s="182">
        <f>SUM('Step 3 Acad Product &amp; Pools'!L43:Q43)</f>
        <v>0</v>
      </c>
      <c r="M43" s="182"/>
      <c r="N43" s="48"/>
      <c r="O43" s="182">
        <f>'Step 3 Acad Product &amp; Pools'!T43</f>
        <v>0</v>
      </c>
      <c r="P43" s="182">
        <f>'Step 3 Acad Product &amp; Pools'!U43</f>
        <v>0</v>
      </c>
      <c r="Q43" s="46"/>
      <c r="R43" s="44">
        <f t="shared" si="2"/>
        <v>0</v>
      </c>
      <c r="S43" s="168"/>
      <c r="T43" s="241">
        <f>8453610-T40</f>
        <v>2953610</v>
      </c>
    </row>
    <row r="44" spans="1:20">
      <c r="A44" s="178" t="s">
        <v>97</v>
      </c>
      <c r="B44" s="55">
        <f>'Step 3 Acad Product &amp; Pools'!B44</f>
        <v>0</v>
      </c>
      <c r="C44" s="55"/>
      <c r="D44" s="55"/>
      <c r="E44" s="55">
        <f>'Step 3 Acad Product &amp; Pools'!E44</f>
        <v>0</v>
      </c>
      <c r="F44" s="55"/>
      <c r="G44" s="55">
        <f>'Step 3 Acad Product &amp; Pools'!G44</f>
        <v>0</v>
      </c>
      <c r="H44" s="55">
        <f>'Step 3 Acad Product &amp; Pools'!H44</f>
        <v>0</v>
      </c>
      <c r="I44" s="55">
        <f>'Step 3 Acad Product &amp; Pools'!I44</f>
        <v>0</v>
      </c>
      <c r="J44" s="55">
        <f>'Step 3 Acad Product &amp; Pools'!J44</f>
        <v>0</v>
      </c>
      <c r="K44" s="55"/>
      <c r="L44" s="55">
        <f>SUM('Step 3 Acad Product &amp; Pools'!L44:Q44)</f>
        <v>45370.98588733653</v>
      </c>
      <c r="M44" s="55"/>
      <c r="N44" s="55"/>
      <c r="O44" s="55">
        <f>'Step 3 Acad Product &amp; Pools'!T44</f>
        <v>-244200</v>
      </c>
      <c r="P44" s="55">
        <f>'Step 3 Acad Product &amp; Pools'!U44</f>
        <v>3300000</v>
      </c>
      <c r="Q44" s="46"/>
      <c r="R44" s="55">
        <f t="shared" si="2"/>
        <v>3101170.9858873365</v>
      </c>
      <c r="S44" s="168"/>
      <c r="T44" s="821">
        <v>9724870</v>
      </c>
    </row>
    <row r="45" spans="1:20">
      <c r="A45" s="367" t="s">
        <v>483</v>
      </c>
      <c r="B45" s="55">
        <f>'Step 3 Acad Product &amp; Pools'!B45</f>
        <v>0</v>
      </c>
      <c r="C45" s="55"/>
      <c r="D45" s="55"/>
      <c r="E45" s="55">
        <f>'Step 3 Acad Product &amp; Pools'!E45</f>
        <v>0</v>
      </c>
      <c r="F45" s="55"/>
      <c r="G45" s="55">
        <f>'Step 3 Acad Product &amp; Pools'!G45</f>
        <v>0</v>
      </c>
      <c r="H45" s="55">
        <f>'Step 3 Acad Product &amp; Pools'!H45</f>
        <v>0</v>
      </c>
      <c r="I45" s="55">
        <f>'Step 3 Acad Product &amp; Pools'!I45</f>
        <v>0</v>
      </c>
      <c r="J45" s="55">
        <f>'Step 3 Acad Product &amp; Pools'!J45</f>
        <v>0</v>
      </c>
      <c r="K45" s="55"/>
      <c r="L45" s="55">
        <f>SUM('Step 3 Acad Product &amp; Pools'!L45:Q45)</f>
        <v>1837874.1717898159</v>
      </c>
      <c r="M45" s="55"/>
      <c r="N45" s="55"/>
      <c r="O45" s="55">
        <f>'Step 3 Acad Product &amp; Pools'!T45</f>
        <v>-278328.8</v>
      </c>
      <c r="P45" s="55">
        <f>'Step 3 Acad Product &amp; Pools'!U45</f>
        <v>3761200</v>
      </c>
      <c r="Q45" s="46"/>
      <c r="R45" s="55">
        <f t="shared" si="2"/>
        <v>5320745.3717898158</v>
      </c>
      <c r="S45" s="168"/>
      <c r="T45" s="821">
        <v>5000049</v>
      </c>
    </row>
    <row r="46" spans="1:20">
      <c r="A46" s="178" t="s">
        <v>98</v>
      </c>
      <c r="B46" s="55">
        <f>'Step 3 Acad Product &amp; Pools'!B46</f>
        <v>0</v>
      </c>
      <c r="C46" s="55"/>
      <c r="D46" s="55"/>
      <c r="E46" s="55">
        <f>'Step 3 Acad Product &amp; Pools'!E46</f>
        <v>0</v>
      </c>
      <c r="F46" s="55"/>
      <c r="G46" s="55">
        <f>'Step 3 Acad Product &amp; Pools'!G46</f>
        <v>0</v>
      </c>
      <c r="H46" s="55">
        <f>'Step 3 Acad Product &amp; Pools'!H46</f>
        <v>714133.56728000008</v>
      </c>
      <c r="I46" s="55">
        <f>'Step 3 Acad Product &amp; Pools'!I46</f>
        <v>0</v>
      </c>
      <c r="J46" s="55">
        <f>'Step 3 Acad Product &amp; Pools'!J46</f>
        <v>0</v>
      </c>
      <c r="K46" s="55"/>
      <c r="L46" s="55">
        <f>SUM('Step 3 Acad Product &amp; Pools'!L46:Q46)</f>
        <v>4591.4207712322759</v>
      </c>
      <c r="M46" s="55"/>
      <c r="N46" s="55"/>
      <c r="O46" s="55">
        <f>'Step 3 Acad Product &amp; Pools'!T46</f>
        <v>-3478</v>
      </c>
      <c r="P46" s="55">
        <f>'Step 3 Acad Product &amp; Pools'!U46</f>
        <v>47000</v>
      </c>
      <c r="Q46" s="46"/>
      <c r="R46" s="55">
        <f t="shared" si="2"/>
        <v>762246.9880512323</v>
      </c>
      <c r="S46" s="168"/>
      <c r="T46" s="821">
        <v>3643184</v>
      </c>
    </row>
    <row r="47" spans="1:20">
      <c r="A47" s="179" t="s">
        <v>99</v>
      </c>
      <c r="B47" s="44">
        <f>'Step 3 Acad Product &amp; Pools'!B47</f>
        <v>0</v>
      </c>
      <c r="C47" s="44"/>
      <c r="D47" s="44"/>
      <c r="E47" s="44">
        <f>'Step 3 Acad Product &amp; Pools'!E47</f>
        <v>0</v>
      </c>
      <c r="F47" s="44"/>
      <c r="G47" s="44">
        <f>'Step 3 Acad Product &amp; Pools'!G47</f>
        <v>1122209.8914400002</v>
      </c>
      <c r="H47" s="44">
        <f>'Step 3 Acad Product &amp; Pools'!H47</f>
        <v>0</v>
      </c>
      <c r="I47" s="44">
        <f>'Step 3 Acad Product &amp; Pools'!I47</f>
        <v>0</v>
      </c>
      <c r="J47" s="44">
        <f>'Step 3 Acad Product &amp; Pools'!J47</f>
        <v>0</v>
      </c>
      <c r="K47" s="44"/>
      <c r="L47" s="44">
        <f>SUM('Step 3 Acad Product &amp; Pools'!L47:Q47)</f>
        <v>5516.6858255045709</v>
      </c>
      <c r="M47" s="44"/>
      <c r="N47" s="48"/>
      <c r="O47" s="44">
        <f>'Step 3 Acad Product &amp; Pools'!T47</f>
        <v>-4144</v>
      </c>
      <c r="P47" s="44">
        <f>'Step 3 Acad Product &amp; Pools'!U47</f>
        <v>2636000</v>
      </c>
      <c r="Q47" s="46"/>
      <c r="R47" s="44">
        <f t="shared" si="2"/>
        <v>3759582.5772655047</v>
      </c>
      <c r="S47" s="168"/>
      <c r="T47" s="241">
        <v>19774660</v>
      </c>
    </row>
    <row r="48" spans="1:20">
      <c r="A48" s="178" t="s">
        <v>484</v>
      </c>
      <c r="B48" s="55">
        <f>'Step 3 Acad Product &amp; Pools'!B48</f>
        <v>0</v>
      </c>
      <c r="C48" s="55"/>
      <c r="D48" s="55"/>
      <c r="E48" s="55">
        <f>'Step 3 Acad Product &amp; Pools'!E48</f>
        <v>0</v>
      </c>
      <c r="F48" s="55"/>
      <c r="G48" s="55">
        <f>'Step 3 Acad Product &amp; Pools'!G48</f>
        <v>255047.70260000002</v>
      </c>
      <c r="H48" s="55">
        <f>'Step 3 Acad Product &amp; Pools'!H48</f>
        <v>0</v>
      </c>
      <c r="I48" s="55">
        <f>'Step 3 Acad Product &amp; Pools'!I48</f>
        <v>0</v>
      </c>
      <c r="J48" s="55">
        <f>'Step 3 Acad Product &amp; Pools'!J48</f>
        <v>0</v>
      </c>
      <c r="K48" s="55"/>
      <c r="L48" s="55">
        <f>SUM('Step 3 Acad Product &amp; Pools'!L48:Q48)</f>
        <v>0</v>
      </c>
      <c r="M48" s="55"/>
      <c r="N48" s="55"/>
      <c r="O48" s="55">
        <f>'Step 3 Acad Product &amp; Pools'!T48</f>
        <v>-85100</v>
      </c>
      <c r="P48" s="55">
        <f>'Step 3 Acad Product &amp; Pools'!U48</f>
        <v>1580000</v>
      </c>
      <c r="Q48" s="46"/>
      <c r="R48" s="55">
        <f t="shared" si="2"/>
        <v>1749947.7026</v>
      </c>
      <c r="S48" s="168"/>
      <c r="T48" s="821">
        <v>4501875</v>
      </c>
    </row>
    <row r="49" spans="1:21">
      <c r="A49" s="54" t="s">
        <v>86</v>
      </c>
      <c r="B49" s="55">
        <f>'Step 3 Acad Product &amp; Pools'!B49</f>
        <v>0</v>
      </c>
      <c r="C49" s="55"/>
      <c r="D49" s="55"/>
      <c r="E49" s="55">
        <f>'Step 3 Acad Product &amp; Pools'!E49</f>
        <v>0</v>
      </c>
      <c r="F49" s="55"/>
      <c r="G49" s="55">
        <f>'Step 3 Acad Product &amp; Pools'!G49</f>
        <v>0</v>
      </c>
      <c r="H49" s="55">
        <f>'Step 3 Acad Product &amp; Pools'!H49</f>
        <v>0</v>
      </c>
      <c r="I49" s="55">
        <f>'Step 3 Acad Product &amp; Pools'!I49</f>
        <v>0</v>
      </c>
      <c r="J49" s="55">
        <f>'Step 3 Acad Product &amp; Pools'!J49</f>
        <v>0</v>
      </c>
      <c r="K49" s="55"/>
      <c r="L49" s="55">
        <f>SUM('Step 3 Acad Product &amp; Pools'!L49:Q49)</f>
        <v>15084.462872218808</v>
      </c>
      <c r="M49" s="55"/>
      <c r="N49" s="55"/>
      <c r="O49" s="55">
        <f>'Step 3 Acad Product &amp; Pools'!T49</f>
        <v>0</v>
      </c>
      <c r="P49" s="55">
        <f>'Step 3 Acad Product &amp; Pools'!U49</f>
        <v>0</v>
      </c>
      <c r="Q49" s="46"/>
      <c r="R49" s="55">
        <f t="shared" si="2"/>
        <v>15084.462872218808</v>
      </c>
      <c r="S49" s="168"/>
      <c r="T49" s="821">
        <v>1522413</v>
      </c>
    </row>
    <row r="50" spans="1:21">
      <c r="A50" s="178" t="s">
        <v>100</v>
      </c>
      <c r="B50" s="55">
        <f>'Step 3 Acad Product &amp; Pools'!B50</f>
        <v>0</v>
      </c>
      <c r="C50" s="55"/>
      <c r="D50" s="55"/>
      <c r="E50" s="55">
        <f>'Step 3 Acad Product &amp; Pools'!E50</f>
        <v>0</v>
      </c>
      <c r="F50" s="55"/>
      <c r="G50" s="55">
        <f>'Step 3 Acad Product &amp; Pools'!G50</f>
        <v>255047.70260000002</v>
      </c>
      <c r="H50" s="55">
        <f>'Step 3 Acad Product &amp; Pools'!H50</f>
        <v>0</v>
      </c>
      <c r="I50" s="55">
        <f>'Step 3 Acad Product &amp; Pools'!I50</f>
        <v>0</v>
      </c>
      <c r="J50" s="55">
        <f>'Step 3 Acad Product &amp; Pools'!J50</f>
        <v>0</v>
      </c>
      <c r="K50" s="55"/>
      <c r="L50" s="55">
        <f>SUM('Step 3 Acad Product &amp; Pools'!L50:Q50)</f>
        <v>0</v>
      </c>
      <c r="M50" s="55"/>
      <c r="N50" s="55"/>
      <c r="O50" s="55">
        <f>'Step 3 Acad Product &amp; Pools'!T50</f>
        <v>0</v>
      </c>
      <c r="P50" s="55">
        <f>'Step 3 Acad Product &amp; Pools'!U50</f>
        <v>3440000</v>
      </c>
      <c r="Q50" s="46"/>
      <c r="R50" s="55">
        <f t="shared" si="2"/>
        <v>3695047.7026</v>
      </c>
      <c r="S50" s="168"/>
      <c r="T50" s="241">
        <v>7580439</v>
      </c>
    </row>
    <row r="51" spans="1:21">
      <c r="A51" s="179" t="s">
        <v>101</v>
      </c>
      <c r="B51" s="44">
        <f>'Step 3 Acad Product &amp; Pools'!B51</f>
        <v>0</v>
      </c>
      <c r="C51" s="44"/>
      <c r="D51" s="44"/>
      <c r="E51" s="44">
        <f>'Step 3 Acad Product &amp; Pools'!E51</f>
        <v>0</v>
      </c>
      <c r="F51" s="44"/>
      <c r="G51" s="44">
        <f>'Step 3 Acad Product &amp; Pools'!G51</f>
        <v>0</v>
      </c>
      <c r="H51" s="44">
        <f>'Step 3 Acad Product &amp; Pools'!H51</f>
        <v>0</v>
      </c>
      <c r="I51" s="44">
        <f>'Step 3 Acad Product &amp; Pools'!I51</f>
        <v>0</v>
      </c>
      <c r="J51" s="44">
        <f>'Step 3 Acad Product &amp; Pools'!J51</f>
        <v>0</v>
      </c>
      <c r="K51" s="44"/>
      <c r="L51" s="44">
        <f>SUM('Step 3 Acad Product &amp; Pools'!L51:Q51)</f>
        <v>8993.8576670004386</v>
      </c>
      <c r="M51" s="44"/>
      <c r="N51" s="48"/>
      <c r="O51" s="44">
        <f>'Step 3 Acad Product &amp; Pools'!T51</f>
        <v>-139661.902</v>
      </c>
      <c r="P51" s="44">
        <f>'Step 3 Acad Product &amp; Pools'!U51</f>
        <v>1887323</v>
      </c>
      <c r="Q51" s="46"/>
      <c r="R51" s="44">
        <f t="shared" si="2"/>
        <v>1756654.9556670005</v>
      </c>
      <c r="S51" s="168"/>
      <c r="T51" s="821">
        <v>7705927</v>
      </c>
    </row>
    <row r="52" spans="1:21">
      <c r="A52" s="178" t="s">
        <v>102</v>
      </c>
      <c r="B52" s="55">
        <f>'Step 3 Acad Product &amp; Pools'!B52</f>
        <v>0</v>
      </c>
      <c r="C52" s="55"/>
      <c r="D52" s="55"/>
      <c r="E52" s="55">
        <f>'Step 3 Acad Product &amp; Pools'!E52</f>
        <v>0</v>
      </c>
      <c r="F52" s="55"/>
      <c r="G52" s="55">
        <f>'Step 3 Acad Product &amp; Pools'!G52</f>
        <v>0</v>
      </c>
      <c r="H52" s="55">
        <f>'Step 3 Acad Product &amp; Pools'!H52</f>
        <v>0</v>
      </c>
      <c r="I52" s="55">
        <f>'Step 3 Acad Product &amp; Pools'!I52</f>
        <v>0</v>
      </c>
      <c r="J52" s="55">
        <f>'Step 3 Acad Product &amp; Pools'!J52</f>
        <v>561104.94572000008</v>
      </c>
      <c r="K52" s="55"/>
      <c r="L52" s="55">
        <f>SUM('Step 3 Acad Product &amp; Pools'!L52:Q52)</f>
        <v>0</v>
      </c>
      <c r="M52" s="55"/>
      <c r="N52" s="55"/>
      <c r="O52" s="55">
        <f>'Step 3 Acad Product &amp; Pools'!T52</f>
        <v>0</v>
      </c>
      <c r="P52" s="55">
        <f>'Step 3 Acad Product &amp; Pools'!U52</f>
        <v>1720000</v>
      </c>
      <c r="Q52" s="46"/>
      <c r="R52" s="55">
        <f t="shared" si="2"/>
        <v>2281104.9457200002</v>
      </c>
      <c r="S52" s="168"/>
      <c r="T52" s="821">
        <v>12025835</v>
      </c>
    </row>
    <row r="53" spans="1:21">
      <c r="A53" s="178" t="s">
        <v>103</v>
      </c>
      <c r="B53" s="55">
        <f>'Step 3 Acad Product &amp; Pools'!B53</f>
        <v>0</v>
      </c>
      <c r="C53" s="55"/>
      <c r="D53" s="55"/>
      <c r="E53" s="55">
        <f>'Step 3 Acad Product &amp; Pools'!E53</f>
        <v>0</v>
      </c>
      <c r="F53" s="55"/>
      <c r="G53" s="55">
        <f>'Step 3 Acad Product &amp; Pools'!G53</f>
        <v>0</v>
      </c>
      <c r="H53" s="55">
        <f>'Step 3 Acad Product &amp; Pools'!H53</f>
        <v>0</v>
      </c>
      <c r="I53" s="55">
        <f>'Step 3 Acad Product &amp; Pools'!I53</f>
        <v>0</v>
      </c>
      <c r="J53" s="55">
        <f>'Step 3 Acad Product &amp; Pools'!J53</f>
        <v>867162.18884000008</v>
      </c>
      <c r="K53" s="55"/>
      <c r="L53" s="55">
        <f>SUM('Step 3 Acad Product &amp; Pools'!L53:Q53)</f>
        <v>0</v>
      </c>
      <c r="M53" s="55"/>
      <c r="N53" s="55"/>
      <c r="O53" s="55">
        <f>'Step 3 Acad Product &amp; Pools'!T53</f>
        <v>-32930</v>
      </c>
      <c r="P53" s="55">
        <f>'Step 3 Acad Product &amp; Pools'!U53</f>
        <v>2165000</v>
      </c>
      <c r="Q53" s="46"/>
      <c r="R53" s="55">
        <f t="shared" si="2"/>
        <v>2999232.18884</v>
      </c>
      <c r="S53" s="168"/>
      <c r="T53" s="241">
        <v>25520328</v>
      </c>
    </row>
    <row r="54" spans="1:21">
      <c r="A54" s="179" t="s">
        <v>104</v>
      </c>
      <c r="B54" s="44">
        <f>'Step 3 Acad Product &amp; Pools'!B54</f>
        <v>0</v>
      </c>
      <c r="C54" s="44"/>
      <c r="D54" s="44"/>
      <c r="E54" s="44">
        <f>'Step 3 Acad Product &amp; Pools'!E54</f>
        <v>0</v>
      </c>
      <c r="F54" s="44"/>
      <c r="G54" s="44">
        <f>'Step 3 Acad Product &amp; Pools'!G54</f>
        <v>0</v>
      </c>
      <c r="H54" s="44">
        <f>'Step 3 Acad Product &amp; Pools'!H54</f>
        <v>0</v>
      </c>
      <c r="I54" s="44">
        <f>'Step 3 Acad Product &amp; Pools'!I54</f>
        <v>0</v>
      </c>
      <c r="J54" s="44">
        <f>'Step 3 Acad Product &amp; Pools'!J54</f>
        <v>0</v>
      </c>
      <c r="K54" s="44"/>
      <c r="L54" s="44">
        <f>SUM('Step 3 Acad Product &amp; Pools'!L54:Q54)</f>
        <v>239.13855267424046</v>
      </c>
      <c r="M54" s="44"/>
      <c r="N54" s="48"/>
      <c r="O54" s="44">
        <f>'Step 3 Acad Product &amp; Pools'!T54</f>
        <v>-4958</v>
      </c>
      <c r="P54" s="44">
        <f>'Step 3 Acad Product &amp; Pools'!U54</f>
        <v>4797000</v>
      </c>
      <c r="Q54" s="46"/>
      <c r="R54" s="44">
        <f t="shared" si="2"/>
        <v>4792281.1385526741</v>
      </c>
      <c r="S54" s="168"/>
      <c r="T54" s="821">
        <v>17684064</v>
      </c>
    </row>
    <row r="55" spans="1:21">
      <c r="A55" s="178" t="s">
        <v>459</v>
      </c>
      <c r="B55" s="48">
        <f>'Step 3 Acad Product &amp; Pools'!B55</f>
        <v>0</v>
      </c>
      <c r="C55" s="48"/>
      <c r="D55" s="48"/>
      <c r="E55" s="48">
        <f>'Step 3 Acad Product &amp; Pools'!E55</f>
        <v>0</v>
      </c>
      <c r="F55" s="48"/>
      <c r="G55" s="48">
        <f>'Step 3 Acad Product &amp; Pools'!G55</f>
        <v>0</v>
      </c>
      <c r="H55" s="48">
        <f>'Step 3 Acad Product &amp; Pools'!H55</f>
        <v>0</v>
      </c>
      <c r="I55" s="48">
        <f>'Step 3 Acad Product &amp; Pools'!I55</f>
        <v>0</v>
      </c>
      <c r="J55" s="48">
        <f>'Step 3 Acad Product &amp; Pools'!J55</f>
        <v>0</v>
      </c>
      <c r="K55" s="48"/>
      <c r="L55" s="48">
        <f>SUM('Step 3 Acad Product &amp; Pools'!L55:Q55)</f>
        <v>0</v>
      </c>
      <c r="M55" s="48"/>
      <c r="N55" s="48"/>
      <c r="O55" s="48">
        <f>'Step 3 Acad Product &amp; Pools'!T55</f>
        <v>0</v>
      </c>
      <c r="P55" s="48">
        <f>'Step 3 Acad Product &amp; Pools'!U55</f>
        <v>0</v>
      </c>
      <c r="Q55" s="46"/>
      <c r="R55" s="48">
        <f t="shared" si="2"/>
        <v>0</v>
      </c>
      <c r="S55" s="168"/>
      <c r="T55" s="821">
        <v>3700133</v>
      </c>
    </row>
    <row r="56" spans="1:21">
      <c r="A56" s="367" t="s">
        <v>485</v>
      </c>
      <c r="B56" s="48">
        <f>'Step 3 Acad Product &amp; Pools'!B56</f>
        <v>0</v>
      </c>
      <c r="C56" s="48"/>
      <c r="D56" s="48"/>
      <c r="E56" s="48">
        <f>'Step 3 Acad Product &amp; Pools'!E56</f>
        <v>0</v>
      </c>
      <c r="F56" s="48"/>
      <c r="G56" s="48">
        <f>'Step 3 Acad Product &amp; Pools'!G56</f>
        <v>0</v>
      </c>
      <c r="H56" s="48">
        <f>'Step 3 Acad Product &amp; Pools'!H56</f>
        <v>0</v>
      </c>
      <c r="I56" s="48">
        <f>'Step 3 Acad Product &amp; Pools'!I56</f>
        <v>0</v>
      </c>
      <c r="J56" s="48">
        <f>'Step 3 Acad Product &amp; Pools'!J56</f>
        <v>0</v>
      </c>
      <c r="K56" s="48"/>
      <c r="L56" s="48">
        <f>SUM('Step 3 Acad Product &amp; Pools'!L56:Q56)</f>
        <v>0</v>
      </c>
      <c r="M56" s="48"/>
      <c r="N56" s="48"/>
      <c r="O56" s="48">
        <f>'Step 3 Acad Product &amp; Pools'!T56</f>
        <v>0</v>
      </c>
      <c r="P56" s="48">
        <f>'Step 3 Acad Product &amp; Pools'!U56</f>
        <v>860000</v>
      </c>
      <c r="Q56" s="46"/>
      <c r="R56" s="48">
        <f t="shared" si="2"/>
        <v>860000</v>
      </c>
      <c r="S56" s="168"/>
      <c r="T56" s="241">
        <v>2369903</v>
      </c>
    </row>
    <row r="57" spans="1:21">
      <c r="A57" s="178" t="s">
        <v>105</v>
      </c>
      <c r="B57" s="55">
        <f>'Step 3 Acad Product &amp; Pools'!B57</f>
        <v>0</v>
      </c>
      <c r="C57" s="55"/>
      <c r="D57" s="55"/>
      <c r="E57" s="55">
        <f>'Step 3 Acad Product &amp; Pools'!E57</f>
        <v>0</v>
      </c>
      <c r="F57" s="55"/>
      <c r="G57" s="55">
        <f>'Step 3 Acad Product &amp; Pools'!G57</f>
        <v>0</v>
      </c>
      <c r="H57" s="55">
        <f>'Step 3 Acad Product &amp; Pools'!H57</f>
        <v>0</v>
      </c>
      <c r="I57" s="55">
        <f>'Step 3 Acad Product &amp; Pools'!I57</f>
        <v>0</v>
      </c>
      <c r="J57" s="55">
        <f>'Step 3 Acad Product &amp; Pools'!J57</f>
        <v>0</v>
      </c>
      <c r="K57" s="55"/>
      <c r="L57" s="55">
        <f>SUM('Step 3 Acad Product &amp; Pools'!L57:Q57)</f>
        <v>0</v>
      </c>
      <c r="M57" s="55"/>
      <c r="N57" s="55"/>
      <c r="O57" s="55">
        <f>'Step 3 Acad Product &amp; Pools'!T57</f>
        <v>0</v>
      </c>
      <c r="P57" s="55">
        <f>'Step 3 Acad Product &amp; Pools'!U57</f>
        <v>4300000</v>
      </c>
      <c r="Q57" s="46"/>
      <c r="R57" s="55">
        <f t="shared" si="2"/>
        <v>4300000</v>
      </c>
      <c r="S57" s="168"/>
      <c r="T57" s="821">
        <v>12372914</v>
      </c>
    </row>
    <row r="58" spans="1:21">
      <c r="A58" s="375" t="s">
        <v>106</v>
      </c>
      <c r="B58" s="376">
        <f>SUM(B39:B57)</f>
        <v>0</v>
      </c>
      <c r="C58" s="376">
        <f>SUM(C39:C57)</f>
        <v>0</v>
      </c>
      <c r="D58" s="376"/>
      <c r="E58" s="376">
        <f>SUM(E39:E57)</f>
        <v>0</v>
      </c>
      <c r="F58" s="376"/>
      <c r="G58" s="376">
        <f>SUM(G39:G57)</f>
        <v>1632305.2966400001</v>
      </c>
      <c r="H58" s="376">
        <f>SUM(H39:H57)</f>
        <v>714133.56728000008</v>
      </c>
      <c r="I58" s="376">
        <f>SUM(I39:I57)</f>
        <v>0</v>
      </c>
      <c r="J58" s="376">
        <f>SUM(J39:J57)</f>
        <v>1428267.1345600002</v>
      </c>
      <c r="K58" s="376"/>
      <c r="L58" s="376">
        <f>SUM(L39:L57)</f>
        <v>1917682.2595988766</v>
      </c>
      <c r="M58" s="376">
        <f>SUM(M39:M57)</f>
        <v>0</v>
      </c>
      <c r="N58" s="174"/>
      <c r="O58" s="376">
        <f>SUM(O39:O57)</f>
        <v>-792800.70200000005</v>
      </c>
      <c r="P58" s="376">
        <f>SUM(P39:P57)</f>
        <v>30493523</v>
      </c>
      <c r="Q58" s="1385"/>
      <c r="R58" s="376">
        <f>SUM(R39:R57)</f>
        <v>35393110.556078874</v>
      </c>
      <c r="S58" s="168"/>
      <c r="T58" s="376">
        <f>SUM(T39:T57)</f>
        <v>155419385</v>
      </c>
    </row>
    <row r="59" spans="1:21" ht="16.5" thickBot="1">
      <c r="A59" s="377" t="s">
        <v>107</v>
      </c>
      <c r="B59" s="378">
        <f>B6+B7+B8+B9+B10+B11+B12+B35+B58</f>
        <v>54740445</v>
      </c>
      <c r="C59" s="378">
        <f>C6+C7+C10+C11+C12+C35+C58+C8</f>
        <v>0</v>
      </c>
      <c r="D59" s="378"/>
      <c r="E59" s="378">
        <f>E6+E7+E10+E11+E12+E35+E58+E8</f>
        <v>22140000</v>
      </c>
      <c r="F59" s="378"/>
      <c r="G59" s="378">
        <f>G6+G7+G10+G11+G12+G35+G58</f>
        <v>1632305.2966400001</v>
      </c>
      <c r="H59" s="378">
        <f>H6+H7+H10+H11+H12+H35+H58</f>
        <v>714133.56728000008</v>
      </c>
      <c r="I59" s="378">
        <f>I6+I7+I10+I11+I12+I35+I58</f>
        <v>0</v>
      </c>
      <c r="J59" s="378">
        <f>J6+J7+J10+J11+J12+J35+J58</f>
        <v>1428267.1345600002</v>
      </c>
      <c r="K59" s="378"/>
      <c r="L59" s="378">
        <f>L6+L7+L8+L9+L10+L11+L12+L35+L58</f>
        <v>219046338.89736381</v>
      </c>
      <c r="M59" s="378">
        <f>M6+M7+M8+M9+M10+M11+M12+M35+M58</f>
        <v>0</v>
      </c>
      <c r="N59" s="200"/>
      <c r="O59" s="378">
        <f>O6+O7+O8+O9+O10+O11+O12+O35+O58</f>
        <v>-3774705.9984800001</v>
      </c>
      <c r="P59" s="378">
        <f>P6+P7+P8+P9+P10+P11+P12+P35+P58</f>
        <v>142514672.41066667</v>
      </c>
      <c r="Q59" s="173"/>
      <c r="R59" s="378">
        <f>R6+R7+R8+R9+R10+R11+R12+R35+R58</f>
        <v>438441456.30803043</v>
      </c>
      <c r="S59" s="660"/>
      <c r="T59" s="378">
        <f>SUM(T6,T35,T58)</f>
        <v>552825759</v>
      </c>
    </row>
    <row r="60" spans="1:21" ht="17.25" thickTop="1" thickBot="1">
      <c r="A60" s="178"/>
      <c r="B60" s="178"/>
      <c r="C60" s="178"/>
      <c r="D60" s="178"/>
      <c r="E60" s="178"/>
      <c r="F60" s="178"/>
      <c r="G60" s="178"/>
      <c r="H60" s="178"/>
      <c r="I60" s="178"/>
      <c r="J60" s="178"/>
      <c r="K60" s="178"/>
      <c r="L60" s="169"/>
      <c r="M60" s="169"/>
      <c r="N60" s="169"/>
      <c r="O60" s="169"/>
      <c r="P60" s="169"/>
      <c r="Q60" s="168"/>
      <c r="R60" s="171">
        <f>SUM(B59:P59)</f>
        <v>438441456.30803049</v>
      </c>
      <c r="S60" s="168"/>
      <c r="T60" s="57"/>
      <c r="U60" s="167"/>
    </row>
    <row r="61" spans="1:21" ht="16.5" thickTop="1"/>
    <row r="62" spans="1:21">
      <c r="B62" s="12"/>
    </row>
  </sheetData>
  <mergeCells count="5">
    <mergeCell ref="B4:E4"/>
    <mergeCell ref="G4:J4"/>
    <mergeCell ref="T6:T12"/>
    <mergeCell ref="L4:M4"/>
    <mergeCell ref="O4:P4"/>
  </mergeCell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W101"/>
  <sheetViews>
    <sheetView topLeftCell="A4" zoomScale="110" zoomScaleNormal="110" zoomScalePageLayoutView="110" workbookViewId="0">
      <selection activeCell="A20" sqref="A20:C55"/>
    </sheetView>
  </sheetViews>
  <sheetFormatPr defaultColWidth="11" defaultRowHeight="15.75"/>
  <cols>
    <col min="1" max="1" width="36.125" customWidth="1"/>
    <col min="2" max="2" width="11.125" customWidth="1"/>
    <col min="3" max="3" width="11.5" customWidth="1"/>
    <col min="4" max="4" width="13.125" customWidth="1"/>
    <col min="5" max="5" width="15.625" customWidth="1"/>
    <col min="6" max="6" width="3.375" customWidth="1"/>
    <col min="7" max="10" width="11" customWidth="1"/>
    <col min="11" max="11" width="3.625" customWidth="1"/>
    <col min="12" max="12" width="11.875" customWidth="1"/>
    <col min="13" max="13" width="4.125" customWidth="1"/>
    <col min="14" max="14" width="3.125" customWidth="1"/>
    <col min="15" max="15" width="11" customWidth="1"/>
    <col min="16" max="16" width="12" customWidth="1"/>
    <col min="17" max="17" width="3.125" customWidth="1"/>
    <col min="18" max="18" width="13.875" customWidth="1"/>
    <col min="19" max="19" width="7.875" customWidth="1"/>
    <col min="20" max="20" width="12.875" customWidth="1"/>
    <col min="21" max="21" width="13.625" bestFit="1" customWidth="1"/>
    <col min="22" max="22" width="36.625" customWidth="1"/>
    <col min="23" max="23" width="12.625" customWidth="1"/>
    <col min="24" max="24" width="12.375" customWidth="1"/>
  </cols>
  <sheetData>
    <row r="1" spans="1:23" ht="16.5" thickBot="1">
      <c r="A1" s="175" t="s">
        <v>62</v>
      </c>
      <c r="B1" s="175"/>
      <c r="C1" s="175"/>
      <c r="D1" s="175"/>
      <c r="E1" s="175"/>
      <c r="F1" s="175"/>
      <c r="G1" s="175"/>
      <c r="H1" s="175"/>
      <c r="I1" s="1386" t="s">
        <v>736</v>
      </c>
      <c r="J1" s="399"/>
      <c r="K1" s="1387"/>
      <c r="L1" s="1388">
        <v>0.02</v>
      </c>
      <c r="M1" s="175"/>
      <c r="N1" s="175"/>
      <c r="O1" s="175" t="s">
        <v>172</v>
      </c>
      <c r="Q1" s="175"/>
      <c r="R1" s="175"/>
      <c r="S1" s="175"/>
      <c r="T1" s="175"/>
      <c r="U1" s="175"/>
      <c r="V1" s="175"/>
    </row>
    <row r="2" spans="1:23" ht="16.5" thickBot="1">
      <c r="A2" s="175" t="s">
        <v>1321</v>
      </c>
      <c r="B2" s="175"/>
      <c r="C2" s="175"/>
      <c r="D2" s="175"/>
      <c r="E2" s="175"/>
      <c r="F2" s="175"/>
      <c r="G2" s="175"/>
      <c r="H2" s="175"/>
      <c r="I2" s="1389" t="s">
        <v>737</v>
      </c>
      <c r="J2" s="405"/>
      <c r="K2" s="1390"/>
      <c r="L2" s="1391">
        <v>3.5000000000000003E-2</v>
      </c>
      <c r="M2" s="175"/>
      <c r="N2" s="175"/>
      <c r="O2" s="175"/>
      <c r="P2" s="175"/>
      <c r="Q2" s="175"/>
      <c r="R2" s="202" t="s">
        <v>177</v>
      </c>
      <c r="S2" s="203"/>
      <c r="T2" s="207">
        <f>'Step 0 FY18 Revenue'!L59</f>
        <v>581608334.94857144</v>
      </c>
      <c r="U2" s="175"/>
      <c r="V2" s="202" t="s">
        <v>1507</v>
      </c>
      <c r="W2" s="207">
        <f>'Step 2 Productivity Split'!C18</f>
        <v>180028401.64054096</v>
      </c>
    </row>
    <row r="3" spans="1:23" ht="16.5" thickBot="1">
      <c r="A3" s="175"/>
      <c r="B3" s="394"/>
      <c r="C3" s="175"/>
      <c r="D3" s="175"/>
      <c r="E3" s="175"/>
      <c r="F3" s="175"/>
      <c r="G3" s="175"/>
      <c r="H3" s="175"/>
      <c r="I3" s="175"/>
      <c r="J3" s="175"/>
      <c r="K3" s="175"/>
      <c r="L3" s="175"/>
      <c r="M3" s="175"/>
      <c r="N3" s="175"/>
      <c r="O3" s="175"/>
      <c r="P3" s="175"/>
      <c r="Q3" s="175"/>
      <c r="R3" s="204" t="s">
        <v>178</v>
      </c>
      <c r="S3" s="205"/>
      <c r="T3" s="206">
        <f>T2-SUM(B59:P59)</f>
        <v>120297805.2183696</v>
      </c>
      <c r="U3" s="175"/>
      <c r="V3" s="204" t="s">
        <v>1508</v>
      </c>
      <c r="W3" s="206">
        <f>W2-SUM(B6,B7,B11,B12)-C59-E58-E8-D59</f>
        <v>120597805.21836951</v>
      </c>
    </row>
    <row r="4" spans="1:23">
      <c r="A4" s="176"/>
      <c r="B4" s="1780" t="s">
        <v>168</v>
      </c>
      <c r="C4" s="1780"/>
      <c r="D4" s="1780"/>
      <c r="E4" s="1780"/>
      <c r="F4" s="196"/>
      <c r="G4" s="1781" t="s">
        <v>169</v>
      </c>
      <c r="H4" s="1781"/>
      <c r="I4" s="1781"/>
      <c r="J4" s="1781"/>
      <c r="K4" s="196"/>
      <c r="L4" s="1787" t="s">
        <v>666</v>
      </c>
      <c r="M4" s="1787"/>
      <c r="N4" s="176"/>
      <c r="O4" s="1782" t="s">
        <v>154</v>
      </c>
      <c r="P4" s="1782"/>
      <c r="Q4" s="176"/>
      <c r="R4" s="176"/>
      <c r="S4" s="176"/>
      <c r="T4" s="241"/>
      <c r="U4" s="176"/>
    </row>
    <row r="5" spans="1:23" s="188" customFormat="1" ht="63.75">
      <c r="A5" s="186" t="s">
        <v>69</v>
      </c>
      <c r="B5" s="231" t="s">
        <v>175</v>
      </c>
      <c r="C5" s="231" t="s">
        <v>738</v>
      </c>
      <c r="D5" s="231" t="s">
        <v>672</v>
      </c>
      <c r="E5" s="231" t="s">
        <v>1554</v>
      </c>
      <c r="F5" s="231"/>
      <c r="G5" s="231" t="s">
        <v>159</v>
      </c>
      <c r="H5" s="231" t="s">
        <v>160</v>
      </c>
      <c r="I5" s="231" t="s">
        <v>161</v>
      </c>
      <c r="J5" s="231" t="s">
        <v>162</v>
      </c>
      <c r="K5" s="231"/>
      <c r="L5" s="661"/>
      <c r="M5" s="661"/>
      <c r="N5" s="231"/>
      <c r="O5" s="231" t="s">
        <v>167</v>
      </c>
      <c r="P5" s="231" t="s">
        <v>171</v>
      </c>
      <c r="Q5" s="1069"/>
      <c r="R5" s="231" t="s">
        <v>1476</v>
      </c>
      <c r="S5" s="1140"/>
      <c r="T5" s="1141" t="s">
        <v>1031</v>
      </c>
    </row>
    <row r="6" spans="1:23">
      <c r="A6" s="177" t="s">
        <v>479</v>
      </c>
      <c r="B6" s="44">
        <f>'Step 4 Contract and Reserves'!B6</f>
        <v>3161000</v>
      </c>
      <c r="C6" s="44">
        <f>'Step 4 Contract and Reserves'!C6</f>
        <v>0</v>
      </c>
      <c r="D6" s="44">
        <f>'Step 4 Contract and Reserves'!D6</f>
        <v>0</v>
      </c>
      <c r="E6" s="44">
        <f>'Step 4 Contract and Reserves'!E6</f>
        <v>0</v>
      </c>
      <c r="F6" s="44"/>
      <c r="G6" s="44">
        <f>'Step 4 Contract and Reserves'!G6</f>
        <v>0</v>
      </c>
      <c r="H6" s="44">
        <f>'Step 4 Contract and Reserves'!H6</f>
        <v>0</v>
      </c>
      <c r="I6" s="44">
        <f>'Step 4 Contract and Reserves'!I6</f>
        <v>0</v>
      </c>
      <c r="J6" s="44">
        <f>'Step 4 Contract and Reserves'!J6</f>
        <v>0</v>
      </c>
      <c r="K6" s="44"/>
      <c r="L6" s="44">
        <f>'Step 4 Contract and Reserves'!L6</f>
        <v>0</v>
      </c>
      <c r="M6" s="44"/>
      <c r="N6" s="48"/>
      <c r="O6" s="44">
        <f>'Step 4 Contract and Reserves'!O6</f>
        <v>0</v>
      </c>
      <c r="P6" s="44">
        <f>'Step 4 Contract and Reserves'!P6</f>
        <v>0</v>
      </c>
      <c r="R6" s="44">
        <f t="shared" ref="R6:R12" si="0">SUM(B6:P6)</f>
        <v>3161000</v>
      </c>
      <c r="S6" s="167"/>
      <c r="T6" s="1765">
        <v>55820357</v>
      </c>
    </row>
    <row r="7" spans="1:23">
      <c r="A7" s="177" t="s">
        <v>478</v>
      </c>
      <c r="B7" s="44">
        <f>'Step 4 Contract and Reserves'!B7</f>
        <v>3111300</v>
      </c>
      <c r="C7" s="44">
        <f>'Step 4a IM Summary'!B17</f>
        <v>3879280</v>
      </c>
      <c r="D7" s="44">
        <f>'Step 4 Contract and Reserves'!D7</f>
        <v>0</v>
      </c>
      <c r="E7" s="44">
        <f>'Step 4 Contract and Reserves'!E7</f>
        <v>0</v>
      </c>
      <c r="F7" s="44"/>
      <c r="G7" s="44">
        <f>'Step 4 Contract and Reserves'!G7</f>
        <v>0</v>
      </c>
      <c r="H7" s="44">
        <f>'Step 4 Contract and Reserves'!H7</f>
        <v>0</v>
      </c>
      <c r="I7" s="44">
        <f>'Step 4 Contract and Reserves'!I7</f>
        <v>0</v>
      </c>
      <c r="J7" s="44">
        <f>'Step 4 Contract and Reserves'!J7</f>
        <v>0</v>
      </c>
      <c r="K7" s="44"/>
      <c r="L7" s="44">
        <f>'Step 4 Contract and Reserves'!L7</f>
        <v>0</v>
      </c>
      <c r="M7" s="44"/>
      <c r="N7" s="48"/>
      <c r="O7" s="44">
        <f>'Step 4 Contract and Reserves'!O7</f>
        <v>-270100</v>
      </c>
      <c r="P7" s="44">
        <f>'Step 4 Contract and Reserves'!P7</f>
        <v>3650000</v>
      </c>
      <c r="R7" s="44">
        <f t="shared" si="0"/>
        <v>10370480</v>
      </c>
      <c r="S7" s="167"/>
      <c r="T7" s="1766"/>
    </row>
    <row r="8" spans="1:23">
      <c r="A8" s="177" t="s">
        <v>735</v>
      </c>
      <c r="B8" s="44">
        <f>'Step 4 Contract and Reserves'!B8</f>
        <v>0</v>
      </c>
      <c r="C8" s="44">
        <f>L1*T2-C35-C58-C7</f>
        <v>-2735327.3010285702</v>
      </c>
      <c r="D8" s="44">
        <f>'Step 4 Contract and Reserves'!D8</f>
        <v>0</v>
      </c>
      <c r="E8" s="44">
        <f>L2*T2-E35</f>
        <v>-1783708.2767999992</v>
      </c>
      <c r="F8" s="44"/>
      <c r="G8" s="44">
        <f>'Step 4 Contract and Reserves'!G8</f>
        <v>0</v>
      </c>
      <c r="H8" s="44">
        <f>'Step 4 Contract and Reserves'!H8</f>
        <v>0</v>
      </c>
      <c r="I8" s="44">
        <f>'Step 4 Contract and Reserves'!I8</f>
        <v>0</v>
      </c>
      <c r="J8" s="44">
        <f>'Step 4 Contract and Reserves'!J8</f>
        <v>0</v>
      </c>
      <c r="K8" s="44"/>
      <c r="L8" s="44">
        <f>'Step 4 Contract and Reserves'!L8</f>
        <v>0</v>
      </c>
      <c r="M8" s="44"/>
      <c r="N8" s="48"/>
      <c r="O8" s="44">
        <f>'Step 4 Contract and Reserves'!O8</f>
        <v>0</v>
      </c>
      <c r="P8" s="44">
        <f>'Step 4 Contract and Reserves'!P8</f>
        <v>0</v>
      </c>
      <c r="R8" s="44">
        <f t="shared" si="0"/>
        <v>-4519035.5778285693</v>
      </c>
      <c r="S8" s="167"/>
      <c r="T8" s="1766"/>
    </row>
    <row r="9" spans="1:23">
      <c r="A9" s="177" t="s">
        <v>753</v>
      </c>
      <c r="B9" s="44">
        <f>'Step 4 Contract and Reserves'!B9</f>
        <v>0</v>
      </c>
      <c r="C9" s="44">
        <f>'Step 4 Contract and Reserves'!C9</f>
        <v>0</v>
      </c>
      <c r="D9" s="44">
        <f>'Step 4 Contract and Reserves'!D9</f>
        <v>0</v>
      </c>
      <c r="E9" s="44">
        <f>'Step 4 Contract and Reserves'!E9</f>
        <v>0</v>
      </c>
      <c r="F9" s="44"/>
      <c r="G9" s="44">
        <f>'Step 4 Contract and Reserves'!G9</f>
        <v>0</v>
      </c>
      <c r="H9" s="44">
        <f>'Step 4 Contract and Reserves'!H9</f>
        <v>0</v>
      </c>
      <c r="I9" s="44">
        <f>'Step 4 Contract and Reserves'!I9</f>
        <v>0</v>
      </c>
      <c r="J9" s="44">
        <f>'Step 4 Contract and Reserves'!J9</f>
        <v>0</v>
      </c>
      <c r="K9" s="44"/>
      <c r="L9" s="44">
        <f>'Step 4 Contract and Reserves'!L9</f>
        <v>0</v>
      </c>
      <c r="M9" s="44"/>
      <c r="N9" s="48"/>
      <c r="O9" s="44">
        <f>'Step 4 Contract and Reserves'!O9</f>
        <v>0</v>
      </c>
      <c r="P9" s="44">
        <f>'Step 4 Contract and Reserves'!P9</f>
        <v>10000000</v>
      </c>
      <c r="R9" s="44">
        <f t="shared" si="0"/>
        <v>10000000</v>
      </c>
      <c r="S9" s="167"/>
      <c r="T9" s="1766"/>
    </row>
    <row r="10" spans="1:23">
      <c r="A10" s="177" t="s">
        <v>480</v>
      </c>
      <c r="B10" s="44">
        <f>'Step 4 Contract and Reserves'!B10</f>
        <v>18178922</v>
      </c>
      <c r="C10" s="44">
        <f>'Step 4 Contract and Reserves'!C10</f>
        <v>0</v>
      </c>
      <c r="D10" s="44">
        <f>'Step 4 Contract and Reserves'!D10</f>
        <v>0</v>
      </c>
      <c r="E10" s="44">
        <f>'Step 4 Contract and Reserves'!E10</f>
        <v>0</v>
      </c>
      <c r="F10" s="44"/>
      <c r="G10" s="44">
        <f>'Step 4 Contract and Reserves'!G10</f>
        <v>0</v>
      </c>
      <c r="H10" s="44">
        <f>'Step 4 Contract and Reserves'!H10</f>
        <v>0</v>
      </c>
      <c r="I10" s="44">
        <f>'Step 4 Contract and Reserves'!I10</f>
        <v>0</v>
      </c>
      <c r="J10" s="44">
        <f>'Step 4 Contract and Reserves'!J10</f>
        <v>0</v>
      </c>
      <c r="K10" s="44"/>
      <c r="L10" s="44">
        <f>'Step 4 Contract and Reserves'!L10</f>
        <v>0</v>
      </c>
      <c r="M10" s="44"/>
      <c r="N10" s="48"/>
      <c r="O10" s="44">
        <f>'Step 4 Contract and Reserves'!O10</f>
        <v>0</v>
      </c>
      <c r="P10" s="44">
        <f>'Step 4 Contract and Reserves'!P10</f>
        <v>0</v>
      </c>
      <c r="R10" s="44">
        <f t="shared" si="0"/>
        <v>18178922</v>
      </c>
      <c r="S10" s="167"/>
      <c r="T10" s="1766"/>
    </row>
    <row r="11" spans="1:23">
      <c r="A11" s="177" t="s">
        <v>481</v>
      </c>
      <c r="B11" s="44">
        <f>'Step 4 Contract and Reserves'!B11</f>
        <v>4150000</v>
      </c>
      <c r="C11" s="44">
        <f>'Step 4 Contract and Reserves'!C11</f>
        <v>0</v>
      </c>
      <c r="D11" s="44">
        <f>'Step 4 Contract and Reserves'!D11</f>
        <v>0</v>
      </c>
      <c r="E11" s="44">
        <f>'Step 4 Contract and Reserves'!E11</f>
        <v>0</v>
      </c>
      <c r="F11" s="44"/>
      <c r="G11" s="44">
        <f>'Step 4 Contract and Reserves'!G11</f>
        <v>0</v>
      </c>
      <c r="H11" s="44">
        <f>'Step 4 Contract and Reserves'!H11</f>
        <v>0</v>
      </c>
      <c r="I11" s="44">
        <f>'Step 4 Contract and Reserves'!I11</f>
        <v>0</v>
      </c>
      <c r="J11" s="44">
        <f>'Step 4 Contract and Reserves'!J11</f>
        <v>0</v>
      </c>
      <c r="K11" s="44"/>
      <c r="L11" s="44">
        <f>'Step 4 Contract and Reserves'!L11</f>
        <v>0</v>
      </c>
      <c r="M11" s="44"/>
      <c r="N11" s="48"/>
      <c r="O11" s="44">
        <f>'Step 4 Contract and Reserves'!O11</f>
        <v>0</v>
      </c>
      <c r="P11" s="44">
        <f>'Step 4 Contract and Reserves'!P11</f>
        <v>0</v>
      </c>
      <c r="R11" s="44">
        <f t="shared" si="0"/>
        <v>4150000</v>
      </c>
      <c r="S11" s="167"/>
      <c r="T11" s="1766"/>
    </row>
    <row r="12" spans="1:23">
      <c r="A12" s="177" t="s">
        <v>482</v>
      </c>
      <c r="B12" s="44">
        <f>'Step 4 Contract and Reserves'!B12</f>
        <v>26139223</v>
      </c>
      <c r="C12" s="44">
        <f>'Step 4 Contract and Reserves'!C12</f>
        <v>0</v>
      </c>
      <c r="D12" s="44">
        <f>'Step 4 Contract and Reserves'!D12</f>
        <v>0</v>
      </c>
      <c r="E12" s="44">
        <f>'Step 4 Contract and Reserves'!E12</f>
        <v>0</v>
      </c>
      <c r="F12" s="44"/>
      <c r="G12" s="44">
        <f>'Step 4 Contract and Reserves'!G12</f>
        <v>0</v>
      </c>
      <c r="H12" s="44">
        <f>'Step 4 Contract and Reserves'!H12</f>
        <v>0</v>
      </c>
      <c r="I12" s="44">
        <f>'Step 4 Contract and Reserves'!I12</f>
        <v>0</v>
      </c>
      <c r="J12" s="44">
        <f>'Step 4 Contract and Reserves'!J12</f>
        <v>0</v>
      </c>
      <c r="K12" s="44"/>
      <c r="L12" s="44">
        <f>'Step 4 Contract and Reserves'!L12</f>
        <v>0</v>
      </c>
      <c r="M12" s="44"/>
      <c r="N12" s="48"/>
      <c r="O12" s="44">
        <f>'Step 4 Contract and Reserves'!O12</f>
        <v>0</v>
      </c>
      <c r="P12" s="44">
        <f>'Step 4 Contract and Reserves'!P12</f>
        <v>0</v>
      </c>
      <c r="R12" s="44">
        <f t="shared" si="0"/>
        <v>26139223</v>
      </c>
      <c r="S12" s="167"/>
      <c r="T12" s="1766"/>
    </row>
    <row r="13" spans="1:23">
      <c r="A13" s="168"/>
      <c r="B13" s="48"/>
      <c r="C13" s="48"/>
      <c r="D13" s="48"/>
      <c r="E13" s="48"/>
      <c r="F13" s="48"/>
      <c r="G13" s="48"/>
      <c r="H13" s="48"/>
      <c r="I13" s="48"/>
      <c r="J13" s="48"/>
      <c r="K13" s="48"/>
      <c r="L13" s="48"/>
      <c r="M13" s="48"/>
      <c r="N13" s="48"/>
      <c r="O13" s="48"/>
      <c r="P13" s="48"/>
      <c r="R13" s="48"/>
      <c r="S13" s="168"/>
      <c r="T13" s="48"/>
    </row>
    <row r="14" spans="1:23">
      <c r="A14" s="51" t="s">
        <v>72</v>
      </c>
      <c r="B14" s="34"/>
      <c r="C14" s="34"/>
      <c r="D14" s="34"/>
      <c r="E14" s="34"/>
      <c r="F14" s="34"/>
      <c r="G14" s="34"/>
      <c r="H14" s="34"/>
      <c r="I14" s="34"/>
      <c r="J14" s="34"/>
      <c r="K14" s="34"/>
      <c r="L14" s="34"/>
      <c r="M14" s="34"/>
      <c r="N14" s="49"/>
      <c r="O14" s="34"/>
      <c r="P14" s="34"/>
      <c r="R14" s="48"/>
      <c r="S14" s="168"/>
      <c r="T14" s="34"/>
    </row>
    <row r="15" spans="1:23">
      <c r="A15" s="1382" t="s">
        <v>1514</v>
      </c>
      <c r="B15" s="55">
        <f>'Step 3 Acad Product &amp; Pools'!B15</f>
        <v>0</v>
      </c>
      <c r="C15" s="55">
        <f>'Step 3 Acad Product &amp; Pools'!C15</f>
        <v>0</v>
      </c>
      <c r="D15" s="55"/>
      <c r="E15" s="55">
        <f>'Step 3 Acad Product &amp; Pools'!E15</f>
        <v>0</v>
      </c>
      <c r="F15" s="55"/>
      <c r="G15" s="55">
        <f>'Step 3 Acad Product &amp; Pools'!G15</f>
        <v>0</v>
      </c>
      <c r="H15" s="55">
        <f>'Step 3 Acad Product &amp; Pools'!H15</f>
        <v>0</v>
      </c>
      <c r="I15" s="55">
        <f>'Step 3 Acad Product &amp; Pools'!I15</f>
        <v>0</v>
      </c>
      <c r="J15" s="55">
        <f>'Step 3 Acad Product &amp; Pools'!J15</f>
        <v>0</v>
      </c>
      <c r="K15" s="55"/>
      <c r="L15" s="55">
        <f>SUM('Step 3 Acad Product &amp; Pools'!L15:Q15)</f>
        <v>0</v>
      </c>
      <c r="M15" s="34"/>
      <c r="N15" s="49"/>
      <c r="O15" s="34"/>
      <c r="P15" s="34"/>
      <c r="R15" s="34"/>
      <c r="S15" s="167"/>
      <c r="T15" s="34"/>
    </row>
    <row r="16" spans="1:23" ht="16.5" thickBot="1">
      <c r="A16" s="179" t="s">
        <v>73</v>
      </c>
      <c r="B16" s="44">
        <f>'Step 4 Contract and Reserves'!B16</f>
        <v>0</v>
      </c>
      <c r="C16" s="44">
        <f>'Step 3 Acad Product &amp; Pools'!C16</f>
        <v>0</v>
      </c>
      <c r="D16" s="44"/>
      <c r="E16" s="44">
        <f>'Step 4 Contract and Reserves'!E16</f>
        <v>0</v>
      </c>
      <c r="F16" s="44"/>
      <c r="G16" s="44">
        <f>'Step 4 Contract and Reserves'!G16</f>
        <v>0</v>
      </c>
      <c r="H16" s="44">
        <f>'Step 4 Contract and Reserves'!H16</f>
        <v>0</v>
      </c>
      <c r="I16" s="44">
        <f>'Step 4 Contract and Reserves'!I16</f>
        <v>0</v>
      </c>
      <c r="J16" s="44">
        <f>'Step 4 Contract and Reserves'!J16</f>
        <v>0</v>
      </c>
      <c r="K16" s="44"/>
      <c r="L16" s="381">
        <f>'Step 4 Contract and Reserves'!L16</f>
        <v>20780776.088287428</v>
      </c>
      <c r="M16" s="381"/>
      <c r="N16" s="48"/>
      <c r="O16" s="381">
        <f>'Step 1 Dedicated Funds'!N16</f>
        <v>-129925.12999999999</v>
      </c>
      <c r="P16" s="381">
        <f>SUM('Step 1 Dedicated Funds'!O16:T16)</f>
        <v>3655745</v>
      </c>
      <c r="R16" s="44">
        <f t="shared" ref="R16:R34" si="1">SUM(B16:P16)</f>
        <v>24306595.958287429</v>
      </c>
      <c r="S16" s="168"/>
      <c r="T16" s="241">
        <v>24815559</v>
      </c>
      <c r="V16" s="167" t="s">
        <v>1536</v>
      </c>
      <c r="W16" s="167"/>
    </row>
    <row r="17" spans="1:23">
      <c r="A17" s="54" t="s">
        <v>74</v>
      </c>
      <c r="B17" s="48">
        <f>'Step 4 Contract and Reserves'!B17</f>
        <v>0</v>
      </c>
      <c r="C17" s="48">
        <f>'Step 3 Acad Product &amp; Pools'!C17</f>
        <v>0</v>
      </c>
      <c r="D17" s="48"/>
      <c r="E17" s="48">
        <f>'Step 4 Contract and Reserves'!E17</f>
        <v>0</v>
      </c>
      <c r="F17" s="48"/>
      <c r="G17" s="48">
        <f>'Step 4 Contract and Reserves'!G17</f>
        <v>0</v>
      </c>
      <c r="H17" s="48">
        <f>'Step 4 Contract and Reserves'!H17</f>
        <v>0</v>
      </c>
      <c r="I17" s="48">
        <f>'Step 4 Contract and Reserves'!I17</f>
        <v>0</v>
      </c>
      <c r="J17" s="48">
        <f>'Step 4 Contract and Reserves'!J17</f>
        <v>0</v>
      </c>
      <c r="K17" s="48"/>
      <c r="L17" s="382">
        <f>'Step 4 Contract and Reserves'!L17</f>
        <v>18571463.202492423</v>
      </c>
      <c r="M17" s="382"/>
      <c r="N17" s="48"/>
      <c r="O17" s="382">
        <f>'Step 1 Dedicated Funds'!N17</f>
        <v>-27905.178</v>
      </c>
      <c r="P17" s="382">
        <f>SUM('Step 1 Dedicated Funds'!O17:T17)</f>
        <v>3222744.8739999998</v>
      </c>
      <c r="R17" s="48">
        <f t="shared" si="1"/>
        <v>21766302.898492426</v>
      </c>
      <c r="S17" s="168"/>
      <c r="T17" s="821">
        <v>20462422</v>
      </c>
      <c r="V17" s="306" t="s">
        <v>1494</v>
      </c>
      <c r="W17" s="1369"/>
    </row>
    <row r="18" spans="1:23">
      <c r="A18" s="178" t="s">
        <v>75</v>
      </c>
      <c r="B18" s="48">
        <f>'Step 4 Contract and Reserves'!B18</f>
        <v>0</v>
      </c>
      <c r="C18" s="48">
        <f>'Step 3 Acad Product &amp; Pools'!C18</f>
        <v>0</v>
      </c>
      <c r="D18" s="48"/>
      <c r="E18" s="48">
        <f>'Step 4 Contract and Reserves'!E18</f>
        <v>0</v>
      </c>
      <c r="F18" s="48"/>
      <c r="G18" s="48">
        <f>'Step 4 Contract and Reserves'!G18</f>
        <v>0</v>
      </c>
      <c r="H18" s="48">
        <f>'Step 4 Contract and Reserves'!H18</f>
        <v>0</v>
      </c>
      <c r="I18" s="48">
        <f>'Step 4 Contract and Reserves'!I18</f>
        <v>0</v>
      </c>
      <c r="J18" s="48">
        <f>'Step 4 Contract and Reserves'!J18</f>
        <v>0</v>
      </c>
      <c r="K18" s="48"/>
      <c r="L18" s="382">
        <f>'Step 4 Contract and Reserves'!L18</f>
        <v>48274832.848570772</v>
      </c>
      <c r="M18" s="382"/>
      <c r="N18" s="48"/>
      <c r="O18" s="382">
        <f>'Step 1 Dedicated Funds'!N18</f>
        <v>-629629.88800000004</v>
      </c>
      <c r="P18" s="382">
        <f>SUM('Step 1 Dedicated Funds'!O18:T18)</f>
        <v>20155899.276666667</v>
      </c>
      <c r="R18" s="48">
        <f t="shared" si="1"/>
        <v>67801102.237237439</v>
      </c>
      <c r="S18" s="168"/>
      <c r="T18" s="821">
        <v>64222079</v>
      </c>
      <c r="V18" s="1370" t="s">
        <v>1756</v>
      </c>
      <c r="W18" s="1371">
        <f>8383602-20000</f>
        <v>8363602</v>
      </c>
    </row>
    <row r="19" spans="1:23">
      <c r="A19" s="179" t="s">
        <v>76</v>
      </c>
      <c r="B19" s="44">
        <f>'Step 4 Contract and Reserves'!B19</f>
        <v>0</v>
      </c>
      <c r="C19" s="44">
        <f>'Step 3 Acad Product &amp; Pools'!C19</f>
        <v>0</v>
      </c>
      <c r="D19" s="44"/>
      <c r="E19" s="44">
        <f>'Step 4 Contract and Reserves'!E19</f>
        <v>750000</v>
      </c>
      <c r="F19" s="44"/>
      <c r="G19" s="44">
        <f>'Step 4 Contract and Reserves'!G19</f>
        <v>0</v>
      </c>
      <c r="H19" s="44">
        <f>'Step 4 Contract and Reserves'!H19</f>
        <v>0</v>
      </c>
      <c r="I19" s="44">
        <f>'Step 4 Contract and Reserves'!I19</f>
        <v>0</v>
      </c>
      <c r="J19" s="44">
        <f>'Step 4 Contract and Reserves'!J19</f>
        <v>0</v>
      </c>
      <c r="K19" s="44"/>
      <c r="L19" s="381">
        <f>'Step 4 Contract and Reserves'!L19</f>
        <v>5641472.7866717987</v>
      </c>
      <c r="M19" s="381"/>
      <c r="N19" s="48"/>
      <c r="O19" s="381">
        <f>'Step 1 Dedicated Funds'!N19</f>
        <v>-206605.74669999999</v>
      </c>
      <c r="P19" s="381">
        <f>SUM('Step 1 Dedicated Funds'!O19:T19)</f>
        <v>3349197.25</v>
      </c>
      <c r="R19" s="44">
        <f t="shared" si="1"/>
        <v>9534064.2899717987</v>
      </c>
      <c r="S19" s="168"/>
      <c r="T19" s="241">
        <v>9355600</v>
      </c>
      <c r="V19" s="1370" t="s">
        <v>1432</v>
      </c>
      <c r="W19" s="1371">
        <v>128216</v>
      </c>
    </row>
    <row r="20" spans="1:23">
      <c r="A20" s="54" t="s">
        <v>77</v>
      </c>
      <c r="B20" s="48">
        <f>'Step 4 Contract and Reserves'!B20</f>
        <v>0</v>
      </c>
      <c r="C20" s="48">
        <v>250000</v>
      </c>
      <c r="D20" s="48"/>
      <c r="E20" s="48">
        <f>'Step 4 Contract and Reserves'!E20</f>
        <v>0</v>
      </c>
      <c r="F20" s="48"/>
      <c r="G20" s="48">
        <f>'Step 4 Contract and Reserves'!G20</f>
        <v>0</v>
      </c>
      <c r="H20" s="48">
        <f>'Step 4 Contract and Reserves'!H20</f>
        <v>0</v>
      </c>
      <c r="I20" s="48">
        <f>'Step 4 Contract and Reserves'!I20</f>
        <v>0</v>
      </c>
      <c r="J20" s="48">
        <f>'Step 4 Contract and Reserves'!J20</f>
        <v>0</v>
      </c>
      <c r="K20" s="48"/>
      <c r="L20" s="382">
        <f>'Step 4 Contract and Reserves'!L20</f>
        <v>16989778.787978765</v>
      </c>
      <c r="M20" s="382"/>
      <c r="N20" s="48"/>
      <c r="O20" s="382">
        <f>'Step 1 Dedicated Funds'!N20</f>
        <v>-100853.046</v>
      </c>
      <c r="P20" s="382">
        <f>SUM('Step 1 Dedicated Funds'!O20:T20)</f>
        <v>2262879</v>
      </c>
      <c r="R20" s="48">
        <f t="shared" si="1"/>
        <v>19401804.741978765</v>
      </c>
      <c r="S20" s="168"/>
      <c r="T20" s="821">
        <v>20440194</v>
      </c>
      <c r="V20" s="1370" t="s">
        <v>1500</v>
      </c>
      <c r="W20" s="1371">
        <v>162000</v>
      </c>
    </row>
    <row r="21" spans="1:23">
      <c r="A21" s="178" t="s">
        <v>78</v>
      </c>
      <c r="B21" s="48">
        <f>'Step 4 Contract and Reserves'!B21</f>
        <v>0</v>
      </c>
      <c r="C21" s="48"/>
      <c r="D21" s="48"/>
      <c r="E21" s="48">
        <f>'Step 4 Contract and Reserves'!E21</f>
        <v>250000</v>
      </c>
      <c r="F21" s="48"/>
      <c r="G21" s="48">
        <f>'Step 4 Contract and Reserves'!G21</f>
        <v>0</v>
      </c>
      <c r="H21" s="48">
        <f>'Step 4 Contract and Reserves'!H21</f>
        <v>0</v>
      </c>
      <c r="I21" s="48">
        <f>'Step 4 Contract and Reserves'!I21</f>
        <v>0</v>
      </c>
      <c r="J21" s="48">
        <f>'Step 4 Contract and Reserves'!J21</f>
        <v>0</v>
      </c>
      <c r="K21" s="48"/>
      <c r="L21" s="382">
        <f>'Step 4 Contract and Reserves'!L21</f>
        <v>4689577.0242793197</v>
      </c>
      <c r="M21" s="382"/>
      <c r="N21" s="48"/>
      <c r="O21" s="382">
        <f>'Step 1 Dedicated Funds'!N21</f>
        <v>-5920</v>
      </c>
      <c r="P21" s="382">
        <f>SUM('Step 1 Dedicated Funds'!O21:T21)</f>
        <v>105000</v>
      </c>
      <c r="R21" s="48">
        <f t="shared" si="1"/>
        <v>5038657.0242793197</v>
      </c>
      <c r="S21" s="168"/>
      <c r="T21" s="821">
        <v>4830008</v>
      </c>
      <c r="V21" s="1370" t="s">
        <v>1676</v>
      </c>
      <c r="W21" s="1371">
        <v>-81000</v>
      </c>
    </row>
    <row r="22" spans="1:23">
      <c r="A22" s="179" t="s">
        <v>79</v>
      </c>
      <c r="B22" s="44">
        <f>'Step 4 Contract and Reserves'!B22</f>
        <v>0</v>
      </c>
      <c r="C22" s="44">
        <v>300000</v>
      </c>
      <c r="D22" s="44"/>
      <c r="E22" s="44">
        <f>'Step 4 Contract and Reserves'!E22</f>
        <v>0</v>
      </c>
      <c r="F22" s="44"/>
      <c r="G22" s="44">
        <f>'Step 4 Contract and Reserves'!G22</f>
        <v>0</v>
      </c>
      <c r="H22" s="44">
        <f>'Step 4 Contract and Reserves'!H22</f>
        <v>0</v>
      </c>
      <c r="I22" s="44">
        <f>'Step 4 Contract and Reserves'!I22</f>
        <v>0</v>
      </c>
      <c r="J22" s="44">
        <f>'Step 4 Contract and Reserves'!J22</f>
        <v>0</v>
      </c>
      <c r="K22" s="44"/>
      <c r="L22" s="381">
        <f>'Step 4 Contract and Reserves'!L22</f>
        <v>42856488.683382079</v>
      </c>
      <c r="M22" s="381"/>
      <c r="N22" s="48"/>
      <c r="O22" s="381">
        <f>'Step 1 Dedicated Funds'!N22</f>
        <v>-124520.466</v>
      </c>
      <c r="P22" s="381">
        <f>SUM('Step 1 Dedicated Funds'!O22:T22)</f>
        <v>1762709</v>
      </c>
      <c r="R22" s="44">
        <f t="shared" si="1"/>
        <v>44794677.217382081</v>
      </c>
      <c r="S22" s="168"/>
      <c r="T22" s="241">
        <v>45922830</v>
      </c>
      <c r="V22" s="1370" t="s">
        <v>1499</v>
      </c>
      <c r="W22" s="1371">
        <v>56613</v>
      </c>
    </row>
    <row r="23" spans="1:23">
      <c r="A23" s="178" t="s">
        <v>80</v>
      </c>
      <c r="B23" s="48">
        <f>'Step 4 Contract and Reserves'!B23</f>
        <v>0</v>
      </c>
      <c r="C23" s="48">
        <v>10875</v>
      </c>
      <c r="D23" s="48"/>
      <c r="E23" s="48">
        <f>'Step 4 Contract and Reserves'!E23</f>
        <v>2600000</v>
      </c>
      <c r="F23" s="48"/>
      <c r="G23" s="48">
        <f>'Step 4 Contract and Reserves'!G23</f>
        <v>0</v>
      </c>
      <c r="H23" s="48">
        <f>'Step 4 Contract and Reserves'!H23</f>
        <v>0</v>
      </c>
      <c r="I23" s="48">
        <f>'Step 4 Contract and Reserves'!I23</f>
        <v>0</v>
      </c>
      <c r="J23" s="48">
        <f>'Step 4 Contract and Reserves'!J23</f>
        <v>0</v>
      </c>
      <c r="K23" s="48"/>
      <c r="L23" s="382">
        <f>'Step 4 Contract and Reserves'!L23</f>
        <v>8391763.3001100272</v>
      </c>
      <c r="M23" s="382"/>
      <c r="N23" s="48"/>
      <c r="O23" s="382">
        <f>'Step 1 Dedicated Funds'!N23</f>
        <v>-76433.248019999999</v>
      </c>
      <c r="P23" s="382">
        <f>SUM('Step 1 Dedicated Funds'!O23:T23)</f>
        <v>8032881.7300000004</v>
      </c>
      <c r="R23" s="48">
        <f t="shared" si="1"/>
        <v>18959086.782090027</v>
      </c>
      <c r="S23" s="168"/>
      <c r="T23" s="821">
        <v>14831995</v>
      </c>
      <c r="V23" s="1370" t="s">
        <v>1496</v>
      </c>
      <c r="W23" s="1371">
        <v>59195</v>
      </c>
    </row>
    <row r="24" spans="1:23">
      <c r="A24" s="178" t="s">
        <v>81</v>
      </c>
      <c r="B24" s="55">
        <f>'Step 4 Contract and Reserves'!B24</f>
        <v>0</v>
      </c>
      <c r="C24" s="55"/>
      <c r="D24" s="55"/>
      <c r="E24" s="55">
        <f>'Step 4 Contract and Reserves'!E24</f>
        <v>2930000</v>
      </c>
      <c r="F24" s="55"/>
      <c r="G24" s="55">
        <f>'Step 4 Contract and Reserves'!G24</f>
        <v>0</v>
      </c>
      <c r="H24" s="55">
        <f>'Step 4 Contract and Reserves'!H24</f>
        <v>0</v>
      </c>
      <c r="I24" s="55">
        <f>'Step 4 Contract and Reserves'!I24</f>
        <v>0</v>
      </c>
      <c r="J24" s="55">
        <f>'Step 4 Contract and Reserves'!J24</f>
        <v>0</v>
      </c>
      <c r="K24" s="55"/>
      <c r="L24" s="383">
        <f>'Step 4 Contract and Reserves'!L24</f>
        <v>4143448.147322949</v>
      </c>
      <c r="M24" s="383"/>
      <c r="N24" s="55"/>
      <c r="O24" s="383">
        <f>'Step 1 Dedicated Funds'!N24</f>
        <v>-109608.874</v>
      </c>
      <c r="P24" s="383">
        <f>SUM('Step 1 Dedicated Funds'!O24:T24)</f>
        <v>5749942.5599999996</v>
      </c>
      <c r="R24" s="55">
        <f t="shared" si="1"/>
        <v>12713781.83332295</v>
      </c>
      <c r="S24" s="168"/>
      <c r="T24" s="821">
        <v>12737398</v>
      </c>
      <c r="V24" s="1370" t="s">
        <v>1497</v>
      </c>
      <c r="W24" s="1371">
        <v>39573</v>
      </c>
    </row>
    <row r="25" spans="1:23">
      <c r="A25" s="179" t="s">
        <v>82</v>
      </c>
      <c r="B25" s="44">
        <f>'Step 4 Contract and Reserves'!B25</f>
        <v>0</v>
      </c>
      <c r="C25" s="44">
        <f>750000+19226</f>
        <v>769226</v>
      </c>
      <c r="D25" s="44"/>
      <c r="E25" s="44">
        <f>'Step 4 Contract and Reserves'!E25</f>
        <v>0</v>
      </c>
      <c r="F25" s="44"/>
      <c r="G25" s="44">
        <f>'Step 4 Contract and Reserves'!G25</f>
        <v>0</v>
      </c>
      <c r="H25" s="44">
        <f>'Step 4 Contract and Reserves'!H25</f>
        <v>0</v>
      </c>
      <c r="I25" s="44">
        <f>'Step 4 Contract and Reserves'!I25</f>
        <v>0</v>
      </c>
      <c r="J25" s="44">
        <f>'Step 4 Contract and Reserves'!J25</f>
        <v>0</v>
      </c>
      <c r="K25" s="44"/>
      <c r="L25" s="381">
        <f>'Step 4 Contract and Reserves'!L25</f>
        <v>39503713.479171857</v>
      </c>
      <c r="M25" s="381"/>
      <c r="N25" s="48"/>
      <c r="O25" s="381">
        <f>'Step 1 Dedicated Funds'!N25</f>
        <v>-117008.57799999999</v>
      </c>
      <c r="P25" s="381">
        <f>SUM('Step 1 Dedicated Funds'!O25:T25)</f>
        <v>2381197</v>
      </c>
      <c r="R25" s="44">
        <f t="shared" si="1"/>
        <v>42537127.901171856</v>
      </c>
      <c r="S25" s="168"/>
      <c r="T25" s="241">
        <v>42113801</v>
      </c>
      <c r="V25" s="1370" t="s">
        <v>1498</v>
      </c>
      <c r="W25" s="1371">
        <v>8157</v>
      </c>
    </row>
    <row r="26" spans="1:23">
      <c r="A26" s="178" t="s">
        <v>83</v>
      </c>
      <c r="B26" s="55">
        <f>'Step 4 Contract and Reserves'!B26</f>
        <v>0</v>
      </c>
      <c r="C26" s="55">
        <v>120828</v>
      </c>
      <c r="D26" s="55"/>
      <c r="E26" s="55">
        <f>'Step 4 Contract and Reserves'!E26</f>
        <v>7210000</v>
      </c>
      <c r="F26" s="55"/>
      <c r="G26" s="55">
        <f>'Step 4 Contract and Reserves'!G26</f>
        <v>0</v>
      </c>
      <c r="H26" s="55">
        <f>'Step 4 Contract and Reserves'!H26</f>
        <v>0</v>
      </c>
      <c r="I26" s="55">
        <f>'Step 4 Contract and Reserves'!I26</f>
        <v>0</v>
      </c>
      <c r="J26" s="55">
        <f>'Step 4 Contract and Reserves'!J26</f>
        <v>0</v>
      </c>
      <c r="K26" s="55"/>
      <c r="L26" s="383">
        <f>'Step 4 Contract and Reserves'!L26</f>
        <v>2879613.1700006318</v>
      </c>
      <c r="M26" s="383"/>
      <c r="N26" s="55"/>
      <c r="O26" s="383">
        <f>'Step 1 Dedicated Funds'!N26</f>
        <v>-1047873.6699999999</v>
      </c>
      <c r="P26" s="383">
        <f>SUM('Step 1 Dedicated Funds'!O26:T26)</f>
        <v>17286699.48</v>
      </c>
      <c r="R26" s="55">
        <f t="shared" si="1"/>
        <v>26449266.98000063</v>
      </c>
      <c r="S26" s="168"/>
      <c r="T26" s="821">
        <v>24909417</v>
      </c>
      <c r="V26" s="1370" t="s">
        <v>1675</v>
      </c>
      <c r="W26" s="1371">
        <v>30000</v>
      </c>
    </row>
    <row r="27" spans="1:23">
      <c r="A27" s="178" t="s">
        <v>84</v>
      </c>
      <c r="B27" s="48">
        <f>'Step 4 Contract and Reserves'!B27</f>
        <v>0</v>
      </c>
      <c r="C27" s="48"/>
      <c r="D27" s="48"/>
      <c r="E27" s="48">
        <f>'Step 4 Contract and Reserves'!E27</f>
        <v>0</v>
      </c>
      <c r="F27" s="48"/>
      <c r="G27" s="48">
        <f>'Step 4 Contract and Reserves'!G27</f>
        <v>0</v>
      </c>
      <c r="H27" s="48">
        <f>'Step 4 Contract and Reserves'!H27</f>
        <v>0</v>
      </c>
      <c r="I27" s="48">
        <f>'Step 4 Contract and Reserves'!I27</f>
        <v>0</v>
      </c>
      <c r="J27" s="48">
        <f>'Step 4 Contract and Reserves'!J27</f>
        <v>0</v>
      </c>
      <c r="K27" s="48"/>
      <c r="L27" s="382">
        <f>'Step 4 Contract and Reserves'!L27</f>
        <v>0</v>
      </c>
      <c r="M27" s="382"/>
      <c r="N27" s="48"/>
      <c r="O27" s="382">
        <f>'Step 1 Dedicated Funds'!N27</f>
        <v>0</v>
      </c>
      <c r="P27" s="382">
        <f>SUM('Step 1 Dedicated Funds'!O27:T27)</f>
        <v>0</v>
      </c>
      <c r="R27" s="48">
        <f t="shared" si="1"/>
        <v>0</v>
      </c>
      <c r="S27" s="168"/>
      <c r="T27" s="821">
        <v>543366</v>
      </c>
      <c r="V27" s="1509" t="s">
        <v>1495</v>
      </c>
      <c r="W27" s="1371">
        <v>85000</v>
      </c>
    </row>
    <row r="28" spans="1:23" ht="16.5" thickBot="1">
      <c r="A28" s="179" t="s">
        <v>85</v>
      </c>
      <c r="B28" s="44">
        <f>'Step 4 Contract and Reserves'!B28</f>
        <v>0</v>
      </c>
      <c r="C28" s="44"/>
      <c r="D28" s="44"/>
      <c r="E28" s="44">
        <f>'Step 4 Contract and Reserves'!E28</f>
        <v>0</v>
      </c>
      <c r="F28" s="44"/>
      <c r="G28" s="44">
        <f>'Step 4 Contract and Reserves'!G28</f>
        <v>0</v>
      </c>
      <c r="H28" s="44">
        <f>'Step 4 Contract and Reserves'!H28</f>
        <v>0</v>
      </c>
      <c r="I28" s="44">
        <f>'Step 4 Contract and Reserves'!I28</f>
        <v>0</v>
      </c>
      <c r="J28" s="44">
        <f>'Step 4 Contract and Reserves'!J28</f>
        <v>0</v>
      </c>
      <c r="K28" s="44"/>
      <c r="L28" s="381">
        <f>'Step 4 Contract and Reserves'!L28</f>
        <v>1847054.2942578935</v>
      </c>
      <c r="M28" s="381"/>
      <c r="N28" s="48"/>
      <c r="O28" s="381">
        <f>'Step 1 Dedicated Funds'!N28</f>
        <v>-12506</v>
      </c>
      <c r="P28" s="381">
        <f>SUM('Step 1 Dedicated Funds'!O28:T28)</f>
        <v>1608386</v>
      </c>
      <c r="R28" s="44">
        <f t="shared" si="1"/>
        <v>3442934.2942578932</v>
      </c>
      <c r="S28" s="168"/>
      <c r="T28" s="241">
        <v>2839964</v>
      </c>
      <c r="V28" s="1372" t="s">
        <v>1501</v>
      </c>
      <c r="W28" s="1420">
        <f>SUM(W18:W27)</f>
        <v>8851356</v>
      </c>
    </row>
    <row r="29" spans="1:23" ht="16.5" thickBot="1">
      <c r="A29" s="54" t="s">
        <v>87</v>
      </c>
      <c r="B29" s="55">
        <f>'Step 4 Contract and Reserves'!B29</f>
        <v>0</v>
      </c>
      <c r="C29" s="55"/>
      <c r="D29" s="55"/>
      <c r="E29" s="55">
        <f>'Step 4 Contract and Reserves'!E29</f>
        <v>0</v>
      </c>
      <c r="F29" s="55"/>
      <c r="G29" s="55">
        <f>'Step 4 Contract and Reserves'!G29</f>
        <v>0</v>
      </c>
      <c r="H29" s="55">
        <f>'Step 4 Contract and Reserves'!H29</f>
        <v>0</v>
      </c>
      <c r="I29" s="55">
        <f>'Step 4 Contract and Reserves'!I29</f>
        <v>0</v>
      </c>
      <c r="J29" s="55">
        <f>'Step 4 Contract and Reserves'!J29</f>
        <v>0</v>
      </c>
      <c r="K29" s="55"/>
      <c r="L29" s="55">
        <f>'Step 4 Contract and Reserves'!L29</f>
        <v>0</v>
      </c>
      <c r="M29" s="55"/>
      <c r="N29" s="55"/>
      <c r="O29" s="55">
        <f>'Step 1 Dedicated Funds'!N29</f>
        <v>0</v>
      </c>
      <c r="P29" s="55">
        <f>SUM('Step 1 Dedicated Funds'!O29:T29)</f>
        <v>20115497</v>
      </c>
      <c r="Q29" s="46"/>
      <c r="R29" s="55">
        <f t="shared" si="1"/>
        <v>20115497</v>
      </c>
      <c r="S29" s="168"/>
      <c r="T29" s="821">
        <v>18786975</v>
      </c>
    </row>
    <row r="30" spans="1:23">
      <c r="A30" s="178" t="s">
        <v>88</v>
      </c>
      <c r="B30" s="48">
        <f>'Step 4 Contract and Reserves'!B30</f>
        <v>0</v>
      </c>
      <c r="C30" s="48"/>
      <c r="D30" s="48"/>
      <c r="E30" s="48">
        <f>'Step 4 Contract and Reserves'!E30</f>
        <v>0</v>
      </c>
      <c r="F30" s="48"/>
      <c r="G30" s="48">
        <f>'Step 4 Contract and Reserves'!G30</f>
        <v>0</v>
      </c>
      <c r="H30" s="48">
        <f>'Step 4 Contract and Reserves'!H30</f>
        <v>0</v>
      </c>
      <c r="I30" s="48">
        <f>'Step 4 Contract and Reserves'!I30</f>
        <v>0</v>
      </c>
      <c r="J30" s="48">
        <f>'Step 4 Contract and Reserves'!J30</f>
        <v>0</v>
      </c>
      <c r="K30" s="48"/>
      <c r="L30" s="48">
        <f>'Step 4 Contract and Reserves'!L30</f>
        <v>0</v>
      </c>
      <c r="M30" s="48"/>
      <c r="N30" s="48"/>
      <c r="O30" s="48">
        <f>'Step 1 Dedicated Funds'!N30</f>
        <v>0</v>
      </c>
      <c r="P30" s="48">
        <f>SUM('Step 1 Dedicated Funds'!O30:T30)</f>
        <v>3440000</v>
      </c>
      <c r="Q30" s="46"/>
      <c r="R30" s="48">
        <f t="shared" si="1"/>
        <v>3440000</v>
      </c>
      <c r="S30" s="168"/>
      <c r="T30" s="241">
        <v>3296000</v>
      </c>
      <c r="V30" s="1374" t="s">
        <v>1502</v>
      </c>
      <c r="W30" s="400"/>
    </row>
    <row r="31" spans="1:23">
      <c r="A31" s="368" t="s">
        <v>461</v>
      </c>
      <c r="B31" s="228">
        <f>'Step 4 Contract and Reserves'!B31</f>
        <v>0</v>
      </c>
      <c r="C31" s="228"/>
      <c r="D31" s="228"/>
      <c r="E31" s="228">
        <f>'Step 4 Contract and Reserves'!E31</f>
        <v>0</v>
      </c>
      <c r="F31" s="228"/>
      <c r="G31" s="228">
        <f>'Step 4 Contract and Reserves'!G31</f>
        <v>0</v>
      </c>
      <c r="H31" s="228">
        <f>'Step 4 Contract and Reserves'!H31</f>
        <v>0</v>
      </c>
      <c r="I31" s="228">
        <f>'Step 4 Contract and Reserves'!I31</f>
        <v>0</v>
      </c>
      <c r="J31" s="228">
        <f>'Step 4 Contract and Reserves'!J31</f>
        <v>0</v>
      </c>
      <c r="K31" s="228"/>
      <c r="L31" s="228">
        <f>'Step 4 Contract and Reserves'!L31</f>
        <v>331301.32802384964</v>
      </c>
      <c r="M31" s="228"/>
      <c r="N31" s="48"/>
      <c r="O31" s="228">
        <f>'Step 1 Dedicated Funds'!N31</f>
        <v>-259</v>
      </c>
      <c r="P31" s="228">
        <f>SUM('Step 1 Dedicated Funds'!O31:T31)</f>
        <v>3500</v>
      </c>
      <c r="Q31" s="46"/>
      <c r="R31" s="228">
        <f t="shared" si="1"/>
        <v>334542.32802384964</v>
      </c>
      <c r="S31" s="168"/>
      <c r="T31" s="821">
        <v>4706010</v>
      </c>
      <c r="V31" s="1370" t="s">
        <v>1433</v>
      </c>
      <c r="W31" s="1371">
        <v>1435806</v>
      </c>
    </row>
    <row r="32" spans="1:23">
      <c r="A32" s="367" t="s">
        <v>462</v>
      </c>
      <c r="B32" s="55">
        <f>'Step 4 Contract and Reserves'!B32</f>
        <v>0</v>
      </c>
      <c r="C32" s="55"/>
      <c r="D32" s="55"/>
      <c r="E32" s="55">
        <f>'Step 4 Contract and Reserves'!E32</f>
        <v>0</v>
      </c>
      <c r="F32" s="55"/>
      <c r="G32" s="55">
        <f>'Step 4 Contract and Reserves'!G32</f>
        <v>0</v>
      </c>
      <c r="H32" s="55">
        <f>'Step 4 Contract and Reserves'!H32</f>
        <v>0</v>
      </c>
      <c r="I32" s="55">
        <f>'Step 4 Contract and Reserves'!I32</f>
        <v>0</v>
      </c>
      <c r="J32" s="55">
        <f>'Step 4 Contract and Reserves'!J32</f>
        <v>0</v>
      </c>
      <c r="K32" s="55"/>
      <c r="L32" s="55">
        <f>'Step 4 Contract and Reserves'!L32</f>
        <v>1374528.9702927922</v>
      </c>
      <c r="M32" s="55"/>
      <c r="N32" s="55"/>
      <c r="O32" s="55">
        <f>'Step 1 Dedicated Funds'!N32</f>
        <v>0</v>
      </c>
      <c r="P32" s="55">
        <f>SUM('Step 1 Dedicated Funds'!O32:T32)</f>
        <v>0</v>
      </c>
      <c r="Q32" s="46"/>
      <c r="R32" s="55">
        <f t="shared" si="1"/>
        <v>1374528.9702927922</v>
      </c>
      <c r="S32" s="168"/>
      <c r="T32" s="821">
        <v>838394</v>
      </c>
      <c r="V32" s="1370" t="s">
        <v>1677</v>
      </c>
      <c r="W32" s="1371">
        <v>81000</v>
      </c>
    </row>
    <row r="33" spans="1:23">
      <c r="A33" s="178" t="s">
        <v>89</v>
      </c>
      <c r="B33" s="48">
        <f>'Step 4 Contract and Reserves'!B33</f>
        <v>0</v>
      </c>
      <c r="C33" s="48"/>
      <c r="D33" s="48"/>
      <c r="E33" s="48">
        <f>'Step 4 Contract and Reserves'!E33</f>
        <v>0</v>
      </c>
      <c r="F33" s="48"/>
      <c r="G33" s="48">
        <f>'Step 4 Contract and Reserves'!G33</f>
        <v>0</v>
      </c>
      <c r="H33" s="48">
        <f>'Step 4 Contract and Reserves'!H33</f>
        <v>0</v>
      </c>
      <c r="I33" s="48">
        <f>'Step 4 Contract and Reserves'!I33</f>
        <v>0</v>
      </c>
      <c r="J33" s="48">
        <f>'Step 4 Contract and Reserves'!J33</f>
        <v>0</v>
      </c>
      <c r="K33" s="48"/>
      <c r="L33" s="48">
        <f>'Step 4 Contract and Reserves'!L33</f>
        <v>3206.9413329626632</v>
      </c>
      <c r="M33" s="48"/>
      <c r="N33" s="48"/>
      <c r="O33" s="48">
        <f>'Step 1 Dedicated Funds'!N33</f>
        <v>-22210.36</v>
      </c>
      <c r="P33" s="48">
        <f>SUM('Step 1 Dedicated Funds'!O33:T33)</f>
        <v>2880140</v>
      </c>
      <c r="Q33" s="46"/>
      <c r="R33" s="48">
        <f t="shared" si="1"/>
        <v>2861136.5813329625</v>
      </c>
      <c r="S33" s="168"/>
      <c r="T33" s="241">
        <v>14579961</v>
      </c>
      <c r="V33" s="1370" t="s">
        <v>1432</v>
      </c>
      <c r="W33" s="1371">
        <v>38734</v>
      </c>
    </row>
    <row r="34" spans="1:23" ht="16.5" thickBot="1">
      <c r="A34" s="368" t="s">
        <v>90</v>
      </c>
      <c r="B34" s="228">
        <f>'Step 4 Contract and Reserves'!B34</f>
        <v>0</v>
      </c>
      <c r="C34" s="228"/>
      <c r="D34" s="228"/>
      <c r="E34" s="228">
        <f>'Step 4 Contract and Reserves'!E34</f>
        <v>8400000</v>
      </c>
      <c r="F34" s="228"/>
      <c r="G34" s="228">
        <f>'Step 4 Contract and Reserves'!G34</f>
        <v>0</v>
      </c>
      <c r="H34" s="228">
        <f>'Step 4 Contract and Reserves'!H34</f>
        <v>0</v>
      </c>
      <c r="I34" s="228">
        <f>'Step 4 Contract and Reserves'!I34</f>
        <v>0</v>
      </c>
      <c r="J34" s="228">
        <f>'Step 4 Contract and Reserves'!J34</f>
        <v>0</v>
      </c>
      <c r="K34" s="228"/>
      <c r="L34" s="384">
        <f>'Step 4 Contract and Reserves'!L34</f>
        <v>849637.58558934915</v>
      </c>
      <c r="M34" s="384"/>
      <c r="N34" s="48"/>
      <c r="O34" s="384">
        <f>'Step 1 Dedicated Funds'!N34</f>
        <v>-100546.11176</v>
      </c>
      <c r="P34" s="384">
        <f>SUM('Step 1 Dedicated Funds'!O34:T34)</f>
        <v>2358731.2400000002</v>
      </c>
      <c r="Q34" s="46"/>
      <c r="R34" s="228">
        <f t="shared" si="1"/>
        <v>11507822.71382935</v>
      </c>
      <c r="S34" s="168"/>
      <c r="T34" s="821">
        <v>11354044</v>
      </c>
      <c r="V34" s="1372"/>
      <c r="W34" s="1373">
        <f>SUM(W31:W33)</f>
        <v>1555540</v>
      </c>
    </row>
    <row r="35" spans="1:23" ht="16.5" thickBot="1">
      <c r="A35" s="371" t="s">
        <v>91</v>
      </c>
      <c r="B35" s="372">
        <f>SUM(B16:B34)</f>
        <v>0</v>
      </c>
      <c r="C35" s="372">
        <f>SUM(C16:C34)</f>
        <v>1450929</v>
      </c>
      <c r="D35" s="372">
        <f>SUM(D16:D34)</f>
        <v>0</v>
      </c>
      <c r="E35" s="372">
        <f>SUM(E16:E34)</f>
        <v>22140000</v>
      </c>
      <c r="F35" s="372"/>
      <c r="G35" s="372">
        <f>SUM(G16:G34)</f>
        <v>0</v>
      </c>
      <c r="H35" s="372">
        <f>SUM(H16:H34)</f>
        <v>0</v>
      </c>
      <c r="I35" s="372">
        <f>SUM(I16:I34)</f>
        <v>0</v>
      </c>
      <c r="J35" s="372">
        <f>SUM(J16:J34)</f>
        <v>0</v>
      </c>
      <c r="K35" s="372"/>
      <c r="L35" s="372">
        <f>SUM(L16:L34)</f>
        <v>217128656.63776493</v>
      </c>
      <c r="M35" s="372">
        <f>SUM(M16:M34)</f>
        <v>0</v>
      </c>
      <c r="N35" s="372"/>
      <c r="O35" s="372">
        <f>SUM(O16:O34)</f>
        <v>-2711805.29648</v>
      </c>
      <c r="P35" s="372">
        <f>SUM(P16:P34)</f>
        <v>98371149.410666674</v>
      </c>
      <c r="Q35" s="46"/>
      <c r="R35" s="372">
        <f>SUM(R16:R34)</f>
        <v>336378929.75195158</v>
      </c>
      <c r="S35" s="168"/>
      <c r="T35" s="372">
        <f>SUM(T16:T34)</f>
        <v>341586017</v>
      </c>
    </row>
    <row r="36" spans="1:23">
      <c r="A36" s="178"/>
      <c r="B36" s="46"/>
      <c r="C36" s="46"/>
      <c r="D36" s="46"/>
      <c r="E36" s="46"/>
      <c r="F36" s="46"/>
      <c r="G36" s="46"/>
      <c r="H36" s="46"/>
      <c r="I36" s="46"/>
      <c r="J36" s="46"/>
      <c r="K36" s="46"/>
      <c r="L36" s="46"/>
      <c r="M36" s="46"/>
      <c r="N36" s="46"/>
      <c r="O36" s="46"/>
      <c r="P36" s="46"/>
      <c r="Q36" s="46"/>
      <c r="R36" s="46"/>
      <c r="S36" s="168"/>
      <c r="T36" s="43"/>
      <c r="V36" s="1374" t="s">
        <v>1503</v>
      </c>
      <c r="W36" s="400"/>
    </row>
    <row r="37" spans="1:23">
      <c r="A37" s="168"/>
      <c r="N37" s="46"/>
      <c r="Q37" s="46"/>
      <c r="S37" s="173"/>
      <c r="T37" s="173"/>
      <c r="V37" s="1505" t="s">
        <v>1433</v>
      </c>
      <c r="W37" s="1371">
        <v>8453610</v>
      </c>
    </row>
    <row r="38" spans="1:23">
      <c r="A38" s="54" t="s">
        <v>92</v>
      </c>
      <c r="B38" s="55"/>
      <c r="C38" s="55"/>
      <c r="D38" s="55"/>
      <c r="E38" s="55"/>
      <c r="F38" s="55"/>
      <c r="G38" s="55"/>
      <c r="H38" s="55"/>
      <c r="I38" s="55"/>
      <c r="J38" s="55"/>
      <c r="K38" s="55"/>
      <c r="L38" s="55"/>
      <c r="M38" s="55"/>
      <c r="N38" s="55"/>
      <c r="O38" s="55"/>
      <c r="P38" s="55"/>
      <c r="Q38" s="46"/>
      <c r="R38" s="55"/>
      <c r="S38" s="168"/>
      <c r="T38" s="55"/>
      <c r="V38" s="1506" t="s">
        <v>344</v>
      </c>
      <c r="W38" s="1503">
        <v>5500000</v>
      </c>
    </row>
    <row r="39" spans="1:23">
      <c r="A39" s="179" t="s">
        <v>93</v>
      </c>
      <c r="B39" s="44">
        <f>'Step 3 Acad Product &amp; Pools'!B39</f>
        <v>0</v>
      </c>
      <c r="C39" s="44">
        <v>320000</v>
      </c>
      <c r="D39" s="182">
        <f>W28</f>
        <v>8851356</v>
      </c>
      <c r="E39" s="182"/>
      <c r="F39" s="182"/>
      <c r="G39" s="182">
        <f>'Step 3 Acad Product &amp; Pools'!G39</f>
        <v>0</v>
      </c>
      <c r="H39" s="182">
        <f>'Step 3 Acad Product &amp; Pools'!H39</f>
        <v>0</v>
      </c>
      <c r="I39" s="182">
        <f>'Step 3 Acad Product &amp; Pools'!I39</f>
        <v>0</v>
      </c>
      <c r="J39" s="182">
        <f>'Step 3 Acad Product &amp; Pools'!J39</f>
        <v>0</v>
      </c>
      <c r="K39" s="182"/>
      <c r="L39" s="182">
        <f>SUM('Step 3 Acad Product &amp; Pools'!L39:Q39)</f>
        <v>11.536233093548432</v>
      </c>
      <c r="M39" s="182"/>
      <c r="N39" s="48"/>
      <c r="O39" s="182">
        <f>'Step 3 Acad Product &amp; Pools'!T39</f>
        <v>0</v>
      </c>
      <c r="P39" s="182">
        <f>'Step 3 Acad Product &amp; Pools'!U39</f>
        <v>0</v>
      </c>
      <c r="Q39" s="46"/>
      <c r="R39" s="44">
        <f t="shared" ref="R39:R57" si="2">SUM(B39:P39)</f>
        <v>9171367.5362330936</v>
      </c>
      <c r="S39" s="168"/>
      <c r="T39" s="241">
        <v>8383602</v>
      </c>
      <c r="V39" s="1506" t="s">
        <v>1586</v>
      </c>
      <c r="W39" s="1503">
        <v>1042368</v>
      </c>
    </row>
    <row r="40" spans="1:23">
      <c r="A40" s="367" t="s">
        <v>344</v>
      </c>
      <c r="B40" s="55"/>
      <c r="C40" s="55">
        <v>7340700</v>
      </c>
      <c r="D40" s="55"/>
      <c r="E40" s="55"/>
      <c r="F40" s="55"/>
      <c r="G40" s="55"/>
      <c r="H40" s="55"/>
      <c r="I40" s="55"/>
      <c r="J40" s="55"/>
      <c r="K40" s="55"/>
      <c r="L40" s="55"/>
      <c r="M40" s="55"/>
      <c r="N40" s="55"/>
      <c r="O40" s="55"/>
      <c r="P40" s="55"/>
      <c r="Q40" s="46"/>
      <c r="R40" s="55">
        <f t="shared" si="2"/>
        <v>7340700</v>
      </c>
      <c r="S40" s="168"/>
      <c r="T40" s="821">
        <v>5500000</v>
      </c>
      <c r="V40" s="1506" t="s">
        <v>491</v>
      </c>
      <c r="W40" s="1503">
        <v>55000</v>
      </c>
    </row>
    <row r="41" spans="1:23">
      <c r="A41" s="178" t="s">
        <v>94</v>
      </c>
      <c r="B41" s="55">
        <f>'Step 3 Acad Product &amp; Pools'!B41</f>
        <v>0</v>
      </c>
      <c r="C41" s="55">
        <v>26585</v>
      </c>
      <c r="D41" s="55"/>
      <c r="E41" s="55"/>
      <c r="F41" s="55"/>
      <c r="G41" s="55">
        <f>'Step 3 Acad Product &amp; Pools'!G41</f>
        <v>0</v>
      </c>
      <c r="H41" s="55">
        <f>'Step 3 Acad Product &amp; Pools'!H41</f>
        <v>0</v>
      </c>
      <c r="I41" s="55">
        <f>'Step 3 Acad Product &amp; Pools'!I41</f>
        <v>0</v>
      </c>
      <c r="J41" s="55">
        <f>'Step 3 Acad Product &amp; Pools'!J41</f>
        <v>0</v>
      </c>
      <c r="K41" s="55"/>
      <c r="L41" s="55">
        <f>SUM('Step 3 Acad Product &amp; Pools'!L41:Q41)</f>
        <v>0</v>
      </c>
      <c r="M41" s="55"/>
      <c r="N41" s="55"/>
      <c r="O41" s="55">
        <f>'Step 3 Acad Product &amp; Pools'!T41</f>
        <v>0</v>
      </c>
      <c r="P41" s="55">
        <f>'Step 3 Acad Product &amp; Pools'!U41</f>
        <v>0</v>
      </c>
      <c r="Q41" s="46"/>
      <c r="R41" s="55">
        <f t="shared" si="2"/>
        <v>26585</v>
      </c>
      <c r="S41" s="168"/>
      <c r="T41" s="821">
        <v>4019773</v>
      </c>
      <c r="V41" s="1506" t="s">
        <v>492</v>
      </c>
      <c r="W41" s="1508">
        <v>20000</v>
      </c>
    </row>
    <row r="42" spans="1:23">
      <c r="A42" s="54" t="s">
        <v>95</v>
      </c>
      <c r="B42" s="55">
        <f>'Step 3 Acad Product &amp; Pools'!B42</f>
        <v>0</v>
      </c>
      <c r="C42" s="55"/>
      <c r="D42" s="184">
        <f>W34-C42</f>
        <v>1555540</v>
      </c>
      <c r="E42" s="184"/>
      <c r="F42" s="184"/>
      <c r="G42" s="184">
        <f>'Step 3 Acad Product &amp; Pools'!G42</f>
        <v>0</v>
      </c>
      <c r="H42" s="184">
        <f>'Step 3 Acad Product &amp; Pools'!H42</f>
        <v>0</v>
      </c>
      <c r="I42" s="184">
        <f>'Step 3 Acad Product &amp; Pools'!I42</f>
        <v>0</v>
      </c>
      <c r="J42" s="184">
        <f>'Step 3 Acad Product &amp; Pools'!J42</f>
        <v>0</v>
      </c>
      <c r="K42" s="184"/>
      <c r="L42" s="184">
        <f>SUM('Step 3 Acad Product &amp; Pools'!L42:Q42)</f>
        <v>0</v>
      </c>
      <c r="M42" s="184"/>
      <c r="N42" s="55"/>
      <c r="O42" s="184">
        <f>'Step 3 Acad Product &amp; Pools'!T42</f>
        <v>0</v>
      </c>
      <c r="P42" s="184">
        <f>'Step 3 Acad Product &amp; Pools'!U42</f>
        <v>0</v>
      </c>
      <c r="Q42" s="46"/>
      <c r="R42" s="55">
        <f t="shared" si="2"/>
        <v>1555540</v>
      </c>
      <c r="S42" s="168"/>
      <c r="T42" s="821">
        <v>1435806</v>
      </c>
      <c r="V42" s="1506" t="s">
        <v>1596</v>
      </c>
      <c r="W42" s="1508">
        <v>25000</v>
      </c>
    </row>
    <row r="43" spans="1:23">
      <c r="A43" s="179" t="s">
        <v>96</v>
      </c>
      <c r="B43" s="44">
        <f>'Step 3 Acad Product &amp; Pools'!B43</f>
        <v>0</v>
      </c>
      <c r="C43" s="44">
        <f>7740700-C40</f>
        <v>400000</v>
      </c>
      <c r="D43" s="182">
        <f>W61-C43</f>
        <v>2613719</v>
      </c>
      <c r="E43" s="182"/>
      <c r="F43" s="182"/>
      <c r="G43" s="182">
        <f>'Step 3 Acad Product &amp; Pools'!G43</f>
        <v>0</v>
      </c>
      <c r="H43" s="182">
        <f>'Step 3 Acad Product &amp; Pools'!H43</f>
        <v>0</v>
      </c>
      <c r="I43" s="182">
        <f>'Step 3 Acad Product &amp; Pools'!I43</f>
        <v>0</v>
      </c>
      <c r="J43" s="182">
        <f>'Step 3 Acad Product &amp; Pools'!J43</f>
        <v>0</v>
      </c>
      <c r="K43" s="182"/>
      <c r="L43" s="182">
        <f>SUM('Step 3 Acad Product &amp; Pools'!L43:Q43)</f>
        <v>0</v>
      </c>
      <c r="M43" s="182"/>
      <c r="N43" s="48"/>
      <c r="O43" s="182">
        <f>'Step 3 Acad Product &amp; Pools'!T43</f>
        <v>0</v>
      </c>
      <c r="P43" s="182">
        <f>'Step 3 Acad Product &amp; Pools'!U43</f>
        <v>0</v>
      </c>
      <c r="Q43" s="46"/>
      <c r="R43" s="44">
        <f t="shared" si="2"/>
        <v>3013719</v>
      </c>
      <c r="S43" s="168"/>
      <c r="T43" s="241">
        <f>8453610-T40</f>
        <v>2953610</v>
      </c>
      <c r="U43" s="180"/>
      <c r="V43" s="1506" t="s">
        <v>1595</v>
      </c>
      <c r="W43" s="1508">
        <v>50000</v>
      </c>
    </row>
    <row r="44" spans="1:23">
      <c r="A44" s="178" t="s">
        <v>97</v>
      </c>
      <c r="B44" s="55">
        <f>'Step 3 Acad Product &amp; Pools'!B44</f>
        <v>0</v>
      </c>
      <c r="C44" s="55"/>
      <c r="D44" s="55"/>
      <c r="E44" s="55">
        <f>'Step 3 Acad Product &amp; Pools'!E44</f>
        <v>0</v>
      </c>
      <c r="F44" s="55"/>
      <c r="G44" s="55">
        <f>'Step 3 Acad Product &amp; Pools'!G44</f>
        <v>0</v>
      </c>
      <c r="H44" s="55">
        <f>'Step 3 Acad Product &amp; Pools'!H44</f>
        <v>0</v>
      </c>
      <c r="I44" s="55">
        <f>'Step 3 Acad Product &amp; Pools'!I44</f>
        <v>0</v>
      </c>
      <c r="J44" s="55">
        <f>'Step 3 Acad Product &amp; Pools'!J44</f>
        <v>0</v>
      </c>
      <c r="K44" s="55"/>
      <c r="L44" s="55">
        <f>SUM('Step 3 Acad Product &amp; Pools'!L44:Q44)</f>
        <v>45370.98588733653</v>
      </c>
      <c r="M44" s="55"/>
      <c r="N44" s="55"/>
      <c r="O44" s="55">
        <f>'Step 3 Acad Product &amp; Pools'!T44</f>
        <v>-244200</v>
      </c>
      <c r="P44" s="55">
        <f>'Step 3 Acad Product &amp; Pools'!U44</f>
        <v>3300000</v>
      </c>
      <c r="Q44" s="46"/>
      <c r="R44" s="55">
        <f t="shared" si="2"/>
        <v>3101170.9858873365</v>
      </c>
      <c r="S44" s="168"/>
      <c r="T44" s="821">
        <v>9724870</v>
      </c>
      <c r="V44" s="1506" t="s">
        <v>1587</v>
      </c>
      <c r="W44" s="1508">
        <v>200000</v>
      </c>
    </row>
    <row r="45" spans="1:23">
      <c r="A45" s="367" t="s">
        <v>483</v>
      </c>
      <c r="B45" s="55">
        <f>'Step 3 Acad Product &amp; Pools'!B45</f>
        <v>0</v>
      </c>
      <c r="C45" s="55"/>
      <c r="D45" s="55"/>
      <c r="E45" s="55">
        <f>'Step 3 Acad Product &amp; Pools'!E45</f>
        <v>0</v>
      </c>
      <c r="F45" s="55"/>
      <c r="G45" s="55">
        <f>'Step 3 Acad Product &amp; Pools'!G45</f>
        <v>0</v>
      </c>
      <c r="H45" s="55">
        <f>'Step 3 Acad Product &amp; Pools'!H45</f>
        <v>0</v>
      </c>
      <c r="I45" s="55">
        <f>'Step 3 Acad Product &amp; Pools'!I45</f>
        <v>0</v>
      </c>
      <c r="J45" s="55">
        <f>'Step 3 Acad Product &amp; Pools'!J45</f>
        <v>0</v>
      </c>
      <c r="K45" s="55"/>
      <c r="L45" s="55">
        <f>SUM('Step 3 Acad Product &amp; Pools'!L45:Q45)</f>
        <v>1837874.1717898159</v>
      </c>
      <c r="M45" s="55"/>
      <c r="N45" s="55"/>
      <c r="O45" s="55">
        <f>'Step 3 Acad Product &amp; Pools'!T45</f>
        <v>-278328.8</v>
      </c>
      <c r="P45" s="55">
        <f>'Step 3 Acad Product &amp; Pools'!U45</f>
        <v>3761200</v>
      </c>
      <c r="Q45" s="46"/>
      <c r="R45" s="55">
        <f t="shared" si="2"/>
        <v>5320745.3717898158</v>
      </c>
      <c r="S45" s="168"/>
      <c r="T45" s="821">
        <v>5000049</v>
      </c>
      <c r="V45" s="1506" t="s">
        <v>1590</v>
      </c>
      <c r="W45" s="1508">
        <v>425000</v>
      </c>
    </row>
    <row r="46" spans="1:23">
      <c r="A46" s="178" t="s">
        <v>98</v>
      </c>
      <c r="B46" s="55">
        <f>'Step 3 Acad Product &amp; Pools'!B46</f>
        <v>0</v>
      </c>
      <c r="C46" s="55"/>
      <c r="D46" s="55"/>
      <c r="E46" s="55">
        <f>'Step 3 Acad Product &amp; Pools'!E46</f>
        <v>0</v>
      </c>
      <c r="F46" s="55"/>
      <c r="G46" s="55">
        <f>'Step 3 Acad Product &amp; Pools'!G46</f>
        <v>0</v>
      </c>
      <c r="H46" s="55">
        <f>'Step 3 Acad Product &amp; Pools'!H46</f>
        <v>714133.56728000008</v>
      </c>
      <c r="I46" s="55">
        <f>'Step 3 Acad Product &amp; Pools'!I46</f>
        <v>0</v>
      </c>
      <c r="J46" s="55">
        <f>'Step 3 Acad Product &amp; Pools'!J46</f>
        <v>0</v>
      </c>
      <c r="K46" s="55"/>
      <c r="L46" s="55">
        <f>SUM('Step 3 Acad Product &amp; Pools'!L46:Q46)</f>
        <v>4591.4207712322759</v>
      </c>
      <c r="M46" s="55"/>
      <c r="N46" s="55"/>
      <c r="O46" s="55">
        <f>'Step 3 Acad Product &amp; Pools'!T46</f>
        <v>-3478</v>
      </c>
      <c r="P46" s="55">
        <f>'Step 3 Acad Product &amp; Pools'!U46</f>
        <v>47000</v>
      </c>
      <c r="Q46" s="46"/>
      <c r="R46" s="55">
        <f t="shared" si="2"/>
        <v>762246.9880512323</v>
      </c>
      <c r="S46" s="168"/>
      <c r="T46" s="821">
        <v>3643184</v>
      </c>
      <c r="V46" s="1506" t="s">
        <v>1588</v>
      </c>
      <c r="W46" s="1508">
        <v>300000</v>
      </c>
    </row>
    <row r="47" spans="1:23">
      <c r="A47" s="179" t="s">
        <v>99</v>
      </c>
      <c r="B47" s="44">
        <f>'Step 3 Acad Product &amp; Pools'!B47</f>
        <v>0</v>
      </c>
      <c r="C47" s="44"/>
      <c r="D47" s="44"/>
      <c r="E47" s="44">
        <f>'Step 3 Acad Product &amp; Pools'!E47</f>
        <v>0</v>
      </c>
      <c r="F47" s="44"/>
      <c r="G47" s="44">
        <f>'Step 3 Acad Product &amp; Pools'!G47</f>
        <v>1122209.8914400002</v>
      </c>
      <c r="H47" s="44">
        <f>'Step 3 Acad Product &amp; Pools'!H47</f>
        <v>0</v>
      </c>
      <c r="I47" s="44">
        <f>'Step 3 Acad Product &amp; Pools'!I47</f>
        <v>0</v>
      </c>
      <c r="J47" s="44">
        <f>'Step 3 Acad Product &amp; Pools'!J47</f>
        <v>0</v>
      </c>
      <c r="K47" s="44"/>
      <c r="L47" s="44">
        <f>SUM('Step 3 Acad Product &amp; Pools'!L47:Q47)</f>
        <v>5516.6858255045709</v>
      </c>
      <c r="M47" s="44"/>
      <c r="N47" s="48"/>
      <c r="O47" s="44">
        <f>'Step 3 Acad Product &amp; Pools'!T47</f>
        <v>-4144</v>
      </c>
      <c r="P47" s="44">
        <f>'Step 3 Acad Product &amp; Pools'!U47</f>
        <v>2636000</v>
      </c>
      <c r="Q47" s="46"/>
      <c r="R47" s="44">
        <f t="shared" si="2"/>
        <v>3759582.5772655047</v>
      </c>
      <c r="S47" s="168"/>
      <c r="T47" s="241">
        <v>19774660</v>
      </c>
      <c r="V47" s="1506" t="s">
        <v>1589</v>
      </c>
      <c r="W47" s="1508">
        <v>149430</v>
      </c>
    </row>
    <row r="48" spans="1:23">
      <c r="A48" s="178" t="s">
        <v>484</v>
      </c>
      <c r="B48" s="55">
        <f>'Step 3 Acad Product &amp; Pools'!B48</f>
        <v>0</v>
      </c>
      <c r="C48" s="55">
        <v>950000</v>
      </c>
      <c r="D48" s="55"/>
      <c r="E48" s="55">
        <f>'Step 3 Acad Product &amp; Pools'!E48</f>
        <v>0</v>
      </c>
      <c r="F48" s="55"/>
      <c r="G48" s="55">
        <f>'Step 3 Acad Product &amp; Pools'!G48</f>
        <v>255047.70260000002</v>
      </c>
      <c r="H48" s="55">
        <f>'Step 3 Acad Product &amp; Pools'!H48</f>
        <v>0</v>
      </c>
      <c r="I48" s="55">
        <f>'Step 3 Acad Product &amp; Pools'!I48</f>
        <v>0</v>
      </c>
      <c r="J48" s="55">
        <f>'Step 3 Acad Product &amp; Pools'!J48</f>
        <v>0</v>
      </c>
      <c r="K48" s="55"/>
      <c r="L48" s="55">
        <f>SUM('Step 3 Acad Product &amp; Pools'!L48:Q48)</f>
        <v>0</v>
      </c>
      <c r="M48" s="55"/>
      <c r="N48" s="55"/>
      <c r="O48" s="55">
        <f>'Step 3 Acad Product &amp; Pools'!T48</f>
        <v>-85100</v>
      </c>
      <c r="P48" s="55">
        <f>'Step 3 Acad Product &amp; Pools'!U48</f>
        <v>1580000</v>
      </c>
      <c r="Q48" s="46"/>
      <c r="R48" s="55">
        <f t="shared" si="2"/>
        <v>2699947.7026</v>
      </c>
      <c r="S48" s="168"/>
      <c r="T48" s="821">
        <v>4501875</v>
      </c>
      <c r="V48" s="1506" t="s">
        <v>1591</v>
      </c>
      <c r="W48" s="1508">
        <f>317326-31213</f>
        <v>286113</v>
      </c>
    </row>
    <row r="49" spans="1:23">
      <c r="A49" s="54" t="s">
        <v>86</v>
      </c>
      <c r="B49" s="55">
        <f>'Step 3 Acad Product &amp; Pools'!B49</f>
        <v>0</v>
      </c>
      <c r="C49" s="55"/>
      <c r="D49" s="55"/>
      <c r="E49" s="55">
        <f>'Step 3 Acad Product &amp; Pools'!E49</f>
        <v>0</v>
      </c>
      <c r="F49" s="55"/>
      <c r="G49" s="55">
        <f>'Step 3 Acad Product &amp; Pools'!G49</f>
        <v>0</v>
      </c>
      <c r="H49" s="55">
        <f>'Step 3 Acad Product &amp; Pools'!H49</f>
        <v>0</v>
      </c>
      <c r="I49" s="55">
        <f>'Step 3 Acad Product &amp; Pools'!I49</f>
        <v>0</v>
      </c>
      <c r="J49" s="55">
        <f>'Step 3 Acad Product &amp; Pools'!J49</f>
        <v>0</v>
      </c>
      <c r="K49" s="55"/>
      <c r="L49" s="55">
        <f>SUM('Step 3 Acad Product &amp; Pools'!L49:Q49)</f>
        <v>15084.462872218808</v>
      </c>
      <c r="M49" s="55"/>
      <c r="N49" s="55"/>
      <c r="O49" s="55">
        <f>'Step 3 Acad Product &amp; Pools'!T49</f>
        <v>0</v>
      </c>
      <c r="P49" s="55">
        <f>'Step 3 Acad Product &amp; Pools'!U49</f>
        <v>0</v>
      </c>
      <c r="Q49" s="46"/>
      <c r="R49" s="55">
        <f t="shared" si="2"/>
        <v>15084.462872218808</v>
      </c>
      <c r="S49" s="168"/>
      <c r="T49" s="821">
        <v>1522413</v>
      </c>
      <c r="V49" s="1506" t="s">
        <v>1592</v>
      </c>
      <c r="W49" s="1508">
        <f>90594-7797</f>
        <v>82797</v>
      </c>
    </row>
    <row r="50" spans="1:23">
      <c r="A50" s="178" t="s">
        <v>100</v>
      </c>
      <c r="B50" s="55">
        <f>'Step 3 Acad Product &amp; Pools'!B50</f>
        <v>0</v>
      </c>
      <c r="C50" s="55"/>
      <c r="D50" s="55"/>
      <c r="E50" s="55">
        <f>'Step 3 Acad Product &amp; Pools'!E50</f>
        <v>0</v>
      </c>
      <c r="F50" s="55"/>
      <c r="G50" s="55">
        <f>'Step 3 Acad Product &amp; Pools'!G50</f>
        <v>255047.70260000002</v>
      </c>
      <c r="H50" s="55">
        <f>'Step 3 Acad Product &amp; Pools'!H50</f>
        <v>0</v>
      </c>
      <c r="I50" s="55">
        <f>'Step 3 Acad Product &amp; Pools'!I50</f>
        <v>0</v>
      </c>
      <c r="J50" s="55">
        <f>'Step 3 Acad Product &amp; Pools'!J50</f>
        <v>0</v>
      </c>
      <c r="K50" s="55"/>
      <c r="L50" s="55">
        <f>SUM('Step 3 Acad Product &amp; Pools'!L50:Q50)</f>
        <v>0</v>
      </c>
      <c r="M50" s="55"/>
      <c r="N50" s="55"/>
      <c r="O50" s="55">
        <f>'Step 3 Acad Product &amp; Pools'!T50</f>
        <v>0</v>
      </c>
      <c r="P50" s="55">
        <f>'Step 3 Acad Product &amp; Pools'!U50</f>
        <v>3440000</v>
      </c>
      <c r="Q50" s="46"/>
      <c r="R50" s="55">
        <f t="shared" si="2"/>
        <v>3695047.7026</v>
      </c>
      <c r="S50" s="168"/>
      <c r="T50" s="241">
        <v>7580439</v>
      </c>
      <c r="V50" s="1506" t="s">
        <v>1593</v>
      </c>
      <c r="W50" s="1508">
        <v>300000</v>
      </c>
    </row>
    <row r="51" spans="1:23">
      <c r="A51" s="179" t="s">
        <v>101</v>
      </c>
      <c r="B51" s="44">
        <f>'Step 3 Acad Product &amp; Pools'!B51</f>
        <v>0</v>
      </c>
      <c r="C51" s="44"/>
      <c r="D51" s="44"/>
      <c r="E51" s="44">
        <f>'Step 3 Acad Product &amp; Pools'!E51</f>
        <v>0</v>
      </c>
      <c r="F51" s="44"/>
      <c r="G51" s="44">
        <f>'Step 3 Acad Product &amp; Pools'!G51</f>
        <v>0</v>
      </c>
      <c r="H51" s="44">
        <f>'Step 3 Acad Product &amp; Pools'!H51</f>
        <v>0</v>
      </c>
      <c r="I51" s="44">
        <f>'Step 3 Acad Product &amp; Pools'!I51</f>
        <v>0</v>
      </c>
      <c r="J51" s="44">
        <f>'Step 3 Acad Product &amp; Pools'!J51</f>
        <v>0</v>
      </c>
      <c r="K51" s="44"/>
      <c r="L51" s="44">
        <f>SUM('Step 3 Acad Product &amp; Pools'!L51:Q51)</f>
        <v>8993.8576670004386</v>
      </c>
      <c r="M51" s="44"/>
      <c r="N51" s="48"/>
      <c r="O51" s="44">
        <f>'Step 3 Acad Product &amp; Pools'!T51</f>
        <v>-139661.902</v>
      </c>
      <c r="P51" s="44">
        <f>'Step 3 Acad Product &amp; Pools'!U51</f>
        <v>1887323</v>
      </c>
      <c r="Q51" s="46"/>
      <c r="R51" s="44">
        <f t="shared" si="2"/>
        <v>1756654.9556670005</v>
      </c>
      <c r="S51" s="168"/>
      <c r="T51" s="821">
        <v>7705927</v>
      </c>
      <c r="V51" s="1506" t="s">
        <v>1594</v>
      </c>
      <c r="W51" s="1508">
        <v>20514</v>
      </c>
    </row>
    <row r="52" spans="1:23">
      <c r="A52" s="178" t="s">
        <v>102</v>
      </c>
      <c r="B52" s="55">
        <f>'Step 3 Acad Product &amp; Pools'!B52</f>
        <v>0</v>
      </c>
      <c r="C52" s="55"/>
      <c r="D52" s="55"/>
      <c r="E52" s="55">
        <f>'Step 3 Acad Product &amp; Pools'!E52</f>
        <v>0</v>
      </c>
      <c r="F52" s="55"/>
      <c r="G52" s="55">
        <f>'Step 3 Acad Product &amp; Pools'!G52</f>
        <v>0</v>
      </c>
      <c r="H52" s="55">
        <f>'Step 3 Acad Product &amp; Pools'!H52</f>
        <v>0</v>
      </c>
      <c r="I52" s="55">
        <f>'Step 3 Acad Product &amp; Pools'!I52</f>
        <v>0</v>
      </c>
      <c r="J52" s="55">
        <f>'Step 3 Acad Product &amp; Pools'!J52</f>
        <v>561104.94572000008</v>
      </c>
      <c r="K52" s="55"/>
      <c r="L52" s="55">
        <f>SUM('Step 3 Acad Product &amp; Pools'!L52:Q52)</f>
        <v>0</v>
      </c>
      <c r="M52" s="55"/>
      <c r="N52" s="55"/>
      <c r="O52" s="55">
        <f>'Step 3 Acad Product &amp; Pools'!T52</f>
        <v>0</v>
      </c>
      <c r="P52" s="55">
        <f>'Step 3 Acad Product &amp; Pools'!U52</f>
        <v>1720000</v>
      </c>
      <c r="Q52" s="46"/>
      <c r="R52" s="55">
        <f t="shared" si="2"/>
        <v>2281104.9457200002</v>
      </c>
      <c r="S52" s="168"/>
      <c r="T52" s="821">
        <v>12025835</v>
      </c>
      <c r="V52" s="1506" t="s">
        <v>1597</v>
      </c>
      <c r="W52" s="1508">
        <v>-2612</v>
      </c>
    </row>
    <row r="53" spans="1:23">
      <c r="A53" s="178" t="s">
        <v>103</v>
      </c>
      <c r="B53" s="55">
        <f>'Step 3 Acad Product &amp; Pools'!B53</f>
        <v>0</v>
      </c>
      <c r="C53" s="55"/>
      <c r="D53" s="55"/>
      <c r="E53" s="55">
        <f>'Step 3 Acad Product &amp; Pools'!E53</f>
        <v>0</v>
      </c>
      <c r="F53" s="55"/>
      <c r="G53" s="55">
        <f>'Step 3 Acad Product &amp; Pools'!G53</f>
        <v>0</v>
      </c>
      <c r="H53" s="55">
        <f>'Step 3 Acad Product &amp; Pools'!H53</f>
        <v>0</v>
      </c>
      <c r="I53" s="55">
        <f>'Step 3 Acad Product &amp; Pools'!I53</f>
        <v>0</v>
      </c>
      <c r="J53" s="55">
        <f>'Step 3 Acad Product &amp; Pools'!J53</f>
        <v>867162.18884000008</v>
      </c>
      <c r="K53" s="55"/>
      <c r="L53" s="55">
        <f>SUM('Step 3 Acad Product &amp; Pools'!L53:Q53)</f>
        <v>0</v>
      </c>
      <c r="M53" s="55"/>
      <c r="N53" s="55"/>
      <c r="O53" s="55">
        <f>'Step 3 Acad Product &amp; Pools'!T53</f>
        <v>-32930</v>
      </c>
      <c r="P53" s="55">
        <f>'Step 3 Acad Product &amp; Pools'!U53</f>
        <v>2165000</v>
      </c>
      <c r="Q53" s="46"/>
      <c r="R53" s="55">
        <f t="shared" si="2"/>
        <v>2999232.18884</v>
      </c>
      <c r="S53" s="168"/>
      <c r="T53" s="241">
        <v>25520328</v>
      </c>
      <c r="V53" s="1507" t="s">
        <v>1598</v>
      </c>
      <c r="W53" s="1504">
        <f>SUM(W38:W52)</f>
        <v>8453610</v>
      </c>
    </row>
    <row r="54" spans="1:23">
      <c r="A54" s="179" t="s">
        <v>104</v>
      </c>
      <c r="B54" s="44">
        <f>'Step 3 Acad Product &amp; Pools'!B54</f>
        <v>0</v>
      </c>
      <c r="C54" s="44"/>
      <c r="D54" s="44"/>
      <c r="E54" s="44">
        <f>'Step 3 Acad Product &amp; Pools'!E54</f>
        <v>0</v>
      </c>
      <c r="F54" s="44"/>
      <c r="G54" s="44">
        <f>'Step 3 Acad Product &amp; Pools'!G54</f>
        <v>0</v>
      </c>
      <c r="H54" s="44">
        <f>'Step 3 Acad Product &amp; Pools'!H54</f>
        <v>0</v>
      </c>
      <c r="I54" s="44">
        <f>'Step 3 Acad Product &amp; Pools'!I54</f>
        <v>0</v>
      </c>
      <c r="J54" s="44">
        <f>'Step 3 Acad Product &amp; Pools'!J54</f>
        <v>0</v>
      </c>
      <c r="K54" s="44"/>
      <c r="L54" s="44">
        <f>SUM('Step 3 Acad Product &amp; Pools'!L54:Q54)</f>
        <v>239.13855267424046</v>
      </c>
      <c r="M54" s="44"/>
      <c r="N54" s="48"/>
      <c r="O54" s="44">
        <f>'Step 3 Acad Product &amp; Pools'!T54</f>
        <v>-4958</v>
      </c>
      <c r="P54" s="44">
        <f>'Step 3 Acad Product &amp; Pools'!U54</f>
        <v>4797000</v>
      </c>
      <c r="Q54" s="46"/>
      <c r="R54" s="44">
        <f t="shared" si="2"/>
        <v>4792281.1385526741</v>
      </c>
      <c r="S54" s="168"/>
      <c r="T54" s="821">
        <v>17684064</v>
      </c>
      <c r="V54" s="1370"/>
    </row>
    <row r="55" spans="1:23">
      <c r="A55" s="178" t="s">
        <v>459</v>
      </c>
      <c r="B55" s="48">
        <f>'Step 3 Acad Product &amp; Pools'!B55</f>
        <v>0</v>
      </c>
      <c r="C55" s="48"/>
      <c r="D55" s="48"/>
      <c r="E55" s="48">
        <f>'Step 3 Acad Product &amp; Pools'!E55</f>
        <v>0</v>
      </c>
      <c r="F55" s="48"/>
      <c r="G55" s="48">
        <f>'Step 3 Acad Product &amp; Pools'!G55</f>
        <v>0</v>
      </c>
      <c r="H55" s="48">
        <f>'Step 3 Acad Product &amp; Pools'!H55</f>
        <v>0</v>
      </c>
      <c r="I55" s="48">
        <f>'Step 3 Acad Product &amp; Pools'!I55</f>
        <v>0</v>
      </c>
      <c r="J55" s="48">
        <f>'Step 3 Acad Product &amp; Pools'!J55</f>
        <v>0</v>
      </c>
      <c r="K55" s="48"/>
      <c r="L55" s="48">
        <f>SUM('Step 3 Acad Product &amp; Pools'!L55:Q55)</f>
        <v>0</v>
      </c>
      <c r="M55" s="48"/>
      <c r="N55" s="48"/>
      <c r="O55" s="48">
        <f>'Step 3 Acad Product &amp; Pools'!T55</f>
        <v>0</v>
      </c>
      <c r="P55" s="48">
        <f>'Step 3 Acad Product &amp; Pools'!U55</f>
        <v>0</v>
      </c>
      <c r="Q55" s="46"/>
      <c r="R55" s="48">
        <f t="shared" si="2"/>
        <v>0</v>
      </c>
      <c r="S55" s="168"/>
      <c r="T55" s="821">
        <v>3700133</v>
      </c>
      <c r="V55" s="1370" t="s">
        <v>1432</v>
      </c>
      <c r="W55" s="1371">
        <v>10109</v>
      </c>
    </row>
    <row r="56" spans="1:23">
      <c r="A56" s="367" t="s">
        <v>485</v>
      </c>
      <c r="B56" s="48">
        <f>'Step 3 Acad Product &amp; Pools'!B56</f>
        <v>0</v>
      </c>
      <c r="C56" s="48"/>
      <c r="D56" s="48"/>
      <c r="E56" s="48">
        <f>'Step 3 Acad Product &amp; Pools'!E56</f>
        <v>0</v>
      </c>
      <c r="F56" s="48"/>
      <c r="G56" s="48">
        <f>'Step 3 Acad Product &amp; Pools'!G56</f>
        <v>0</v>
      </c>
      <c r="H56" s="48">
        <f>'Step 3 Acad Product &amp; Pools'!H56</f>
        <v>0</v>
      </c>
      <c r="I56" s="48">
        <f>'Step 3 Acad Product &amp; Pools'!I56</f>
        <v>0</v>
      </c>
      <c r="J56" s="48">
        <f>'Step 3 Acad Product &amp; Pools'!J56</f>
        <v>0</v>
      </c>
      <c r="K56" s="48"/>
      <c r="L56" s="48">
        <f>SUM('Step 3 Acad Product &amp; Pools'!L56:Q56)</f>
        <v>0</v>
      </c>
      <c r="M56" s="48"/>
      <c r="N56" s="48"/>
      <c r="O56" s="48">
        <f>'Step 3 Acad Product &amp; Pools'!T56</f>
        <v>0</v>
      </c>
      <c r="P56" s="48">
        <f>'Step 3 Acad Product &amp; Pools'!U56</f>
        <v>860000</v>
      </c>
      <c r="Q56" s="46"/>
      <c r="R56" s="48">
        <f t="shared" si="2"/>
        <v>860000</v>
      </c>
      <c r="S56" s="168"/>
      <c r="T56" s="241">
        <v>2369903</v>
      </c>
      <c r="V56" s="1370"/>
      <c r="W56" s="1371"/>
    </row>
    <row r="57" spans="1:23">
      <c r="A57" s="178" t="s">
        <v>105</v>
      </c>
      <c r="B57" s="55">
        <f>'Step 3 Acad Product &amp; Pools'!B57</f>
        <v>0</v>
      </c>
      <c r="C57" s="55"/>
      <c r="D57" s="55"/>
      <c r="E57" s="55">
        <f>'Step 3 Acad Product &amp; Pools'!E57</f>
        <v>0</v>
      </c>
      <c r="F57" s="55"/>
      <c r="G57" s="55">
        <f>'Step 3 Acad Product &amp; Pools'!G57</f>
        <v>0</v>
      </c>
      <c r="H57" s="55">
        <f>'Step 3 Acad Product &amp; Pools'!H57</f>
        <v>0</v>
      </c>
      <c r="I57" s="55">
        <f>'Step 3 Acad Product &amp; Pools'!I57</f>
        <v>0</v>
      </c>
      <c r="J57" s="55">
        <f>'Step 3 Acad Product &amp; Pools'!J57</f>
        <v>0</v>
      </c>
      <c r="K57" s="55"/>
      <c r="L57" s="55">
        <f>SUM('Step 3 Acad Product &amp; Pools'!L57:Q57)</f>
        <v>0</v>
      </c>
      <c r="M57" s="55"/>
      <c r="N57" s="55"/>
      <c r="O57" s="55">
        <f>'Step 3 Acad Product &amp; Pools'!T57</f>
        <v>0</v>
      </c>
      <c r="P57" s="55">
        <f>'Step 3 Acad Product &amp; Pools'!U57</f>
        <v>4300000</v>
      </c>
      <c r="Q57" s="46"/>
      <c r="R57" s="55">
        <f t="shared" si="2"/>
        <v>4300000</v>
      </c>
      <c r="S57" s="168"/>
      <c r="T57" s="821">
        <v>12372914</v>
      </c>
      <c r="V57" s="1370" t="s">
        <v>1504</v>
      </c>
      <c r="W57" s="1371">
        <v>1840700</v>
      </c>
    </row>
    <row r="58" spans="1:23">
      <c r="A58" s="375" t="s">
        <v>106</v>
      </c>
      <c r="B58" s="376">
        <f>SUM(B39:B57)</f>
        <v>0</v>
      </c>
      <c r="C58" s="376">
        <f>SUM(C39:C57)</f>
        <v>9037285</v>
      </c>
      <c r="D58" s="376">
        <f>SUM(D39:D57)</f>
        <v>13020615</v>
      </c>
      <c r="E58" s="376">
        <f>SUM(E39:E57)</f>
        <v>0</v>
      </c>
      <c r="F58" s="376"/>
      <c r="G58" s="376">
        <f>SUM(G39:G57)</f>
        <v>1632305.2966400001</v>
      </c>
      <c r="H58" s="376">
        <f>SUM(H39:H57)</f>
        <v>714133.56728000008</v>
      </c>
      <c r="I58" s="376">
        <f>SUM(I39:I57)</f>
        <v>0</v>
      </c>
      <c r="J58" s="376">
        <f>SUM(J39:J57)</f>
        <v>1428267.1345600002</v>
      </c>
      <c r="K58" s="376"/>
      <c r="L58" s="376">
        <f>SUM(L39:L57)</f>
        <v>1917682.2595988766</v>
      </c>
      <c r="M58" s="376">
        <f>SUM(M39:M57)</f>
        <v>0</v>
      </c>
      <c r="N58" s="174"/>
      <c r="O58" s="376">
        <f>SUM(O39:O57)</f>
        <v>-792800.70200000005</v>
      </c>
      <c r="P58" s="376">
        <f>SUM(P39:P57)</f>
        <v>30493523</v>
      </c>
      <c r="Q58" s="1385"/>
      <c r="R58" s="376">
        <f>SUM(R39:R57)</f>
        <v>57451010.556078888</v>
      </c>
      <c r="S58" s="168"/>
      <c r="T58" s="376">
        <f>SUM(T39:T57)</f>
        <v>155419385</v>
      </c>
      <c r="V58" s="1635" t="s">
        <v>1687</v>
      </c>
      <c r="W58" s="1371">
        <f>-7340700</f>
        <v>-7340700</v>
      </c>
    </row>
    <row r="59" spans="1:23" ht="16.5" thickBot="1">
      <c r="A59" s="377" t="s">
        <v>107</v>
      </c>
      <c r="B59" s="378">
        <f>B6+B7+B8+B9+B10+B11+B12+B35+B58</f>
        <v>54740445</v>
      </c>
      <c r="C59" s="378">
        <f>C6+C7+C8+C9+C10+C11+C12+C35+C58</f>
        <v>11632166.69897143</v>
      </c>
      <c r="D59" s="378">
        <f>D6+D7+D8+D9+D10+D11+D12+D35+D58</f>
        <v>13020615</v>
      </c>
      <c r="E59" s="378">
        <f>E6+E7+E8+E9+E10+E11+E12+E35+E58</f>
        <v>20356291.723200001</v>
      </c>
      <c r="F59" s="378"/>
      <c r="G59" s="378">
        <f>G6+G7+G10+G11+G12+G35+G58</f>
        <v>1632305.2966400001</v>
      </c>
      <c r="H59" s="378">
        <f>H6+H7+H10+H11+H12+H35+H58</f>
        <v>714133.56728000008</v>
      </c>
      <c r="I59" s="378">
        <f>I6+I7+I10+I11+I12+I35+I58</f>
        <v>0</v>
      </c>
      <c r="J59" s="378">
        <f>J6+J7+J10+J11+J12+J35+J58</f>
        <v>1428267.1345600002</v>
      </c>
      <c r="K59" s="378"/>
      <c r="L59" s="378">
        <f>L6+L7+L8+L9+L10+L11+L12+L35+L58</f>
        <v>219046338.89736381</v>
      </c>
      <c r="M59" s="378">
        <f>M6+M7+M8+M9+M10+M11+M12+M35+M58</f>
        <v>0</v>
      </c>
      <c r="N59" s="200"/>
      <c r="O59" s="378">
        <f>O6+O7+O8+O9+O10+O11+O12+O35+O58</f>
        <v>-3774705.9984800001</v>
      </c>
      <c r="P59" s="378">
        <f>P6+P7+P8+P9+P10+P11+P12+P35+P58</f>
        <v>142514672.41066667</v>
      </c>
      <c r="Q59" s="173"/>
      <c r="R59" s="378">
        <f>R6+R7+R8+R9+R10+R11+R12+R35+R58</f>
        <v>461310529.7302019</v>
      </c>
      <c r="S59" s="660"/>
      <c r="T59" s="378">
        <f>SUM(T6,T35,T58)</f>
        <v>552825759</v>
      </c>
      <c r="V59" s="1370" t="s">
        <v>1505</v>
      </c>
      <c r="W59" s="1371">
        <v>50000</v>
      </c>
    </row>
    <row r="60" spans="1:23" ht="17.25" thickTop="1" thickBot="1">
      <c r="A60" s="178"/>
      <c r="B60" s="178"/>
      <c r="C60" s="178"/>
      <c r="D60" s="178"/>
      <c r="E60" s="178"/>
      <c r="F60" s="178"/>
      <c r="G60" s="178"/>
      <c r="H60" s="178"/>
      <c r="I60" s="178"/>
      <c r="J60" s="178"/>
      <c r="K60" s="178"/>
      <c r="L60" s="169"/>
      <c r="M60" s="169"/>
      <c r="N60" s="169"/>
      <c r="O60" s="169"/>
      <c r="P60" s="169"/>
      <c r="Q60" s="168"/>
      <c r="R60" s="171">
        <f>SUM(B59:P59)</f>
        <v>461310529.73020184</v>
      </c>
      <c r="S60" s="168"/>
      <c r="T60" s="57"/>
      <c r="U60" s="167"/>
      <c r="V60" s="1370"/>
      <c r="W60" s="1371"/>
    </row>
    <row r="61" spans="1:23" ht="17.25" thickTop="1" thickBot="1">
      <c r="C61" s="12">
        <f>C35+C58</f>
        <v>10488214</v>
      </c>
      <c r="F61" s="167"/>
      <c r="G61" s="167"/>
      <c r="H61" s="167"/>
      <c r="I61" s="167"/>
      <c r="J61" s="167"/>
      <c r="K61" s="167"/>
      <c r="L61" s="169"/>
      <c r="M61" s="167"/>
      <c r="N61" s="167"/>
      <c r="O61" s="167"/>
      <c r="P61" s="167"/>
      <c r="Q61" s="168"/>
      <c r="R61" s="169"/>
      <c r="S61" s="167"/>
      <c r="T61" s="169"/>
      <c r="U61" s="167"/>
      <c r="V61" s="1372" t="s">
        <v>13</v>
      </c>
      <c r="W61" s="1420">
        <f>SUM(W53:W59)</f>
        <v>3013719</v>
      </c>
    </row>
    <row r="62" spans="1:23">
      <c r="F62" s="167"/>
      <c r="G62" s="167"/>
      <c r="H62" s="167"/>
      <c r="I62" s="167"/>
      <c r="J62" s="167"/>
      <c r="K62" s="167"/>
      <c r="L62" s="185"/>
      <c r="M62" s="167"/>
      <c r="N62" s="167"/>
      <c r="O62" s="167"/>
      <c r="P62" s="169">
        <f>SUM(L60:P60)</f>
        <v>0</v>
      </c>
      <c r="Q62" s="168"/>
      <c r="R62" s="167"/>
      <c r="S62" s="167"/>
      <c r="T62" s="167"/>
      <c r="U62" s="167"/>
    </row>
    <row r="63" spans="1:23">
      <c r="F63" s="167"/>
      <c r="G63" s="167"/>
      <c r="H63" s="167"/>
      <c r="I63" s="167"/>
      <c r="J63" s="167"/>
      <c r="K63" s="167"/>
      <c r="R63" s="169"/>
      <c r="S63" s="167"/>
      <c r="T63" s="167"/>
      <c r="U63" s="167"/>
    </row>
    <row r="67" spans="22:22">
      <c r="V67" s="167"/>
    </row>
    <row r="81" spans="3:8">
      <c r="H81" s="180"/>
    </row>
    <row r="83" spans="3:8">
      <c r="G83" s="180"/>
      <c r="H83" s="180"/>
    </row>
    <row r="84" spans="3:8">
      <c r="G84" s="180"/>
    </row>
    <row r="86" spans="3:8">
      <c r="H86" s="180"/>
    </row>
    <row r="87" spans="3:8">
      <c r="G87" s="180"/>
    </row>
    <row r="96" spans="3:8">
      <c r="C96" s="390"/>
      <c r="D96" s="390"/>
      <c r="G96" s="180">
        <f>W37-W53</f>
        <v>0</v>
      </c>
    </row>
    <row r="97" spans="3:4">
      <c r="C97" s="390"/>
      <c r="D97" s="390"/>
    </row>
    <row r="98" spans="3:4">
      <c r="C98" s="390"/>
      <c r="D98" s="390"/>
    </row>
    <row r="99" spans="3:4">
      <c r="C99" s="390"/>
      <c r="D99" s="390"/>
    </row>
    <row r="100" spans="3:4">
      <c r="C100" s="390"/>
      <c r="D100" s="390"/>
    </row>
    <row r="101" spans="3:4" ht="16.5" thickBot="1">
      <c r="C101" s="1375"/>
      <c r="D101" s="1375"/>
    </row>
  </sheetData>
  <mergeCells count="5">
    <mergeCell ref="B4:E4"/>
    <mergeCell ref="G4:J4"/>
    <mergeCell ref="L4:M4"/>
    <mergeCell ref="O4:P4"/>
    <mergeCell ref="T6:T12"/>
  </mergeCells>
  <phoneticPr fontId="52" type="noConversion"/>
  <pageMargins left="0.75" right="0.75" top="1" bottom="1" header="0.5" footer="0.5"/>
  <pageSetup orientation="portrait" horizontalDpi="4294967292" verticalDpi="4294967292"/>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topLeftCell="H4" zoomScale="110" zoomScaleNormal="110" workbookViewId="0">
      <selection activeCell="O96" sqref="O96:O99"/>
    </sheetView>
  </sheetViews>
  <sheetFormatPr defaultColWidth="10.875" defaultRowHeight="12.75"/>
  <cols>
    <col min="1" max="1" width="39.875" style="167" customWidth="1"/>
    <col min="2" max="2" width="21" style="167" customWidth="1"/>
    <col min="3" max="3" width="14.5" style="167" customWidth="1"/>
    <col min="4" max="4" width="15" style="167" customWidth="1"/>
    <col min="5" max="5" width="13.625" style="167" customWidth="1"/>
    <col min="6" max="8" width="12.5" style="167" customWidth="1"/>
    <col min="9" max="10" width="13" style="167" customWidth="1"/>
    <col min="11" max="11" width="12" style="167" bestFit="1" customWidth="1"/>
    <col min="12" max="12" width="28.875" style="167" customWidth="1"/>
    <col min="13" max="13" width="13.375" style="167" customWidth="1"/>
    <col min="14" max="14" width="11.375" style="167" bestFit="1" customWidth="1"/>
    <col min="15" max="15" width="14" style="167" customWidth="1"/>
    <col min="16" max="16" width="59.875" style="167" customWidth="1"/>
    <col min="17" max="17" width="13.625" style="167" customWidth="1"/>
    <col min="18" max="18" width="2.875" style="167" customWidth="1"/>
    <col min="19" max="16384" width="10.875" style="167"/>
  </cols>
  <sheetData>
    <row r="1" spans="1:18" ht="13.5" thickBot="1">
      <c r="A1" s="1142" t="s">
        <v>1599</v>
      </c>
      <c r="E1" s="1510" t="s">
        <v>1601</v>
      </c>
      <c r="F1" s="1511"/>
      <c r="G1" s="1511"/>
      <c r="H1" s="1512">
        <f>'Step 5 Exec and Strategic'!T3</f>
        <v>120297805.2183696</v>
      </c>
      <c r="J1" s="428"/>
    </row>
    <row r="2" spans="1:18" ht="13.5" thickBot="1">
      <c r="E2" s="1514" t="s">
        <v>1472</v>
      </c>
      <c r="F2" s="1511"/>
      <c r="G2" s="1511"/>
      <c r="H2" s="1515">
        <f>H1-F56</f>
        <v>-8519450.1274277866</v>
      </c>
    </row>
    <row r="4" spans="1:18" ht="64.5" thickBot="1">
      <c r="B4" s="412" t="s">
        <v>1600</v>
      </c>
      <c r="C4" s="413" t="s">
        <v>1402</v>
      </c>
      <c r="D4" s="413" t="s">
        <v>1470</v>
      </c>
      <c r="E4" s="413" t="s">
        <v>1509</v>
      </c>
      <c r="F4" s="413" t="s">
        <v>1403</v>
      </c>
      <c r="G4" s="413" t="s">
        <v>1552</v>
      </c>
      <c r="H4" s="1513" t="s">
        <v>1471</v>
      </c>
      <c r="I4" s="413" t="s">
        <v>1404</v>
      </c>
      <c r="J4" s="413" t="s">
        <v>1405</v>
      </c>
      <c r="L4" s="1142" t="s">
        <v>1534</v>
      </c>
    </row>
    <row r="5" spans="1:18" ht="13.5" thickTop="1">
      <c r="A5" s="186" t="s">
        <v>69</v>
      </c>
      <c r="K5" s="169"/>
    </row>
    <row r="6" spans="1:18" ht="14.1" customHeight="1" thickBot="1">
      <c r="A6" s="177" t="s">
        <v>479</v>
      </c>
      <c r="B6" s="668"/>
      <c r="C6" s="668"/>
      <c r="D6" s="668"/>
      <c r="E6" s="668"/>
      <c r="F6" s="668"/>
      <c r="G6" s="668"/>
      <c r="H6" s="668"/>
      <c r="I6" s="668"/>
      <c r="J6" s="668"/>
      <c r="L6" s="1519"/>
      <c r="M6" s="1519" t="s">
        <v>909</v>
      </c>
      <c r="N6" s="1525" t="s">
        <v>1407</v>
      </c>
      <c r="O6" s="1519" t="s">
        <v>1306</v>
      </c>
      <c r="P6" s="1519" t="s">
        <v>1408</v>
      </c>
      <c r="Q6" s="1520" t="s">
        <v>1311</v>
      </c>
    </row>
    <row r="7" spans="1:18" ht="14.1" customHeight="1" thickTop="1">
      <c r="A7" s="177" t="s">
        <v>486</v>
      </c>
      <c r="B7" s="668"/>
      <c r="C7" s="232"/>
      <c r="D7" s="232"/>
      <c r="E7" s="232"/>
      <c r="F7" s="232"/>
      <c r="G7" s="232"/>
      <c r="H7" s="232"/>
      <c r="I7" s="668"/>
      <c r="J7" s="668"/>
      <c r="L7" s="178" t="s">
        <v>84</v>
      </c>
      <c r="M7" s="408">
        <v>543366</v>
      </c>
      <c r="N7" s="408">
        <v>0</v>
      </c>
      <c r="O7" s="408">
        <f>-543366</f>
        <v>-543366</v>
      </c>
      <c r="P7" s="178" t="s">
        <v>1439</v>
      </c>
      <c r="Q7" s="408">
        <f>SUM(M7:O7)</f>
        <v>0</v>
      </c>
      <c r="R7" s="1637"/>
    </row>
    <row r="8" spans="1:18" ht="14.1" customHeight="1">
      <c r="A8" s="177" t="s">
        <v>480</v>
      </c>
      <c r="B8" s="668"/>
      <c r="C8" s="232"/>
      <c r="D8" s="232"/>
      <c r="E8" s="232"/>
      <c r="F8" s="232"/>
      <c r="G8" s="232"/>
      <c r="H8" s="232"/>
      <c r="I8" s="668"/>
      <c r="J8" s="668"/>
      <c r="L8" s="179" t="s">
        <v>85</v>
      </c>
      <c r="M8" s="669"/>
      <c r="N8" s="669"/>
      <c r="O8" s="669">
        <v>0</v>
      </c>
      <c r="P8" s="179"/>
      <c r="Q8" s="669"/>
      <c r="R8" s="168"/>
    </row>
    <row r="9" spans="1:18" ht="14.1" customHeight="1">
      <c r="A9" s="177" t="s">
        <v>481</v>
      </c>
      <c r="B9" s="668"/>
      <c r="C9" s="232"/>
      <c r="D9" s="232"/>
      <c r="E9" s="232"/>
      <c r="F9" s="232"/>
      <c r="G9" s="232"/>
      <c r="H9" s="232"/>
      <c r="I9" s="668"/>
      <c r="J9" s="668"/>
      <c r="L9" s="54" t="s">
        <v>87</v>
      </c>
      <c r="M9" s="408"/>
      <c r="N9" s="408">
        <v>0</v>
      </c>
      <c r="O9" s="408">
        <v>106593</v>
      </c>
      <c r="P9" s="54" t="s">
        <v>1690</v>
      </c>
      <c r="Q9" s="1521">
        <f>SUM(M9:O9)</f>
        <v>106593</v>
      </c>
      <c r="R9" s="1637"/>
    </row>
    <row r="10" spans="1:18" ht="14.1" customHeight="1">
      <c r="A10" s="177" t="s">
        <v>482</v>
      </c>
      <c r="B10" s="668"/>
      <c r="C10" s="232"/>
      <c r="D10" s="232"/>
      <c r="E10" s="232"/>
      <c r="F10" s="232"/>
      <c r="G10" s="232"/>
      <c r="H10" s="232"/>
      <c r="I10" s="668"/>
      <c r="J10" s="668"/>
      <c r="L10" s="178" t="s">
        <v>88</v>
      </c>
      <c r="M10" s="173"/>
      <c r="N10" s="173"/>
      <c r="O10" s="173">
        <v>0</v>
      </c>
      <c r="P10" s="178"/>
      <c r="Q10" s="173"/>
      <c r="R10" s="168"/>
    </row>
    <row r="11" spans="1:18" ht="14.1" customHeight="1">
      <c r="A11" s="168"/>
      <c r="B11" s="193"/>
      <c r="I11" s="193"/>
      <c r="J11" s="193"/>
      <c r="L11" s="368" t="s">
        <v>461</v>
      </c>
      <c r="M11" s="225">
        <v>4706010</v>
      </c>
      <c r="N11" s="225">
        <v>45890</v>
      </c>
      <c r="O11" s="225">
        <v>1307750</v>
      </c>
      <c r="P11" s="1638" t="s">
        <v>1691</v>
      </c>
      <c r="Q11" s="1521">
        <f>SUM(M11:O13)</f>
        <v>832979</v>
      </c>
      <c r="R11" s="1637"/>
    </row>
    <row r="12" spans="1:18" ht="14.1" customHeight="1">
      <c r="A12" s="51" t="s">
        <v>72</v>
      </c>
      <c r="B12" s="51"/>
      <c r="I12" s="51"/>
      <c r="J12" s="51"/>
      <c r="L12" s="368"/>
      <c r="M12" s="225"/>
      <c r="N12" s="225"/>
      <c r="O12" s="225">
        <v>-1561471</v>
      </c>
      <c r="P12" s="1638" t="s">
        <v>1692</v>
      </c>
      <c r="Q12" s="1521"/>
      <c r="R12" s="1637"/>
    </row>
    <row r="13" spans="1:18" ht="14.1" customHeight="1">
      <c r="A13" s="179" t="s">
        <v>73</v>
      </c>
      <c r="B13" s="417"/>
      <c r="C13" s="232"/>
      <c r="D13" s="232"/>
      <c r="E13" s="232"/>
      <c r="F13" s="232"/>
      <c r="G13" s="232"/>
      <c r="H13" s="232"/>
      <c r="I13" s="417"/>
      <c r="J13" s="417"/>
      <c r="L13" s="368"/>
      <c r="M13" s="225"/>
      <c r="N13" s="225"/>
      <c r="O13" s="225">
        <v>-3665200</v>
      </c>
      <c r="P13" s="1638" t="s">
        <v>1693</v>
      </c>
      <c r="Q13" s="1521"/>
      <c r="R13" s="1637"/>
    </row>
    <row r="14" spans="1:18" ht="14.1" customHeight="1">
      <c r="A14" s="54" t="s">
        <v>74</v>
      </c>
      <c r="B14" s="49"/>
      <c r="C14" s="168"/>
      <c r="D14" s="168"/>
      <c r="E14" s="168"/>
      <c r="F14" s="168"/>
      <c r="G14" s="168"/>
      <c r="H14" s="168"/>
      <c r="I14" s="49"/>
      <c r="J14" s="49"/>
      <c r="L14" s="368"/>
      <c r="M14" s="225"/>
      <c r="N14" s="225"/>
      <c r="O14" s="225"/>
      <c r="P14" s="1638"/>
      <c r="Q14" s="1521"/>
      <c r="R14" s="1637"/>
    </row>
    <row r="15" spans="1:18" ht="14.1" customHeight="1">
      <c r="A15" s="178" t="s">
        <v>75</v>
      </c>
      <c r="B15" s="407"/>
      <c r="C15" s="168"/>
      <c r="D15" s="168"/>
      <c r="E15" s="168"/>
      <c r="F15" s="168"/>
      <c r="G15" s="168"/>
      <c r="H15" s="168"/>
      <c r="I15" s="407"/>
      <c r="J15" s="407"/>
      <c r="L15" s="367" t="s">
        <v>462</v>
      </c>
      <c r="M15" s="173"/>
      <c r="N15" s="173"/>
      <c r="O15" s="173">
        <v>0</v>
      </c>
      <c r="P15" s="367"/>
      <c r="Q15" s="173"/>
      <c r="R15" s="168"/>
    </row>
    <row r="16" spans="1:18" ht="14.1" customHeight="1">
      <c r="A16" s="179" t="s">
        <v>76</v>
      </c>
      <c r="B16" s="417"/>
      <c r="C16" s="232"/>
      <c r="D16" s="232"/>
      <c r="E16" s="232"/>
      <c r="F16" s="232"/>
      <c r="G16" s="232"/>
      <c r="H16" s="232"/>
      <c r="I16" s="417"/>
      <c r="J16" s="417"/>
      <c r="L16" s="178" t="s">
        <v>89</v>
      </c>
      <c r="M16" s="408">
        <v>14579961</v>
      </c>
      <c r="N16" s="408">
        <v>203156</v>
      </c>
      <c r="O16" s="408">
        <v>437000</v>
      </c>
      <c r="P16" s="178" t="s">
        <v>1440</v>
      </c>
      <c r="Q16" s="408">
        <f>SUM(M16:O16)</f>
        <v>15220117</v>
      </c>
      <c r="R16" s="168"/>
    </row>
    <row r="17" spans="1:18" ht="14.1" customHeight="1">
      <c r="A17" s="54" t="s">
        <v>77</v>
      </c>
      <c r="B17" s="49"/>
      <c r="C17" s="168"/>
      <c r="D17" s="168"/>
      <c r="E17" s="168"/>
      <c r="F17" s="168"/>
      <c r="G17" s="168"/>
      <c r="H17" s="168"/>
      <c r="I17" s="49"/>
      <c r="J17" s="49"/>
      <c r="L17" s="368" t="s">
        <v>1406</v>
      </c>
      <c r="M17" s="225"/>
      <c r="N17" s="225"/>
      <c r="O17" s="225"/>
      <c r="P17" s="368"/>
      <c r="Q17" s="225"/>
      <c r="R17" s="168"/>
    </row>
    <row r="18" spans="1:18" ht="14.1" customHeight="1">
      <c r="A18" s="178" t="s">
        <v>78</v>
      </c>
      <c r="B18" s="407"/>
      <c r="C18" s="168"/>
      <c r="D18" s="168"/>
      <c r="E18" s="168"/>
      <c r="F18" s="168"/>
      <c r="G18" s="168"/>
      <c r="H18" s="168"/>
      <c r="I18" s="407"/>
      <c r="J18" s="407"/>
      <c r="L18" s="371" t="s">
        <v>91</v>
      </c>
      <c r="M18" s="671"/>
      <c r="N18" s="671"/>
      <c r="O18" s="671"/>
      <c r="P18" s="371"/>
      <c r="Q18" s="671"/>
      <c r="R18" s="168"/>
    </row>
    <row r="19" spans="1:18" ht="14.1" customHeight="1">
      <c r="A19" s="179" t="s">
        <v>79</v>
      </c>
      <c r="B19" s="417"/>
      <c r="C19" s="232"/>
      <c r="D19" s="232"/>
      <c r="E19" s="232"/>
      <c r="F19" s="232"/>
      <c r="G19" s="232"/>
      <c r="H19" s="232"/>
      <c r="I19" s="417"/>
      <c r="J19" s="417"/>
      <c r="L19" s="178"/>
      <c r="P19" s="178"/>
      <c r="R19" s="168"/>
    </row>
    <row r="20" spans="1:18" ht="14.1" customHeight="1">
      <c r="A20" s="178" t="s">
        <v>80</v>
      </c>
      <c r="B20" s="407"/>
      <c r="C20" s="168"/>
      <c r="D20" s="168"/>
      <c r="E20" s="168"/>
      <c r="F20" s="168"/>
      <c r="G20" s="168"/>
      <c r="H20" s="168"/>
      <c r="I20" s="407"/>
      <c r="J20" s="407"/>
      <c r="L20" s="168"/>
      <c r="M20" s="408"/>
      <c r="N20" s="408"/>
      <c r="O20" s="408"/>
      <c r="P20" s="168"/>
      <c r="Q20" s="408"/>
      <c r="R20" s="168"/>
    </row>
    <row r="21" spans="1:18" ht="18.95" customHeight="1">
      <c r="A21" s="178" t="s">
        <v>81</v>
      </c>
      <c r="B21" s="407"/>
      <c r="C21" s="414"/>
      <c r="D21" s="414"/>
      <c r="E21" s="414"/>
      <c r="F21" s="414"/>
      <c r="G21" s="414"/>
      <c r="H21" s="414"/>
      <c r="I21" s="407"/>
      <c r="J21" s="407"/>
      <c r="L21" s="54" t="s">
        <v>92</v>
      </c>
      <c r="M21" s="48"/>
      <c r="N21" s="48"/>
      <c r="O21" s="48"/>
      <c r="P21" s="54"/>
      <c r="Q21" s="48"/>
      <c r="R21" s="168"/>
    </row>
    <row r="22" spans="1:18" ht="17.100000000000001" customHeight="1">
      <c r="A22" s="179" t="s">
        <v>82</v>
      </c>
      <c r="B22" s="417"/>
      <c r="C22" s="241"/>
      <c r="D22" s="241"/>
      <c r="E22" s="241"/>
      <c r="F22" s="241"/>
      <c r="G22" s="241"/>
      <c r="H22" s="241"/>
      <c r="I22" s="417"/>
      <c r="J22" s="417"/>
      <c r="L22" s="179" t="s">
        <v>93</v>
      </c>
      <c r="M22" s="669"/>
      <c r="N22" s="669"/>
      <c r="O22" s="669"/>
      <c r="P22" s="179"/>
      <c r="Q22" s="669"/>
      <c r="R22" s="168"/>
    </row>
    <row r="23" spans="1:18" ht="39.950000000000003" customHeight="1">
      <c r="A23" s="178" t="s">
        <v>83</v>
      </c>
      <c r="B23" s="407"/>
      <c r="C23" s="414"/>
      <c r="D23" s="414"/>
      <c r="E23" s="414"/>
      <c r="F23" s="414"/>
      <c r="G23" s="414"/>
      <c r="H23" s="414"/>
      <c r="I23" s="407"/>
      <c r="J23" s="407"/>
      <c r="L23" s="178" t="s">
        <v>94</v>
      </c>
      <c r="M23" s="408">
        <v>4019773</v>
      </c>
      <c r="N23" s="408">
        <v>102435</v>
      </c>
      <c r="O23" s="408">
        <v>75000</v>
      </c>
      <c r="P23" s="178" t="s">
        <v>1458</v>
      </c>
      <c r="Q23" s="408">
        <f>SUM(M23:O23)</f>
        <v>4197208</v>
      </c>
      <c r="R23" s="168"/>
    </row>
    <row r="24" spans="1:18" ht="14.1" customHeight="1">
      <c r="A24" s="178" t="s">
        <v>84</v>
      </c>
      <c r="B24" s="193" t="s">
        <v>257</v>
      </c>
      <c r="C24" s="408">
        <v>543366</v>
      </c>
      <c r="D24" s="414">
        <f>Q7</f>
        <v>0</v>
      </c>
      <c r="E24" s="414">
        <f>'Step 5 Exec and Strategic'!R27</f>
        <v>0</v>
      </c>
      <c r="F24" s="414">
        <f>D24-E24</f>
        <v>0</v>
      </c>
      <c r="G24" s="173">
        <v>0</v>
      </c>
      <c r="H24" s="414">
        <f>F24-G24</f>
        <v>0</v>
      </c>
      <c r="I24" s="223"/>
      <c r="J24" s="793"/>
      <c r="L24" s="54" t="s">
        <v>95</v>
      </c>
      <c r="M24" s="48"/>
      <c r="N24" s="48"/>
      <c r="O24" s="48"/>
      <c r="P24" s="54"/>
      <c r="Q24" s="48"/>
      <c r="R24" s="168"/>
    </row>
    <row r="25" spans="1:18" ht="14.1" customHeight="1">
      <c r="A25" s="179" t="s">
        <v>85</v>
      </c>
      <c r="B25" s="668"/>
      <c r="C25" s="669"/>
      <c r="D25" s="241"/>
      <c r="E25" s="241"/>
      <c r="F25" s="241"/>
      <c r="G25" s="227"/>
      <c r="H25" s="241">
        <f t="shared" ref="H25:H30" si="0">F25-G25</f>
        <v>0</v>
      </c>
      <c r="I25" s="669"/>
      <c r="J25" s="794"/>
      <c r="L25" s="179" t="s">
        <v>96</v>
      </c>
      <c r="M25" s="669"/>
      <c r="N25" s="669"/>
      <c r="O25" s="669"/>
      <c r="P25" s="179"/>
      <c r="Q25" s="669"/>
      <c r="R25" s="168"/>
    </row>
    <row r="26" spans="1:18" ht="14.1" customHeight="1">
      <c r="A26" s="54" t="s">
        <v>87</v>
      </c>
      <c r="B26" s="49" t="s">
        <v>519</v>
      </c>
      <c r="C26" s="408"/>
      <c r="D26" s="414">
        <f>Q9+20115497</f>
        <v>20222090</v>
      </c>
      <c r="E26" s="414">
        <f>'Step 5 Exec and Strategic'!R29</f>
        <v>20115497</v>
      </c>
      <c r="F26" s="241">
        <f>D26-E26</f>
        <v>106593</v>
      </c>
      <c r="G26" s="227">
        <v>0</v>
      </c>
      <c r="H26" s="241">
        <f t="shared" ref="H26" si="1">F26-G26</f>
        <v>106593</v>
      </c>
      <c r="I26" s="48"/>
      <c r="J26" s="793"/>
      <c r="L26" s="178" t="s">
        <v>97</v>
      </c>
      <c r="M26" s="408">
        <v>9724870</v>
      </c>
      <c r="N26" s="408">
        <v>108013</v>
      </c>
      <c r="O26" s="408">
        <v>310000</v>
      </c>
      <c r="P26" s="178" t="s">
        <v>1441</v>
      </c>
      <c r="Q26" s="408">
        <f>SUM(M26:O29)</f>
        <v>10531320</v>
      </c>
      <c r="R26" s="1637"/>
    </row>
    <row r="27" spans="1:18" ht="14.1" customHeight="1">
      <c r="A27" s="178" t="s">
        <v>88</v>
      </c>
      <c r="B27" s="168"/>
      <c r="C27" s="173"/>
      <c r="D27" s="168"/>
      <c r="E27" s="168"/>
      <c r="F27" s="168"/>
      <c r="G27" s="173"/>
      <c r="H27" s="414">
        <f t="shared" si="0"/>
        <v>0</v>
      </c>
      <c r="I27" s="168"/>
      <c r="J27" s="795"/>
      <c r="L27" s="178"/>
      <c r="M27" s="408"/>
      <c r="N27" s="408"/>
      <c r="O27" s="408">
        <v>327037</v>
      </c>
      <c r="P27" s="1636" t="s">
        <v>1688</v>
      </c>
      <c r="Q27" s="408"/>
      <c r="R27" s="1637"/>
    </row>
    <row r="28" spans="1:18" ht="14.1" customHeight="1">
      <c r="A28" s="368" t="s">
        <v>461</v>
      </c>
      <c r="B28" s="417" t="s">
        <v>256</v>
      </c>
      <c r="C28" s="225">
        <v>4706010</v>
      </c>
      <c r="D28" s="241">
        <f>Q11</f>
        <v>832979</v>
      </c>
      <c r="E28" s="241">
        <f>'Step 5 Exec and Strategic'!R31</f>
        <v>334542.32802384964</v>
      </c>
      <c r="F28" s="241">
        <f>D28-E28</f>
        <v>498436.67197615036</v>
      </c>
      <c r="G28" s="227">
        <v>0</v>
      </c>
      <c r="H28" s="241">
        <f t="shared" si="0"/>
        <v>498436.67197615036</v>
      </c>
      <c r="I28" s="225"/>
      <c r="J28" s="1518"/>
      <c r="K28" s="1124"/>
      <c r="L28" s="178"/>
      <c r="M28" s="408"/>
      <c r="N28" s="408"/>
      <c r="O28" s="408">
        <v>61400</v>
      </c>
      <c r="P28" s="1636" t="s">
        <v>1689</v>
      </c>
      <c r="Q28" s="408"/>
      <c r="R28" s="1637"/>
    </row>
    <row r="29" spans="1:18" ht="14.1" customHeight="1">
      <c r="A29" s="367" t="s">
        <v>462</v>
      </c>
      <c r="B29" s="168"/>
      <c r="C29" s="173"/>
      <c r="D29" s="168"/>
      <c r="E29" s="168"/>
      <c r="F29" s="168"/>
      <c r="G29" s="173"/>
      <c r="H29" s="414">
        <f t="shared" si="0"/>
        <v>0</v>
      </c>
      <c r="I29" s="168"/>
      <c r="J29" s="1380"/>
      <c r="K29" s="1124"/>
      <c r="L29" s="178"/>
      <c r="M29" s="408"/>
      <c r="N29" s="408"/>
      <c r="O29" s="408"/>
      <c r="P29" s="178"/>
      <c r="Q29" s="408"/>
      <c r="R29" s="168"/>
    </row>
    <row r="30" spans="1:18" ht="14.1" customHeight="1">
      <c r="A30" s="178" t="s">
        <v>89</v>
      </c>
      <c r="B30" s="407" t="s">
        <v>517</v>
      </c>
      <c r="C30" s="408">
        <v>14579961</v>
      </c>
      <c r="D30" s="414">
        <f>Q16</f>
        <v>15220117</v>
      </c>
      <c r="E30" s="414">
        <f>'Step 5 Exec and Strategic'!R33</f>
        <v>2861136.5813329625</v>
      </c>
      <c r="F30" s="414">
        <f>D30-E30</f>
        <v>12358980.418667037</v>
      </c>
      <c r="G30" s="173">
        <v>0</v>
      </c>
      <c r="H30" s="414">
        <f t="shared" si="0"/>
        <v>12358980.418667037</v>
      </c>
      <c r="I30" s="408"/>
      <c r="J30" s="1379"/>
      <c r="K30" s="1124"/>
      <c r="L30" s="1522" t="s">
        <v>483</v>
      </c>
      <c r="M30" s="1523">
        <v>5000049</v>
      </c>
      <c r="N30" s="1523">
        <v>81788</v>
      </c>
      <c r="O30" s="1523">
        <v>160000</v>
      </c>
      <c r="P30" s="1639" t="s">
        <v>1696</v>
      </c>
      <c r="Q30" s="1521">
        <f>SUM(M30:O42)</f>
        <v>7001064</v>
      </c>
      <c r="R30" s="168"/>
    </row>
    <row r="31" spans="1:18" ht="14.1" customHeight="1">
      <c r="A31" s="368" t="s">
        <v>1406</v>
      </c>
      <c r="B31" s="417"/>
      <c r="C31" s="225"/>
      <c r="D31" s="232"/>
      <c r="E31" s="232"/>
      <c r="F31" s="232"/>
      <c r="G31" s="227"/>
      <c r="H31" s="232"/>
      <c r="I31" s="225"/>
      <c r="J31" s="796"/>
      <c r="K31" s="1124"/>
      <c r="L31" s="1522"/>
      <c r="M31" s="1523"/>
      <c r="N31" s="1523"/>
      <c r="O31" s="1523">
        <v>3665200</v>
      </c>
      <c r="P31" s="1639" t="s">
        <v>1694</v>
      </c>
      <c r="Q31" s="1521"/>
      <c r="R31" s="168"/>
    </row>
    <row r="32" spans="1:18" ht="14.1" customHeight="1">
      <c r="A32" s="371" t="s">
        <v>91</v>
      </c>
      <c r="B32" s="670"/>
      <c r="C32" s="671"/>
      <c r="D32" s="672"/>
      <c r="E32" s="672"/>
      <c r="F32" s="672"/>
      <c r="G32" s="1355"/>
      <c r="H32" s="672"/>
      <c r="I32" s="671"/>
      <c r="J32" s="797"/>
      <c r="K32" s="1124"/>
      <c r="L32" s="1522"/>
      <c r="M32" s="1523"/>
      <c r="N32" s="1523"/>
      <c r="O32" s="1523">
        <v>-65153</v>
      </c>
      <c r="P32" s="1639" t="s">
        <v>1697</v>
      </c>
      <c r="Q32" s="1521"/>
      <c r="R32" s="168"/>
    </row>
    <row r="33" spans="1:19" ht="14.1" customHeight="1">
      <c r="A33" s="178"/>
      <c r="G33" s="1124"/>
      <c r="H33" s="168"/>
      <c r="J33" s="798"/>
      <c r="K33" s="1124"/>
      <c r="L33" s="1522"/>
      <c r="M33" s="1523"/>
      <c r="N33" s="1523"/>
      <c r="O33" s="1523">
        <v>-49726</v>
      </c>
      <c r="P33" s="1639" t="s">
        <v>1698</v>
      </c>
      <c r="Q33" s="1521"/>
      <c r="R33" s="168"/>
    </row>
    <row r="34" spans="1:19" ht="14.1" customHeight="1">
      <c r="A34" s="168"/>
      <c r="B34" s="407"/>
      <c r="C34" s="408"/>
      <c r="D34" s="168"/>
      <c r="E34" s="168"/>
      <c r="F34" s="168"/>
      <c r="G34" s="173"/>
      <c r="H34" s="168"/>
      <c r="I34" s="408"/>
      <c r="J34" s="793"/>
      <c r="K34" s="1124"/>
      <c r="L34" s="1522"/>
      <c r="M34" s="1523"/>
      <c r="N34" s="1523"/>
      <c r="O34" s="1523">
        <v>-3455263</v>
      </c>
      <c r="P34" s="1639" t="s">
        <v>1720</v>
      </c>
      <c r="Q34" s="1521"/>
      <c r="R34" s="168"/>
    </row>
    <row r="35" spans="1:19" ht="14.1" customHeight="1">
      <c r="A35" s="54" t="s">
        <v>92</v>
      </c>
      <c r="B35" s="49"/>
      <c r="C35" s="48"/>
      <c r="D35" s="168"/>
      <c r="E35" s="168"/>
      <c r="F35" s="168"/>
      <c r="G35" s="173"/>
      <c r="H35" s="168"/>
      <c r="I35" s="48"/>
      <c r="J35" s="799"/>
      <c r="K35" s="1124"/>
      <c r="L35" s="1522"/>
      <c r="M35" s="1523"/>
      <c r="N35" s="1523"/>
      <c r="O35" s="1523"/>
      <c r="P35" s="1639" t="s">
        <v>1721</v>
      </c>
      <c r="Q35" s="1521"/>
      <c r="R35" s="168"/>
    </row>
    <row r="36" spans="1:19" ht="14.1" customHeight="1">
      <c r="A36" s="179" t="s">
        <v>93</v>
      </c>
      <c r="B36" s="668"/>
      <c r="C36" s="669"/>
      <c r="D36" s="232"/>
      <c r="E36" s="232"/>
      <c r="F36" s="232"/>
      <c r="G36" s="227"/>
      <c r="H36" s="232"/>
      <c r="I36" s="669"/>
      <c r="J36" s="794"/>
      <c r="K36" s="1124"/>
      <c r="L36" s="1522"/>
      <c r="M36" s="1523"/>
      <c r="N36" s="1523"/>
      <c r="O36" s="1523">
        <v>189637</v>
      </c>
      <c r="P36" s="1642" t="s">
        <v>1722</v>
      </c>
      <c r="Q36" s="1521"/>
      <c r="R36" s="168"/>
    </row>
    <row r="37" spans="1:19" ht="14.1" customHeight="1">
      <c r="A37" s="178" t="s">
        <v>94</v>
      </c>
      <c r="B37" s="193" t="s">
        <v>247</v>
      </c>
      <c r="C37" s="408">
        <v>4019773</v>
      </c>
      <c r="D37" s="414">
        <f>Q23</f>
        <v>4197208</v>
      </c>
      <c r="E37" s="414">
        <f>'Step 5 Exec and Strategic'!R41</f>
        <v>26585</v>
      </c>
      <c r="F37" s="414">
        <f>D37-E37</f>
        <v>4170623</v>
      </c>
      <c r="G37" s="173">
        <f>F37*(-H$2)/SUM(F$37:F$53)</f>
        <v>306693.30471105204</v>
      </c>
      <c r="H37" s="414">
        <f>F37-G37</f>
        <v>3863929.6952889478</v>
      </c>
      <c r="I37" s="223"/>
      <c r="J37" s="1379"/>
      <c r="K37" s="1124"/>
      <c r="L37" s="1522"/>
      <c r="M37" s="1523"/>
      <c r="N37" s="1523"/>
      <c r="O37" s="1523">
        <v>151630</v>
      </c>
      <c r="P37" s="1642" t="s">
        <v>1723</v>
      </c>
      <c r="Q37" s="1521"/>
      <c r="R37" s="168"/>
    </row>
    <row r="38" spans="1:19" ht="14.1" customHeight="1">
      <c r="A38" s="54" t="s">
        <v>95</v>
      </c>
      <c r="B38" s="49"/>
      <c r="C38" s="48"/>
      <c r="D38" s="168"/>
      <c r="E38" s="168"/>
      <c r="F38" s="168"/>
      <c r="G38" s="173"/>
      <c r="H38" s="168"/>
      <c r="I38" s="48"/>
      <c r="J38" s="799"/>
      <c r="K38" s="1124"/>
      <c r="L38" s="1522"/>
      <c r="M38" s="1523"/>
      <c r="N38" s="1523"/>
      <c r="O38" s="1523">
        <v>1500</v>
      </c>
      <c r="P38" s="1642" t="s">
        <v>1724</v>
      </c>
      <c r="Q38" s="1521"/>
      <c r="R38" s="168"/>
      <c r="S38" s="169">
        <f>SUM(O32:O41)</f>
        <v>-2003473</v>
      </c>
    </row>
    <row r="39" spans="1:19" ht="14.1" customHeight="1">
      <c r="A39" s="179" t="s">
        <v>96</v>
      </c>
      <c r="B39" s="668"/>
      <c r="C39" s="669"/>
      <c r="D39" s="232"/>
      <c r="E39" s="232"/>
      <c r="F39" s="232"/>
      <c r="G39" s="227"/>
      <c r="H39" s="232"/>
      <c r="I39" s="669"/>
      <c r="J39" s="794"/>
      <c r="K39" s="1124"/>
      <c r="L39" s="1522"/>
      <c r="M39" s="1523"/>
      <c r="N39" s="1523"/>
      <c r="O39" s="1523">
        <v>490198</v>
      </c>
      <c r="P39" s="1642" t="s">
        <v>1726</v>
      </c>
      <c r="Q39" s="1521"/>
      <c r="R39" s="168"/>
    </row>
    <row r="40" spans="1:19" ht="14.1" customHeight="1">
      <c r="A40" s="178" t="s">
        <v>97</v>
      </c>
      <c r="B40" s="193" t="s">
        <v>518</v>
      </c>
      <c r="C40" s="408">
        <v>9724870</v>
      </c>
      <c r="D40" s="414">
        <f>Q26</f>
        <v>10531320</v>
      </c>
      <c r="E40" s="414">
        <f>'Step 5 Exec and Strategic'!R44</f>
        <v>3101170.9858873365</v>
      </c>
      <c r="F40" s="414">
        <f t="shared" ref="F40:F53" si="2">D40-E40</f>
        <v>7430149.0141126635</v>
      </c>
      <c r="G40" s="173">
        <f t="shared" ref="G40:G53" si="3">F40*(-H$2)/SUM(F$37:F$53)</f>
        <v>546387.66333801392</v>
      </c>
      <c r="H40" s="173">
        <f t="shared" ref="H40:H53" si="4">F40-G40</f>
        <v>6883761.3507746495</v>
      </c>
      <c r="I40" s="223"/>
      <c r="J40" s="1379"/>
      <c r="K40" s="1124"/>
      <c r="L40" s="1522"/>
      <c r="M40" s="1523"/>
      <c r="N40" s="1523"/>
      <c r="O40" s="1523">
        <v>706113</v>
      </c>
      <c r="P40" s="1642" t="s">
        <v>1727</v>
      </c>
      <c r="Q40" s="1521"/>
      <c r="R40" s="168"/>
      <c r="S40" s="169"/>
    </row>
    <row r="41" spans="1:19" ht="14.1" customHeight="1">
      <c r="A41" s="367" t="s">
        <v>483</v>
      </c>
      <c r="B41" s="193" t="s">
        <v>518</v>
      </c>
      <c r="C41" s="173">
        <v>5000049</v>
      </c>
      <c r="D41" s="414">
        <f>Q30</f>
        <v>7001064</v>
      </c>
      <c r="E41" s="414">
        <f>'Step 5 Exec and Strategic'!R45</f>
        <v>5320745.3717898158</v>
      </c>
      <c r="F41" s="1124">
        <f t="shared" si="2"/>
        <v>1680318.6282101842</v>
      </c>
      <c r="G41" s="1124">
        <f t="shared" si="3"/>
        <v>123564.86622102333</v>
      </c>
      <c r="H41" s="1124">
        <f t="shared" si="4"/>
        <v>1556753.7619891609</v>
      </c>
      <c r="I41" s="169"/>
      <c r="J41" s="1379"/>
      <c r="K41" s="1124"/>
      <c r="L41" s="1522"/>
      <c r="M41" s="1523"/>
      <c r="N41" s="1523"/>
      <c r="O41" s="1523">
        <v>27591</v>
      </c>
      <c r="P41" s="1642" t="s">
        <v>1725</v>
      </c>
      <c r="Q41" s="1521"/>
      <c r="R41" s="168"/>
    </row>
    <row r="42" spans="1:19" ht="14.1" customHeight="1">
      <c r="A42" s="178" t="s">
        <v>98</v>
      </c>
      <c r="B42" s="193" t="s">
        <v>251</v>
      </c>
      <c r="C42" s="408">
        <v>3643184</v>
      </c>
      <c r="D42" s="414">
        <f>Q43</f>
        <v>1930650</v>
      </c>
      <c r="E42" s="414">
        <f>'Step 5 Exec and Strategic'!R46</f>
        <v>762246.9880512323</v>
      </c>
      <c r="F42" s="414">
        <f t="shared" si="2"/>
        <v>1168403.0119487676</v>
      </c>
      <c r="G42" s="173">
        <f t="shared" si="3"/>
        <v>85920.348343380436</v>
      </c>
      <c r="H42" s="173">
        <f t="shared" si="4"/>
        <v>1082482.6636053871</v>
      </c>
      <c r="I42" s="223"/>
      <c r="J42" s="1379"/>
      <c r="K42" s="1124"/>
      <c r="L42" s="1522"/>
      <c r="M42" s="1523"/>
      <c r="N42" s="1523"/>
      <c r="O42" s="1523">
        <v>97500</v>
      </c>
      <c r="P42" s="1522" t="s">
        <v>1443</v>
      </c>
      <c r="Q42" s="1523"/>
      <c r="R42" s="168"/>
    </row>
    <row r="43" spans="1:19" ht="14.1" customHeight="1">
      <c r="A43" s="179" t="s">
        <v>99</v>
      </c>
      <c r="B43" s="222" t="s">
        <v>247</v>
      </c>
      <c r="C43" s="225">
        <v>19774660</v>
      </c>
      <c r="D43" s="241">
        <f>Q50</f>
        <v>24224945</v>
      </c>
      <c r="E43" s="241">
        <f>'Step 5 Exec and Strategic'!R47</f>
        <v>3759582.5772655047</v>
      </c>
      <c r="F43" s="241">
        <f t="shared" si="2"/>
        <v>20465362.422734495</v>
      </c>
      <c r="G43" s="227">
        <f t="shared" si="3"/>
        <v>1504952.5295232448</v>
      </c>
      <c r="H43" s="227">
        <f t="shared" si="4"/>
        <v>18960409.893211249</v>
      </c>
      <c r="I43" s="224"/>
      <c r="J43" s="1518"/>
      <c r="K43" s="1124"/>
      <c r="L43" s="178" t="s">
        <v>98</v>
      </c>
      <c r="M43" s="408">
        <v>3643184</v>
      </c>
      <c r="N43" s="408">
        <v>69551</v>
      </c>
      <c r="O43" s="408">
        <v>-836415</v>
      </c>
      <c r="P43" s="1636" t="s">
        <v>1699</v>
      </c>
      <c r="Q43" s="408">
        <f>SUM(M43:O49)</f>
        <v>1930650</v>
      </c>
      <c r="R43" s="168"/>
    </row>
    <row r="44" spans="1:19" ht="14.1" customHeight="1">
      <c r="A44" s="178" t="s">
        <v>463</v>
      </c>
      <c r="B44" s="193" t="s">
        <v>248</v>
      </c>
      <c r="C44" s="408">
        <v>4501875</v>
      </c>
      <c r="D44" s="414">
        <f t="shared" ref="D44:D46" si="5">Q60</f>
        <v>5052176</v>
      </c>
      <c r="E44" s="414">
        <f>'Step 5 Exec and Strategic'!R48</f>
        <v>2699947.7026</v>
      </c>
      <c r="F44" s="414">
        <f t="shared" si="2"/>
        <v>2352228.2974</v>
      </c>
      <c r="G44" s="173">
        <f t="shared" si="3"/>
        <v>172974.79776149927</v>
      </c>
      <c r="H44" s="173">
        <f t="shared" si="4"/>
        <v>2179253.4996385006</v>
      </c>
      <c r="I44" s="223"/>
      <c r="J44" s="1379"/>
      <c r="K44" s="1124"/>
      <c r="L44" s="178"/>
      <c r="M44" s="408"/>
      <c r="N44" s="408"/>
      <c r="O44" s="408">
        <v>120000</v>
      </c>
      <c r="P44" s="178" t="s">
        <v>1444</v>
      </c>
      <c r="Q44" s="408"/>
      <c r="R44" s="168"/>
    </row>
    <row r="45" spans="1:19" ht="14.1" customHeight="1">
      <c r="A45" s="54" t="s">
        <v>86</v>
      </c>
      <c r="B45" s="49" t="s">
        <v>682</v>
      </c>
      <c r="C45" s="408">
        <v>1522413</v>
      </c>
      <c r="D45" s="414">
        <f t="shared" si="5"/>
        <v>1559284</v>
      </c>
      <c r="E45" s="414">
        <f>'Step 5 Exec and Strategic'!R49</f>
        <v>15084.462872218808</v>
      </c>
      <c r="F45" s="414">
        <f t="shared" si="2"/>
        <v>1544199.5371277812</v>
      </c>
      <c r="G45" s="173">
        <f t="shared" si="3"/>
        <v>113555.13532990063</v>
      </c>
      <c r="H45" s="173">
        <f t="shared" si="4"/>
        <v>1430644.4017978807</v>
      </c>
      <c r="I45" s="48"/>
      <c r="J45" s="1379"/>
      <c r="K45" s="1124"/>
      <c r="L45" s="178"/>
      <c r="M45" s="408"/>
      <c r="N45" s="408"/>
      <c r="O45" s="408">
        <v>245999</v>
      </c>
      <c r="P45" s="178" t="s">
        <v>1445</v>
      </c>
      <c r="Q45" s="408"/>
      <c r="R45" s="168"/>
    </row>
    <row r="46" spans="1:19" ht="14.1" customHeight="1">
      <c r="A46" s="368" t="s">
        <v>100</v>
      </c>
      <c r="B46" s="417" t="s">
        <v>268</v>
      </c>
      <c r="C46" s="225">
        <v>7580439</v>
      </c>
      <c r="D46" s="241">
        <f t="shared" si="5"/>
        <v>7933343</v>
      </c>
      <c r="E46" s="241">
        <f>'Step 5 Exec and Strategic'!R50</f>
        <v>3695047.7026</v>
      </c>
      <c r="F46" s="241">
        <f t="shared" si="2"/>
        <v>4238295.2973999996</v>
      </c>
      <c r="G46" s="227">
        <f t="shared" si="3"/>
        <v>311669.69325707864</v>
      </c>
      <c r="H46" s="227">
        <f t="shared" si="4"/>
        <v>3926625.604142921</v>
      </c>
      <c r="I46" s="225"/>
      <c r="J46" s="1518"/>
      <c r="K46" s="1124"/>
      <c r="L46" s="178"/>
      <c r="M46" s="408"/>
      <c r="N46" s="408"/>
      <c r="O46" s="408"/>
      <c r="P46" s="1636"/>
      <c r="Q46" s="408"/>
      <c r="R46" s="168"/>
    </row>
    <row r="47" spans="1:19" ht="14.1" customHeight="1">
      <c r="A47" s="178" t="s">
        <v>101</v>
      </c>
      <c r="B47" s="407" t="s">
        <v>518</v>
      </c>
      <c r="C47" s="408">
        <v>7705927</v>
      </c>
      <c r="D47" s="414">
        <f>Q63</f>
        <v>13106471.275</v>
      </c>
      <c r="E47" s="414">
        <f>'Step 5 Exec and Strategic'!R51</f>
        <v>1756654.9556670005</v>
      </c>
      <c r="F47" s="414">
        <f t="shared" si="2"/>
        <v>11349816.319333</v>
      </c>
      <c r="G47" s="173">
        <f t="shared" si="3"/>
        <v>834626.54736226867</v>
      </c>
      <c r="H47" s="173">
        <f t="shared" si="4"/>
        <v>10515189.771970732</v>
      </c>
      <c r="I47" s="408"/>
      <c r="J47" s="1379"/>
      <c r="K47" s="1124"/>
      <c r="L47" s="178"/>
      <c r="M47" s="408"/>
      <c r="N47" s="408"/>
      <c r="O47" s="408">
        <v>-1566669</v>
      </c>
      <c r="P47" s="1636" t="s">
        <v>1728</v>
      </c>
      <c r="Q47" s="408"/>
      <c r="R47" s="168"/>
    </row>
    <row r="48" spans="1:19" ht="14.1" customHeight="1">
      <c r="A48" s="178" t="s">
        <v>102</v>
      </c>
      <c r="B48" s="407" t="s">
        <v>502</v>
      </c>
      <c r="C48" s="408">
        <v>12025835</v>
      </c>
      <c r="D48" s="414">
        <f>Q78</f>
        <v>12171097</v>
      </c>
      <c r="E48" s="414">
        <f>'Step 5 Exec and Strategic'!R52</f>
        <v>2281104.9457200002</v>
      </c>
      <c r="F48" s="414">
        <f t="shared" si="2"/>
        <v>9889992.0542799998</v>
      </c>
      <c r="G48" s="173">
        <f t="shared" si="3"/>
        <v>727276.08002285985</v>
      </c>
      <c r="H48" s="173">
        <f t="shared" si="4"/>
        <v>9162715.9742571395</v>
      </c>
      <c r="I48" s="408"/>
      <c r="J48" s="1379"/>
      <c r="K48" s="1124"/>
      <c r="L48" s="178"/>
      <c r="M48" s="408"/>
      <c r="N48" s="408"/>
      <c r="O48" s="408">
        <f>1.5*120000</f>
        <v>180000</v>
      </c>
      <c r="P48" s="178" t="s">
        <v>1602</v>
      </c>
      <c r="Q48" s="408"/>
      <c r="R48" s="168"/>
    </row>
    <row r="49" spans="1:18" ht="14.1" customHeight="1">
      <c r="A49" s="368" t="s">
        <v>103</v>
      </c>
      <c r="B49" s="417" t="s">
        <v>502</v>
      </c>
      <c r="C49" s="225">
        <v>25520328</v>
      </c>
      <c r="D49" s="241">
        <f>Q79</f>
        <v>26772193</v>
      </c>
      <c r="E49" s="241">
        <f>'Step 5 Exec and Strategic'!R53</f>
        <v>2999232.18884</v>
      </c>
      <c r="F49" s="241">
        <f t="shared" si="2"/>
        <v>23772960.811159998</v>
      </c>
      <c r="G49" s="227">
        <f t="shared" si="3"/>
        <v>1748181.9656058559</v>
      </c>
      <c r="H49" s="227">
        <f t="shared" si="4"/>
        <v>22024778.845554143</v>
      </c>
      <c r="I49" s="225"/>
      <c r="J49" s="1518"/>
      <c r="K49" s="1124"/>
      <c r="L49" s="178"/>
      <c r="M49" s="408"/>
      <c r="N49" s="408"/>
      <c r="O49" s="408">
        <v>75000</v>
      </c>
      <c r="P49" s="178" t="s">
        <v>1469</v>
      </c>
      <c r="Q49" s="408"/>
      <c r="R49" s="168"/>
    </row>
    <row r="50" spans="1:18" ht="14.1" customHeight="1">
      <c r="A50" s="178" t="s">
        <v>104</v>
      </c>
      <c r="B50" s="407" t="s">
        <v>497</v>
      </c>
      <c r="C50" s="408">
        <v>17684064</v>
      </c>
      <c r="D50" s="414">
        <f>Q96</f>
        <v>19057926</v>
      </c>
      <c r="E50" s="414">
        <f>'Step 5 Exec and Strategic'!R54</f>
        <v>4792281.1385526741</v>
      </c>
      <c r="F50" s="414">
        <f t="shared" si="2"/>
        <v>14265644.861447327</v>
      </c>
      <c r="G50" s="173">
        <f t="shared" si="3"/>
        <v>1049046.5732317495</v>
      </c>
      <c r="H50" s="173">
        <f t="shared" si="4"/>
        <v>13216598.288215578</v>
      </c>
      <c r="I50" s="408"/>
      <c r="J50" s="1379"/>
      <c r="K50" s="1124"/>
      <c r="L50" s="1524" t="s">
        <v>99</v>
      </c>
      <c r="M50" s="1521">
        <v>19774660</v>
      </c>
      <c r="N50" s="1521">
        <v>420933</v>
      </c>
      <c r="O50" s="1521">
        <v>1355252</v>
      </c>
      <c r="P50" s="1524" t="s">
        <v>1442</v>
      </c>
      <c r="Q50" s="1521">
        <f>SUM(M50:O58)</f>
        <v>24224945</v>
      </c>
      <c r="R50" s="1637"/>
    </row>
    <row r="51" spans="1:18" ht="14.1" customHeight="1">
      <c r="A51" s="178" t="s">
        <v>459</v>
      </c>
      <c r="B51" s="193" t="s">
        <v>247</v>
      </c>
      <c r="C51" s="1124">
        <v>3700133</v>
      </c>
      <c r="D51" s="414">
        <f>Q101</f>
        <v>3842928</v>
      </c>
      <c r="E51" s="414">
        <f>'Step 5 Exec and Strategic'!R55</f>
        <v>0</v>
      </c>
      <c r="F51" s="1124">
        <f t="shared" si="2"/>
        <v>3842928</v>
      </c>
      <c r="G51" s="1124">
        <f t="shared" si="3"/>
        <v>282595.73883485363</v>
      </c>
      <c r="H51" s="1124">
        <f t="shared" si="4"/>
        <v>3560332.2611651463</v>
      </c>
      <c r="I51" s="169"/>
      <c r="J51" s="1379"/>
      <c r="K51" s="1124"/>
      <c r="L51" s="178"/>
      <c r="M51" s="408"/>
      <c r="N51" s="408"/>
      <c r="O51" s="408">
        <v>373707</v>
      </c>
      <c r="P51" s="178" t="s">
        <v>1446</v>
      </c>
      <c r="Q51" s="408"/>
      <c r="R51" s="168"/>
    </row>
    <row r="52" spans="1:18" ht="14.1" customHeight="1">
      <c r="A52" s="386" t="s">
        <v>485</v>
      </c>
      <c r="B52" s="222" t="s">
        <v>497</v>
      </c>
      <c r="C52" s="227">
        <v>2369903</v>
      </c>
      <c r="D52" s="241">
        <f>Q102</f>
        <v>2435948</v>
      </c>
      <c r="E52" s="241">
        <f>'Step 5 Exec and Strategic'!R56</f>
        <v>860000</v>
      </c>
      <c r="F52" s="227">
        <f t="shared" si="2"/>
        <v>1575948</v>
      </c>
      <c r="G52" s="227">
        <f t="shared" si="3"/>
        <v>115889.80835064042</v>
      </c>
      <c r="H52" s="227">
        <f t="shared" si="4"/>
        <v>1460058.1916493597</v>
      </c>
      <c r="I52" s="423"/>
      <c r="J52" s="1518"/>
      <c r="K52" s="1124"/>
      <c r="L52" s="178"/>
      <c r="M52" s="408"/>
      <c r="N52" s="408"/>
      <c r="O52" s="408">
        <v>326522</v>
      </c>
      <c r="P52" s="178" t="s">
        <v>1447</v>
      </c>
      <c r="Q52" s="408"/>
      <c r="R52" s="168"/>
    </row>
    <row r="53" spans="1:18" ht="14.1" customHeight="1">
      <c r="A53" s="178" t="s">
        <v>105</v>
      </c>
      <c r="B53" s="407" t="s">
        <v>497</v>
      </c>
      <c r="C53" s="408">
        <v>12372914</v>
      </c>
      <c r="D53" s="414">
        <f>Q103</f>
        <v>12406376</v>
      </c>
      <c r="E53" s="414">
        <f>'Step 5 Exec and Strategic'!R57</f>
        <v>4300000</v>
      </c>
      <c r="F53" s="414">
        <f t="shared" si="2"/>
        <v>8106376</v>
      </c>
      <c r="G53" s="173">
        <f t="shared" si="3"/>
        <v>596115.07553436479</v>
      </c>
      <c r="H53" s="173">
        <f t="shared" si="4"/>
        <v>7510260.9244656349</v>
      </c>
      <c r="I53" s="223"/>
      <c r="J53" s="1379"/>
      <c r="K53" s="1124"/>
      <c r="L53" s="178"/>
      <c r="M53" s="408"/>
      <c r="N53" s="408"/>
      <c r="O53" s="408">
        <v>197682</v>
      </c>
      <c r="P53" s="178" t="s">
        <v>1448</v>
      </c>
      <c r="Q53" s="408"/>
      <c r="R53" s="168"/>
    </row>
    <row r="54" spans="1:18" ht="14.1" customHeight="1">
      <c r="A54" s="375" t="s">
        <v>106</v>
      </c>
      <c r="B54" s="424"/>
      <c r="C54" s="374"/>
      <c r="D54" s="374"/>
      <c r="E54" s="374"/>
      <c r="F54" s="374"/>
      <c r="G54" s="374"/>
      <c r="H54" s="374"/>
      <c r="I54" s="425"/>
      <c r="J54" s="426"/>
      <c r="K54" s="1124"/>
      <c r="L54" s="178"/>
      <c r="M54" s="408"/>
      <c r="N54" s="408"/>
      <c r="O54" s="408">
        <v>0</v>
      </c>
      <c r="P54" s="1636" t="s">
        <v>1700</v>
      </c>
      <c r="Q54" s="408"/>
      <c r="R54" s="168"/>
    </row>
    <row r="55" spans="1:18" ht="14.1" customHeight="1">
      <c r="A55" s="377" t="s">
        <v>107</v>
      </c>
      <c r="B55" s="222"/>
      <c r="C55" s="232"/>
      <c r="D55" s="232"/>
      <c r="E55" s="232"/>
      <c r="F55" s="232"/>
      <c r="G55" s="232"/>
      <c r="H55" s="232"/>
      <c r="I55" s="222"/>
      <c r="J55" s="222"/>
      <c r="L55" s="178"/>
      <c r="M55" s="408"/>
      <c r="N55" s="408"/>
      <c r="O55" s="408">
        <v>836415</v>
      </c>
      <c r="P55" s="1636" t="s">
        <v>1701</v>
      </c>
      <c r="Q55" s="408"/>
      <c r="R55" s="168"/>
    </row>
    <row r="56" spans="1:18" ht="14.1" customHeight="1">
      <c r="C56" s="185">
        <f t="shared" ref="C56:H56" si="6">SUM(C24:C53)</f>
        <v>156975704</v>
      </c>
      <c r="D56" s="185">
        <f t="shared" si="6"/>
        <v>188498115.27500001</v>
      </c>
      <c r="E56" s="185">
        <f>SUM(E24:E53)</f>
        <v>59680859.929202609</v>
      </c>
      <c r="F56" s="185">
        <f t="shared" si="6"/>
        <v>128817255.34579739</v>
      </c>
      <c r="G56" s="185">
        <f>SUM(G24:G53)</f>
        <v>8519450.1274277866</v>
      </c>
      <c r="H56" s="185">
        <f t="shared" si="6"/>
        <v>120297805.21836962</v>
      </c>
      <c r="L56" s="178"/>
      <c r="M56" s="408"/>
      <c r="N56" s="408"/>
      <c r="O56" s="408">
        <v>824895</v>
      </c>
      <c r="P56" s="1636" t="s">
        <v>1702</v>
      </c>
      <c r="Q56" s="408"/>
      <c r="R56" s="168"/>
    </row>
    <row r="57" spans="1:18" ht="14.1" customHeight="1">
      <c r="C57" s="185"/>
      <c r="D57" s="185"/>
      <c r="E57" s="185"/>
      <c r="H57" s="168"/>
      <c r="L57" s="178"/>
      <c r="M57" s="408"/>
      <c r="N57" s="408"/>
      <c r="O57" s="408">
        <v>65153</v>
      </c>
      <c r="P57" s="1636" t="s">
        <v>1703</v>
      </c>
      <c r="Q57" s="408"/>
      <c r="R57" s="168"/>
    </row>
    <row r="58" spans="1:18" ht="14.1" customHeight="1">
      <c r="F58" s="1353"/>
      <c r="G58" s="1353"/>
      <c r="H58" s="1516"/>
      <c r="L58" s="178"/>
      <c r="M58" s="408"/>
      <c r="N58" s="408"/>
      <c r="O58" s="408">
        <v>49726</v>
      </c>
      <c r="P58" s="1636" t="s">
        <v>1704</v>
      </c>
      <c r="Q58" s="408"/>
      <c r="R58" s="168"/>
    </row>
    <row r="59" spans="1:18" ht="14.1" customHeight="1">
      <c r="C59" s="185"/>
      <c r="D59" s="185"/>
      <c r="F59" s="1353"/>
      <c r="G59" s="1353"/>
      <c r="H59" s="1516"/>
      <c r="L59" s="178"/>
      <c r="M59" s="408"/>
      <c r="N59" s="408"/>
      <c r="O59" s="408"/>
      <c r="P59" s="178"/>
      <c r="Q59" s="408"/>
      <c r="R59" s="168"/>
    </row>
    <row r="60" spans="1:18" ht="14.1" customHeight="1">
      <c r="C60" s="185"/>
      <c r="D60" s="185"/>
      <c r="F60" s="1353"/>
      <c r="G60" s="1353"/>
      <c r="H60" s="1516"/>
      <c r="L60" s="1524" t="s">
        <v>463</v>
      </c>
      <c r="M60" s="1521">
        <v>4501875</v>
      </c>
      <c r="N60" s="1521">
        <v>55102</v>
      </c>
      <c r="O60" s="1521">
        <v>495199</v>
      </c>
      <c r="P60" s="1524" t="s">
        <v>1442</v>
      </c>
      <c r="Q60" s="1521">
        <f>SUM(M60:O60)</f>
        <v>5052176</v>
      </c>
      <c r="R60" s="168"/>
    </row>
    <row r="61" spans="1:18" ht="14.1" customHeight="1">
      <c r="C61" s="185"/>
      <c r="D61" s="185"/>
      <c r="F61" s="1354"/>
      <c r="G61" s="1354"/>
      <c r="H61" s="1517"/>
      <c r="L61" s="54" t="s">
        <v>86</v>
      </c>
      <c r="M61" s="408">
        <v>1522413</v>
      </c>
      <c r="N61" s="408">
        <v>36871</v>
      </c>
      <c r="O61" s="408"/>
      <c r="P61" s="54"/>
      <c r="Q61" s="408">
        <f>SUM(M61:O61)</f>
        <v>1559284</v>
      </c>
      <c r="R61" s="168"/>
    </row>
    <row r="62" spans="1:18" ht="14.1" customHeight="1">
      <c r="C62" s="185"/>
      <c r="D62" s="185"/>
      <c r="E62" s="185"/>
      <c r="H62" s="168"/>
      <c r="L62" s="1524" t="s">
        <v>100</v>
      </c>
      <c r="M62" s="1521">
        <v>7580439</v>
      </c>
      <c r="N62" s="1521">
        <v>152904</v>
      </c>
      <c r="O62" s="1521">
        <v>200000</v>
      </c>
      <c r="P62" s="1524" t="s">
        <v>1468</v>
      </c>
      <c r="Q62" s="1521">
        <f>SUM(M62:O62)</f>
        <v>7933343</v>
      </c>
      <c r="R62" s="168"/>
    </row>
    <row r="63" spans="1:18" ht="14.1" customHeight="1">
      <c r="H63" s="168"/>
      <c r="L63" s="178" t="s">
        <v>101</v>
      </c>
      <c r="M63" s="408">
        <v>7705927</v>
      </c>
      <c r="N63" s="408">
        <v>73810</v>
      </c>
      <c r="O63" s="408"/>
      <c r="P63" s="178"/>
      <c r="Q63" s="408">
        <f>SUM(M63:O76)</f>
        <v>13106471.275</v>
      </c>
      <c r="R63" s="1661"/>
    </row>
    <row r="64" spans="1:18" ht="14.1" customHeight="1" thickBot="1">
      <c r="A64" s="415"/>
      <c r="B64" s="415" t="s">
        <v>1177</v>
      </c>
      <c r="C64" s="415" t="s">
        <v>64</v>
      </c>
      <c r="D64" s="415" t="s">
        <v>63</v>
      </c>
      <c r="E64" s="415" t="s">
        <v>426</v>
      </c>
      <c r="F64" s="415" t="s">
        <v>863</v>
      </c>
      <c r="G64" s="415"/>
      <c r="H64" s="415"/>
      <c r="I64" s="416"/>
      <c r="J64" s="416"/>
      <c r="L64" s="178"/>
      <c r="M64" s="408"/>
      <c r="N64" s="408"/>
      <c r="O64" s="408">
        <v>130000</v>
      </c>
      <c r="P64" s="1636" t="s">
        <v>1706</v>
      </c>
      <c r="Q64" s="408"/>
      <c r="R64" s="1661"/>
    </row>
    <row r="65" spans="1:19" ht="13.5" thickTop="1">
      <c r="A65" s="167" t="s">
        <v>499</v>
      </c>
      <c r="B65" s="421">
        <v>25115</v>
      </c>
      <c r="C65" s="421">
        <v>26573</v>
      </c>
      <c r="D65" s="167">
        <f>D70+D71</f>
        <v>27428</v>
      </c>
      <c r="E65" s="167">
        <f>E70+E71</f>
        <v>28205</v>
      </c>
      <c r="F65" s="167">
        <v>28793</v>
      </c>
      <c r="I65" s="167" t="s">
        <v>504</v>
      </c>
      <c r="L65" s="178"/>
      <c r="M65" s="408"/>
      <c r="N65" s="408"/>
      <c r="O65" s="408">
        <v>100000</v>
      </c>
      <c r="P65" s="1636" t="s">
        <v>1707</v>
      </c>
      <c r="Q65" s="408"/>
      <c r="R65" s="1661"/>
    </row>
    <row r="66" spans="1:19">
      <c r="A66" s="232" t="s">
        <v>509</v>
      </c>
      <c r="B66" s="232">
        <v>882</v>
      </c>
      <c r="C66" s="232">
        <v>926</v>
      </c>
      <c r="D66" s="232">
        <v>950</v>
      </c>
      <c r="E66" s="232">
        <v>949</v>
      </c>
      <c r="F66" s="232">
        <v>967</v>
      </c>
      <c r="G66" s="232"/>
      <c r="H66" s="232"/>
      <c r="I66" s="232" t="s">
        <v>508</v>
      </c>
      <c r="J66" s="232"/>
      <c r="L66" s="178"/>
      <c r="M66" s="408"/>
      <c r="N66" s="408"/>
      <c r="O66" s="408">
        <v>80000</v>
      </c>
      <c r="P66" s="1636" t="s">
        <v>1708</v>
      </c>
      <c r="Q66" s="408"/>
      <c r="R66" s="1661"/>
    </row>
    <row r="67" spans="1:19">
      <c r="A67" s="167" t="s">
        <v>500</v>
      </c>
      <c r="B67" s="167">
        <v>5067</v>
      </c>
      <c r="C67" s="167">
        <v>5477</v>
      </c>
      <c r="D67" s="167">
        <v>5667</v>
      </c>
      <c r="E67" s="167">
        <v>5847</v>
      </c>
      <c r="F67" s="167">
        <v>6094</v>
      </c>
      <c r="I67" s="167" t="s">
        <v>508</v>
      </c>
      <c r="L67" s="178"/>
      <c r="M67" s="408"/>
      <c r="N67" s="408"/>
      <c r="O67" s="408"/>
      <c r="P67" s="1636" t="s">
        <v>1719</v>
      </c>
      <c r="Q67" s="408"/>
      <c r="R67" s="1661"/>
    </row>
    <row r="68" spans="1:19">
      <c r="A68" s="167" t="s">
        <v>1178</v>
      </c>
      <c r="B68" s="167">
        <v>3669</v>
      </c>
      <c r="C68" s="167">
        <v>4038</v>
      </c>
      <c r="D68" s="167">
        <v>4188</v>
      </c>
      <c r="E68" s="167">
        <v>4309</v>
      </c>
      <c r="F68" s="167">
        <v>4511</v>
      </c>
      <c r="I68" s="167" t="s">
        <v>508</v>
      </c>
      <c r="L68" s="178"/>
      <c r="M68" s="408"/>
      <c r="N68" s="408"/>
      <c r="O68" s="408">
        <v>1393212</v>
      </c>
      <c r="P68" s="1641" t="s">
        <v>1713</v>
      </c>
      <c r="Q68" s="408"/>
      <c r="R68" s="1661"/>
    </row>
    <row r="69" spans="1:19">
      <c r="A69" s="167" t="s">
        <v>497</v>
      </c>
      <c r="B69" s="427">
        <v>3673680</v>
      </c>
      <c r="C69" s="427">
        <v>3673680</v>
      </c>
      <c r="D69" s="427">
        <v>3873680</v>
      </c>
      <c r="E69" s="427">
        <f>D69</f>
        <v>3873680</v>
      </c>
      <c r="F69" s="1015">
        <f>E69</f>
        <v>3873680</v>
      </c>
      <c r="G69" s="1015"/>
      <c r="H69" s="1015"/>
      <c r="I69" s="167" t="s">
        <v>503</v>
      </c>
      <c r="L69" s="178"/>
      <c r="M69" s="408"/>
      <c r="N69" s="408"/>
      <c r="O69" s="408">
        <v>618277</v>
      </c>
      <c r="P69" s="1641" t="s">
        <v>1714</v>
      </c>
      <c r="Q69" s="408"/>
      <c r="R69" s="1661"/>
    </row>
    <row r="70" spans="1:19">
      <c r="A70" s="232" t="s">
        <v>498</v>
      </c>
      <c r="B70" s="1224">
        <v>4176</v>
      </c>
      <c r="C70" s="1224">
        <v>4447</v>
      </c>
      <c r="D70" s="232">
        <v>4604</v>
      </c>
      <c r="E70" s="232">
        <v>4681</v>
      </c>
      <c r="F70" s="232">
        <v>4767</v>
      </c>
      <c r="G70" s="232"/>
      <c r="H70" s="232"/>
      <c r="I70" s="232" t="s">
        <v>504</v>
      </c>
      <c r="J70" s="232"/>
      <c r="L70" s="178"/>
      <c r="M70" s="408"/>
      <c r="N70" s="408"/>
      <c r="O70" s="408">
        <v>897858</v>
      </c>
      <c r="P70" s="1641" t="s">
        <v>1715</v>
      </c>
      <c r="Q70" s="408"/>
      <c r="R70" s="1661"/>
      <c r="S70" s="169"/>
    </row>
    <row r="71" spans="1:19">
      <c r="A71" s="167" t="s">
        <v>501</v>
      </c>
      <c r="B71" s="421">
        <v>20838</v>
      </c>
      <c r="C71" s="421">
        <v>22126</v>
      </c>
      <c r="D71" s="167">
        <v>22824</v>
      </c>
      <c r="E71" s="167">
        <v>23524</v>
      </c>
      <c r="F71" s="167">
        <f>F65-F70</f>
        <v>24026</v>
      </c>
      <c r="I71" s="167" t="s">
        <v>504</v>
      </c>
      <c r="L71" s="178"/>
      <c r="M71" s="408"/>
      <c r="N71" s="408"/>
      <c r="O71" s="408">
        <v>109728</v>
      </c>
      <c r="P71" s="1641" t="s">
        <v>1716</v>
      </c>
      <c r="Q71" s="408"/>
      <c r="R71" s="1661"/>
      <c r="S71" s="169">
        <f>SUM(O68:O74)</f>
        <v>3455263.2749999999</v>
      </c>
    </row>
    <row r="72" spans="1:19">
      <c r="A72" s="167" t="s">
        <v>681</v>
      </c>
      <c r="B72" s="421">
        <v>17487</v>
      </c>
      <c r="C72" s="421">
        <v>17657</v>
      </c>
      <c r="D72" s="167">
        <v>17707</v>
      </c>
      <c r="E72" s="167">
        <v>17876</v>
      </c>
      <c r="F72" s="167">
        <v>17964</v>
      </c>
      <c r="I72" s="167" t="s">
        <v>872</v>
      </c>
      <c r="L72" s="178"/>
      <c r="M72" s="408"/>
      <c r="N72" s="408"/>
      <c r="O72" s="408">
        <v>378265</v>
      </c>
      <c r="P72" s="1641" t="s">
        <v>1717</v>
      </c>
      <c r="Q72" s="408"/>
      <c r="R72" s="1661"/>
    </row>
    <row r="73" spans="1:19">
      <c r="A73" s="167" t="s">
        <v>409</v>
      </c>
      <c r="B73" s="167">
        <v>134896</v>
      </c>
      <c r="C73" s="167">
        <v>157561</v>
      </c>
      <c r="D73" s="167">
        <v>186287</v>
      </c>
      <c r="E73" s="429">
        <f>1.1*D73</f>
        <v>204915.7</v>
      </c>
      <c r="F73" s="167">
        <v>218167</v>
      </c>
      <c r="L73" s="178"/>
      <c r="M73" s="408"/>
      <c r="N73" s="408"/>
      <c r="O73" s="408">
        <v>0</v>
      </c>
      <c r="P73" s="1641" t="s">
        <v>1718</v>
      </c>
      <c r="Q73" s="408"/>
      <c r="R73" s="1661"/>
    </row>
    <row r="74" spans="1:19">
      <c r="A74" s="167" t="s">
        <v>257</v>
      </c>
      <c r="B74" s="167">
        <v>52786</v>
      </c>
      <c r="C74" s="167">
        <v>52073</v>
      </c>
      <c r="D74" s="167">
        <v>49557</v>
      </c>
      <c r="E74" s="167">
        <v>48279</v>
      </c>
      <c r="F74" s="167">
        <v>49088</v>
      </c>
      <c r="L74" s="178"/>
      <c r="M74" s="408"/>
      <c r="N74" s="408"/>
      <c r="O74" s="408">
        <f>(4889+54036)*0.983</f>
        <v>57923.275000000001</v>
      </c>
      <c r="P74" s="1641" t="s">
        <v>1712</v>
      </c>
      <c r="Q74" s="408"/>
      <c r="R74" s="1661"/>
    </row>
    <row r="75" spans="1:19">
      <c r="A75" s="167" t="s">
        <v>514</v>
      </c>
      <c r="B75" s="167">
        <v>198254</v>
      </c>
      <c r="C75" s="167">
        <v>196435</v>
      </c>
      <c r="D75" s="167">
        <v>208377</v>
      </c>
      <c r="E75" s="167">
        <v>216554</v>
      </c>
      <c r="F75" s="421">
        <v>226042</v>
      </c>
      <c r="G75" s="421"/>
      <c r="H75" s="421"/>
      <c r="I75" s="167" t="s">
        <v>510</v>
      </c>
      <c r="L75" s="178"/>
      <c r="M75" s="408"/>
      <c r="N75" s="408"/>
      <c r="O75" s="408"/>
      <c r="P75" s="1636"/>
      <c r="Q75" s="408"/>
      <c r="R75" s="1661"/>
    </row>
    <row r="76" spans="1:19">
      <c r="A76" s="232" t="s">
        <v>511</v>
      </c>
      <c r="B76" s="232">
        <v>398159</v>
      </c>
      <c r="C76" s="232">
        <v>432801</v>
      </c>
      <c r="D76" s="232">
        <v>448810</v>
      </c>
      <c r="E76" s="232">
        <v>477637</v>
      </c>
      <c r="F76" s="232"/>
      <c r="G76" s="232"/>
      <c r="H76" s="232"/>
      <c r="I76" s="417" t="s">
        <v>510</v>
      </c>
      <c r="J76" s="417"/>
      <c r="L76" s="178"/>
      <c r="M76" s="408"/>
      <c r="N76" s="408"/>
      <c r="O76" s="408">
        <v>1561471</v>
      </c>
      <c r="P76" s="1636" t="s">
        <v>1695</v>
      </c>
      <c r="Q76" s="408"/>
      <c r="R76" s="1661"/>
    </row>
    <row r="77" spans="1:19">
      <c r="A77" s="167" t="s">
        <v>513</v>
      </c>
      <c r="B77" s="167">
        <v>70137</v>
      </c>
      <c r="C77" s="167">
        <v>72358</v>
      </c>
      <c r="D77" s="167">
        <v>82280</v>
      </c>
      <c r="E77" s="167">
        <v>85771</v>
      </c>
      <c r="I77" s="193" t="s">
        <v>510</v>
      </c>
      <c r="J77" s="193"/>
      <c r="L77" s="178"/>
      <c r="M77" s="408"/>
      <c r="N77" s="408"/>
      <c r="O77" s="408"/>
      <c r="P77" s="178"/>
      <c r="Q77" s="408"/>
      <c r="R77" s="1661"/>
    </row>
    <row r="78" spans="1:19">
      <c r="A78" s="167" t="s">
        <v>512</v>
      </c>
      <c r="B78" s="167">
        <v>913085</v>
      </c>
      <c r="C78" s="167">
        <v>959711</v>
      </c>
      <c r="D78" s="167">
        <v>1063071</v>
      </c>
      <c r="E78" s="167">
        <v>1105226</v>
      </c>
      <c r="I78" s="193" t="s">
        <v>510</v>
      </c>
      <c r="J78" s="193"/>
      <c r="L78" s="1524" t="s">
        <v>102</v>
      </c>
      <c r="M78" s="1521">
        <v>12025835</v>
      </c>
      <c r="N78" s="1521">
        <v>356262</v>
      </c>
      <c r="O78" s="1521">
        <v>-211000</v>
      </c>
      <c r="P78" s="1524" t="s">
        <v>1460</v>
      </c>
      <c r="Q78" s="1521">
        <f>SUM(M78:O78)</f>
        <v>12171097</v>
      </c>
      <c r="R78" s="168"/>
    </row>
    <row r="79" spans="1:19">
      <c r="A79" s="232" t="s">
        <v>267</v>
      </c>
      <c r="B79" s="232">
        <f>B80+B81+B82+B83</f>
        <v>4125</v>
      </c>
      <c r="C79" s="232">
        <f>C80+C81+C82+C83</f>
        <v>4580</v>
      </c>
      <c r="D79" s="232">
        <f>D80+D81+D82+D83</f>
        <v>5063</v>
      </c>
      <c r="E79" s="232">
        <f>E80+E81+E82+E83</f>
        <v>5116</v>
      </c>
      <c r="F79" s="232"/>
      <c r="G79" s="232"/>
      <c r="H79" s="232"/>
      <c r="I79" s="232"/>
      <c r="J79" s="232"/>
      <c r="L79" s="1524" t="s">
        <v>103</v>
      </c>
      <c r="M79" s="1521">
        <v>25520328</v>
      </c>
      <c r="N79" s="1521">
        <v>456623</v>
      </c>
      <c r="O79" s="1521">
        <v>345000</v>
      </c>
      <c r="P79" s="1524" t="s">
        <v>1453</v>
      </c>
      <c r="Q79" s="1521">
        <f>SUM(M79:O95)</f>
        <v>26772193</v>
      </c>
      <c r="R79" s="168"/>
    </row>
    <row r="80" spans="1:19">
      <c r="A80" s="418" t="s">
        <v>515</v>
      </c>
      <c r="B80" s="167">
        <v>2980</v>
      </c>
      <c r="C80" s="167">
        <v>3401</v>
      </c>
      <c r="D80" s="167">
        <v>3884</v>
      </c>
      <c r="E80" s="167">
        <v>3937</v>
      </c>
      <c r="I80" s="193" t="s">
        <v>516</v>
      </c>
      <c r="J80" s="193"/>
      <c r="L80" s="1524"/>
      <c r="M80" s="1521"/>
      <c r="N80" s="1521"/>
      <c r="O80" s="1521">
        <v>180000</v>
      </c>
      <c r="P80" s="1524" t="s">
        <v>1454</v>
      </c>
      <c r="Q80" s="1521"/>
      <c r="R80" s="168"/>
    </row>
    <row r="81" spans="1:18">
      <c r="A81" s="418" t="s">
        <v>252</v>
      </c>
      <c r="B81" s="167">
        <v>500</v>
      </c>
      <c r="C81" s="167">
        <v>500</v>
      </c>
      <c r="D81" s="421">
        <v>500</v>
      </c>
      <c r="E81" s="167">
        <v>500</v>
      </c>
      <c r="I81" s="193" t="s">
        <v>516</v>
      </c>
      <c r="J81" s="193"/>
      <c r="L81" s="1524"/>
      <c r="M81" s="1521"/>
      <c r="N81" s="1521"/>
      <c r="O81" s="1521">
        <v>20000</v>
      </c>
      <c r="P81" s="1524" t="s">
        <v>1455</v>
      </c>
      <c r="Q81" s="1521"/>
      <c r="R81" s="168"/>
    </row>
    <row r="82" spans="1:18">
      <c r="A82" s="418" t="s">
        <v>253</v>
      </c>
      <c r="B82" s="167">
        <v>498</v>
      </c>
      <c r="C82" s="167">
        <v>512</v>
      </c>
      <c r="D82" s="421">
        <v>512</v>
      </c>
      <c r="E82" s="167">
        <v>512</v>
      </c>
      <c r="I82" s="193" t="s">
        <v>516</v>
      </c>
      <c r="J82" s="193"/>
      <c r="L82" s="1524"/>
      <c r="M82" s="1521"/>
      <c r="N82" s="1521"/>
      <c r="O82" s="1521">
        <v>117000</v>
      </c>
      <c r="P82" s="1524" t="s">
        <v>1456</v>
      </c>
      <c r="Q82" s="1521"/>
      <c r="R82" s="168"/>
    </row>
    <row r="83" spans="1:18" ht="13.5" thickBot="1">
      <c r="A83" s="419" t="s">
        <v>254</v>
      </c>
      <c r="B83" s="391">
        <v>147</v>
      </c>
      <c r="C83" s="391">
        <v>167</v>
      </c>
      <c r="D83" s="422">
        <v>167</v>
      </c>
      <c r="E83" s="391">
        <v>167</v>
      </c>
      <c r="F83" s="391"/>
      <c r="G83" s="391"/>
      <c r="H83" s="391"/>
      <c r="I83" s="420" t="s">
        <v>516</v>
      </c>
      <c r="J83" s="420"/>
      <c r="L83" s="1524"/>
      <c r="M83" s="1521"/>
      <c r="N83" s="1521"/>
      <c r="O83" s="1521">
        <v>22000</v>
      </c>
      <c r="P83" s="1524" t="s">
        <v>1457</v>
      </c>
      <c r="Q83" s="1521"/>
      <c r="R83" s="168"/>
    </row>
    <row r="84" spans="1:18" ht="13.5" thickTop="1">
      <c r="L84" s="1524"/>
      <c r="M84" s="1521"/>
      <c r="N84" s="1521"/>
      <c r="O84" s="1521">
        <v>-97500</v>
      </c>
      <c r="P84" s="1524" t="s">
        <v>1459</v>
      </c>
      <c r="Q84" s="1521"/>
      <c r="R84" s="168"/>
    </row>
    <row r="85" spans="1:18">
      <c r="L85" s="1524"/>
      <c r="M85" s="1521"/>
      <c r="N85" s="1521"/>
      <c r="O85" s="1521">
        <v>-824895</v>
      </c>
      <c r="P85" s="1640" t="s">
        <v>1705</v>
      </c>
      <c r="Q85" s="1521"/>
      <c r="R85" s="168"/>
    </row>
    <row r="86" spans="1:18">
      <c r="L86" s="1524"/>
      <c r="M86" s="1521"/>
      <c r="N86" s="1521"/>
      <c r="O86" s="1521">
        <v>104615</v>
      </c>
      <c r="P86" s="1640" t="s">
        <v>1709</v>
      </c>
      <c r="Q86" s="1521"/>
      <c r="R86" s="168"/>
    </row>
    <row r="87" spans="1:18">
      <c r="L87" s="1524"/>
      <c r="M87" s="1521"/>
      <c r="N87" s="1521"/>
      <c r="O87" s="1521">
        <v>105000</v>
      </c>
      <c r="P87" s="1640" t="s">
        <v>1710</v>
      </c>
      <c r="Q87" s="1521"/>
      <c r="R87" s="168"/>
    </row>
    <row r="88" spans="1:18">
      <c r="L88" s="1524"/>
      <c r="M88" s="1521"/>
      <c r="N88" s="1521"/>
      <c r="O88" s="1521">
        <v>242500</v>
      </c>
      <c r="P88" s="1524" t="s">
        <v>1461</v>
      </c>
      <c r="Q88" s="1521"/>
      <c r="R88" s="168"/>
    </row>
    <row r="89" spans="1:18">
      <c r="L89" s="1524"/>
      <c r="M89" s="1521"/>
      <c r="N89" s="1521"/>
      <c r="O89" s="1521">
        <v>65000</v>
      </c>
      <c r="P89" s="1524" t="s">
        <v>1462</v>
      </c>
      <c r="Q89" s="1521"/>
      <c r="R89" s="168"/>
    </row>
    <row r="90" spans="1:18">
      <c r="L90" s="1524"/>
      <c r="M90" s="1521"/>
      <c r="N90" s="1521"/>
      <c r="O90" s="1521">
        <v>80000</v>
      </c>
      <c r="P90" s="1524" t="s">
        <v>1463</v>
      </c>
      <c r="Q90" s="1521"/>
      <c r="R90" s="168"/>
    </row>
    <row r="91" spans="1:18">
      <c r="L91" s="1524"/>
      <c r="M91" s="1521"/>
      <c r="N91" s="1521"/>
      <c r="O91" s="1521">
        <v>80000</v>
      </c>
      <c r="P91" s="1524" t="s">
        <v>1464</v>
      </c>
      <c r="Q91" s="1521"/>
      <c r="R91" s="168"/>
    </row>
    <row r="92" spans="1:18">
      <c r="L92" s="1524"/>
      <c r="M92" s="1521"/>
      <c r="N92" s="1521"/>
      <c r="O92" s="1521">
        <v>6000</v>
      </c>
      <c r="P92" s="1524" t="s">
        <v>1465</v>
      </c>
      <c r="Q92" s="1521"/>
      <c r="R92" s="168"/>
    </row>
    <row r="93" spans="1:18">
      <c r="L93" s="1524"/>
      <c r="M93" s="1521"/>
      <c r="N93" s="1521"/>
      <c r="O93" s="1521">
        <v>135190</v>
      </c>
      <c r="P93" s="1524" t="s">
        <v>1466</v>
      </c>
      <c r="Q93" s="1521"/>
      <c r="R93" s="168"/>
    </row>
    <row r="94" spans="1:18">
      <c r="L94" s="1524"/>
      <c r="M94" s="1521"/>
      <c r="N94" s="1521"/>
      <c r="O94" s="1521">
        <v>203332</v>
      </c>
      <c r="P94" s="1524" t="s">
        <v>1467</v>
      </c>
      <c r="Q94" s="1521"/>
      <c r="R94" s="168"/>
    </row>
    <row r="95" spans="1:18">
      <c r="L95" s="1524"/>
      <c r="M95" s="1521"/>
      <c r="N95" s="1521"/>
      <c r="O95" s="1521">
        <v>12000</v>
      </c>
      <c r="P95" s="1640" t="s">
        <v>1711</v>
      </c>
      <c r="Q95" s="1521"/>
      <c r="R95" s="168"/>
    </row>
    <row r="96" spans="1:18">
      <c r="L96" s="178" t="s">
        <v>104</v>
      </c>
      <c r="M96" s="408">
        <v>17684064</v>
      </c>
      <c r="N96" s="408">
        <v>216362</v>
      </c>
      <c r="O96" s="408">
        <v>352500</v>
      </c>
      <c r="P96" s="178" t="s">
        <v>1449</v>
      </c>
      <c r="Q96" s="408">
        <f>SUM(M96:O99)</f>
        <v>19057926</v>
      </c>
      <c r="R96" s="168"/>
    </row>
    <row r="97" spans="12:18">
      <c r="L97" s="178"/>
      <c r="M97" s="408"/>
      <c r="N97" s="408"/>
      <c r="O97" s="408">
        <v>500000</v>
      </c>
      <c r="P97" s="178" t="s">
        <v>1450</v>
      </c>
      <c r="Q97" s="408"/>
      <c r="R97" s="168"/>
    </row>
    <row r="98" spans="12:18">
      <c r="L98" s="178"/>
      <c r="M98" s="408"/>
      <c r="N98" s="408"/>
      <c r="O98" s="408">
        <v>245000</v>
      </c>
      <c r="P98" s="178" t="s">
        <v>1451</v>
      </c>
      <c r="Q98" s="408"/>
      <c r="R98" s="168"/>
    </row>
    <row r="99" spans="12:18">
      <c r="L99" s="178"/>
      <c r="M99" s="408"/>
      <c r="N99" s="408"/>
      <c r="O99" s="408">
        <v>60000</v>
      </c>
      <c r="P99" s="178" t="s">
        <v>1452</v>
      </c>
      <c r="Q99" s="408"/>
      <c r="R99" s="168"/>
    </row>
    <row r="100" spans="12:18">
      <c r="L100" s="178"/>
      <c r="M100" s="408"/>
      <c r="N100" s="408"/>
      <c r="O100" s="408"/>
      <c r="P100" s="178"/>
      <c r="Q100" s="408"/>
      <c r="R100" s="168"/>
    </row>
    <row r="101" spans="12:18">
      <c r="L101" s="1636" t="s">
        <v>459</v>
      </c>
      <c r="M101" s="1124">
        <v>3700133</v>
      </c>
      <c r="N101" s="1124">
        <v>61795</v>
      </c>
      <c r="O101" s="1124">
        <v>81000</v>
      </c>
      <c r="P101" s="178" t="s">
        <v>1535</v>
      </c>
      <c r="Q101" s="408">
        <f>SUM(M101:O101)</f>
        <v>3842928</v>
      </c>
      <c r="R101" s="168"/>
    </row>
    <row r="102" spans="12:18">
      <c r="L102" s="386" t="s">
        <v>485</v>
      </c>
      <c r="M102" s="227">
        <v>2369903</v>
      </c>
      <c r="N102" s="227">
        <v>66045</v>
      </c>
      <c r="O102" s="227"/>
      <c r="P102" s="386"/>
      <c r="Q102" s="408">
        <f>SUM(M102:O102)</f>
        <v>2435948</v>
      </c>
      <c r="R102" s="168"/>
    </row>
    <row r="103" spans="12:18">
      <c r="L103" s="178" t="s">
        <v>105</v>
      </c>
      <c r="M103" s="408">
        <v>12372914</v>
      </c>
      <c r="N103" s="408">
        <v>33462</v>
      </c>
      <c r="O103" s="408"/>
      <c r="P103" s="178"/>
      <c r="Q103" s="408">
        <f>SUM(M103:O103)</f>
        <v>12406376</v>
      </c>
      <c r="R103" s="168"/>
    </row>
    <row r="104" spans="12:18">
      <c r="L104" s="374"/>
      <c r="M104" s="374"/>
      <c r="N104" s="374"/>
      <c r="O104" s="374"/>
      <c r="P104" s="374"/>
      <c r="Q104" s="374"/>
      <c r="R104" s="168"/>
    </row>
    <row r="105" spans="12:18">
      <c r="M105" s="232"/>
      <c r="N105" s="232"/>
      <c r="O105" s="232"/>
      <c r="Q105" s="232"/>
      <c r="R105" s="168"/>
    </row>
    <row r="106" spans="12:18">
      <c r="L106" s="1142" t="s">
        <v>1603</v>
      </c>
      <c r="M106" s="1526">
        <f>SUM(M7:M105)</f>
        <v>156975704</v>
      </c>
      <c r="N106" s="1526">
        <f>SUM(N7:N105)</f>
        <v>2541002</v>
      </c>
      <c r="O106" s="1526">
        <f>SUM(O7:O103)</f>
        <v>8865912.2750000004</v>
      </c>
      <c r="P106" s="1142"/>
      <c r="Q106" s="1526">
        <f>SUM(Q7:Q103)</f>
        <v>168382618.27500001</v>
      </c>
      <c r="R106" s="168"/>
    </row>
    <row r="107" spans="12:18">
      <c r="O107" s="185"/>
      <c r="Q107" s="185">
        <f>SUM(M106:O106)</f>
        <v>168382618.27500001</v>
      </c>
      <c r="R107" s="168"/>
    </row>
    <row r="108" spans="12:18">
      <c r="R108" s="168"/>
    </row>
    <row r="109" spans="12:18">
      <c r="R109" s="168"/>
    </row>
    <row r="110" spans="12:18">
      <c r="R110" s="168"/>
    </row>
    <row r="111" spans="12:18">
      <c r="R111" s="168"/>
    </row>
    <row r="112" spans="12:18">
      <c r="R112" s="168"/>
    </row>
    <row r="125" spans="12:17" ht="15">
      <c r="L125" s="165"/>
      <c r="M125" s="165"/>
      <c r="N125" s="165"/>
      <c r="O125" s="165"/>
      <c r="P125" s="165"/>
      <c r="Q125" s="1357">
        <f>Q107-Q106</f>
        <v>0</v>
      </c>
    </row>
    <row r="126" spans="12:17" ht="15">
      <c r="L126" s="165"/>
      <c r="M126" s="165"/>
      <c r="N126" s="165"/>
      <c r="O126" s="165"/>
      <c r="P126" s="165"/>
      <c r="Q126" s="165"/>
    </row>
    <row r="127" spans="12:17" ht="15">
      <c r="L127" s="165"/>
      <c r="M127" s="165"/>
      <c r="N127" s="165"/>
      <c r="O127" s="165"/>
      <c r="P127" s="165"/>
      <c r="Q127" s="165"/>
    </row>
    <row r="128" spans="12:17" ht="15">
      <c r="L128" s="165"/>
      <c r="M128" s="165"/>
      <c r="N128" s="165"/>
      <c r="O128" s="165"/>
      <c r="P128" s="165"/>
      <c r="Q128" s="165"/>
    </row>
  </sheetData>
  <phoneticPr fontId="52" type="noConversion"/>
  <pageMargins left="0.7" right="0.7" top="0.75" bottom="0.75" header="0.3" footer="0.3"/>
  <pageSetup scale="60" orientation="portrait" horizontalDpi="0" verticalDpi="0" copies="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X64"/>
  <sheetViews>
    <sheetView topLeftCell="A5" zoomScale="110" zoomScaleNormal="110" zoomScalePageLayoutView="110" workbookViewId="0">
      <selection activeCell="G30" sqref="G30"/>
    </sheetView>
  </sheetViews>
  <sheetFormatPr defaultColWidth="11" defaultRowHeight="15.75"/>
  <cols>
    <col min="1" max="1" width="36.125" customWidth="1"/>
    <col min="2" max="2" width="11.125" customWidth="1"/>
    <col min="3" max="4" width="11.5" customWidth="1"/>
    <col min="5" max="5" width="15.625" customWidth="1"/>
    <col min="6" max="6" width="3.375" customWidth="1"/>
    <col min="7" max="10" width="11" customWidth="1"/>
    <col min="11" max="11" width="3.625" customWidth="1"/>
    <col min="12" max="12" width="16.125" customWidth="1"/>
    <col min="13" max="13" width="5.375" customWidth="1"/>
    <col min="14" max="14" width="6.625" customWidth="1"/>
    <col min="15" max="16" width="11" customWidth="1"/>
    <col min="17" max="17" width="3.125" customWidth="1"/>
    <col min="18" max="18" width="13.875" customWidth="1"/>
    <col min="19" max="19" width="3.875" customWidth="1"/>
    <col min="20" max="20" width="12.875" customWidth="1"/>
    <col min="21" max="21" width="13.625" bestFit="1" customWidth="1"/>
    <col min="22" max="23" width="11.625" bestFit="1" customWidth="1"/>
  </cols>
  <sheetData>
    <row r="1" spans="1:23" ht="16.5" thickBot="1">
      <c r="A1" s="175" t="s">
        <v>62</v>
      </c>
      <c r="B1" s="175"/>
      <c r="C1" s="175"/>
      <c r="D1" s="175"/>
      <c r="E1" s="175"/>
      <c r="F1" s="175"/>
      <c r="G1" s="175"/>
      <c r="H1" s="175"/>
      <c r="I1" s="1386" t="s">
        <v>736</v>
      </c>
      <c r="J1" s="399"/>
      <c r="K1" s="1387"/>
      <c r="L1" s="1388">
        <v>0.02</v>
      </c>
      <c r="M1" s="175"/>
      <c r="O1" s="175"/>
      <c r="P1" s="175"/>
      <c r="Q1" s="175"/>
      <c r="R1" s="175"/>
      <c r="S1" s="175"/>
      <c r="T1" s="175"/>
      <c r="U1" s="175"/>
      <c r="V1" s="175"/>
      <c r="W1" s="165"/>
    </row>
    <row r="2" spans="1:23" ht="16.5" thickBot="1">
      <c r="A2" s="175" t="s">
        <v>1321</v>
      </c>
      <c r="B2" s="175"/>
      <c r="C2" s="175"/>
      <c r="D2" s="175"/>
      <c r="E2" s="175"/>
      <c r="F2" s="175"/>
      <c r="G2" s="175"/>
      <c r="H2" s="175"/>
      <c r="I2" s="1389" t="s">
        <v>737</v>
      </c>
      <c r="J2" s="405"/>
      <c r="K2" s="1390"/>
      <c r="L2" s="1391">
        <v>3.5000000000000003E-2</v>
      </c>
      <c r="M2" s="175"/>
      <c r="N2" s="175"/>
      <c r="O2" s="175"/>
      <c r="P2" s="175"/>
      <c r="Q2" s="175"/>
      <c r="R2" s="202" t="s">
        <v>177</v>
      </c>
      <c r="S2" s="203"/>
      <c r="T2" s="207">
        <f>'Step 1 Dedicated Funds'!X2</f>
        <v>581608334.94857144</v>
      </c>
      <c r="U2" s="175"/>
      <c r="V2" s="175"/>
      <c r="W2" s="165"/>
    </row>
    <row r="3" spans="1:23" ht="16.5" thickBot="1">
      <c r="A3" s="175"/>
      <c r="B3" s="175"/>
      <c r="C3" s="175"/>
      <c r="D3" s="175"/>
      <c r="E3" s="175"/>
      <c r="F3" s="175"/>
      <c r="G3" s="175"/>
      <c r="H3" s="175"/>
      <c r="I3" s="175"/>
      <c r="J3" s="175"/>
      <c r="K3" s="175"/>
      <c r="L3" s="175"/>
      <c r="M3" s="175"/>
      <c r="N3" s="175"/>
      <c r="O3" s="175"/>
      <c r="P3" s="175"/>
      <c r="Q3" s="175"/>
      <c r="R3" s="204" t="s">
        <v>178</v>
      </c>
      <c r="S3" s="205"/>
      <c r="T3" s="206">
        <f>T2-R59</f>
        <v>0</v>
      </c>
      <c r="U3" s="175"/>
      <c r="V3" s="175"/>
      <c r="W3" s="165"/>
    </row>
    <row r="4" spans="1:23">
      <c r="A4" s="176"/>
      <c r="B4" s="1780" t="s">
        <v>168</v>
      </c>
      <c r="C4" s="1780"/>
      <c r="D4" s="1780"/>
      <c r="E4" s="1780"/>
      <c r="F4" s="196"/>
      <c r="G4" s="1781" t="s">
        <v>169</v>
      </c>
      <c r="H4" s="1781"/>
      <c r="I4" s="1781"/>
      <c r="J4" s="1781"/>
      <c r="K4" s="196"/>
      <c r="L4" s="1787" t="s">
        <v>666</v>
      </c>
      <c r="M4" s="1787"/>
      <c r="N4" s="176"/>
      <c r="O4" s="1782" t="s">
        <v>154</v>
      </c>
      <c r="P4" s="1782"/>
      <c r="Q4" s="176"/>
      <c r="R4" s="176"/>
      <c r="S4" s="176"/>
      <c r="T4" s="176"/>
      <c r="U4" s="176"/>
      <c r="V4" s="176"/>
      <c r="W4" s="165"/>
    </row>
    <row r="5" spans="1:23" s="188" customFormat="1" ht="63.75">
      <c r="A5" s="186" t="s">
        <v>69</v>
      </c>
      <c r="B5" s="187" t="s">
        <v>175</v>
      </c>
      <c r="C5" s="187" t="s">
        <v>738</v>
      </c>
      <c r="D5" s="231" t="s">
        <v>672</v>
      </c>
      <c r="E5" s="231" t="s">
        <v>1554</v>
      </c>
      <c r="F5" s="187"/>
      <c r="G5" s="187" t="s">
        <v>159</v>
      </c>
      <c r="H5" s="187" t="s">
        <v>160</v>
      </c>
      <c r="I5" s="187" t="s">
        <v>161</v>
      </c>
      <c r="J5" s="187" t="s">
        <v>162</v>
      </c>
      <c r="K5" s="187"/>
      <c r="L5" s="661"/>
      <c r="M5" s="661"/>
      <c r="N5" s="231"/>
      <c r="O5" s="231" t="s">
        <v>167</v>
      </c>
      <c r="P5" s="231" t="s">
        <v>171</v>
      </c>
      <c r="R5" s="231" t="s">
        <v>1476</v>
      </c>
      <c r="S5" s="1140"/>
      <c r="T5" s="1141" t="s">
        <v>1031</v>
      </c>
      <c r="W5" s="189"/>
    </row>
    <row r="6" spans="1:23">
      <c r="A6" s="177" t="s">
        <v>479</v>
      </c>
      <c r="B6" s="44">
        <f>'Step 5 Exec and Strategic'!B6</f>
        <v>3161000</v>
      </c>
      <c r="C6" s="44">
        <f>'Step 5 Exec and Strategic'!C6</f>
        <v>0</v>
      </c>
      <c r="D6" s="44">
        <f>'Step 5 Exec and Strategic'!D6</f>
        <v>0</v>
      </c>
      <c r="E6" s="44">
        <f>'Step 5 Exec and Strategic'!E6</f>
        <v>0</v>
      </c>
      <c r="F6" s="44"/>
      <c r="G6" s="44">
        <f>-B6</f>
        <v>-3161000</v>
      </c>
      <c r="H6" s="44">
        <f>'Step 5 Exec and Strategic'!H6</f>
        <v>0</v>
      </c>
      <c r="I6" s="44">
        <f>'Step 5 Exec and Strategic'!I6</f>
        <v>0</v>
      </c>
      <c r="J6" s="44">
        <f>'Step 5 Exec and Strategic'!J6</f>
        <v>0</v>
      </c>
      <c r="K6" s="44"/>
      <c r="L6" s="44">
        <f>'Step 4 Contract and Reserves'!L6</f>
        <v>0</v>
      </c>
      <c r="M6" s="44"/>
      <c r="N6" s="48"/>
      <c r="O6" s="44">
        <f>'Step 4 Contract and Reserves'!O6</f>
        <v>0</v>
      </c>
      <c r="P6" s="44">
        <f>'Step 4 Contract and Reserves'!P6</f>
        <v>0</v>
      </c>
      <c r="R6" s="44">
        <f t="shared" ref="R6:R12" si="0">SUM(B6:P6)</f>
        <v>0</v>
      </c>
      <c r="S6" s="167"/>
      <c r="T6" s="1765">
        <v>55820357</v>
      </c>
      <c r="W6" s="167"/>
    </row>
    <row r="7" spans="1:23">
      <c r="A7" s="177" t="s">
        <v>486</v>
      </c>
      <c r="B7" s="44">
        <f>'Step 5 Exec and Strategic'!B7</f>
        <v>3111300</v>
      </c>
      <c r="C7" s="44">
        <f>'Step 5 Exec and Strategic'!C7</f>
        <v>3879280</v>
      </c>
      <c r="D7" s="44">
        <f>'Step 5 Exec and Strategic'!D7</f>
        <v>0</v>
      </c>
      <c r="E7" s="44">
        <f>'Step 5 Exec and Strategic'!E7</f>
        <v>0</v>
      </c>
      <c r="F7" s="44"/>
      <c r="G7" s="44">
        <f>-B7</f>
        <v>-3111300</v>
      </c>
      <c r="H7" s="44">
        <f>'Step 5 Exec and Strategic'!H7</f>
        <v>0</v>
      </c>
      <c r="I7" s="44">
        <f>'Step 5 Exec and Strategic'!I7</f>
        <v>0</v>
      </c>
      <c r="J7" s="44">
        <f>'Step 5 Exec and Strategic'!J7</f>
        <v>0</v>
      </c>
      <c r="K7" s="44"/>
      <c r="L7" s="44">
        <f>'Step 4 Contract and Reserves'!L7</f>
        <v>0</v>
      </c>
      <c r="M7" s="44"/>
      <c r="N7" s="48"/>
      <c r="O7" s="44">
        <f>'Step 4 Contract and Reserves'!O7</f>
        <v>-270100</v>
      </c>
      <c r="P7" s="44">
        <f>'Step 4 Contract and Reserves'!P7</f>
        <v>3650000</v>
      </c>
      <c r="R7" s="44">
        <f t="shared" si="0"/>
        <v>7259180</v>
      </c>
      <c r="S7" s="167"/>
      <c r="T7" s="1766"/>
      <c r="W7" s="167"/>
    </row>
    <row r="8" spans="1:23">
      <c r="A8" s="177" t="s">
        <v>735</v>
      </c>
      <c r="B8" s="44">
        <f>'Step 5 Exec and Strategic'!B8</f>
        <v>0</v>
      </c>
      <c r="C8" s="44">
        <f>'Step 5 Exec and Strategic'!C8</f>
        <v>-2735327.3010285702</v>
      </c>
      <c r="D8" s="44">
        <f>'Step 5 Exec and Strategic'!D8</f>
        <v>0</v>
      </c>
      <c r="E8" s="44">
        <f>'Step 5 Exec and Strategic'!E8</f>
        <v>-1783708.2767999992</v>
      </c>
      <c r="F8" s="44"/>
      <c r="G8" s="44">
        <f>-'Step 6a Service-Support Detail'!G56-'Step 6 Service-Support'!G6-'Step 6 Service-Support'!G7</f>
        <v>-2247150.1274277866</v>
      </c>
      <c r="H8" s="44">
        <f>'Step 5 Exec and Strategic'!H8</f>
        <v>0</v>
      </c>
      <c r="I8" s="44">
        <f>'Step 5 Exec and Strategic'!I8</f>
        <v>0</v>
      </c>
      <c r="J8" s="44">
        <f>'Step 5 Exec and Strategic'!J8</f>
        <v>0</v>
      </c>
      <c r="K8" s="44"/>
      <c r="L8" s="44">
        <f>'Step 4 Contract and Reserves'!L8</f>
        <v>0</v>
      </c>
      <c r="M8" s="44"/>
      <c r="N8" s="48"/>
      <c r="O8" s="44">
        <f>'Step 4 Contract and Reserves'!O8</f>
        <v>0</v>
      </c>
      <c r="P8" s="44">
        <f>'Step 4 Contract and Reserves'!P8</f>
        <v>0</v>
      </c>
      <c r="R8" s="44">
        <f t="shared" si="0"/>
        <v>-6766185.7052563559</v>
      </c>
      <c r="S8" s="167"/>
      <c r="T8" s="1766"/>
      <c r="W8" s="167"/>
    </row>
    <row r="9" spans="1:23">
      <c r="A9" s="177" t="s">
        <v>753</v>
      </c>
      <c r="B9" s="44">
        <f>'Step 5 Exec and Strategic'!B9</f>
        <v>0</v>
      </c>
      <c r="C9" s="44">
        <f>'Step 5 Exec and Strategic'!C9</f>
        <v>0</v>
      </c>
      <c r="D9" s="44">
        <f>'Step 5 Exec and Strategic'!D9</f>
        <v>0</v>
      </c>
      <c r="E9" s="44">
        <f>'Step 5 Exec and Strategic'!E9</f>
        <v>0</v>
      </c>
      <c r="F9" s="44"/>
      <c r="G9" s="44">
        <f>'Step 5 Exec and Strategic'!G9</f>
        <v>0</v>
      </c>
      <c r="H9" s="44">
        <f>'Step 5 Exec and Strategic'!H9</f>
        <v>0</v>
      </c>
      <c r="I9" s="44">
        <f>'Step 5 Exec and Strategic'!I9</f>
        <v>0</v>
      </c>
      <c r="J9" s="44">
        <f>'Step 5 Exec and Strategic'!J9</f>
        <v>0</v>
      </c>
      <c r="K9" s="44"/>
      <c r="L9" s="44">
        <f>'Step 4 Contract and Reserves'!L9</f>
        <v>0</v>
      </c>
      <c r="M9" s="44"/>
      <c r="N9" s="48"/>
      <c r="O9" s="44">
        <f>'Step 4 Contract and Reserves'!O9</f>
        <v>0</v>
      </c>
      <c r="P9" s="44">
        <f>'Step 4 Contract and Reserves'!P9</f>
        <v>10000000</v>
      </c>
      <c r="R9" s="44">
        <f t="shared" si="0"/>
        <v>10000000</v>
      </c>
      <c r="S9" s="167"/>
      <c r="T9" s="1766"/>
      <c r="W9" s="167"/>
    </row>
    <row r="10" spans="1:23">
      <c r="A10" s="177" t="s">
        <v>480</v>
      </c>
      <c r="B10" s="44">
        <f>'Step 5 Exec and Strategic'!B10</f>
        <v>18178922</v>
      </c>
      <c r="C10" s="44">
        <f>'Step 5 Exec and Strategic'!C10</f>
        <v>0</v>
      </c>
      <c r="D10" s="44">
        <f>'Step 5 Exec and Strategic'!D10</f>
        <v>0</v>
      </c>
      <c r="E10" s="44">
        <f>'Step 5 Exec and Strategic'!E10</f>
        <v>0</v>
      </c>
      <c r="F10" s="44"/>
      <c r="G10" s="44">
        <f>'Step 5 Exec and Strategic'!G10</f>
        <v>0</v>
      </c>
      <c r="H10" s="44">
        <f>'Step 5 Exec and Strategic'!H10</f>
        <v>0</v>
      </c>
      <c r="I10" s="44">
        <f>'Step 5 Exec and Strategic'!I10</f>
        <v>0</v>
      </c>
      <c r="J10" s="44">
        <f>'Step 5 Exec and Strategic'!J10</f>
        <v>0</v>
      </c>
      <c r="K10" s="44"/>
      <c r="L10" s="44">
        <f>'Step 4 Contract and Reserves'!L10</f>
        <v>0</v>
      </c>
      <c r="M10" s="44"/>
      <c r="N10" s="48"/>
      <c r="O10" s="44">
        <f>'Step 4 Contract and Reserves'!O10</f>
        <v>0</v>
      </c>
      <c r="P10" s="44">
        <f>'Step 4 Contract and Reserves'!P10</f>
        <v>0</v>
      </c>
      <c r="R10" s="44">
        <f t="shared" si="0"/>
        <v>18178922</v>
      </c>
      <c r="S10" s="167"/>
      <c r="T10" s="1766"/>
      <c r="W10" s="167"/>
    </row>
    <row r="11" spans="1:23">
      <c r="A11" s="177" t="s">
        <v>481</v>
      </c>
      <c r="B11" s="44">
        <f>'Step 5 Exec and Strategic'!B11</f>
        <v>4150000</v>
      </c>
      <c r="C11" s="44">
        <f>'Step 5 Exec and Strategic'!C11</f>
        <v>0</v>
      </c>
      <c r="D11" s="44">
        <f>'Step 5 Exec and Strategic'!D11</f>
        <v>0</v>
      </c>
      <c r="E11" s="44">
        <f>'Step 5 Exec and Strategic'!E11</f>
        <v>0</v>
      </c>
      <c r="F11" s="44"/>
      <c r="G11" s="44">
        <f>'Step 5 Exec and Strategic'!G11</f>
        <v>0</v>
      </c>
      <c r="H11" s="44">
        <f>'Step 5 Exec and Strategic'!H11</f>
        <v>0</v>
      </c>
      <c r="I11" s="44">
        <f>'Step 5 Exec and Strategic'!I11</f>
        <v>0</v>
      </c>
      <c r="J11" s="44">
        <f>'Step 5 Exec and Strategic'!J11</f>
        <v>0</v>
      </c>
      <c r="K11" s="44"/>
      <c r="L11" s="44">
        <f>'Step 4 Contract and Reserves'!L11</f>
        <v>0</v>
      </c>
      <c r="M11" s="44"/>
      <c r="N11" s="48"/>
      <c r="O11" s="44">
        <f>'Step 4 Contract and Reserves'!O11</f>
        <v>0</v>
      </c>
      <c r="P11" s="44">
        <f>'Step 4 Contract and Reserves'!P11</f>
        <v>0</v>
      </c>
      <c r="R11" s="44">
        <f t="shared" si="0"/>
        <v>4150000</v>
      </c>
      <c r="S11" s="167"/>
      <c r="T11" s="1766"/>
      <c r="W11" s="167"/>
    </row>
    <row r="12" spans="1:23">
      <c r="A12" s="177" t="s">
        <v>482</v>
      </c>
      <c r="B12" s="44">
        <f>'Step 5 Exec and Strategic'!B12</f>
        <v>26139223</v>
      </c>
      <c r="C12" s="44">
        <f>'Step 5 Exec and Strategic'!C12</f>
        <v>0</v>
      </c>
      <c r="D12" s="44">
        <f>'Step 5 Exec and Strategic'!D12</f>
        <v>0</v>
      </c>
      <c r="E12" s="44">
        <f>'Step 5 Exec and Strategic'!E12</f>
        <v>0</v>
      </c>
      <c r="F12" s="44"/>
      <c r="G12" s="44">
        <f>'Step 5 Exec and Strategic'!G12</f>
        <v>0</v>
      </c>
      <c r="H12" s="44">
        <f>'Step 5 Exec and Strategic'!H12</f>
        <v>0</v>
      </c>
      <c r="I12" s="44">
        <f>'Step 5 Exec and Strategic'!I12</f>
        <v>0</v>
      </c>
      <c r="J12" s="44">
        <f>'Step 5 Exec and Strategic'!J12</f>
        <v>0</v>
      </c>
      <c r="K12" s="44"/>
      <c r="L12" s="44">
        <f>'Step 4 Contract and Reserves'!L12</f>
        <v>0</v>
      </c>
      <c r="M12" s="44"/>
      <c r="N12" s="48"/>
      <c r="O12" s="44">
        <f>'Step 4 Contract and Reserves'!O12</f>
        <v>0</v>
      </c>
      <c r="P12" s="44">
        <f>'Step 4 Contract and Reserves'!P12</f>
        <v>0</v>
      </c>
      <c r="R12" s="44">
        <f t="shared" si="0"/>
        <v>26139223</v>
      </c>
      <c r="S12" s="167"/>
      <c r="T12" s="1766"/>
      <c r="W12" s="167"/>
    </row>
    <row r="13" spans="1:23">
      <c r="A13" s="168"/>
      <c r="B13" s="48"/>
      <c r="C13" s="48"/>
      <c r="D13" s="48"/>
      <c r="E13" s="48"/>
      <c r="F13" s="48"/>
      <c r="G13" s="48"/>
      <c r="H13" s="48"/>
      <c r="I13" s="48"/>
      <c r="J13" s="48"/>
      <c r="K13" s="48"/>
      <c r="L13" s="48"/>
      <c r="M13" s="48"/>
      <c r="N13" s="48"/>
      <c r="O13" s="48"/>
      <c r="P13" s="48"/>
      <c r="R13" s="48"/>
      <c r="S13" s="168"/>
      <c r="T13" s="48"/>
      <c r="W13" s="167"/>
    </row>
    <row r="14" spans="1:23">
      <c r="A14" s="51" t="s">
        <v>72</v>
      </c>
      <c r="B14" s="34"/>
      <c r="C14" s="34"/>
      <c r="D14" s="34"/>
      <c r="E14" s="34"/>
      <c r="F14" s="34"/>
      <c r="G14" s="34"/>
      <c r="H14" s="34"/>
      <c r="I14" s="34"/>
      <c r="J14" s="34"/>
      <c r="K14" s="34"/>
      <c r="L14" s="34"/>
      <c r="M14" s="34"/>
      <c r="N14" s="49"/>
      <c r="O14" s="34"/>
      <c r="P14" s="34"/>
      <c r="R14" s="34"/>
      <c r="S14" s="167"/>
      <c r="T14" s="34"/>
      <c r="W14" s="167"/>
    </row>
    <row r="15" spans="1:23">
      <c r="A15" s="1382" t="s">
        <v>1514</v>
      </c>
      <c r="B15" s="55">
        <f>'Step 5 Exec and Strategic'!B15</f>
        <v>0</v>
      </c>
      <c r="C15" s="55">
        <f>'Step 5 Exec and Strategic'!C15</f>
        <v>0</v>
      </c>
      <c r="D15" s="55">
        <f>'Step 5 Exec and Strategic'!D15</f>
        <v>0</v>
      </c>
      <c r="E15" s="55">
        <f>'Step 5 Exec and Strategic'!E15</f>
        <v>0</v>
      </c>
      <c r="F15" s="55"/>
      <c r="G15" s="55">
        <f>'Step 3 Acad Product &amp; Pools'!G15</f>
        <v>0</v>
      </c>
      <c r="H15" s="55">
        <f>'Step 3 Acad Product &amp; Pools'!H15</f>
        <v>0</v>
      </c>
      <c r="I15" s="55">
        <f>'Step 3 Acad Product &amp; Pools'!I15</f>
        <v>0</v>
      </c>
      <c r="J15" s="55">
        <f>'Step 3 Acad Product &amp; Pools'!J15</f>
        <v>0</v>
      </c>
      <c r="K15" s="55"/>
      <c r="L15" s="55">
        <f>SUM('Step 3 Acad Product &amp; Pools'!L15:Q15)</f>
        <v>0</v>
      </c>
      <c r="M15" s="34"/>
      <c r="N15" s="49"/>
      <c r="O15" s="34"/>
      <c r="P15" s="34"/>
      <c r="R15" s="34"/>
      <c r="S15" s="167"/>
      <c r="T15" s="34"/>
      <c r="W15" s="167"/>
    </row>
    <row r="16" spans="1:23">
      <c r="A16" s="179" t="s">
        <v>73</v>
      </c>
      <c r="B16" s="44">
        <f>'Step 5 Exec and Strategic'!B16</f>
        <v>0</v>
      </c>
      <c r="C16" s="44">
        <f>'Step 5 Exec and Strategic'!C16</f>
        <v>0</v>
      </c>
      <c r="D16" s="44">
        <f>'Step 5 Exec and Strategic'!D16</f>
        <v>0</v>
      </c>
      <c r="E16" s="44">
        <f>'Step 5 Exec and Strategic'!E16</f>
        <v>0</v>
      </c>
      <c r="F16" s="44"/>
      <c r="G16" s="44"/>
      <c r="H16" s="44"/>
      <c r="I16" s="44"/>
      <c r="J16" s="44"/>
      <c r="K16" s="44"/>
      <c r="L16" s="381">
        <f>'Step 4 Contract and Reserves'!L16</f>
        <v>20780776.088287428</v>
      </c>
      <c r="M16" s="381"/>
      <c r="N16" s="48"/>
      <c r="O16" s="381">
        <f>'Step 1 Dedicated Funds'!N16</f>
        <v>-129925.12999999999</v>
      </c>
      <c r="P16" s="381">
        <f>SUM('Step 1 Dedicated Funds'!O16:T16)</f>
        <v>3655745</v>
      </c>
      <c r="R16" s="44">
        <f t="shared" ref="R16:R34" si="1">SUM(B16:P16)</f>
        <v>24306595.958287429</v>
      </c>
      <c r="S16" s="168"/>
      <c r="T16" s="241">
        <v>24815559</v>
      </c>
      <c r="W16" s="167"/>
    </row>
    <row r="17" spans="1:23">
      <c r="A17" s="54" t="s">
        <v>74</v>
      </c>
      <c r="B17" s="48">
        <f>'Step 5 Exec and Strategic'!B17</f>
        <v>0</v>
      </c>
      <c r="C17" s="48">
        <f>'Step 5 Exec and Strategic'!C17</f>
        <v>0</v>
      </c>
      <c r="D17" s="48">
        <f>'Step 5 Exec and Strategic'!D17</f>
        <v>0</v>
      </c>
      <c r="E17" s="48">
        <f>'Step 5 Exec and Strategic'!E17</f>
        <v>0</v>
      </c>
      <c r="F17" s="48"/>
      <c r="G17" s="48"/>
      <c r="H17" s="48"/>
      <c r="I17" s="48"/>
      <c r="J17" s="48"/>
      <c r="K17" s="48"/>
      <c r="L17" s="382">
        <f>'Step 4 Contract and Reserves'!L17</f>
        <v>18571463.202492423</v>
      </c>
      <c r="M17" s="382"/>
      <c r="N17" s="48"/>
      <c r="O17" s="382">
        <f>'Step 1 Dedicated Funds'!N17</f>
        <v>-27905.178</v>
      </c>
      <c r="P17" s="382">
        <f>SUM('Step 1 Dedicated Funds'!O17:T17)</f>
        <v>3222744.8739999998</v>
      </c>
      <c r="R17" s="48">
        <f t="shared" si="1"/>
        <v>21766302.898492426</v>
      </c>
      <c r="S17" s="168"/>
      <c r="T17" s="821">
        <v>20462422</v>
      </c>
      <c r="W17" s="167"/>
    </row>
    <row r="18" spans="1:23">
      <c r="A18" s="178" t="s">
        <v>75</v>
      </c>
      <c r="B18" s="48">
        <f>'Step 5 Exec and Strategic'!B18</f>
        <v>0</v>
      </c>
      <c r="C18" s="48">
        <f>'Step 5 Exec and Strategic'!C18</f>
        <v>0</v>
      </c>
      <c r="D18" s="48">
        <f>'Step 5 Exec and Strategic'!D18</f>
        <v>0</v>
      </c>
      <c r="E18" s="48">
        <f>'Step 5 Exec and Strategic'!E18</f>
        <v>0</v>
      </c>
      <c r="F18" s="48"/>
      <c r="G18" s="48"/>
      <c r="H18" s="48"/>
      <c r="I18" s="48"/>
      <c r="J18" s="48"/>
      <c r="K18" s="48"/>
      <c r="L18" s="382">
        <f>'Step 4 Contract and Reserves'!L18</f>
        <v>48274832.848570772</v>
      </c>
      <c r="M18" s="382"/>
      <c r="N18" s="48"/>
      <c r="O18" s="382">
        <f>'Step 1 Dedicated Funds'!N18</f>
        <v>-629629.88800000004</v>
      </c>
      <c r="P18" s="382">
        <f>SUM('Step 1 Dedicated Funds'!O18:T18)</f>
        <v>20155899.276666667</v>
      </c>
      <c r="R18" s="48">
        <f t="shared" si="1"/>
        <v>67801102.237237439</v>
      </c>
      <c r="S18" s="168"/>
      <c r="T18" s="821">
        <v>64222079</v>
      </c>
      <c r="W18" s="167"/>
    </row>
    <row r="19" spans="1:23">
      <c r="A19" s="179" t="s">
        <v>76</v>
      </c>
      <c r="B19" s="44">
        <f>'Step 5 Exec and Strategic'!B19</f>
        <v>0</v>
      </c>
      <c r="C19" s="44">
        <f>'Step 5 Exec and Strategic'!C19</f>
        <v>0</v>
      </c>
      <c r="D19" s="44">
        <f>'Step 5 Exec and Strategic'!D19</f>
        <v>0</v>
      </c>
      <c r="E19" s="44">
        <f>'Step 5 Exec and Strategic'!E19</f>
        <v>750000</v>
      </c>
      <c r="F19" s="44"/>
      <c r="G19" s="44"/>
      <c r="H19" s="44"/>
      <c r="I19" s="44"/>
      <c r="J19" s="44"/>
      <c r="K19" s="44"/>
      <c r="L19" s="381">
        <f>'Step 4 Contract and Reserves'!L19</f>
        <v>5641472.7866717987</v>
      </c>
      <c r="M19" s="381"/>
      <c r="N19" s="48"/>
      <c r="O19" s="381">
        <f>'Step 1 Dedicated Funds'!N19</f>
        <v>-206605.74669999999</v>
      </c>
      <c r="P19" s="381">
        <f>SUM('Step 1 Dedicated Funds'!O19:T19)</f>
        <v>3349197.25</v>
      </c>
      <c r="R19" s="44">
        <f t="shared" si="1"/>
        <v>9534064.2899717987</v>
      </c>
      <c r="S19" s="168"/>
      <c r="T19" s="241">
        <v>9355600</v>
      </c>
      <c r="W19" s="167"/>
    </row>
    <row r="20" spans="1:23">
      <c r="A20" s="54" t="s">
        <v>77</v>
      </c>
      <c r="B20" s="48">
        <f>'Step 5 Exec and Strategic'!B20</f>
        <v>0</v>
      </c>
      <c r="C20" s="48">
        <f>'Step 5 Exec and Strategic'!C20</f>
        <v>250000</v>
      </c>
      <c r="D20" s="48">
        <f>'Step 5 Exec and Strategic'!D20</f>
        <v>0</v>
      </c>
      <c r="E20" s="48">
        <f>'Step 5 Exec and Strategic'!E20</f>
        <v>0</v>
      </c>
      <c r="F20" s="48"/>
      <c r="G20" s="48"/>
      <c r="H20" s="48"/>
      <c r="I20" s="48"/>
      <c r="J20" s="48"/>
      <c r="K20" s="48"/>
      <c r="L20" s="382">
        <f>'Step 4 Contract and Reserves'!L20</f>
        <v>16989778.787978765</v>
      </c>
      <c r="M20" s="382"/>
      <c r="N20" s="48"/>
      <c r="O20" s="382">
        <f>'Step 1 Dedicated Funds'!N20</f>
        <v>-100853.046</v>
      </c>
      <c r="P20" s="382">
        <f>SUM('Step 1 Dedicated Funds'!O20:T20)</f>
        <v>2262879</v>
      </c>
      <c r="R20" s="48">
        <f t="shared" si="1"/>
        <v>19401804.741978765</v>
      </c>
      <c r="S20" s="168"/>
      <c r="T20" s="821">
        <v>20440194</v>
      </c>
      <c r="W20" s="167"/>
    </row>
    <row r="21" spans="1:23">
      <c r="A21" s="178" t="s">
        <v>78</v>
      </c>
      <c r="B21" s="48">
        <f>'Step 5 Exec and Strategic'!B21</f>
        <v>0</v>
      </c>
      <c r="C21" s="48">
        <f>'Step 5 Exec and Strategic'!C21</f>
        <v>0</v>
      </c>
      <c r="D21" s="48">
        <f>'Step 5 Exec and Strategic'!D21</f>
        <v>0</v>
      </c>
      <c r="E21" s="48">
        <f>'Step 5 Exec and Strategic'!E21</f>
        <v>250000</v>
      </c>
      <c r="F21" s="48"/>
      <c r="G21" s="48"/>
      <c r="H21" s="48"/>
      <c r="I21" s="48"/>
      <c r="J21" s="48"/>
      <c r="K21" s="48"/>
      <c r="L21" s="382">
        <f>'Step 4 Contract and Reserves'!L21</f>
        <v>4689577.0242793197</v>
      </c>
      <c r="M21" s="382"/>
      <c r="N21" s="48"/>
      <c r="O21" s="382">
        <f>'Step 1 Dedicated Funds'!N21</f>
        <v>-5920</v>
      </c>
      <c r="P21" s="382">
        <f>SUM('Step 1 Dedicated Funds'!O21:T21)</f>
        <v>105000</v>
      </c>
      <c r="R21" s="48">
        <f t="shared" si="1"/>
        <v>5038657.0242793197</v>
      </c>
      <c r="S21" s="168"/>
      <c r="T21" s="821">
        <v>4830008</v>
      </c>
      <c r="W21" s="167"/>
    </row>
    <row r="22" spans="1:23">
      <c r="A22" s="179" t="s">
        <v>79</v>
      </c>
      <c r="B22" s="44">
        <f>'Step 5 Exec and Strategic'!B22</f>
        <v>0</v>
      </c>
      <c r="C22" s="44">
        <f>'Step 5 Exec and Strategic'!C22</f>
        <v>300000</v>
      </c>
      <c r="D22" s="44">
        <f>'Step 5 Exec and Strategic'!D22</f>
        <v>0</v>
      </c>
      <c r="E22" s="44">
        <f>'Step 5 Exec and Strategic'!E22</f>
        <v>0</v>
      </c>
      <c r="F22" s="44"/>
      <c r="G22" s="44"/>
      <c r="H22" s="44"/>
      <c r="I22" s="44"/>
      <c r="J22" s="44"/>
      <c r="K22" s="44"/>
      <c r="L22" s="381">
        <f>'Step 4 Contract and Reserves'!L22</f>
        <v>42856488.683382079</v>
      </c>
      <c r="M22" s="381"/>
      <c r="N22" s="48"/>
      <c r="O22" s="381">
        <f>'Step 1 Dedicated Funds'!N22</f>
        <v>-124520.466</v>
      </c>
      <c r="P22" s="381">
        <f>SUM('Step 1 Dedicated Funds'!O22:T22)</f>
        <v>1762709</v>
      </c>
      <c r="R22" s="44">
        <f t="shared" si="1"/>
        <v>44794677.217382081</v>
      </c>
      <c r="S22" s="168"/>
      <c r="T22" s="241">
        <v>45922830</v>
      </c>
      <c r="W22" s="167"/>
    </row>
    <row r="23" spans="1:23">
      <c r="A23" s="178" t="s">
        <v>80</v>
      </c>
      <c r="B23" s="48">
        <f>'Step 5 Exec and Strategic'!B23</f>
        <v>0</v>
      </c>
      <c r="C23" s="48">
        <f>'Step 5 Exec and Strategic'!C23</f>
        <v>10875</v>
      </c>
      <c r="D23" s="48">
        <f>'Step 5 Exec and Strategic'!D23</f>
        <v>0</v>
      </c>
      <c r="E23" s="48">
        <f>'Step 5 Exec and Strategic'!E23</f>
        <v>2600000</v>
      </c>
      <c r="F23" s="48"/>
      <c r="G23" s="48"/>
      <c r="H23" s="48"/>
      <c r="I23" s="48"/>
      <c r="J23" s="48"/>
      <c r="K23" s="48"/>
      <c r="L23" s="382">
        <f>'Step 4 Contract and Reserves'!L23</f>
        <v>8391763.3001100272</v>
      </c>
      <c r="M23" s="382"/>
      <c r="N23" s="48"/>
      <c r="O23" s="382">
        <f>'Step 1 Dedicated Funds'!N23</f>
        <v>-76433.248019999999</v>
      </c>
      <c r="P23" s="382">
        <f>SUM('Step 1 Dedicated Funds'!O23:T23)</f>
        <v>8032881.7300000004</v>
      </c>
      <c r="R23" s="48">
        <f t="shared" si="1"/>
        <v>18959086.782090027</v>
      </c>
      <c r="S23" s="168"/>
      <c r="T23" s="821">
        <v>14831995</v>
      </c>
      <c r="W23" s="167"/>
    </row>
    <row r="24" spans="1:23">
      <c r="A24" s="178" t="s">
        <v>81</v>
      </c>
      <c r="B24" s="55">
        <f>'Step 5 Exec and Strategic'!B24</f>
        <v>0</v>
      </c>
      <c r="C24" s="55">
        <f>'Step 5 Exec and Strategic'!C24</f>
        <v>0</v>
      </c>
      <c r="D24" s="55">
        <f>'Step 5 Exec and Strategic'!D24</f>
        <v>0</v>
      </c>
      <c r="E24" s="55">
        <f>'Step 5 Exec and Strategic'!E24</f>
        <v>2930000</v>
      </c>
      <c r="F24" s="55"/>
      <c r="G24" s="55"/>
      <c r="H24" s="55"/>
      <c r="I24" s="55"/>
      <c r="J24" s="55"/>
      <c r="K24" s="55"/>
      <c r="L24" s="383">
        <f>'Step 4 Contract and Reserves'!L24</f>
        <v>4143448.147322949</v>
      </c>
      <c r="M24" s="383"/>
      <c r="N24" s="55"/>
      <c r="O24" s="383">
        <f>'Step 1 Dedicated Funds'!N24</f>
        <v>-109608.874</v>
      </c>
      <c r="P24" s="383">
        <f>SUM('Step 1 Dedicated Funds'!O24:T24)</f>
        <v>5749942.5599999996</v>
      </c>
      <c r="R24" s="55">
        <f t="shared" si="1"/>
        <v>12713781.83332295</v>
      </c>
      <c r="S24" s="168"/>
      <c r="T24" s="821">
        <v>12737398</v>
      </c>
      <c r="W24" s="167"/>
    </row>
    <row r="25" spans="1:23">
      <c r="A25" s="179" t="s">
        <v>82</v>
      </c>
      <c r="B25" s="44">
        <f>'Step 5 Exec and Strategic'!B25</f>
        <v>0</v>
      </c>
      <c r="C25" s="44">
        <f>'Step 5 Exec and Strategic'!C25</f>
        <v>769226</v>
      </c>
      <c r="D25" s="44">
        <f>'Step 5 Exec and Strategic'!D25</f>
        <v>0</v>
      </c>
      <c r="E25" s="44">
        <f>'Step 5 Exec and Strategic'!E25</f>
        <v>0</v>
      </c>
      <c r="F25" s="44"/>
      <c r="G25" s="44"/>
      <c r="H25" s="44"/>
      <c r="I25" s="44"/>
      <c r="J25" s="44"/>
      <c r="K25" s="44"/>
      <c r="L25" s="381">
        <f>'Step 4 Contract and Reserves'!L25</f>
        <v>39503713.479171857</v>
      </c>
      <c r="M25" s="381"/>
      <c r="N25" s="48"/>
      <c r="O25" s="381">
        <f>'Step 1 Dedicated Funds'!N25</f>
        <v>-117008.57799999999</v>
      </c>
      <c r="P25" s="381">
        <f>SUM('Step 1 Dedicated Funds'!O25:T25)</f>
        <v>2381197</v>
      </c>
      <c r="R25" s="44">
        <f t="shared" si="1"/>
        <v>42537127.901171856</v>
      </c>
      <c r="S25" s="168"/>
      <c r="T25" s="241">
        <v>42113801</v>
      </c>
      <c r="W25" s="167"/>
    </row>
    <row r="26" spans="1:23">
      <c r="A26" s="178" t="s">
        <v>83</v>
      </c>
      <c r="B26" s="55">
        <f>'Step 5 Exec and Strategic'!B26</f>
        <v>0</v>
      </c>
      <c r="C26" s="55">
        <f>'Step 5 Exec and Strategic'!C26</f>
        <v>120828</v>
      </c>
      <c r="D26" s="55">
        <f>'Step 5 Exec and Strategic'!D26</f>
        <v>0</v>
      </c>
      <c r="E26" s="55">
        <f>'Step 5 Exec and Strategic'!E26</f>
        <v>7210000</v>
      </c>
      <c r="F26" s="55"/>
      <c r="G26" s="55"/>
      <c r="H26" s="55"/>
      <c r="I26" s="55"/>
      <c r="J26" s="55"/>
      <c r="K26" s="55"/>
      <c r="L26" s="383">
        <f>'Step 4 Contract and Reserves'!L26</f>
        <v>2879613.1700006318</v>
      </c>
      <c r="M26" s="383"/>
      <c r="N26" s="55"/>
      <c r="O26" s="383">
        <f>'Step 1 Dedicated Funds'!N26</f>
        <v>-1047873.6699999999</v>
      </c>
      <c r="P26" s="383">
        <f>SUM('Step 1 Dedicated Funds'!O26:T26)</f>
        <v>17286699.48</v>
      </c>
      <c r="R26" s="55">
        <f t="shared" si="1"/>
        <v>26449266.98000063</v>
      </c>
      <c r="S26" s="168"/>
      <c r="T26" s="821">
        <v>24909417</v>
      </c>
      <c r="W26" s="167"/>
    </row>
    <row r="27" spans="1:23">
      <c r="A27" s="178" t="s">
        <v>84</v>
      </c>
      <c r="B27" s="48">
        <f>'Step 5 Exec and Strategic'!B27</f>
        <v>0</v>
      </c>
      <c r="C27" s="48">
        <f>'Step 5 Exec and Strategic'!C27</f>
        <v>0</v>
      </c>
      <c r="D27" s="48">
        <f>'Step 5 Exec and Strategic'!D27</f>
        <v>0</v>
      </c>
      <c r="E27" s="48">
        <f>'Step 5 Exec and Strategic'!E27</f>
        <v>0</v>
      </c>
      <c r="F27" s="48"/>
      <c r="G27" s="48">
        <f>'Step 6a Service-Support Detail'!F24</f>
        <v>0</v>
      </c>
      <c r="H27" s="48"/>
      <c r="I27" s="48"/>
      <c r="J27" s="48"/>
      <c r="K27" s="48"/>
      <c r="L27" s="382">
        <f>'Step 4 Contract and Reserves'!L27</f>
        <v>0</v>
      </c>
      <c r="M27" s="382"/>
      <c r="N27" s="48"/>
      <c r="O27" s="382">
        <f>'Step 1 Dedicated Funds'!N27</f>
        <v>0</v>
      </c>
      <c r="P27" s="382">
        <f>SUM('Step 1 Dedicated Funds'!O27:T27)</f>
        <v>0</v>
      </c>
      <c r="R27" s="48">
        <f t="shared" si="1"/>
        <v>0</v>
      </c>
      <c r="S27" s="168"/>
      <c r="T27" s="821">
        <v>543366</v>
      </c>
      <c r="W27" s="167"/>
    </row>
    <row r="28" spans="1:23">
      <c r="A28" s="179" t="s">
        <v>85</v>
      </c>
      <c r="B28" s="44">
        <f>'Step 5 Exec and Strategic'!B28</f>
        <v>0</v>
      </c>
      <c r="C28" s="44">
        <f>'Step 5 Exec and Strategic'!C28</f>
        <v>0</v>
      </c>
      <c r="D28" s="44">
        <f>'Step 5 Exec and Strategic'!D28</f>
        <v>0</v>
      </c>
      <c r="E28" s="44">
        <f>'Step 5 Exec and Strategic'!E28</f>
        <v>0</v>
      </c>
      <c r="F28" s="44"/>
      <c r="G28" s="44"/>
      <c r="H28" s="44"/>
      <c r="I28" s="44"/>
      <c r="J28" s="44"/>
      <c r="K28" s="44"/>
      <c r="L28" s="381">
        <f>'Step 4 Contract and Reserves'!L28</f>
        <v>1847054.2942578935</v>
      </c>
      <c r="M28" s="381"/>
      <c r="N28" s="48"/>
      <c r="O28" s="381">
        <f>'Step 1 Dedicated Funds'!N28</f>
        <v>-12506</v>
      </c>
      <c r="P28" s="381">
        <f>SUM('Step 1 Dedicated Funds'!O28:T28)</f>
        <v>1608386</v>
      </c>
      <c r="R28" s="44">
        <f t="shared" si="1"/>
        <v>3442934.2942578932</v>
      </c>
      <c r="S28" s="168"/>
      <c r="T28" s="241">
        <v>2839964</v>
      </c>
      <c r="W28" s="167"/>
    </row>
    <row r="29" spans="1:23">
      <c r="A29" s="54" t="s">
        <v>87</v>
      </c>
      <c r="B29" s="55">
        <f>'Step 5 Exec and Strategic'!B29</f>
        <v>0</v>
      </c>
      <c r="C29" s="55">
        <f>'Step 5 Exec and Strategic'!C29</f>
        <v>0</v>
      </c>
      <c r="D29" s="55">
        <f>'Step 5 Exec and Strategic'!D29</f>
        <v>0</v>
      </c>
      <c r="E29" s="55">
        <f>'Step 5 Exec and Strategic'!E29</f>
        <v>0</v>
      </c>
      <c r="F29" s="55"/>
      <c r="G29" s="48">
        <f>'Step 6a Service-Support Detail'!F26</f>
        <v>106593</v>
      </c>
      <c r="H29" s="55"/>
      <c r="I29" s="55"/>
      <c r="J29" s="55"/>
      <c r="K29" s="55"/>
      <c r="L29" s="55">
        <f>'Step 4 Contract and Reserves'!L29</f>
        <v>0</v>
      </c>
      <c r="M29" s="55"/>
      <c r="N29" s="55"/>
      <c r="O29" s="55">
        <f>'Step 1 Dedicated Funds'!N29</f>
        <v>0</v>
      </c>
      <c r="P29" s="55">
        <f>SUM('Step 1 Dedicated Funds'!O29:T29)</f>
        <v>20115497</v>
      </c>
      <c r="R29" s="55">
        <f t="shared" si="1"/>
        <v>20222090</v>
      </c>
      <c r="S29" s="168"/>
      <c r="T29" s="821">
        <v>18786975</v>
      </c>
      <c r="W29" s="167"/>
    </row>
    <row r="30" spans="1:23">
      <c r="A30" s="178" t="s">
        <v>88</v>
      </c>
      <c r="B30" s="48">
        <f>'Step 5 Exec and Strategic'!B30</f>
        <v>0</v>
      </c>
      <c r="C30" s="48">
        <f>'Step 5 Exec and Strategic'!C30</f>
        <v>0</v>
      </c>
      <c r="D30" s="48">
        <f>'Step 5 Exec and Strategic'!D30</f>
        <v>0</v>
      </c>
      <c r="E30" s="48">
        <f>'Step 5 Exec and Strategic'!E30</f>
        <v>0</v>
      </c>
      <c r="F30" s="48"/>
      <c r="G30" s="48"/>
      <c r="H30" s="48"/>
      <c r="I30" s="48"/>
      <c r="J30" s="48"/>
      <c r="K30" s="48"/>
      <c r="L30" s="48">
        <f>'Step 4 Contract and Reserves'!L30</f>
        <v>0</v>
      </c>
      <c r="M30" s="48"/>
      <c r="N30" s="48"/>
      <c r="O30" s="48">
        <f>'Step 1 Dedicated Funds'!N30</f>
        <v>0</v>
      </c>
      <c r="P30" s="48">
        <f>SUM('Step 1 Dedicated Funds'!O30:T30)</f>
        <v>3440000</v>
      </c>
      <c r="Q30" s="46"/>
      <c r="R30" s="48">
        <f t="shared" si="1"/>
        <v>3440000</v>
      </c>
      <c r="S30" s="168"/>
      <c r="T30" s="241">
        <v>3296000</v>
      </c>
      <c r="W30" s="167"/>
    </row>
    <row r="31" spans="1:23">
      <c r="A31" s="368" t="s">
        <v>461</v>
      </c>
      <c r="B31" s="228">
        <f>'Step 5 Exec and Strategic'!B31</f>
        <v>0</v>
      </c>
      <c r="C31" s="228">
        <f>'Step 5 Exec and Strategic'!C31</f>
        <v>0</v>
      </c>
      <c r="D31" s="228">
        <f>'Step 5 Exec and Strategic'!D31</f>
        <v>0</v>
      </c>
      <c r="E31" s="228">
        <f>'Step 5 Exec and Strategic'!E31</f>
        <v>0</v>
      </c>
      <c r="F31" s="228"/>
      <c r="G31" s="228">
        <f>'Step 6a Service-Support Detail'!F28</f>
        <v>498436.67197615036</v>
      </c>
      <c r="H31" s="228"/>
      <c r="I31" s="228"/>
      <c r="J31" s="228"/>
      <c r="K31" s="228"/>
      <c r="L31" s="228">
        <f>'Step 4 Contract and Reserves'!L31</f>
        <v>331301.32802384964</v>
      </c>
      <c r="M31" s="228"/>
      <c r="N31" s="48"/>
      <c r="O31" s="228">
        <f>'Step 1 Dedicated Funds'!N31</f>
        <v>-259</v>
      </c>
      <c r="P31" s="228">
        <f>SUM('Step 1 Dedicated Funds'!O31:T31)</f>
        <v>3500</v>
      </c>
      <c r="Q31" s="226"/>
      <c r="R31" s="228">
        <f t="shared" si="1"/>
        <v>832979</v>
      </c>
      <c r="S31" s="232"/>
      <c r="T31" s="821">
        <v>4706010</v>
      </c>
      <c r="W31" s="167"/>
    </row>
    <row r="32" spans="1:23">
      <c r="A32" s="367" t="s">
        <v>462</v>
      </c>
      <c r="B32" s="55">
        <f>'Step 5 Exec and Strategic'!B32</f>
        <v>0</v>
      </c>
      <c r="C32" s="55">
        <f>'Step 5 Exec and Strategic'!C32</f>
        <v>0</v>
      </c>
      <c r="D32" s="55">
        <f>'Step 5 Exec and Strategic'!D32</f>
        <v>0</v>
      </c>
      <c r="E32" s="55">
        <f>'Step 5 Exec and Strategic'!E32</f>
        <v>0</v>
      </c>
      <c r="F32" s="55"/>
      <c r="G32" s="55"/>
      <c r="H32" s="55"/>
      <c r="I32" s="55"/>
      <c r="J32" s="55"/>
      <c r="K32" s="55"/>
      <c r="L32" s="55">
        <f>'Step 4 Contract and Reserves'!L32</f>
        <v>1374528.9702927922</v>
      </c>
      <c r="M32" s="55"/>
      <c r="N32" s="55"/>
      <c r="O32" s="55">
        <f>'Step 1 Dedicated Funds'!N32</f>
        <v>0</v>
      </c>
      <c r="P32" s="55">
        <f>SUM('Step 1 Dedicated Funds'!O32:T32)</f>
        <v>0</v>
      </c>
      <c r="Q32" s="46"/>
      <c r="R32" s="55">
        <f t="shared" si="1"/>
        <v>1374528.9702927922</v>
      </c>
      <c r="S32" s="168"/>
      <c r="T32" s="821">
        <v>838394</v>
      </c>
      <c r="W32" s="167"/>
    </row>
    <row r="33" spans="1:23">
      <c r="A33" s="178" t="s">
        <v>89</v>
      </c>
      <c r="B33" s="48">
        <f>'Step 5 Exec and Strategic'!B33</f>
        <v>0</v>
      </c>
      <c r="C33" s="48">
        <f>'Step 5 Exec and Strategic'!C33</f>
        <v>0</v>
      </c>
      <c r="D33" s="48">
        <f>'Step 5 Exec and Strategic'!D33</f>
        <v>0</v>
      </c>
      <c r="E33" s="48">
        <f>'Step 5 Exec and Strategic'!E33</f>
        <v>0</v>
      </c>
      <c r="F33" s="48"/>
      <c r="G33" s="48">
        <f>'Step 6a Service-Support Detail'!F30</f>
        <v>12358980.418667037</v>
      </c>
      <c r="H33" s="48"/>
      <c r="I33" s="48"/>
      <c r="J33" s="48"/>
      <c r="K33" s="48"/>
      <c r="L33" s="48">
        <f>'Step 4 Contract and Reserves'!L33</f>
        <v>3206.9413329626632</v>
      </c>
      <c r="M33" s="48"/>
      <c r="N33" s="48"/>
      <c r="O33" s="48">
        <f>'Step 1 Dedicated Funds'!N33</f>
        <v>-22210.36</v>
      </c>
      <c r="P33" s="48">
        <f>SUM('Step 1 Dedicated Funds'!O33:T33)</f>
        <v>2880140</v>
      </c>
      <c r="Q33" s="46"/>
      <c r="R33" s="48">
        <f t="shared" si="1"/>
        <v>15220117</v>
      </c>
      <c r="S33" s="168"/>
      <c r="T33" s="241">
        <v>14579961</v>
      </c>
      <c r="W33" s="167"/>
    </row>
    <row r="34" spans="1:23">
      <c r="A34" s="368" t="s">
        <v>90</v>
      </c>
      <c r="B34" s="228">
        <f>'Step 5 Exec and Strategic'!B34</f>
        <v>0</v>
      </c>
      <c r="C34" s="228">
        <f>'Step 5 Exec and Strategic'!C34</f>
        <v>0</v>
      </c>
      <c r="D34" s="228">
        <f>'Step 5 Exec and Strategic'!D34</f>
        <v>0</v>
      </c>
      <c r="E34" s="228">
        <f>'Step 5 Exec and Strategic'!E34</f>
        <v>8400000</v>
      </c>
      <c r="F34" s="228"/>
      <c r="G34" s="228"/>
      <c r="H34" s="228"/>
      <c r="I34" s="228"/>
      <c r="J34" s="228"/>
      <c r="K34" s="228"/>
      <c r="L34" s="384">
        <f>'Step 4 Contract and Reserves'!L34</f>
        <v>849637.58558934915</v>
      </c>
      <c r="M34" s="384"/>
      <c r="N34" s="48"/>
      <c r="O34" s="384">
        <f>'Step 1 Dedicated Funds'!N34</f>
        <v>-100546.11176</v>
      </c>
      <c r="P34" s="384">
        <f>SUM('Step 1 Dedicated Funds'!O34:T34)</f>
        <v>2358731.2400000002</v>
      </c>
      <c r="Q34" s="226"/>
      <c r="R34" s="228">
        <f t="shared" si="1"/>
        <v>11507822.71382935</v>
      </c>
      <c r="S34" s="232"/>
      <c r="T34" s="821">
        <v>11354044</v>
      </c>
      <c r="W34" s="167"/>
    </row>
    <row r="35" spans="1:23">
      <c r="A35" s="371" t="s">
        <v>91</v>
      </c>
      <c r="B35" s="372">
        <f>SUM(B16:B34)</f>
        <v>0</v>
      </c>
      <c r="C35" s="372">
        <f>SUM(C16:C34)</f>
        <v>1450929</v>
      </c>
      <c r="D35" s="372">
        <f>SUM(D16:D34)</f>
        <v>0</v>
      </c>
      <c r="E35" s="372">
        <f>SUM(E16:E34)</f>
        <v>22140000</v>
      </c>
      <c r="F35" s="372"/>
      <c r="G35" s="372">
        <f>SUM(G16:G34)</f>
        <v>12964010.090643188</v>
      </c>
      <c r="H35" s="372">
        <f>SUM(H16:H34)</f>
        <v>0</v>
      </c>
      <c r="I35" s="372">
        <f>SUM(I16:I34)</f>
        <v>0</v>
      </c>
      <c r="J35" s="372">
        <f>SUM(J16:J34)</f>
        <v>0</v>
      </c>
      <c r="K35" s="372"/>
      <c r="L35" s="372">
        <f>SUM(L16:L34)</f>
        <v>217128656.63776493</v>
      </c>
      <c r="M35" s="372">
        <f>SUM(M16:M34)</f>
        <v>0</v>
      </c>
      <c r="N35" s="372"/>
      <c r="O35" s="372">
        <f>SUM(O16:O34)</f>
        <v>-2711805.29648</v>
      </c>
      <c r="P35" s="372">
        <f>SUM(P16:P34)</f>
        <v>98371149.410666674</v>
      </c>
      <c r="Q35" s="373"/>
      <c r="R35" s="372">
        <f>SUM(R16:R34)</f>
        <v>349342939.84259474</v>
      </c>
      <c r="S35" s="374"/>
      <c r="T35" s="372">
        <f>SUM(T16:T34)</f>
        <v>341586017</v>
      </c>
      <c r="W35" s="167"/>
    </row>
    <row r="36" spans="1:23">
      <c r="A36" s="178"/>
      <c r="B36" s="46"/>
      <c r="C36" s="46"/>
      <c r="D36" s="46"/>
      <c r="E36" s="46"/>
      <c r="F36" s="46"/>
      <c r="G36" s="46"/>
      <c r="H36" s="46"/>
      <c r="I36" s="46"/>
      <c r="J36" s="46"/>
      <c r="K36" s="46"/>
      <c r="L36" s="46"/>
      <c r="M36" s="46"/>
      <c r="N36" s="46"/>
      <c r="O36" s="46"/>
      <c r="P36" s="46"/>
      <c r="Q36" s="46"/>
      <c r="R36" s="46"/>
      <c r="S36" s="168"/>
      <c r="T36" s="43"/>
      <c r="W36" s="167"/>
    </row>
    <row r="37" spans="1:23">
      <c r="A37" s="168"/>
      <c r="N37" s="46"/>
      <c r="S37" s="173"/>
      <c r="T37" s="173"/>
      <c r="W37" s="167"/>
    </row>
    <row r="38" spans="1:23">
      <c r="A38" s="54" t="s">
        <v>92</v>
      </c>
      <c r="B38" s="55"/>
      <c r="C38" s="55"/>
      <c r="D38" s="55"/>
      <c r="E38" s="55"/>
      <c r="F38" s="55"/>
      <c r="G38" s="55"/>
      <c r="H38" s="55"/>
      <c r="I38" s="55"/>
      <c r="J38" s="55"/>
      <c r="K38" s="55"/>
      <c r="L38" s="55"/>
      <c r="M38" s="55"/>
      <c r="N38" s="55"/>
      <c r="O38" s="55"/>
      <c r="P38" s="55"/>
      <c r="R38" s="55"/>
      <c r="S38" s="168"/>
      <c r="T38" s="55"/>
      <c r="W38" s="167"/>
    </row>
    <row r="39" spans="1:23">
      <c r="A39" s="179" t="s">
        <v>93</v>
      </c>
      <c r="B39" s="44">
        <f>'Step 5 Exec and Strategic'!B39</f>
        <v>0</v>
      </c>
      <c r="C39" s="44">
        <f>'Step 5 Exec and Strategic'!C39</f>
        <v>320000</v>
      </c>
      <c r="D39" s="44">
        <f>'Step 5 Exec and Strategic'!D39</f>
        <v>8851356</v>
      </c>
      <c r="E39" s="44">
        <f>'Step 5 Exec and Strategic'!E39</f>
        <v>0</v>
      </c>
      <c r="F39" s="182"/>
      <c r="G39" s="182"/>
      <c r="H39" s="182"/>
      <c r="I39" s="182"/>
      <c r="J39" s="182"/>
      <c r="K39" s="182"/>
      <c r="L39" s="182">
        <f>SUM('Step 3 Acad Product &amp; Pools'!L39:Q39)</f>
        <v>11.536233093548432</v>
      </c>
      <c r="M39" s="182"/>
      <c r="N39" s="48"/>
      <c r="O39" s="182">
        <f>'Step 3 Acad Product &amp; Pools'!T39</f>
        <v>0</v>
      </c>
      <c r="P39" s="182">
        <f>'Step 3 Acad Product &amp; Pools'!U39</f>
        <v>0</v>
      </c>
      <c r="R39" s="44">
        <f t="shared" ref="R39:R57" si="2">SUM(B39:P39)</f>
        <v>9171367.5362330936</v>
      </c>
      <c r="S39" s="168"/>
      <c r="T39" s="241">
        <v>8383602</v>
      </c>
      <c r="V39" s="12"/>
      <c r="W39" s="167"/>
    </row>
    <row r="40" spans="1:23">
      <c r="A40" s="1425" t="s">
        <v>344</v>
      </c>
      <c r="B40" s="55">
        <f>'Step 5 Exec and Strategic'!B40</f>
        <v>0</v>
      </c>
      <c r="C40" s="55">
        <f>'Step 5 Exec and Strategic'!C40</f>
        <v>7340700</v>
      </c>
      <c r="D40" s="55">
        <f>'Step 5 Exec and Strategic'!D40</f>
        <v>0</v>
      </c>
      <c r="E40" s="48">
        <f>'Step 5 Exec and Strategic'!E40</f>
        <v>0</v>
      </c>
      <c r="F40" s="55"/>
      <c r="G40" s="55"/>
      <c r="H40" s="55"/>
      <c r="I40" s="55"/>
      <c r="J40" s="48"/>
      <c r="K40" s="55"/>
      <c r="L40" s="48">
        <f>SUM('Step 3 Acad Product &amp; Pools'!L40:Q40)</f>
        <v>0</v>
      </c>
      <c r="M40" s="48"/>
      <c r="N40" s="55"/>
      <c r="O40" s="48">
        <f>'Step 3 Acad Product &amp; Pools'!T40</f>
        <v>0</v>
      </c>
      <c r="P40" s="48">
        <f>'Step 3 Acad Product &amp; Pools'!U40</f>
        <v>0</v>
      </c>
      <c r="R40" s="55">
        <f>SUM(B40:P40)</f>
        <v>7340700</v>
      </c>
      <c r="S40" s="168"/>
      <c r="T40" s="821">
        <v>5500000</v>
      </c>
      <c r="V40" s="12"/>
      <c r="W40" s="167"/>
    </row>
    <row r="41" spans="1:23">
      <c r="A41" s="178" t="s">
        <v>94</v>
      </c>
      <c r="B41" s="55">
        <f>'Step 5 Exec and Strategic'!B41</f>
        <v>0</v>
      </c>
      <c r="C41" s="55">
        <f>'Step 5 Exec and Strategic'!C41</f>
        <v>26585</v>
      </c>
      <c r="D41" s="55">
        <f>'Step 5 Exec and Strategic'!D41</f>
        <v>0</v>
      </c>
      <c r="E41" s="48">
        <f>'Step 5 Exec and Strategic'!E41</f>
        <v>0</v>
      </c>
      <c r="F41" s="55"/>
      <c r="G41" s="55"/>
      <c r="H41" s="55"/>
      <c r="I41" s="55"/>
      <c r="J41" s="48">
        <f>'Step 6a Service-Support Detail'!F37</f>
        <v>4170623</v>
      </c>
      <c r="K41" s="55"/>
      <c r="L41" s="48">
        <f>SUM('Step 3 Acad Product &amp; Pools'!L41:Q41)</f>
        <v>0</v>
      </c>
      <c r="M41" s="48"/>
      <c r="N41" s="55"/>
      <c r="O41" s="48">
        <f>'Step 3 Acad Product &amp; Pools'!T41</f>
        <v>0</v>
      </c>
      <c r="P41" s="48">
        <f>'Step 3 Acad Product &amp; Pools'!U41</f>
        <v>0</v>
      </c>
      <c r="R41" s="55">
        <f t="shared" si="2"/>
        <v>4197208</v>
      </c>
      <c r="S41" s="168"/>
      <c r="T41" s="821">
        <v>4019773</v>
      </c>
      <c r="V41" s="12"/>
      <c r="W41" s="167"/>
    </row>
    <row r="42" spans="1:23">
      <c r="A42" s="54" t="s">
        <v>95</v>
      </c>
      <c r="B42" s="55">
        <f>'Step 5 Exec and Strategic'!B42</f>
        <v>0</v>
      </c>
      <c r="C42" s="55">
        <f>'Step 5 Exec and Strategic'!C42</f>
        <v>0</v>
      </c>
      <c r="D42" s="55">
        <f>'Step 5 Exec and Strategic'!D42</f>
        <v>1555540</v>
      </c>
      <c r="E42" s="48">
        <f>'Step 5 Exec and Strategic'!E42</f>
        <v>0</v>
      </c>
      <c r="F42" s="184"/>
      <c r="G42" s="184"/>
      <c r="H42" s="184"/>
      <c r="I42" s="184"/>
      <c r="J42" s="184"/>
      <c r="K42" s="184"/>
      <c r="L42" s="184">
        <f>SUM('Step 3 Acad Product &amp; Pools'!L42:Q42)</f>
        <v>0</v>
      </c>
      <c r="M42" s="184"/>
      <c r="N42" s="55"/>
      <c r="O42" s="184">
        <f>'Step 3 Acad Product &amp; Pools'!T42</f>
        <v>0</v>
      </c>
      <c r="P42" s="184">
        <f>'Step 3 Acad Product &amp; Pools'!U42</f>
        <v>0</v>
      </c>
      <c r="R42" s="55">
        <f t="shared" si="2"/>
        <v>1555540</v>
      </c>
      <c r="S42" s="168"/>
      <c r="T42" s="821">
        <v>1435806</v>
      </c>
      <c r="V42" s="12"/>
      <c r="W42" s="167"/>
    </row>
    <row r="43" spans="1:23">
      <c r="A43" s="179" t="s">
        <v>96</v>
      </c>
      <c r="B43" s="44">
        <f>'Step 5 Exec and Strategic'!B43</f>
        <v>0</v>
      </c>
      <c r="C43" s="44">
        <f>'Step 5 Exec and Strategic'!C43</f>
        <v>400000</v>
      </c>
      <c r="D43" s="44">
        <f>'Step 5 Exec and Strategic'!D43</f>
        <v>2613719</v>
      </c>
      <c r="E43" s="44">
        <f>'Step 5 Exec and Strategic'!E43</f>
        <v>0</v>
      </c>
      <c r="F43" s="182"/>
      <c r="G43" s="182"/>
      <c r="H43" s="182"/>
      <c r="I43" s="182"/>
      <c r="J43" s="182"/>
      <c r="K43" s="182"/>
      <c r="L43" s="182">
        <f>SUM('Step 3 Acad Product &amp; Pools'!L43:Q43)</f>
        <v>0</v>
      </c>
      <c r="M43" s="182"/>
      <c r="N43" s="48"/>
      <c r="O43" s="182">
        <f>'Step 3 Acad Product &amp; Pools'!T43</f>
        <v>0</v>
      </c>
      <c r="P43" s="182">
        <f>'Step 3 Acad Product &amp; Pools'!U43</f>
        <v>0</v>
      </c>
      <c r="R43" s="44">
        <f t="shared" si="2"/>
        <v>3013719</v>
      </c>
      <c r="S43" s="168"/>
      <c r="T43" s="241">
        <f>8453610-T40</f>
        <v>2953610</v>
      </c>
      <c r="V43" s="12"/>
      <c r="W43" s="167"/>
    </row>
    <row r="44" spans="1:23">
      <c r="A44" s="178" t="s">
        <v>97</v>
      </c>
      <c r="B44" s="55">
        <f>'Step 5 Exec and Strategic'!B44</f>
        <v>0</v>
      </c>
      <c r="C44" s="55">
        <f>'Step 5 Exec and Strategic'!C44</f>
        <v>0</v>
      </c>
      <c r="D44" s="55">
        <f>'Step 5 Exec and Strategic'!D44</f>
        <v>0</v>
      </c>
      <c r="E44" s="55">
        <f>'Step 5 Exec and Strategic'!E44</f>
        <v>0</v>
      </c>
      <c r="F44" s="55"/>
      <c r="G44" s="55"/>
      <c r="H44" s="55">
        <f>'Step 6a Service-Support Detail'!F40</f>
        <v>7430149.0141126635</v>
      </c>
      <c r="I44" s="55"/>
      <c r="J44" s="55"/>
      <c r="K44" s="55"/>
      <c r="L44" s="55">
        <f>SUM('Step 3 Acad Product &amp; Pools'!L44:Q44)</f>
        <v>45370.98588733653</v>
      </c>
      <c r="M44" s="55"/>
      <c r="N44" s="55"/>
      <c r="O44" s="55">
        <f>'Step 3 Acad Product &amp; Pools'!T44</f>
        <v>-244200</v>
      </c>
      <c r="P44" s="55">
        <f>'Step 3 Acad Product &amp; Pools'!U44</f>
        <v>3300000</v>
      </c>
      <c r="R44" s="55">
        <f t="shared" si="2"/>
        <v>10531320</v>
      </c>
      <c r="S44" s="168"/>
      <c r="T44" s="821">
        <v>9724870</v>
      </c>
      <c r="V44" s="12"/>
      <c r="W44" s="167"/>
    </row>
    <row r="45" spans="1:23">
      <c r="A45" s="367" t="s">
        <v>483</v>
      </c>
      <c r="B45" s="55">
        <f>'Step 5 Exec and Strategic'!B45</f>
        <v>0</v>
      </c>
      <c r="C45" s="55">
        <f>'Step 5 Exec and Strategic'!C45</f>
        <v>0</v>
      </c>
      <c r="D45" s="55">
        <f>'Step 5 Exec and Strategic'!D45</f>
        <v>0</v>
      </c>
      <c r="E45" s="55">
        <f>'Step 5 Exec and Strategic'!E45</f>
        <v>0</v>
      </c>
      <c r="F45" s="55"/>
      <c r="G45" s="55"/>
      <c r="H45" s="55">
        <f>'Step 6a Service-Support Detail'!F41</f>
        <v>1680318.6282101842</v>
      </c>
      <c r="I45" s="55"/>
      <c r="J45" s="55"/>
      <c r="K45" s="55"/>
      <c r="L45" s="55">
        <f>SUM('Step 3 Acad Product &amp; Pools'!L45:Q45)</f>
        <v>1837874.1717898159</v>
      </c>
      <c r="M45" s="55"/>
      <c r="N45" s="55"/>
      <c r="O45" s="55">
        <f>'Step 3 Acad Product &amp; Pools'!T45</f>
        <v>-278328.8</v>
      </c>
      <c r="P45" s="55">
        <f>'Step 3 Acad Product &amp; Pools'!U45</f>
        <v>3761200</v>
      </c>
      <c r="R45" s="55">
        <f t="shared" si="2"/>
        <v>7001064</v>
      </c>
      <c r="S45" s="168"/>
      <c r="T45" s="821">
        <v>5000049</v>
      </c>
      <c r="V45" s="12"/>
      <c r="W45" s="167"/>
    </row>
    <row r="46" spans="1:23">
      <c r="A46" s="178" t="s">
        <v>98</v>
      </c>
      <c r="B46" s="55">
        <f>'Step 5 Exec and Strategic'!B46</f>
        <v>0</v>
      </c>
      <c r="C46" s="55">
        <f>'Step 5 Exec and Strategic'!C46</f>
        <v>0</v>
      </c>
      <c r="D46" s="55">
        <f>'Step 5 Exec and Strategic'!D46</f>
        <v>0</v>
      </c>
      <c r="E46" s="55">
        <f>'Step 5 Exec and Strategic'!E46</f>
        <v>0</v>
      </c>
      <c r="F46" s="55"/>
      <c r="G46" s="55"/>
      <c r="H46" s="55">
        <f>'Step 1 Dedicated Funds'!H46+'Step 6a Service-Support Detail'!F42</f>
        <v>1882536.5792287677</v>
      </c>
      <c r="I46" s="55"/>
      <c r="J46" s="55"/>
      <c r="K46" s="55"/>
      <c r="L46" s="55">
        <f>SUM('Step 3 Acad Product &amp; Pools'!L46:Q46)</f>
        <v>4591.4207712322759</v>
      </c>
      <c r="M46" s="55"/>
      <c r="N46" s="55"/>
      <c r="O46" s="55">
        <f>'Step 3 Acad Product &amp; Pools'!T46</f>
        <v>-3478</v>
      </c>
      <c r="P46" s="55">
        <f>'Step 3 Acad Product &amp; Pools'!U46</f>
        <v>47000</v>
      </c>
      <c r="R46" s="55">
        <f t="shared" si="2"/>
        <v>1930650</v>
      </c>
      <c r="S46" s="168"/>
      <c r="T46" s="821">
        <v>3643184</v>
      </c>
      <c r="V46" s="12"/>
      <c r="W46" s="167"/>
    </row>
    <row r="47" spans="1:23">
      <c r="A47" s="179" t="s">
        <v>99</v>
      </c>
      <c r="B47" s="44">
        <f>'Step 5 Exec and Strategic'!B47</f>
        <v>0</v>
      </c>
      <c r="C47" s="44">
        <f>'Step 5 Exec and Strategic'!C47</f>
        <v>0</v>
      </c>
      <c r="D47" s="44">
        <f>'Step 5 Exec and Strategic'!D47</f>
        <v>0</v>
      </c>
      <c r="E47" s="44">
        <f>'Step 5 Exec and Strategic'!E47</f>
        <v>0</v>
      </c>
      <c r="F47" s="44"/>
      <c r="G47" s="228">
        <f>'Step 1 Dedicated Funds'!G47+'Step 6a Service-Support Detail'!F43</f>
        <v>21587572.314174496</v>
      </c>
      <c r="H47" s="44"/>
      <c r="I47" s="44"/>
      <c r="J47" s="44"/>
      <c r="K47" s="44"/>
      <c r="L47" s="44">
        <f>SUM('Step 3 Acad Product &amp; Pools'!L47:Q47)</f>
        <v>5516.6858255045709</v>
      </c>
      <c r="M47" s="44"/>
      <c r="N47" s="48"/>
      <c r="O47" s="44">
        <f>'Step 3 Acad Product &amp; Pools'!T47</f>
        <v>-4144</v>
      </c>
      <c r="P47" s="44">
        <f>'Step 3 Acad Product &amp; Pools'!U47</f>
        <v>2636000</v>
      </c>
      <c r="R47" s="44">
        <f t="shared" si="2"/>
        <v>24224945</v>
      </c>
      <c r="S47" s="168"/>
      <c r="T47" s="241">
        <v>19774660</v>
      </c>
      <c r="V47" s="12"/>
      <c r="W47" s="167"/>
    </row>
    <row r="48" spans="1:23">
      <c r="A48" s="178" t="s">
        <v>484</v>
      </c>
      <c r="B48" s="55">
        <f>'Step 5 Exec and Strategic'!B48</f>
        <v>0</v>
      </c>
      <c r="C48" s="55">
        <f>'Step 5 Exec and Strategic'!C48</f>
        <v>950000</v>
      </c>
      <c r="D48" s="55">
        <f>'Step 5 Exec and Strategic'!D48</f>
        <v>0</v>
      </c>
      <c r="E48" s="55">
        <f>'Step 5 Exec and Strategic'!E48</f>
        <v>0</v>
      </c>
      <c r="F48" s="55"/>
      <c r="G48" s="48">
        <f>'Step 1 Dedicated Funds'!G48+'Step 6a Service-Support Detail'!F44</f>
        <v>2607276</v>
      </c>
      <c r="H48" s="55"/>
      <c r="I48" s="55"/>
      <c r="J48" s="55"/>
      <c r="K48" s="55"/>
      <c r="L48" s="55">
        <f>SUM('Step 3 Acad Product &amp; Pools'!L48:Q48)</f>
        <v>0</v>
      </c>
      <c r="M48" s="55"/>
      <c r="N48" s="55"/>
      <c r="O48" s="55">
        <f>'Step 3 Acad Product &amp; Pools'!T48</f>
        <v>-85100</v>
      </c>
      <c r="P48" s="55">
        <f>'Step 3 Acad Product &amp; Pools'!U48</f>
        <v>1580000</v>
      </c>
      <c r="R48" s="55">
        <f t="shared" si="2"/>
        <v>5052176</v>
      </c>
      <c r="S48" s="168"/>
      <c r="T48" s="821">
        <v>4501875</v>
      </c>
      <c r="V48" s="12"/>
      <c r="W48" s="167"/>
    </row>
    <row r="49" spans="1:24">
      <c r="A49" s="54" t="s">
        <v>86</v>
      </c>
      <c r="B49" s="55">
        <f>'Step 5 Exec and Strategic'!B49</f>
        <v>0</v>
      </c>
      <c r="C49" s="55">
        <f>'Step 5 Exec and Strategic'!C49</f>
        <v>0</v>
      </c>
      <c r="D49" s="55">
        <f>'Step 5 Exec and Strategic'!D49</f>
        <v>0</v>
      </c>
      <c r="E49" s="55">
        <f>'Step 5 Exec and Strategic'!E49</f>
        <v>0</v>
      </c>
      <c r="F49" s="55"/>
      <c r="G49" s="48">
        <f>'Step 6a Service-Support Detail'!F45</f>
        <v>1544199.5371277812</v>
      </c>
      <c r="H49" s="55"/>
      <c r="I49" s="55"/>
      <c r="J49" s="55"/>
      <c r="K49" s="55"/>
      <c r="L49" s="55">
        <f>SUM('Step 3 Acad Product &amp; Pools'!L49:Q49)</f>
        <v>15084.462872218808</v>
      </c>
      <c r="M49" s="55"/>
      <c r="N49" s="55"/>
      <c r="O49" s="55">
        <f>'Step 3 Acad Product &amp; Pools'!T49</f>
        <v>0</v>
      </c>
      <c r="P49" s="55">
        <f>'Step 3 Acad Product &amp; Pools'!U49</f>
        <v>0</v>
      </c>
      <c r="R49" s="55">
        <f t="shared" si="2"/>
        <v>1559284</v>
      </c>
      <c r="S49" s="168"/>
      <c r="T49" s="821">
        <v>1522413</v>
      </c>
      <c r="V49" s="12"/>
      <c r="W49" s="167"/>
    </row>
    <row r="50" spans="1:24">
      <c r="A50" s="368" t="s">
        <v>100</v>
      </c>
      <c r="B50" s="229">
        <f>'Step 5 Exec and Strategic'!B50</f>
        <v>0</v>
      </c>
      <c r="C50" s="229">
        <f>'Step 5 Exec and Strategic'!C50</f>
        <v>0</v>
      </c>
      <c r="D50" s="229">
        <f>'Step 5 Exec and Strategic'!D50</f>
        <v>0</v>
      </c>
      <c r="E50" s="229">
        <f>'Step 5 Exec and Strategic'!E50</f>
        <v>0</v>
      </c>
      <c r="F50" s="229"/>
      <c r="G50" s="228">
        <f>'Step 1 Dedicated Funds'!G50+'Step 6a Service-Support Detail'!F46</f>
        <v>4493343</v>
      </c>
      <c r="H50" s="229"/>
      <c r="I50" s="229"/>
      <c r="J50" s="229"/>
      <c r="K50" s="229"/>
      <c r="L50" s="229">
        <f>SUM('Step 3 Acad Product &amp; Pools'!L50:Q50)</f>
        <v>0</v>
      </c>
      <c r="M50" s="229"/>
      <c r="N50" s="55"/>
      <c r="O50" s="229">
        <f>'Step 3 Acad Product &amp; Pools'!T50</f>
        <v>0</v>
      </c>
      <c r="P50" s="229">
        <f>'Step 3 Acad Product &amp; Pools'!U50</f>
        <v>3440000</v>
      </c>
      <c r="Q50" s="226"/>
      <c r="R50" s="229">
        <f t="shared" si="2"/>
        <v>7933343</v>
      </c>
      <c r="S50" s="168"/>
      <c r="T50" s="241">
        <v>7580439</v>
      </c>
      <c r="V50" s="12"/>
      <c r="W50" s="167"/>
    </row>
    <row r="51" spans="1:24">
      <c r="A51" s="178" t="s">
        <v>101</v>
      </c>
      <c r="B51" s="48">
        <f>'Step 5 Exec and Strategic'!B51</f>
        <v>0</v>
      </c>
      <c r="C51" s="48">
        <f>'Step 5 Exec and Strategic'!C51</f>
        <v>0</v>
      </c>
      <c r="D51" s="48">
        <f>'Step 5 Exec and Strategic'!D51</f>
        <v>0</v>
      </c>
      <c r="E51" s="48">
        <f>'Step 5 Exec and Strategic'!E51</f>
        <v>0</v>
      </c>
      <c r="F51" s="48"/>
      <c r="G51" s="48"/>
      <c r="H51" s="55">
        <f>'Step 6a Service-Support Detail'!F47</f>
        <v>11349816.319333</v>
      </c>
      <c r="I51" s="48"/>
      <c r="J51" s="48"/>
      <c r="K51" s="48"/>
      <c r="L51" s="48">
        <f>SUM('Step 3 Acad Product &amp; Pools'!L51:Q51)</f>
        <v>8993.8576670004386</v>
      </c>
      <c r="M51" s="48"/>
      <c r="N51" s="48"/>
      <c r="O51" s="48">
        <f>'Step 3 Acad Product &amp; Pools'!T51</f>
        <v>-139661.902</v>
      </c>
      <c r="P51" s="48">
        <f>'Step 3 Acad Product &amp; Pools'!U51</f>
        <v>1887323</v>
      </c>
      <c r="Q51" s="46"/>
      <c r="R51" s="48">
        <f t="shared" si="2"/>
        <v>13106471.275</v>
      </c>
      <c r="S51" s="168"/>
      <c r="T51" s="821">
        <v>7705927</v>
      </c>
      <c r="V51" s="12"/>
      <c r="W51" s="167"/>
    </row>
    <row r="52" spans="1:24">
      <c r="A52" s="178" t="s">
        <v>102</v>
      </c>
      <c r="B52" s="55">
        <f>'Step 5 Exec and Strategic'!B52</f>
        <v>0</v>
      </c>
      <c r="C52" s="55">
        <f>'Step 5 Exec and Strategic'!C52</f>
        <v>0</v>
      </c>
      <c r="D52" s="55">
        <f>'Step 5 Exec and Strategic'!D52</f>
        <v>0</v>
      </c>
      <c r="E52" s="55">
        <f>'Step 5 Exec and Strategic'!E52</f>
        <v>0</v>
      </c>
      <c r="F52" s="55"/>
      <c r="G52" s="55"/>
      <c r="H52" s="55"/>
      <c r="I52" s="55"/>
      <c r="J52" s="48">
        <f>'Step 1 Dedicated Funds'!J52+'Step 6a Service-Support Detail'!F48</f>
        <v>10451097</v>
      </c>
      <c r="K52" s="55"/>
      <c r="L52" s="48">
        <f>SUM('Step 3 Acad Product &amp; Pools'!L52:Q52)</f>
        <v>0</v>
      </c>
      <c r="M52" s="48"/>
      <c r="N52" s="55"/>
      <c r="O52" s="48">
        <f>'Step 3 Acad Product &amp; Pools'!T52</f>
        <v>0</v>
      </c>
      <c r="P52" s="48">
        <f>'Step 3 Acad Product &amp; Pools'!U52</f>
        <v>1720000</v>
      </c>
      <c r="Q52" s="46"/>
      <c r="R52" s="55">
        <f t="shared" si="2"/>
        <v>12171097</v>
      </c>
      <c r="S52" s="168"/>
      <c r="T52" s="821">
        <v>12025835</v>
      </c>
      <c r="V52" s="12"/>
      <c r="W52" s="167"/>
    </row>
    <row r="53" spans="1:24">
      <c r="A53" s="368" t="s">
        <v>103</v>
      </c>
      <c r="B53" s="229">
        <f>'Step 5 Exec and Strategic'!B53</f>
        <v>0</v>
      </c>
      <c r="C53" s="229">
        <f>'Step 5 Exec and Strategic'!C53</f>
        <v>0</v>
      </c>
      <c r="D53" s="229">
        <f>'Step 5 Exec and Strategic'!D53</f>
        <v>0</v>
      </c>
      <c r="E53" s="229">
        <f>'Step 5 Exec and Strategic'!E53</f>
        <v>0</v>
      </c>
      <c r="F53" s="229"/>
      <c r="G53" s="229"/>
      <c r="H53" s="229"/>
      <c r="I53" s="229"/>
      <c r="J53" s="228">
        <f>'Step 1 Dedicated Funds'!J53+'Step 6a Service-Support Detail'!F49</f>
        <v>24640123</v>
      </c>
      <c r="K53" s="229"/>
      <c r="L53" s="228">
        <f>SUM('Step 3 Acad Product &amp; Pools'!L53:Q53)</f>
        <v>0</v>
      </c>
      <c r="M53" s="228"/>
      <c r="N53" s="55"/>
      <c r="O53" s="228">
        <f>'Step 3 Acad Product &amp; Pools'!T53</f>
        <v>-32930</v>
      </c>
      <c r="P53" s="228">
        <f>'Step 3 Acad Product &amp; Pools'!U53</f>
        <v>2165000</v>
      </c>
      <c r="Q53" s="226"/>
      <c r="R53" s="229">
        <f t="shared" si="2"/>
        <v>26772193</v>
      </c>
      <c r="S53" s="168"/>
      <c r="T53" s="241">
        <v>25520328</v>
      </c>
      <c r="V53" s="12"/>
      <c r="W53" s="167"/>
    </row>
    <row r="54" spans="1:24">
      <c r="A54" s="178" t="s">
        <v>104</v>
      </c>
      <c r="B54" s="48">
        <f>'Step 5 Exec and Strategic'!B54</f>
        <v>0</v>
      </c>
      <c r="C54" s="48">
        <f>'Step 5 Exec and Strategic'!C54</f>
        <v>0</v>
      </c>
      <c r="D54" s="48">
        <f>'Step 5 Exec and Strategic'!D54</f>
        <v>0</v>
      </c>
      <c r="E54" s="48">
        <f>'Step 5 Exec and Strategic'!E54</f>
        <v>0</v>
      </c>
      <c r="F54" s="48"/>
      <c r="G54" s="48"/>
      <c r="H54" s="48"/>
      <c r="I54" s="48">
        <f>'Step 6a Service-Support Detail'!F50</f>
        <v>14265644.861447327</v>
      </c>
      <c r="J54" s="48"/>
      <c r="K54" s="48"/>
      <c r="L54" s="48">
        <f>SUM('Step 3 Acad Product &amp; Pools'!L54:Q54)</f>
        <v>239.13855267424046</v>
      </c>
      <c r="M54" s="48"/>
      <c r="N54" s="48"/>
      <c r="O54" s="48">
        <f>'Step 3 Acad Product &amp; Pools'!T54</f>
        <v>-4958</v>
      </c>
      <c r="P54" s="48">
        <f>'Step 3 Acad Product &amp; Pools'!U54</f>
        <v>4797000</v>
      </c>
      <c r="Q54" s="46"/>
      <c r="R54" s="48">
        <f t="shared" si="2"/>
        <v>19057926</v>
      </c>
      <c r="S54" s="168"/>
      <c r="T54" s="821">
        <v>17684064</v>
      </c>
      <c r="V54" s="12"/>
      <c r="W54" s="167"/>
    </row>
    <row r="55" spans="1:24">
      <c r="A55" s="178" t="s">
        <v>459</v>
      </c>
      <c r="B55" s="48">
        <f>'Step 5 Exec and Strategic'!B55</f>
        <v>0</v>
      </c>
      <c r="C55" s="48">
        <f>'Step 5 Exec and Strategic'!C55</f>
        <v>0</v>
      </c>
      <c r="D55" s="48">
        <f>'Step 5 Exec and Strategic'!D55</f>
        <v>0</v>
      </c>
      <c r="E55" s="48">
        <f>'Step 5 Exec and Strategic'!E55</f>
        <v>0</v>
      </c>
      <c r="F55" s="48"/>
      <c r="G55" s="48"/>
      <c r="H55" s="48"/>
      <c r="I55" s="48"/>
      <c r="J55" s="48">
        <f>'Step 6a Service-Support Detail'!F51</f>
        <v>3842928</v>
      </c>
      <c r="K55" s="48"/>
      <c r="L55" s="48">
        <f>SUM('Step 3 Acad Product &amp; Pools'!L55:Q55)</f>
        <v>0</v>
      </c>
      <c r="M55" s="48"/>
      <c r="N55" s="48"/>
      <c r="O55" s="48">
        <f>'Step 3 Acad Product &amp; Pools'!T55</f>
        <v>0</v>
      </c>
      <c r="P55" s="48">
        <f>'Step 3 Acad Product &amp; Pools'!U55</f>
        <v>0</v>
      </c>
      <c r="Q55" s="46"/>
      <c r="R55" s="48">
        <f t="shared" si="2"/>
        <v>3842928</v>
      </c>
      <c r="S55" s="168"/>
      <c r="T55" s="821">
        <v>3700133</v>
      </c>
      <c r="V55" s="12"/>
      <c r="W55" s="167"/>
    </row>
    <row r="56" spans="1:24">
      <c r="A56" s="386" t="s">
        <v>485</v>
      </c>
      <c r="B56" s="228">
        <f>'Step 5 Exec and Strategic'!B56</f>
        <v>0</v>
      </c>
      <c r="C56" s="228">
        <f>'Step 5 Exec and Strategic'!C56</f>
        <v>0</v>
      </c>
      <c r="D56" s="228">
        <f>'Step 5 Exec and Strategic'!D56</f>
        <v>0</v>
      </c>
      <c r="E56" s="228">
        <f>'Step 5 Exec and Strategic'!E56</f>
        <v>0</v>
      </c>
      <c r="F56" s="228"/>
      <c r="G56" s="228"/>
      <c r="H56" s="228"/>
      <c r="I56" s="228"/>
      <c r="J56" s="228">
        <f>'Step 6a Service-Support Detail'!F52</f>
        <v>1575948</v>
      </c>
      <c r="K56" s="228"/>
      <c r="L56" s="228">
        <f>SUM('Step 3 Acad Product &amp; Pools'!L56:Q56)</f>
        <v>0</v>
      </c>
      <c r="M56" s="228"/>
      <c r="N56" s="48"/>
      <c r="O56" s="228">
        <f>'Step 3 Acad Product &amp; Pools'!T56</f>
        <v>0</v>
      </c>
      <c r="P56" s="228">
        <f>'Step 3 Acad Product &amp; Pools'!U56</f>
        <v>860000</v>
      </c>
      <c r="Q56" s="226"/>
      <c r="R56" s="229">
        <f t="shared" si="2"/>
        <v>2435948</v>
      </c>
      <c r="S56" s="168"/>
      <c r="T56" s="241">
        <v>2369903</v>
      </c>
      <c r="V56" s="12"/>
      <c r="W56" s="167"/>
    </row>
    <row r="57" spans="1:24">
      <c r="A57" s="178" t="s">
        <v>105</v>
      </c>
      <c r="B57" s="55">
        <f>'Step 5 Exec and Strategic'!B57</f>
        <v>0</v>
      </c>
      <c r="C57" s="55">
        <f>'Step 5 Exec and Strategic'!C57</f>
        <v>0</v>
      </c>
      <c r="D57" s="55">
        <f>'Step 5 Exec and Strategic'!D57</f>
        <v>0</v>
      </c>
      <c r="E57" s="55">
        <f>'Step 5 Exec and Strategic'!E57</f>
        <v>0</v>
      </c>
      <c r="F57" s="55"/>
      <c r="G57" s="55"/>
      <c r="H57" s="55"/>
      <c r="I57" s="48">
        <f>'Step 6a Service-Support Detail'!F53</f>
        <v>8106376</v>
      </c>
      <c r="J57" s="55"/>
      <c r="K57" s="55"/>
      <c r="L57" s="55">
        <f>SUM('Step 3 Acad Product &amp; Pools'!L57:Q57)</f>
        <v>0</v>
      </c>
      <c r="M57" s="55"/>
      <c r="N57" s="55"/>
      <c r="O57" s="55">
        <f>'Step 3 Acad Product &amp; Pools'!T57</f>
        <v>0</v>
      </c>
      <c r="P57" s="55">
        <f>'Step 3 Acad Product &amp; Pools'!U57</f>
        <v>4300000</v>
      </c>
      <c r="R57" s="55">
        <f t="shared" si="2"/>
        <v>12406376</v>
      </c>
      <c r="S57" s="168"/>
      <c r="T57" s="821">
        <v>12372914</v>
      </c>
      <c r="V57" s="12"/>
      <c r="W57" s="167"/>
    </row>
    <row r="58" spans="1:24">
      <c r="A58" s="375" t="s">
        <v>106</v>
      </c>
      <c r="B58" s="376">
        <f>SUM(B39:B57)</f>
        <v>0</v>
      </c>
      <c r="C58" s="376">
        <f>SUM(C39:C57)</f>
        <v>9037285</v>
      </c>
      <c r="D58" s="376">
        <f>SUM(D39:D57)</f>
        <v>13020615</v>
      </c>
      <c r="E58" s="376">
        <f>SUM(E39:E57)</f>
        <v>0</v>
      </c>
      <c r="F58" s="376"/>
      <c r="G58" s="376">
        <f>SUM(G39:G57)</f>
        <v>30232390.851302277</v>
      </c>
      <c r="H58" s="376">
        <f>SUM(H39:H57)</f>
        <v>22342820.540884614</v>
      </c>
      <c r="I58" s="376">
        <f>SUM(I39:I57)</f>
        <v>22372020.861447327</v>
      </c>
      <c r="J58" s="376">
        <f>SUM(J39:J57)</f>
        <v>44680719</v>
      </c>
      <c r="K58" s="376"/>
      <c r="L58" s="376">
        <f>SUM(L39:L57)</f>
        <v>1917682.2595988766</v>
      </c>
      <c r="M58" s="376">
        <f>SUM(M39:M57)</f>
        <v>0</v>
      </c>
      <c r="N58" s="174"/>
      <c r="O58" s="376">
        <f>SUM(O39:O57)</f>
        <v>-792800.70200000005</v>
      </c>
      <c r="P58" s="376">
        <f>SUM(P39:P57)</f>
        <v>30493523</v>
      </c>
      <c r="Q58" s="373"/>
      <c r="R58" s="376">
        <f>SUM(R39:R57)</f>
        <v>173304255.8112331</v>
      </c>
      <c r="S58" s="374"/>
      <c r="T58" s="376">
        <f>SUM(T39:T57)</f>
        <v>155419385</v>
      </c>
      <c r="U58" s="167"/>
      <c r="V58" s="167"/>
      <c r="W58" s="167"/>
    </row>
    <row r="59" spans="1:24" ht="16.5" thickBot="1">
      <c r="A59" s="377" t="s">
        <v>107</v>
      </c>
      <c r="B59" s="378">
        <f>B6+B7+B8+B9+B10+B11+B12+B35+B58</f>
        <v>54740445</v>
      </c>
      <c r="C59" s="378">
        <f>C6+C7+C8+C9+C10+C11+C12+C35+C58</f>
        <v>11632166.69897143</v>
      </c>
      <c r="D59" s="378">
        <f>D6+D7+D8+D9+D10+D11+D12+D35+D58</f>
        <v>13020615</v>
      </c>
      <c r="E59" s="378">
        <f>E6+E7+E8+E9+E10+E11+E12+E35+E58</f>
        <v>20356291.723200001</v>
      </c>
      <c r="F59" s="378"/>
      <c r="G59" s="378">
        <f>G6+G7+G8+G9+G10+G11+G12+G35+G58</f>
        <v>34676950.814517677</v>
      </c>
      <c r="H59" s="378">
        <f>H6+H7+H8+H9+H10+H11+H12+H35+H58</f>
        <v>22342820.540884614</v>
      </c>
      <c r="I59" s="378">
        <f>I6+I7+I8+I9+I10+I11+I12+I35+I58</f>
        <v>22372020.861447327</v>
      </c>
      <c r="J59" s="378">
        <f>J6+J7+J8+J9+J10+J11+J12+J35+J58</f>
        <v>44680719</v>
      </c>
      <c r="K59" s="378"/>
      <c r="L59" s="378">
        <f>L6+L7+L8+L9+L10+L11+L12+L35+L58</f>
        <v>219046338.89736381</v>
      </c>
      <c r="M59" s="378">
        <f>M6+M7+M8+M9+M10+M11+M12+M35+M58</f>
        <v>0</v>
      </c>
      <c r="N59" s="200"/>
      <c r="O59" s="378">
        <f>O6+O7+O8+O9+O10+O11+O12+O35+O58</f>
        <v>-3774705.9984800001</v>
      </c>
      <c r="P59" s="378">
        <f>P6+P7+P8+P9+P10+P11+P12+P35+P58</f>
        <v>142514672.41066667</v>
      </c>
      <c r="Q59" s="379"/>
      <c r="R59" s="378">
        <f>R6+R7+R8+R9+R10+R11+R12+R35+R58</f>
        <v>581608334.94857144</v>
      </c>
      <c r="S59" s="380"/>
      <c r="T59" s="378">
        <f>SUM(T6,T35,T58)</f>
        <v>552825759</v>
      </c>
      <c r="U59" s="167"/>
      <c r="V59" s="167"/>
      <c r="W59" s="167"/>
    </row>
    <row r="60" spans="1:24" ht="17.25" thickTop="1" thickBot="1">
      <c r="A60" s="178"/>
      <c r="B60" s="178"/>
      <c r="C60" s="178"/>
      <c r="D60" s="178"/>
      <c r="E60" s="178"/>
      <c r="F60" s="178"/>
      <c r="G60" s="178"/>
      <c r="H60" s="178"/>
      <c r="I60" s="178"/>
      <c r="J60" s="178"/>
      <c r="K60" s="178"/>
      <c r="L60" s="172"/>
      <c r="M60" s="172"/>
      <c r="N60" s="55"/>
      <c r="O60" s="55"/>
      <c r="P60" s="55"/>
      <c r="Q60" s="173"/>
      <c r="R60" s="171">
        <f>SUM(B59:P59)</f>
        <v>581608334.94857144</v>
      </c>
      <c r="S60" s="168"/>
      <c r="T60" s="57"/>
      <c r="U60" s="167"/>
      <c r="V60" s="167"/>
      <c r="W60" s="167"/>
    </row>
    <row r="61" spans="1:24" ht="16.5" thickTop="1">
      <c r="J61" s="322"/>
      <c r="L61" s="12"/>
      <c r="Q61" s="167"/>
      <c r="R61" s="169">
        <f>SUM(B59:P59)</f>
        <v>581608334.94857144</v>
      </c>
      <c r="S61" s="167"/>
      <c r="T61" s="169">
        <f>T35+T58+T6+T7+T8+T11+T12</f>
        <v>552825759</v>
      </c>
      <c r="U61" s="167"/>
      <c r="V61" s="167"/>
      <c r="W61" s="167"/>
      <c r="X61" s="167"/>
    </row>
    <row r="62" spans="1:24">
      <c r="J62" s="645"/>
      <c r="L62" s="12"/>
      <c r="Q62" s="167"/>
      <c r="R62" s="167"/>
      <c r="S62" s="167"/>
      <c r="T62" s="167"/>
      <c r="U62" s="167"/>
      <c r="V62" s="167"/>
      <c r="W62" s="167"/>
      <c r="X62" s="167"/>
    </row>
    <row r="63" spans="1:24">
      <c r="Q63" s="167"/>
      <c r="R63" s="169"/>
      <c r="S63" s="167"/>
      <c r="T63" s="167"/>
      <c r="U63" s="167"/>
      <c r="V63" s="167"/>
      <c r="W63" s="167"/>
      <c r="X63" s="167"/>
    </row>
    <row r="64" spans="1:24">
      <c r="A64" s="167"/>
      <c r="B64" s="167"/>
      <c r="C64" s="167"/>
      <c r="D64" s="167"/>
      <c r="E64" s="167"/>
      <c r="F64" s="167"/>
      <c r="G64" s="167"/>
      <c r="H64" s="167"/>
      <c r="I64" s="167"/>
      <c r="J64" s="185"/>
      <c r="K64" s="167"/>
      <c r="L64" s="169"/>
      <c r="M64" s="167"/>
      <c r="N64" s="169"/>
      <c r="O64" s="167"/>
      <c r="P64" s="167"/>
      <c r="Q64" s="167"/>
      <c r="R64" s="167"/>
      <c r="S64" s="167"/>
      <c r="T64" s="167"/>
      <c r="U64" s="167"/>
      <c r="V64" s="167"/>
      <c r="W64" s="167"/>
      <c r="X64" s="167"/>
    </row>
  </sheetData>
  <mergeCells count="5">
    <mergeCell ref="B4:E4"/>
    <mergeCell ref="G4:J4"/>
    <mergeCell ref="T6:T12"/>
    <mergeCell ref="L4:M4"/>
    <mergeCell ref="O4:P4"/>
  </mergeCells>
  <phoneticPr fontId="52" type="noConversion"/>
  <pageMargins left="0.75" right="0.75" top="1" bottom="1" header="0.5" footer="0.5"/>
  <pageSetup paperSize="5" scale="52" orientation="landscape"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X74"/>
  <sheetViews>
    <sheetView topLeftCell="C1" zoomScale="110" zoomScaleNormal="110" zoomScalePageLayoutView="110" workbookViewId="0">
      <selection activeCell="D39" sqref="D39"/>
    </sheetView>
  </sheetViews>
  <sheetFormatPr defaultColWidth="11" defaultRowHeight="15.75"/>
  <cols>
    <col min="1" max="1" width="38.375" customWidth="1"/>
    <col min="2" max="2" width="12.125" customWidth="1"/>
    <col min="3" max="4" width="12.5" customWidth="1"/>
    <col min="5" max="5" width="15" customWidth="1"/>
    <col min="6" max="6" width="2.5" customWidth="1"/>
    <col min="7" max="7" width="12.875" customWidth="1"/>
    <col min="8" max="8" width="2.375" customWidth="1"/>
    <col min="9" max="9" width="13.625" customWidth="1"/>
    <col min="10" max="10" width="3.375" customWidth="1"/>
    <col min="11" max="12" width="11.625" customWidth="1"/>
    <col min="13" max="13" width="3.875" customWidth="1"/>
    <col min="14" max="14" width="11.625" bestFit="1" customWidth="1"/>
    <col min="15" max="15" width="12.5" customWidth="1"/>
    <col min="16" max="16" width="12" customWidth="1"/>
    <col min="17" max="17" width="12.5" customWidth="1"/>
    <col min="18" max="18" width="4.5" customWidth="1"/>
    <col min="19" max="21" width="13.375" customWidth="1"/>
    <col min="22" max="22" width="15.625" customWidth="1"/>
    <col min="23" max="23" width="5.875" customWidth="1"/>
    <col min="24" max="24" width="14.625" customWidth="1"/>
    <col min="25" max="25" width="13.5" customWidth="1"/>
    <col min="26" max="26" width="12.5" bestFit="1" customWidth="1"/>
  </cols>
  <sheetData>
    <row r="1" spans="1:24" ht="16.5" thickBot="1">
      <c r="A1" s="175" t="s">
        <v>62</v>
      </c>
      <c r="B1" s="175"/>
      <c r="C1" s="175"/>
      <c r="D1" s="175"/>
      <c r="E1" s="175"/>
      <c r="F1" s="175"/>
      <c r="G1" s="175"/>
      <c r="H1" s="175"/>
      <c r="I1" s="175"/>
      <c r="J1" s="175"/>
      <c r="K1" s="175"/>
      <c r="L1" s="175"/>
      <c r="M1" s="1014">
        <f>SUM(B20:L20)</f>
        <v>19401804.741978765</v>
      </c>
      <c r="N1" s="175"/>
      <c r="O1" s="175"/>
      <c r="P1" s="190"/>
      <c r="Q1" s="175"/>
      <c r="R1" s="175"/>
      <c r="S1" s="175"/>
      <c r="T1" s="175"/>
      <c r="U1" s="175"/>
      <c r="V1" s="657"/>
      <c r="W1" s="657"/>
      <c r="X1" s="657"/>
    </row>
    <row r="2" spans="1:24" ht="16.5" thickBot="1">
      <c r="A2" s="175" t="s">
        <v>1475</v>
      </c>
      <c r="B2" s="175"/>
      <c r="C2" s="175"/>
      <c r="D2" s="175"/>
      <c r="E2" s="175"/>
      <c r="F2" s="175"/>
      <c r="G2" s="175"/>
      <c r="H2" s="175"/>
      <c r="I2" s="175"/>
      <c r="J2" s="175"/>
      <c r="K2" s="175"/>
      <c r="L2" s="175"/>
      <c r="M2" s="175"/>
      <c r="Q2" s="867" t="s">
        <v>804</v>
      </c>
      <c r="R2" s="868"/>
      <c r="S2" s="869" t="str">
        <f>'Dashboard-Academic Allocation'!M1</f>
        <v>yes</v>
      </c>
      <c r="T2" s="202" t="s">
        <v>177</v>
      </c>
      <c r="U2" s="203"/>
      <c r="V2" s="207">
        <f>'Step 6 Service-Support'!T2</f>
        <v>581608334.94857144</v>
      </c>
    </row>
    <row r="3" spans="1:24" ht="16.5" thickBot="1">
      <c r="A3" s="175"/>
      <c r="B3" s="175"/>
      <c r="C3" s="175"/>
      <c r="D3" s="175"/>
      <c r="E3" s="175"/>
      <c r="F3" s="175"/>
      <c r="G3" s="175"/>
      <c r="H3" s="175"/>
      <c r="I3" s="175"/>
      <c r="J3" s="175"/>
      <c r="K3" s="175"/>
      <c r="L3" s="175"/>
      <c r="M3" s="175"/>
      <c r="N3" s="175"/>
      <c r="O3" s="175"/>
      <c r="P3" s="175"/>
      <c r="Q3" s="175"/>
      <c r="R3" s="175"/>
      <c r="S3" s="175"/>
      <c r="T3" s="204" t="s">
        <v>178</v>
      </c>
      <c r="U3" s="205"/>
      <c r="V3" s="206">
        <f>V2-Q59</f>
        <v>0</v>
      </c>
    </row>
    <row r="4" spans="1:24">
      <c r="A4" s="176"/>
      <c r="B4" s="1786" t="s">
        <v>168</v>
      </c>
      <c r="C4" s="1786"/>
      <c r="D4" s="1786"/>
      <c r="E4" s="1786"/>
      <c r="F4" s="196"/>
      <c r="G4" s="620"/>
      <c r="H4" s="201"/>
      <c r="I4" s="1393"/>
      <c r="J4" s="176"/>
      <c r="K4" s="1782" t="s">
        <v>154</v>
      </c>
      <c r="L4" s="1782"/>
      <c r="M4" s="196"/>
      <c r="N4" s="656"/>
      <c r="O4" s="656"/>
      <c r="P4" s="656"/>
      <c r="T4" s="1356" t="s">
        <v>1473</v>
      </c>
      <c r="U4" s="1356"/>
      <c r="V4" s="1356">
        <f>SUM(Q6:Q8)-C7</f>
        <v>-7260042.7632775921</v>
      </c>
    </row>
    <row r="5" spans="1:24" ht="60.95" customHeight="1">
      <c r="A5" s="186" t="s">
        <v>69</v>
      </c>
      <c r="B5" s="187" t="s">
        <v>175</v>
      </c>
      <c r="C5" s="187" t="s">
        <v>738</v>
      </c>
      <c r="D5" s="231" t="s">
        <v>672</v>
      </c>
      <c r="E5" s="231" t="s">
        <v>1554</v>
      </c>
      <c r="F5" s="238"/>
      <c r="G5" s="236" t="s">
        <v>166</v>
      </c>
      <c r="H5" s="237"/>
      <c r="I5" s="1394" t="s">
        <v>1520</v>
      </c>
      <c r="J5" s="231"/>
      <c r="K5" s="231" t="s">
        <v>167</v>
      </c>
      <c r="L5" s="231" t="s">
        <v>171</v>
      </c>
      <c r="M5" s="238"/>
      <c r="N5" s="238" t="s">
        <v>1027</v>
      </c>
      <c r="O5" s="238" t="s">
        <v>1474</v>
      </c>
      <c r="P5" s="238" t="s">
        <v>1553</v>
      </c>
      <c r="Q5" s="231" t="s">
        <v>1320</v>
      </c>
      <c r="R5" s="1140"/>
      <c r="S5" s="1141" t="s">
        <v>1031</v>
      </c>
    </row>
    <row r="6" spans="1:24">
      <c r="A6" s="177" t="s">
        <v>479</v>
      </c>
      <c r="B6" s="44">
        <f>'Step 6 Service-Support'!B6</f>
        <v>3161000</v>
      </c>
      <c r="C6" s="44">
        <f>'Step 6 Service-Support'!C6</f>
        <v>0</v>
      </c>
      <c r="D6" s="44">
        <f>'Step 6 Service-Support'!D6</f>
        <v>0</v>
      </c>
      <c r="E6" s="44">
        <f>'Step 6 Service-Support'!E6</f>
        <v>0</v>
      </c>
      <c r="F6" s="55"/>
      <c r="G6" s="44">
        <f>'Step 6 Service-Support'!G6+'Step 6 Service-Support'!H6+'Step 6 Service-Support'!I6+'Step 6 Service-Support'!J6</f>
        <v>-3161000</v>
      </c>
      <c r="H6" s="48"/>
      <c r="I6" s="44"/>
      <c r="J6" s="48"/>
      <c r="K6" s="44">
        <f>'Step 6 Service-Support'!O6</f>
        <v>0</v>
      </c>
      <c r="L6" s="44">
        <f>'Step 6 Service-Support'!P6</f>
        <v>0</v>
      </c>
      <c r="M6" s="55"/>
      <c r="N6" s="44"/>
      <c r="O6" s="44"/>
      <c r="P6" s="44"/>
      <c r="Q6" s="44">
        <f t="shared" ref="Q6:Q12" si="0">SUM(B6:P6)</f>
        <v>0</v>
      </c>
      <c r="R6" s="167"/>
      <c r="S6" s="1765">
        <v>55820357</v>
      </c>
      <c r="U6" s="12"/>
    </row>
    <row r="7" spans="1:24">
      <c r="A7" s="177" t="s">
        <v>486</v>
      </c>
      <c r="B7" s="44">
        <f>'Step 6 Service-Support'!B7</f>
        <v>3111300</v>
      </c>
      <c r="C7" s="44">
        <f>'Step 6 Service-Support'!C7</f>
        <v>3879280</v>
      </c>
      <c r="D7" s="44">
        <f>'Step 6 Service-Support'!D7</f>
        <v>0</v>
      </c>
      <c r="E7" s="44">
        <f>'Step 6 Service-Support'!E7</f>
        <v>0</v>
      </c>
      <c r="F7" s="55"/>
      <c r="G7" s="44">
        <f>'Step 6 Service-Support'!G7+'Step 6 Service-Support'!H7+'Step 6 Service-Support'!I7+'Step 6 Service-Support'!J7</f>
        <v>-3111300</v>
      </c>
      <c r="H7" s="48"/>
      <c r="I7" s="44"/>
      <c r="J7" s="48"/>
      <c r="K7" s="44">
        <f>'Step 6 Service-Support'!O7</f>
        <v>-270100</v>
      </c>
      <c r="L7" s="44">
        <f>'Step 6 Service-Support'!P7</f>
        <v>3650000</v>
      </c>
      <c r="M7" s="55"/>
      <c r="N7" s="44"/>
      <c r="O7" s="44"/>
      <c r="P7" s="44"/>
      <c r="Q7" s="44">
        <f t="shared" si="0"/>
        <v>7259180</v>
      </c>
      <c r="R7" s="167"/>
      <c r="S7" s="1766"/>
    </row>
    <row r="8" spans="1:24">
      <c r="A8" s="177" t="s">
        <v>735</v>
      </c>
      <c r="B8" s="44">
        <f>'Step 6 Service-Support'!B8</f>
        <v>0</v>
      </c>
      <c r="C8" s="44">
        <f>'Step 6 Service-Support'!C8</f>
        <v>-2735327.3010285702</v>
      </c>
      <c r="D8" s="44">
        <f>'Step 6 Service-Support'!D8</f>
        <v>0</v>
      </c>
      <c r="E8" s="44">
        <f>'Step 6 Service-Support'!E8</f>
        <v>-1783708.2767999992</v>
      </c>
      <c r="F8" s="55"/>
      <c r="G8" s="44">
        <f>'Step 6 Service-Support'!G8+'Step 6 Service-Support'!H8+'Step 6 Service-Support'!I8+'Step 6 Service-Support'!J8</f>
        <v>-2247150.1274277866</v>
      </c>
      <c r="H8" s="48"/>
      <c r="I8" s="44"/>
      <c r="J8" s="48"/>
      <c r="K8" s="44">
        <f>'Step 6 Service-Support'!O8</f>
        <v>0</v>
      </c>
      <c r="L8" s="44">
        <f>'Step 6 Service-Support'!P8</f>
        <v>0</v>
      </c>
      <c r="M8" s="55"/>
      <c r="N8" s="44">
        <f>-SUM(N16:N34)</f>
        <v>-298757.05802123621</v>
      </c>
      <c r="O8" s="44">
        <f>-SUM(O15:O34)-SUM(O39:O57)</f>
        <v>-4375000</v>
      </c>
      <c r="P8" s="44">
        <f>-SUM(P15:P34)-SUM(P39:P57)</f>
        <v>800000</v>
      </c>
      <c r="Q8" s="44">
        <f t="shared" si="0"/>
        <v>-10639942.763277592</v>
      </c>
      <c r="R8" s="167"/>
      <c r="S8" s="1766"/>
    </row>
    <row r="9" spans="1:24">
      <c r="A9" s="177" t="s">
        <v>753</v>
      </c>
      <c r="B9" s="44">
        <f>'Step 6 Service-Support'!B9</f>
        <v>0</v>
      </c>
      <c r="C9" s="44">
        <f>'Step 6 Service-Support'!C9</f>
        <v>0</v>
      </c>
      <c r="D9" s="44">
        <f>'Step 6 Service-Support'!D9</f>
        <v>0</v>
      </c>
      <c r="E9" s="44">
        <f>'Step 6 Service-Support'!E9</f>
        <v>0</v>
      </c>
      <c r="F9" s="55"/>
      <c r="G9" s="44"/>
      <c r="H9" s="48"/>
      <c r="I9" s="44"/>
      <c r="J9" s="48"/>
      <c r="K9" s="44">
        <f>'Step 6 Service-Support'!O9</f>
        <v>0</v>
      </c>
      <c r="L9" s="44">
        <f>'Step 6 Service-Support'!P9</f>
        <v>10000000</v>
      </c>
      <c r="M9" s="55"/>
      <c r="N9" s="44"/>
      <c r="O9" s="44"/>
      <c r="P9" s="44"/>
      <c r="Q9" s="44">
        <f t="shared" si="0"/>
        <v>10000000</v>
      </c>
      <c r="R9" s="167"/>
      <c r="S9" s="1766"/>
      <c r="T9" s="12"/>
    </row>
    <row r="10" spans="1:24">
      <c r="A10" s="177" t="s">
        <v>480</v>
      </c>
      <c r="B10" s="44">
        <f>'Step 6 Service-Support'!B10</f>
        <v>18178922</v>
      </c>
      <c r="C10" s="44">
        <f>'Step 6 Service-Support'!C10</f>
        <v>0</v>
      </c>
      <c r="D10" s="44">
        <f>'Step 6 Service-Support'!D10</f>
        <v>0</v>
      </c>
      <c r="E10" s="44">
        <f>'Step 6 Service-Support'!E10</f>
        <v>0</v>
      </c>
      <c r="F10" s="55"/>
      <c r="G10" s="44"/>
      <c r="H10" s="48"/>
      <c r="I10" s="44"/>
      <c r="J10" s="48"/>
      <c r="K10" s="44">
        <f>'Step 6 Service-Support'!O10</f>
        <v>0</v>
      </c>
      <c r="L10" s="44">
        <f>'Step 6 Service-Support'!P10</f>
        <v>0</v>
      </c>
      <c r="M10" s="55"/>
      <c r="N10" s="44"/>
      <c r="O10" s="44"/>
      <c r="P10" s="44"/>
      <c r="Q10" s="44">
        <f t="shared" si="0"/>
        <v>18178922</v>
      </c>
      <c r="R10" s="167"/>
      <c r="S10" s="1766"/>
      <c r="T10" s="12"/>
    </row>
    <row r="11" spans="1:24">
      <c r="A11" s="177" t="s">
        <v>481</v>
      </c>
      <c r="B11" s="44">
        <f>'Step 6 Service-Support'!B11</f>
        <v>4150000</v>
      </c>
      <c r="C11" s="44">
        <f>'Step 6 Service-Support'!C11</f>
        <v>0</v>
      </c>
      <c r="D11" s="44">
        <f>'Step 6 Service-Support'!D11</f>
        <v>0</v>
      </c>
      <c r="E11" s="44">
        <f>'Step 6 Service-Support'!E11</f>
        <v>0</v>
      </c>
      <c r="F11" s="55"/>
      <c r="G11" s="44">
        <f>'Step 6 Service-Support'!G11+'Step 6 Service-Support'!H11+'Step 6 Service-Support'!I11+'Step 6 Service-Support'!J11</f>
        <v>0</v>
      </c>
      <c r="H11" s="48"/>
      <c r="I11" s="44"/>
      <c r="J11" s="48"/>
      <c r="K11" s="44">
        <f>'Step 6 Service-Support'!O11</f>
        <v>0</v>
      </c>
      <c r="L11" s="44">
        <f>'Step 6 Service-Support'!P11</f>
        <v>0</v>
      </c>
      <c r="M11" s="55"/>
      <c r="N11" s="44"/>
      <c r="O11" s="44"/>
      <c r="P11" s="44"/>
      <c r="Q11" s="44">
        <f t="shared" si="0"/>
        <v>4150000</v>
      </c>
      <c r="R11" s="167"/>
      <c r="S11" s="1766"/>
    </row>
    <row r="12" spans="1:24">
      <c r="A12" s="177" t="s">
        <v>482</v>
      </c>
      <c r="B12" s="44">
        <f>'Step 6 Service-Support'!B12</f>
        <v>26139223</v>
      </c>
      <c r="C12" s="44">
        <f>'Step 6 Service-Support'!C12</f>
        <v>0</v>
      </c>
      <c r="D12" s="44">
        <f>'Step 6 Service-Support'!D12</f>
        <v>0</v>
      </c>
      <c r="E12" s="44">
        <f>'Step 6 Service-Support'!E12</f>
        <v>0</v>
      </c>
      <c r="F12" s="55"/>
      <c r="G12" s="44">
        <f>'Step 6 Service-Support'!G12+'Step 6 Service-Support'!H12+'Step 6 Service-Support'!I12+'Step 6 Service-Support'!J12</f>
        <v>0</v>
      </c>
      <c r="H12" s="48"/>
      <c r="I12" s="44"/>
      <c r="J12" s="48"/>
      <c r="K12" s="44">
        <f>'Step 6 Service-Support'!O12</f>
        <v>0</v>
      </c>
      <c r="L12" s="44">
        <f>'Step 6 Service-Support'!P12</f>
        <v>0</v>
      </c>
      <c r="M12" s="55"/>
      <c r="N12" s="44"/>
      <c r="O12" s="44"/>
      <c r="P12" s="44"/>
      <c r="Q12" s="44">
        <f t="shared" si="0"/>
        <v>26139223</v>
      </c>
      <c r="R12" s="167"/>
      <c r="S12" s="1766"/>
    </row>
    <row r="13" spans="1:24">
      <c r="A13" s="168"/>
      <c r="B13" s="48"/>
      <c r="C13" s="48"/>
      <c r="D13" s="48"/>
      <c r="E13" s="48"/>
      <c r="F13" s="55"/>
      <c r="G13" s="48"/>
      <c r="H13" s="48"/>
      <c r="I13" s="48"/>
      <c r="J13" s="48"/>
      <c r="K13" s="48"/>
      <c r="L13" s="48"/>
      <c r="M13" s="48"/>
      <c r="N13" s="48"/>
      <c r="O13" s="48"/>
      <c r="P13" s="48"/>
      <c r="Q13" s="48"/>
      <c r="R13" s="168"/>
      <c r="S13" s="48"/>
    </row>
    <row r="14" spans="1:24">
      <c r="A14" s="51" t="s">
        <v>72</v>
      </c>
      <c r="B14" s="34"/>
      <c r="C14" s="34"/>
      <c r="D14" s="34"/>
      <c r="E14" s="34"/>
      <c r="F14" s="54"/>
      <c r="G14" s="34"/>
      <c r="H14" s="49"/>
      <c r="I14" s="34"/>
      <c r="J14" s="49"/>
      <c r="K14" s="34"/>
      <c r="L14" s="34"/>
      <c r="M14" s="54"/>
      <c r="N14" s="34"/>
      <c r="O14" s="34"/>
      <c r="P14" s="34"/>
      <c r="Q14" s="34"/>
      <c r="R14" s="167"/>
      <c r="S14" s="34"/>
    </row>
    <row r="15" spans="1:24">
      <c r="A15" s="1382" t="s">
        <v>1514</v>
      </c>
      <c r="B15" s="48">
        <f>'Step 6 Service-Support'!B15</f>
        <v>0</v>
      </c>
      <c r="C15" s="48">
        <f>'Step 6 Service-Support'!C15</f>
        <v>0</v>
      </c>
      <c r="D15" s="48">
        <f>'Step 6 Service-Support'!D15</f>
        <v>0</v>
      </c>
      <c r="E15" s="48">
        <f>'Step 6 Service-Support'!E15</f>
        <v>0</v>
      </c>
      <c r="F15" s="54"/>
      <c r="G15" s="382">
        <f>SUM('Step 6 Service-Support'!G15:J15)</f>
        <v>0</v>
      </c>
      <c r="H15" s="49"/>
      <c r="I15" s="382">
        <f>SUM('Step 6 Service-Support'!L15)</f>
        <v>0</v>
      </c>
      <c r="J15" s="49"/>
      <c r="K15" s="382">
        <f>'Step 6 Service-Support'!O15</f>
        <v>0</v>
      </c>
      <c r="L15" s="382">
        <f>'Step 6 Service-Support'!P15</f>
        <v>0</v>
      </c>
      <c r="M15" s="54"/>
      <c r="N15" s="382"/>
      <c r="O15" s="382">
        <v>2000000</v>
      </c>
      <c r="P15" s="382"/>
      <c r="Q15" s="382">
        <f t="shared" ref="Q15:Q34" si="1">SUM(B15:P15)</f>
        <v>2000000</v>
      </c>
      <c r="R15" s="1637"/>
      <c r="S15" s="34"/>
    </row>
    <row r="16" spans="1:24">
      <c r="A16" s="179" t="s">
        <v>73</v>
      </c>
      <c r="B16" s="44">
        <f>'Step 6 Service-Support'!B16</f>
        <v>0</v>
      </c>
      <c r="C16" s="44">
        <f>'Step 6 Service-Support'!C16</f>
        <v>0</v>
      </c>
      <c r="D16" s="44">
        <f>'Step 6 Service-Support'!D16</f>
        <v>0</v>
      </c>
      <c r="E16" s="44">
        <f>'Step 6 Service-Support'!E16</f>
        <v>0</v>
      </c>
      <c r="F16" s="55"/>
      <c r="G16" s="381">
        <f>SUM('Step 6 Service-Support'!G16:J16)</f>
        <v>0</v>
      </c>
      <c r="H16" s="48"/>
      <c r="I16" s="381">
        <f>SUM('Step 6 Service-Support'!L16)</f>
        <v>20780776.088287428</v>
      </c>
      <c r="J16" s="48"/>
      <c r="K16" s="381">
        <f>'Step 6 Service-Support'!O16</f>
        <v>-129925.12999999999</v>
      </c>
      <c r="L16" s="381">
        <f>'Step 6 Service-Support'!P16</f>
        <v>3655745</v>
      </c>
      <c r="M16" s="55"/>
      <c r="N16" s="44">
        <f>IF(SUM(B16:L16)&lt;'FY19 Floor Calculations'!T17,'FY19 Floor Calculations'!U17-SUM('Step 7 Final Adjustments'!B16:L16),0)</f>
        <v>0</v>
      </c>
      <c r="O16" s="44"/>
      <c r="P16" s="44"/>
      <c r="Q16" s="381">
        <f t="shared" si="1"/>
        <v>24306595.958287429</v>
      </c>
      <c r="R16" s="1637"/>
      <c r="S16" s="241">
        <v>24815559</v>
      </c>
    </row>
    <row r="17" spans="1:19">
      <c r="A17" s="54" t="s">
        <v>74</v>
      </c>
      <c r="B17" s="48">
        <f>'Step 6 Service-Support'!B17</f>
        <v>0</v>
      </c>
      <c r="C17" s="48">
        <f>'Step 6 Service-Support'!C17</f>
        <v>0</v>
      </c>
      <c r="D17" s="48">
        <f>'Step 6 Service-Support'!D17</f>
        <v>0</v>
      </c>
      <c r="E17" s="48">
        <f>'Step 6 Service-Support'!E17</f>
        <v>0</v>
      </c>
      <c r="F17" s="55"/>
      <c r="G17" s="382">
        <f>SUM('Step 6 Service-Support'!G17:J17)</f>
        <v>0</v>
      </c>
      <c r="H17" s="48"/>
      <c r="I17" s="382">
        <f>SUM('Step 6 Service-Support'!L17)</f>
        <v>18571463.202492423</v>
      </c>
      <c r="J17" s="48"/>
      <c r="K17" s="382">
        <f>'Step 6 Service-Support'!O17</f>
        <v>-27905.178</v>
      </c>
      <c r="L17" s="382">
        <f>'Step 6 Service-Support'!P17</f>
        <v>3222744.8739999998</v>
      </c>
      <c r="M17" s="55"/>
      <c r="N17" s="48">
        <f>IF(SUM(B17:L17)&lt;'FY19 Floor Calculations'!T18,'FY19 Floor Calculations'!U18-SUM('Step 7 Final Adjustments'!B17:L17),0)</f>
        <v>0</v>
      </c>
      <c r="O17" s="48"/>
      <c r="P17" s="48"/>
      <c r="Q17" s="382">
        <f t="shared" si="1"/>
        <v>21766302.898492426</v>
      </c>
      <c r="R17" s="1637"/>
      <c r="S17" s="821">
        <v>20462422</v>
      </c>
    </row>
    <row r="18" spans="1:19">
      <c r="A18" s="178" t="s">
        <v>75</v>
      </c>
      <c r="B18" s="48">
        <f>'Step 6 Service-Support'!B18</f>
        <v>0</v>
      </c>
      <c r="C18" s="48">
        <f>'Step 6 Service-Support'!C18</f>
        <v>0</v>
      </c>
      <c r="D18" s="48">
        <f>'Step 6 Service-Support'!D18</f>
        <v>0</v>
      </c>
      <c r="E18" s="48">
        <f>'Step 6 Service-Support'!E18</f>
        <v>0</v>
      </c>
      <c r="F18" s="55"/>
      <c r="G18" s="382">
        <f>SUM('Step 6 Service-Support'!G18:J18)</f>
        <v>0</v>
      </c>
      <c r="H18" s="48"/>
      <c r="I18" s="382">
        <f>SUM('Step 6 Service-Support'!L18)</f>
        <v>48274832.848570772</v>
      </c>
      <c r="J18" s="48"/>
      <c r="K18" s="382">
        <f>'Step 6 Service-Support'!O18</f>
        <v>-629629.88800000004</v>
      </c>
      <c r="L18" s="382">
        <f>'Step 6 Service-Support'!P18</f>
        <v>20155899.276666667</v>
      </c>
      <c r="M18" s="55"/>
      <c r="N18" s="48">
        <f>IF(SUM(B18:L18)&lt;'FY19 Floor Calculations'!T19,'FY19 Floor Calculations'!U19-SUM('Step 7 Final Adjustments'!B18:L18),0)</f>
        <v>0</v>
      </c>
      <c r="O18" s="48"/>
      <c r="P18" s="48"/>
      <c r="Q18" s="382">
        <f t="shared" si="1"/>
        <v>67801102.237237439</v>
      </c>
      <c r="R18" s="1637"/>
      <c r="S18" s="821">
        <v>64222079</v>
      </c>
    </row>
    <row r="19" spans="1:19">
      <c r="A19" s="179" t="s">
        <v>76</v>
      </c>
      <c r="B19" s="44">
        <f>'Step 6 Service-Support'!B19</f>
        <v>0</v>
      </c>
      <c r="C19" s="44">
        <f>'Step 6 Service-Support'!C19</f>
        <v>0</v>
      </c>
      <c r="D19" s="44">
        <f>'Step 6 Service-Support'!D19</f>
        <v>0</v>
      </c>
      <c r="E19" s="44">
        <f>'Step 6 Service-Support'!E19</f>
        <v>750000</v>
      </c>
      <c r="F19" s="55"/>
      <c r="G19" s="381">
        <f>SUM('Step 6 Service-Support'!G19:J19)</f>
        <v>0</v>
      </c>
      <c r="H19" s="48"/>
      <c r="I19" s="381">
        <f>SUM('Step 6 Service-Support'!L19)</f>
        <v>5641472.7866717987</v>
      </c>
      <c r="J19" s="48"/>
      <c r="K19" s="381">
        <f>'Step 6 Service-Support'!O19</f>
        <v>-206605.74669999999</v>
      </c>
      <c r="L19" s="381">
        <f>'Step 6 Service-Support'!P19</f>
        <v>3349197.25</v>
      </c>
      <c r="M19" s="55"/>
      <c r="N19" s="44">
        <f>IF(SUM(B19:L19)&lt;'FY19 Floor Calculations'!T20,'FY19 Floor Calculations'!U20-SUM('Step 7 Final Adjustments'!B19:L19),0)</f>
        <v>0</v>
      </c>
      <c r="O19" s="44"/>
      <c r="P19" s="44"/>
      <c r="Q19" s="381">
        <f t="shared" si="1"/>
        <v>9534064.2899717987</v>
      </c>
      <c r="R19" s="1637"/>
      <c r="S19" s="241">
        <v>9355600</v>
      </c>
    </row>
    <row r="20" spans="1:19">
      <c r="A20" s="54" t="s">
        <v>77</v>
      </c>
      <c r="B20" s="48">
        <f>'Step 6 Service-Support'!B20</f>
        <v>0</v>
      </c>
      <c r="C20" s="48">
        <f>'Step 6 Service-Support'!C20</f>
        <v>250000</v>
      </c>
      <c r="D20" s="48">
        <f>'Step 6 Service-Support'!D20</f>
        <v>0</v>
      </c>
      <c r="E20" s="48">
        <f>'Step 6 Service-Support'!E20</f>
        <v>0</v>
      </c>
      <c r="F20" s="55"/>
      <c r="G20" s="382">
        <f>SUM('Step 6 Service-Support'!G20:J20)</f>
        <v>0</v>
      </c>
      <c r="H20" s="48"/>
      <c r="I20" s="382">
        <f>SUM('Step 6 Service-Support'!L20)</f>
        <v>16989778.787978765</v>
      </c>
      <c r="J20" s="48"/>
      <c r="K20" s="382">
        <f>'Step 6 Service-Support'!O20</f>
        <v>-100853.046</v>
      </c>
      <c r="L20" s="382">
        <f>'Step 6 Service-Support'!P20</f>
        <v>2262879</v>
      </c>
      <c r="M20" s="55"/>
      <c r="N20" s="48">
        <f>IF(SUM(B20:L20)&lt;'FY19 Floor Calculations'!T21,'FY19 Floor Calculations'!U21-SUM('Step 7 Final Adjustments'!B20:L20),0)</f>
        <v>298757.05802123621</v>
      </c>
      <c r="O20" s="1381"/>
      <c r="P20" s="48"/>
      <c r="Q20" s="382">
        <f t="shared" si="1"/>
        <v>19700561.800000001</v>
      </c>
      <c r="R20" s="1637"/>
      <c r="S20" s="821">
        <v>20440194</v>
      </c>
    </row>
    <row r="21" spans="1:19">
      <c r="A21" s="178" t="s">
        <v>78</v>
      </c>
      <c r="B21" s="48">
        <f>'Step 6 Service-Support'!B21</f>
        <v>0</v>
      </c>
      <c r="C21" s="48">
        <f>'Step 6 Service-Support'!C21</f>
        <v>0</v>
      </c>
      <c r="D21" s="48">
        <f>'Step 6 Service-Support'!D21</f>
        <v>0</v>
      </c>
      <c r="E21" s="48">
        <f>'Step 6 Service-Support'!E21</f>
        <v>250000</v>
      </c>
      <c r="F21" s="55"/>
      <c r="G21" s="382">
        <f>SUM('Step 6 Service-Support'!G21:J21)</f>
        <v>0</v>
      </c>
      <c r="H21" s="48"/>
      <c r="I21" s="382">
        <f>SUM('Step 6 Service-Support'!L21)</f>
        <v>4689577.0242793197</v>
      </c>
      <c r="J21" s="48"/>
      <c r="K21" s="382">
        <f>'Step 6 Service-Support'!O21</f>
        <v>-5920</v>
      </c>
      <c r="L21" s="382">
        <f>'Step 6 Service-Support'!P21</f>
        <v>105000</v>
      </c>
      <c r="M21" s="55"/>
      <c r="N21" s="48">
        <f>IF(SUM(B21:L21)&lt;'FY19 Floor Calculations'!T22,'FY19 Floor Calculations'!U22-SUM('Step 7 Final Adjustments'!B21:L21),0)</f>
        <v>0</v>
      </c>
      <c r="O21" s="48">
        <v>475000</v>
      </c>
      <c r="P21" s="48"/>
      <c r="Q21" s="382">
        <f t="shared" si="1"/>
        <v>5513657.0242793197</v>
      </c>
      <c r="R21" s="1637"/>
      <c r="S21" s="821">
        <v>4830008</v>
      </c>
    </row>
    <row r="22" spans="1:19">
      <c r="A22" s="179" t="s">
        <v>79</v>
      </c>
      <c r="B22" s="44">
        <f>'Step 6 Service-Support'!B22</f>
        <v>0</v>
      </c>
      <c r="C22" s="44">
        <f>'Step 6 Service-Support'!C22</f>
        <v>300000</v>
      </c>
      <c r="D22" s="44">
        <f>'Step 6 Service-Support'!D22</f>
        <v>0</v>
      </c>
      <c r="E22" s="44">
        <f>'Step 6 Service-Support'!E22</f>
        <v>0</v>
      </c>
      <c r="F22" s="55"/>
      <c r="G22" s="381">
        <f>SUM('Step 6 Service-Support'!G22:J22)</f>
        <v>0</v>
      </c>
      <c r="H22" s="48"/>
      <c r="I22" s="381">
        <f>SUM('Step 6 Service-Support'!L22)</f>
        <v>42856488.683382079</v>
      </c>
      <c r="J22" s="48"/>
      <c r="K22" s="381">
        <f>'Step 6 Service-Support'!O22</f>
        <v>-124520.466</v>
      </c>
      <c r="L22" s="381">
        <f>'Step 6 Service-Support'!P22</f>
        <v>1762709</v>
      </c>
      <c r="M22" s="55"/>
      <c r="N22" s="44">
        <f>IF(SUM(B22:L22)&lt;'FY19 Floor Calculations'!T23,'FY19 Floor Calculations'!U23-SUM('Step 7 Final Adjustments'!B22:L22),0)</f>
        <v>0</v>
      </c>
      <c r="O22" s="44"/>
      <c r="P22" s="44"/>
      <c r="Q22" s="381">
        <f t="shared" si="1"/>
        <v>44794677.217382081</v>
      </c>
      <c r="R22" s="1637"/>
      <c r="S22" s="241">
        <v>45922830</v>
      </c>
    </row>
    <row r="23" spans="1:19">
      <c r="A23" s="178" t="s">
        <v>80</v>
      </c>
      <c r="B23" s="48">
        <f>'Step 6 Service-Support'!B23</f>
        <v>0</v>
      </c>
      <c r="C23" s="48">
        <f>'Step 6 Service-Support'!C23</f>
        <v>10875</v>
      </c>
      <c r="D23" s="48">
        <f>'Step 6 Service-Support'!D23</f>
        <v>0</v>
      </c>
      <c r="E23" s="48">
        <f>'Step 6 Service-Support'!E23</f>
        <v>2600000</v>
      </c>
      <c r="F23" s="55"/>
      <c r="G23" s="382">
        <f>SUM('Step 6 Service-Support'!G23:J23)</f>
        <v>0</v>
      </c>
      <c r="H23" s="48"/>
      <c r="I23" s="382">
        <f>SUM('Step 6 Service-Support'!L23)</f>
        <v>8391763.3001100272</v>
      </c>
      <c r="J23" s="48"/>
      <c r="K23" s="382">
        <f>'Step 6 Service-Support'!O23</f>
        <v>-76433.248019999999</v>
      </c>
      <c r="L23" s="382">
        <f>'Step 6 Service-Support'!P23</f>
        <v>8032881.7300000004</v>
      </c>
      <c r="M23" s="55"/>
      <c r="N23" s="48">
        <f>IF(SUM(B23:L23)&lt;'FY19 Floor Calculations'!T24,'FY19 Floor Calculations'!U24-SUM('Step 7 Final Adjustments'!B23:L23),0)</f>
        <v>0</v>
      </c>
      <c r="O23" s="48"/>
      <c r="P23" s="48"/>
      <c r="Q23" s="382">
        <f t="shared" si="1"/>
        <v>18959086.782090027</v>
      </c>
      <c r="R23" s="1637"/>
      <c r="S23" s="821">
        <v>14831995</v>
      </c>
    </row>
    <row r="24" spans="1:19">
      <c r="A24" s="178" t="s">
        <v>81</v>
      </c>
      <c r="B24" s="55">
        <f>'Step 6 Service-Support'!B24</f>
        <v>0</v>
      </c>
      <c r="C24" s="55">
        <f>'Step 6 Service-Support'!C24</f>
        <v>0</v>
      </c>
      <c r="D24" s="55">
        <f>'Step 6 Service-Support'!D24</f>
        <v>0</v>
      </c>
      <c r="E24" s="55">
        <f>'Step 6 Service-Support'!E24</f>
        <v>2930000</v>
      </c>
      <c r="F24" s="55"/>
      <c r="G24" s="383">
        <f>SUM('Step 6 Service-Support'!G24:J24)</f>
        <v>0</v>
      </c>
      <c r="H24" s="55"/>
      <c r="I24" s="383">
        <f>SUM('Step 6 Service-Support'!L24)</f>
        <v>4143448.147322949</v>
      </c>
      <c r="J24" s="55"/>
      <c r="K24" s="383">
        <f>'Step 6 Service-Support'!O24</f>
        <v>-109608.874</v>
      </c>
      <c r="L24" s="383">
        <f>'Step 6 Service-Support'!P24</f>
        <v>5749942.5599999996</v>
      </c>
      <c r="M24" s="55"/>
      <c r="N24" s="55">
        <f>IF(SUM(B24:L24)&lt;'FY19 Floor Calculations'!T25,'FY19 Floor Calculations'!U25-SUM('Step 7 Final Adjustments'!B24:L24),0)</f>
        <v>0</v>
      </c>
      <c r="O24" s="55"/>
      <c r="P24" s="55"/>
      <c r="Q24" s="383">
        <f t="shared" si="1"/>
        <v>12713781.83332295</v>
      </c>
      <c r="R24" s="1637"/>
      <c r="S24" s="821">
        <v>12737398</v>
      </c>
    </row>
    <row r="25" spans="1:19">
      <c r="A25" s="179" t="s">
        <v>82</v>
      </c>
      <c r="B25" s="44">
        <f>'Step 6 Service-Support'!B25</f>
        <v>0</v>
      </c>
      <c r="C25" s="44">
        <f>'Step 6 Service-Support'!C25</f>
        <v>769226</v>
      </c>
      <c r="D25" s="44">
        <f>'Step 6 Service-Support'!D25</f>
        <v>0</v>
      </c>
      <c r="E25" s="44">
        <f>'Step 6 Service-Support'!E25</f>
        <v>0</v>
      </c>
      <c r="F25" s="55"/>
      <c r="G25" s="381">
        <f>SUM('Step 6 Service-Support'!G25:J25)</f>
        <v>0</v>
      </c>
      <c r="H25" s="48"/>
      <c r="I25" s="381">
        <f>SUM('Step 6 Service-Support'!L25)</f>
        <v>39503713.479171857</v>
      </c>
      <c r="J25" s="48"/>
      <c r="K25" s="381">
        <f>'Step 6 Service-Support'!O25</f>
        <v>-117008.57799999999</v>
      </c>
      <c r="L25" s="381">
        <f>'Step 6 Service-Support'!P25</f>
        <v>2381197</v>
      </c>
      <c r="M25" s="55"/>
      <c r="N25" s="44">
        <f>IF(SUM(B25:L25)&lt;'FY19 Floor Calculations'!T26,'FY19 Floor Calculations'!U26-SUM('Step 7 Final Adjustments'!B25:L25),0)</f>
        <v>0</v>
      </c>
      <c r="O25" s="44">
        <v>1900000</v>
      </c>
      <c r="P25" s="44"/>
      <c r="Q25" s="381">
        <f t="shared" si="1"/>
        <v>44437127.901171856</v>
      </c>
      <c r="R25" s="1637"/>
      <c r="S25" s="241">
        <v>42113801</v>
      </c>
    </row>
    <row r="26" spans="1:19">
      <c r="A26" s="178" t="s">
        <v>83</v>
      </c>
      <c r="B26" s="55">
        <f>'Step 6 Service-Support'!B26</f>
        <v>0</v>
      </c>
      <c r="C26" s="55">
        <f>'Step 6 Service-Support'!C26</f>
        <v>120828</v>
      </c>
      <c r="D26" s="55">
        <f>'Step 6 Service-Support'!D26</f>
        <v>0</v>
      </c>
      <c r="E26" s="55">
        <f>'Step 6 Service-Support'!E26</f>
        <v>7210000</v>
      </c>
      <c r="F26" s="55"/>
      <c r="G26" s="383">
        <f>SUM('Step 6 Service-Support'!G26:J26)</f>
        <v>0</v>
      </c>
      <c r="H26" s="55"/>
      <c r="I26" s="383">
        <f>SUM('Step 6 Service-Support'!L26)</f>
        <v>2879613.1700006318</v>
      </c>
      <c r="J26" s="55"/>
      <c r="K26" s="383">
        <f>'Step 6 Service-Support'!O26</f>
        <v>-1047873.6699999999</v>
      </c>
      <c r="L26" s="383">
        <f>'Step 6 Service-Support'!P26</f>
        <v>17286699.48</v>
      </c>
      <c r="M26" s="55"/>
      <c r="N26" s="55">
        <f>IF(SUM(B26:L26)&lt;'FY19 Floor Calculations'!T27,'FY19 Floor Calculations'!U27-SUM('Step 7 Final Adjustments'!B26:L26),0)</f>
        <v>0</v>
      </c>
      <c r="O26" s="55"/>
      <c r="P26" s="55"/>
      <c r="Q26" s="383">
        <f t="shared" si="1"/>
        <v>26449266.98000063</v>
      </c>
      <c r="R26" s="1637"/>
      <c r="S26" s="821">
        <v>24909417</v>
      </c>
    </row>
    <row r="27" spans="1:19">
      <c r="A27" s="178" t="s">
        <v>84</v>
      </c>
      <c r="B27" s="48">
        <f>'Step 6 Service-Support'!B27</f>
        <v>0</v>
      </c>
      <c r="C27" s="48">
        <f>'Step 6 Service-Support'!C27</f>
        <v>0</v>
      </c>
      <c r="D27" s="48">
        <f>'Step 6 Service-Support'!D27</f>
        <v>0</v>
      </c>
      <c r="E27" s="48">
        <f>'Step 6 Service-Support'!E27</f>
        <v>0</v>
      </c>
      <c r="F27" s="55"/>
      <c r="G27" s="382">
        <f>SUM('Step 6 Service-Support'!G27:J27)</f>
        <v>0</v>
      </c>
      <c r="H27" s="48"/>
      <c r="I27" s="382">
        <f>SUM('Step 6 Service-Support'!L27)</f>
        <v>0</v>
      </c>
      <c r="J27" s="48"/>
      <c r="K27" s="382">
        <f>'Step 6 Service-Support'!O27</f>
        <v>0</v>
      </c>
      <c r="L27" s="382">
        <f>'Step 6 Service-Support'!P27</f>
        <v>0</v>
      </c>
      <c r="M27" s="55"/>
      <c r="N27" s="48">
        <f>IF(SUM(B27:L27)&lt;'FY19 Floor Calculations'!T28,'FY19 Floor Calculations'!U28-SUM('Step 7 Final Adjustments'!B27:L27),0)</f>
        <v>0</v>
      </c>
      <c r="O27" s="48"/>
      <c r="P27" s="48"/>
      <c r="Q27" s="382">
        <f t="shared" si="1"/>
        <v>0</v>
      </c>
      <c r="R27" s="168"/>
      <c r="S27" s="821">
        <v>543366</v>
      </c>
    </row>
    <row r="28" spans="1:19">
      <c r="A28" s="179" t="s">
        <v>85</v>
      </c>
      <c r="B28" s="44">
        <f>'Step 6 Service-Support'!B28</f>
        <v>0</v>
      </c>
      <c r="C28" s="44">
        <f>'Step 6 Service-Support'!C28</f>
        <v>0</v>
      </c>
      <c r="D28" s="44">
        <f>'Step 6 Service-Support'!D28</f>
        <v>0</v>
      </c>
      <c r="E28" s="44">
        <f>'Step 6 Service-Support'!E28</f>
        <v>0</v>
      </c>
      <c r="F28" s="55"/>
      <c r="G28" s="381">
        <f>SUM('Step 6 Service-Support'!G28:J28)</f>
        <v>0</v>
      </c>
      <c r="H28" s="48"/>
      <c r="I28" s="381">
        <f>SUM('Step 6 Service-Support'!L28)</f>
        <v>1847054.2942578935</v>
      </c>
      <c r="J28" s="48"/>
      <c r="K28" s="381">
        <f>'Step 6 Service-Support'!O28</f>
        <v>-12506</v>
      </c>
      <c r="L28" s="381">
        <f>'Step 6 Service-Support'!P28</f>
        <v>1608386</v>
      </c>
      <c r="M28" s="55"/>
      <c r="N28" s="44">
        <f>IF(SUM(B28:L28)&lt;'FY19 Floor Calculations'!T29,'FY19 Floor Calculations'!U29-SUM('Step 7 Final Adjustments'!B28:L28),0)</f>
        <v>0</v>
      </c>
      <c r="O28" s="44"/>
      <c r="P28" s="44">
        <v>-400000</v>
      </c>
      <c r="Q28" s="381">
        <f t="shared" si="1"/>
        <v>3042934.2942578932</v>
      </c>
      <c r="R28" s="1637"/>
      <c r="S28" s="241">
        <v>2839964</v>
      </c>
    </row>
    <row r="29" spans="1:19">
      <c r="A29" s="54" t="s">
        <v>87</v>
      </c>
      <c r="B29" s="55">
        <f>'Step 6 Service-Support'!B29</f>
        <v>0</v>
      </c>
      <c r="C29" s="55">
        <f>'Step 6 Service-Support'!C29</f>
        <v>0</v>
      </c>
      <c r="D29" s="55">
        <f>'Step 6 Service-Support'!D29</f>
        <v>0</v>
      </c>
      <c r="E29" s="55">
        <f>'Step 6 Service-Support'!E29</f>
        <v>0</v>
      </c>
      <c r="F29" s="55"/>
      <c r="G29" s="55">
        <f>SUM('Step 6 Service-Support'!G29:J29)</f>
        <v>106593</v>
      </c>
      <c r="H29" s="55"/>
      <c r="I29" s="55">
        <f>SUM('Step 6 Service-Support'!L29)</f>
        <v>0</v>
      </c>
      <c r="J29" s="55"/>
      <c r="K29" s="55">
        <f>'Step 6 Service-Support'!O29</f>
        <v>0</v>
      </c>
      <c r="L29" s="55">
        <f>'Step 6 Service-Support'!P29</f>
        <v>20115497</v>
      </c>
      <c r="M29" s="55"/>
      <c r="N29" s="55">
        <f>IF(SUM(B29:L29)&lt;'FY19 Floor Calculations'!T30,'FY19 Floor Calculations'!U30-SUM('Step 7 Final Adjustments'!B29:L29),0)</f>
        <v>0</v>
      </c>
      <c r="O29" s="55"/>
      <c r="P29" s="55"/>
      <c r="Q29" s="55">
        <f t="shared" si="1"/>
        <v>20222090</v>
      </c>
      <c r="R29" s="168"/>
      <c r="S29" s="821">
        <v>18786975</v>
      </c>
    </row>
    <row r="30" spans="1:19">
      <c r="A30" s="178" t="s">
        <v>88</v>
      </c>
      <c r="B30" s="48">
        <f>'Step 6 Service-Support'!B30</f>
        <v>0</v>
      </c>
      <c r="C30" s="48">
        <f>'Step 6 Service-Support'!C30</f>
        <v>0</v>
      </c>
      <c r="D30" s="48">
        <f>'Step 6 Service-Support'!D30</f>
        <v>0</v>
      </c>
      <c r="E30" s="48">
        <f>'Step 6 Service-Support'!E30</f>
        <v>0</v>
      </c>
      <c r="F30" s="55"/>
      <c r="G30" s="48">
        <f>SUM('Step 6 Service-Support'!G30:J30)</f>
        <v>0</v>
      </c>
      <c r="H30" s="48"/>
      <c r="I30" s="48">
        <f>SUM('Step 6 Service-Support'!L30)</f>
        <v>0</v>
      </c>
      <c r="J30" s="48"/>
      <c r="K30" s="48">
        <f>'Step 6 Service-Support'!O30</f>
        <v>0</v>
      </c>
      <c r="L30" s="48">
        <f>'Step 6 Service-Support'!P30</f>
        <v>3440000</v>
      </c>
      <c r="M30" s="55"/>
      <c r="N30" s="48">
        <f>IF(SUM(B30:L30)&lt;'FY19 Floor Calculations'!T31,'FY19 Floor Calculations'!U31-SUM('Step 7 Final Adjustments'!B30:L30),0)</f>
        <v>0</v>
      </c>
      <c r="O30" s="48"/>
      <c r="P30" s="48"/>
      <c r="Q30" s="48">
        <f t="shared" si="1"/>
        <v>3440000</v>
      </c>
      <c r="R30" s="168"/>
      <c r="S30" s="241">
        <v>3296000</v>
      </c>
    </row>
    <row r="31" spans="1:19">
      <c r="A31" s="368" t="s">
        <v>461</v>
      </c>
      <c r="B31" s="228">
        <f>'Step 6 Service-Support'!B31</f>
        <v>0</v>
      </c>
      <c r="C31" s="228">
        <f>'Step 6 Service-Support'!C31</f>
        <v>0</v>
      </c>
      <c r="D31" s="228">
        <f>'Step 6 Service-Support'!D31</f>
        <v>0</v>
      </c>
      <c r="E31" s="228">
        <f>'Step 6 Service-Support'!E31</f>
        <v>0</v>
      </c>
      <c r="F31" s="55"/>
      <c r="G31" s="228">
        <f>SUM('Step 6 Service-Support'!G31:J31)</f>
        <v>498436.67197615036</v>
      </c>
      <c r="H31" s="48"/>
      <c r="I31" s="228">
        <f>SUM('Step 6 Service-Support'!L31)</f>
        <v>331301.32802384964</v>
      </c>
      <c r="J31" s="48"/>
      <c r="K31" s="228">
        <f>'Step 6 Service-Support'!O31</f>
        <v>-259</v>
      </c>
      <c r="L31" s="228">
        <f>'Step 6 Service-Support'!P31</f>
        <v>3500</v>
      </c>
      <c r="M31" s="55"/>
      <c r="N31" s="228">
        <f>IF(SUM(B31:L31)&lt;'FY19 Floor Calculations'!T32,'FY19 Floor Calculations'!U32-SUM('Step 7 Final Adjustments'!B31:L31),0)</f>
        <v>0</v>
      </c>
      <c r="O31" s="228"/>
      <c r="P31" s="228"/>
      <c r="Q31" s="228">
        <f t="shared" si="1"/>
        <v>832979</v>
      </c>
      <c r="R31" s="168"/>
      <c r="S31" s="821">
        <v>4706010</v>
      </c>
    </row>
    <row r="32" spans="1:19">
      <c r="A32" s="367" t="s">
        <v>462</v>
      </c>
      <c r="B32" s="55">
        <f>'Step 6 Service-Support'!B32</f>
        <v>0</v>
      </c>
      <c r="C32" s="55">
        <f>'Step 6 Service-Support'!C32</f>
        <v>0</v>
      </c>
      <c r="D32" s="55">
        <f>'Step 6 Service-Support'!D32</f>
        <v>0</v>
      </c>
      <c r="E32" s="55">
        <f>'Step 6 Service-Support'!E32</f>
        <v>0</v>
      </c>
      <c r="F32" s="55"/>
      <c r="G32" s="55">
        <f>SUM('Step 6 Service-Support'!G32:J32)</f>
        <v>0</v>
      </c>
      <c r="H32" s="55"/>
      <c r="I32" s="55">
        <f>SUM('Step 6 Service-Support'!L32)</f>
        <v>1374528.9702927922</v>
      </c>
      <c r="J32" s="55"/>
      <c r="K32" s="55">
        <f>'Step 6 Service-Support'!O32</f>
        <v>0</v>
      </c>
      <c r="L32" s="55">
        <f>'Step 6 Service-Support'!P32</f>
        <v>0</v>
      </c>
      <c r="M32" s="55"/>
      <c r="N32" s="55">
        <f>IF(SUM(B32:L32)&lt;'FY19 Floor Calculations'!T33,'FY19 Floor Calculations'!U33-SUM('Step 7 Final Adjustments'!B32:L32),0)</f>
        <v>0</v>
      </c>
      <c r="O32" s="55"/>
      <c r="P32" s="55">
        <v>-400000</v>
      </c>
      <c r="Q32" s="55">
        <f t="shared" si="1"/>
        <v>974528.97029279219</v>
      </c>
      <c r="R32" s="1637"/>
      <c r="S32" s="821">
        <v>838394</v>
      </c>
    </row>
    <row r="33" spans="1:19">
      <c r="A33" s="178" t="s">
        <v>89</v>
      </c>
      <c r="B33" s="48">
        <f>'Step 6 Service-Support'!B33</f>
        <v>0</v>
      </c>
      <c r="C33" s="48">
        <f>'Step 6 Service-Support'!C33</f>
        <v>0</v>
      </c>
      <c r="D33" s="48">
        <f>'Step 6 Service-Support'!D33</f>
        <v>0</v>
      </c>
      <c r="E33" s="48">
        <f>'Step 6 Service-Support'!E33</f>
        <v>0</v>
      </c>
      <c r="F33" s="55"/>
      <c r="G33" s="48">
        <f>SUM('Step 6 Service-Support'!G33:J33)</f>
        <v>12358980.418667037</v>
      </c>
      <c r="H33" s="48"/>
      <c r="I33" s="48">
        <f>SUM('Step 6 Service-Support'!L33)</f>
        <v>3206.9413329626632</v>
      </c>
      <c r="J33" s="48"/>
      <c r="K33" s="48">
        <f>'Step 6 Service-Support'!O33</f>
        <v>-22210.36</v>
      </c>
      <c r="L33" s="48">
        <f>'Step 6 Service-Support'!P33</f>
        <v>2880140</v>
      </c>
      <c r="M33" s="55"/>
      <c r="N33" s="48">
        <f>IF(SUM(B33:L33)&lt;'FY19 Floor Calculations'!T34,'FY19 Floor Calculations'!U34-SUM('Step 7 Final Adjustments'!B33:L33),0)</f>
        <v>0</v>
      </c>
      <c r="O33" s="48"/>
      <c r="P33" s="48"/>
      <c r="Q33" s="48">
        <f t="shared" si="1"/>
        <v>15220117</v>
      </c>
      <c r="R33" s="168"/>
      <c r="S33" s="241">
        <v>14579961</v>
      </c>
    </row>
    <row r="34" spans="1:19">
      <c r="A34" s="368" t="s">
        <v>90</v>
      </c>
      <c r="B34" s="228">
        <f>'Step 6 Service-Support'!B34</f>
        <v>0</v>
      </c>
      <c r="C34" s="228">
        <f>'Step 6 Service-Support'!C34</f>
        <v>0</v>
      </c>
      <c r="D34" s="228">
        <f>'Step 6 Service-Support'!D34</f>
        <v>0</v>
      </c>
      <c r="E34" s="228">
        <f>'Step 6 Service-Support'!E34</f>
        <v>8400000</v>
      </c>
      <c r="F34" s="55"/>
      <c r="G34" s="384">
        <f>SUM('Step 6 Service-Support'!G34:J34)</f>
        <v>0</v>
      </c>
      <c r="H34" s="48"/>
      <c r="I34" s="384">
        <f>SUM('Step 6 Service-Support'!L34)</f>
        <v>849637.58558934915</v>
      </c>
      <c r="J34" s="48"/>
      <c r="K34" s="384">
        <f>'Step 6 Service-Support'!O34</f>
        <v>-100546.11176</v>
      </c>
      <c r="L34" s="384">
        <f>'Step 6 Service-Support'!P34</f>
        <v>2358731.2400000002</v>
      </c>
      <c r="M34" s="55"/>
      <c r="N34" s="228">
        <f>IF(SUM(B34:L34)&lt;'FY19 Floor Calculations'!T35,'FY19 Floor Calculations'!U35-SUM('Step 7 Final Adjustments'!B34:L34),0)</f>
        <v>0</v>
      </c>
      <c r="O34" s="228"/>
      <c r="P34" s="228"/>
      <c r="Q34" s="384">
        <f t="shared" si="1"/>
        <v>11507822.71382935</v>
      </c>
      <c r="R34" s="1637"/>
      <c r="S34" s="821">
        <v>11354044</v>
      </c>
    </row>
    <row r="35" spans="1:19">
      <c r="A35" s="371" t="s">
        <v>91</v>
      </c>
      <c r="B35" s="372">
        <f>SUM(B16:B34)</f>
        <v>0</v>
      </c>
      <c r="C35" s="372">
        <f>SUM(C16:C34)</f>
        <v>1450929</v>
      </c>
      <c r="D35" s="372">
        <f>SUM(D16:D34)</f>
        <v>0</v>
      </c>
      <c r="E35" s="372">
        <f>SUM(E16:E34)</f>
        <v>22140000</v>
      </c>
      <c r="F35" s="658"/>
      <c r="G35" s="372">
        <f>SUM(G16:G34)</f>
        <v>12964010.090643188</v>
      </c>
      <c r="H35" s="372">
        <f>SUM(H16:H34)</f>
        <v>0</v>
      </c>
      <c r="I35" s="372">
        <f>SUM(I16:I34)</f>
        <v>217128656.63776493</v>
      </c>
      <c r="J35" s="372"/>
      <c r="K35" s="372">
        <f>SUM(K16:K34)</f>
        <v>-2711805.29648</v>
      </c>
      <c r="L35" s="372">
        <f>SUM(L16:L34)</f>
        <v>98371149.410666674</v>
      </c>
      <c r="M35" s="659"/>
      <c r="N35" s="372">
        <f>SUM(N16:N34)</f>
        <v>298757.05802123621</v>
      </c>
      <c r="O35" s="372">
        <f>SUM(O15:O34)</f>
        <v>4375000</v>
      </c>
      <c r="P35" s="372">
        <f>SUM(P15:P34)</f>
        <v>-800000</v>
      </c>
      <c r="Q35" s="372">
        <f>SUM(Q15:Q34)</f>
        <v>353216696.90061599</v>
      </c>
      <c r="R35" s="168"/>
      <c r="S35" s="372">
        <f>SUM(S16:S34)</f>
        <v>341586017</v>
      </c>
    </row>
    <row r="36" spans="1:19">
      <c r="A36" s="178"/>
      <c r="B36" s="46"/>
      <c r="C36" s="46"/>
      <c r="D36" s="46"/>
      <c r="E36" s="46"/>
      <c r="F36" s="181"/>
      <c r="G36" s="46"/>
      <c r="H36" s="46"/>
      <c r="I36" s="46"/>
      <c r="J36" s="46"/>
      <c r="K36" s="46"/>
      <c r="L36" s="46"/>
      <c r="M36" s="46"/>
      <c r="N36" s="46"/>
      <c r="O36" s="46"/>
      <c r="P36" s="46"/>
      <c r="Q36" s="46"/>
      <c r="R36" s="168"/>
      <c r="S36" s="43"/>
    </row>
    <row r="37" spans="1:19">
      <c r="A37" s="168"/>
      <c r="F37" s="47"/>
      <c r="H37" s="46"/>
      <c r="J37" s="46"/>
      <c r="M37" s="46"/>
      <c r="R37" s="173"/>
      <c r="S37" s="173"/>
    </row>
    <row r="38" spans="1:19">
      <c r="A38" s="54" t="s">
        <v>92</v>
      </c>
      <c r="B38" s="55"/>
      <c r="C38" s="55"/>
      <c r="D38" s="55"/>
      <c r="E38" s="55"/>
      <c r="F38" s="47"/>
      <c r="G38" s="55"/>
      <c r="H38" s="55"/>
      <c r="I38" s="55"/>
      <c r="J38" s="55"/>
      <c r="K38" s="55"/>
      <c r="L38" s="55"/>
      <c r="M38" s="55"/>
      <c r="N38" s="55"/>
      <c r="O38" s="55"/>
      <c r="P38" s="55"/>
      <c r="Q38" s="55"/>
      <c r="R38" s="168"/>
      <c r="S38" s="55"/>
    </row>
    <row r="39" spans="1:19">
      <c r="A39" s="179" t="s">
        <v>93</v>
      </c>
      <c r="B39" s="44">
        <f>'Step 6 Service-Support'!B39</f>
        <v>0</v>
      </c>
      <c r="C39" s="44">
        <f>'Step 6 Service-Support'!C39</f>
        <v>320000</v>
      </c>
      <c r="D39" s="44">
        <f>'Step 6 Service-Support'!D39</f>
        <v>8851356</v>
      </c>
      <c r="E39" s="44">
        <f>'Step 6 Service-Support'!E39</f>
        <v>0</v>
      </c>
      <c r="F39" s="55"/>
      <c r="G39" s="381">
        <f>SUM('Step 6 Service-Support'!G39:J39)</f>
        <v>0</v>
      </c>
      <c r="H39" s="183"/>
      <c r="I39" s="381">
        <f>SUM('Step 6 Service-Support'!L39)</f>
        <v>11.536233093548432</v>
      </c>
      <c r="J39" s="48"/>
      <c r="K39" s="381">
        <f>'Step 6 Service-Support'!O39</f>
        <v>0</v>
      </c>
      <c r="L39" s="381">
        <f>'Step 6 Service-Support'!P39</f>
        <v>0</v>
      </c>
      <c r="M39" s="55"/>
      <c r="N39" s="44"/>
      <c r="O39" s="44"/>
      <c r="P39" s="44"/>
      <c r="Q39" s="381">
        <f>SUM(B39:P39)</f>
        <v>9171367.5362330936</v>
      </c>
      <c r="R39" s="1637"/>
      <c r="S39" s="241">
        <v>8383602</v>
      </c>
    </row>
    <row r="40" spans="1:19">
      <c r="A40" s="1425" t="s">
        <v>344</v>
      </c>
      <c r="B40" s="55">
        <f>'Step 6 Service-Support'!B40</f>
        <v>0</v>
      </c>
      <c r="C40" s="55">
        <f>'Step 6 Service-Support'!C40</f>
        <v>7340700</v>
      </c>
      <c r="D40" s="55">
        <f>'Step 6 Service-Support'!D40</f>
        <v>0</v>
      </c>
      <c r="E40" s="48">
        <f>'Step 6 Service-Support'!E40</f>
        <v>0</v>
      </c>
      <c r="F40" s="184"/>
      <c r="G40" s="383">
        <f>SUM('Step 6 Service-Support'!G40:J40)</f>
        <v>0</v>
      </c>
      <c r="H40" s="55"/>
      <c r="I40" s="383">
        <f>SUM('Step 6 Service-Support'!L40)</f>
        <v>0</v>
      </c>
      <c r="J40" s="55"/>
      <c r="K40" s="383">
        <f>'Step 6 Service-Support'!O40</f>
        <v>0</v>
      </c>
      <c r="L40" s="383">
        <f>'Step 6 Service-Support'!P40</f>
        <v>0</v>
      </c>
      <c r="M40" s="55"/>
      <c r="N40" s="55"/>
      <c r="O40" s="55"/>
      <c r="P40" s="55"/>
      <c r="Q40" s="383">
        <f>SUM(B40:P40)</f>
        <v>7340700</v>
      </c>
      <c r="R40" s="1637"/>
      <c r="S40" s="821">
        <v>5500000</v>
      </c>
    </row>
    <row r="41" spans="1:19">
      <c r="A41" s="178" t="s">
        <v>94</v>
      </c>
      <c r="B41" s="55">
        <f>'Step 6 Service-Support'!B41</f>
        <v>0</v>
      </c>
      <c r="C41" s="55">
        <f>'Step 6 Service-Support'!C41</f>
        <v>26585</v>
      </c>
      <c r="D41" s="55">
        <f>'Step 6 Service-Support'!D41</f>
        <v>0</v>
      </c>
      <c r="E41" s="48">
        <f>'Step 6 Service-Support'!E41</f>
        <v>0</v>
      </c>
      <c r="F41" s="184"/>
      <c r="G41" s="383">
        <f>SUM('Step 6 Service-Support'!G41:J41)</f>
        <v>4170623</v>
      </c>
      <c r="H41" s="55"/>
      <c r="I41" s="383">
        <f>SUM('Step 6 Service-Support'!L41)</f>
        <v>0</v>
      </c>
      <c r="J41" s="55"/>
      <c r="K41" s="383">
        <f>'Step 6 Service-Support'!O41</f>
        <v>0</v>
      </c>
      <c r="L41" s="383">
        <f>'Step 6 Service-Support'!P41</f>
        <v>0</v>
      </c>
      <c r="M41" s="55"/>
      <c r="N41" s="55"/>
      <c r="O41" s="55"/>
      <c r="P41" s="55"/>
      <c r="Q41" s="383">
        <f t="shared" ref="Q41:Q57" si="2">SUM(B41:P41)</f>
        <v>4197208</v>
      </c>
      <c r="R41" s="1637"/>
      <c r="S41" s="821">
        <v>4019773</v>
      </c>
    </row>
    <row r="42" spans="1:19">
      <c r="A42" s="54" t="s">
        <v>95</v>
      </c>
      <c r="B42" s="55">
        <f>'Step 6 Service-Support'!B42</f>
        <v>0</v>
      </c>
      <c r="C42" s="55">
        <f>'Step 6 Service-Support'!C42</f>
        <v>0</v>
      </c>
      <c r="D42" s="55">
        <f>'Step 6 Service-Support'!D42</f>
        <v>1555540</v>
      </c>
      <c r="E42" s="48">
        <f>'Step 6 Service-Support'!E42</f>
        <v>0</v>
      </c>
      <c r="F42" s="55"/>
      <c r="G42" s="383">
        <f>SUM('Step 6 Service-Support'!G42:J42)</f>
        <v>0</v>
      </c>
      <c r="H42" s="184"/>
      <c r="I42" s="383">
        <f>SUM('Step 6 Service-Support'!L42)</f>
        <v>0</v>
      </c>
      <c r="J42" s="55"/>
      <c r="K42" s="383">
        <f>'Step 6 Service-Support'!O42</f>
        <v>0</v>
      </c>
      <c r="L42" s="383">
        <f>'Step 6 Service-Support'!P42</f>
        <v>0</v>
      </c>
      <c r="M42" s="55"/>
      <c r="N42" s="55"/>
      <c r="O42" s="55"/>
      <c r="P42" s="55"/>
      <c r="Q42" s="383">
        <f t="shared" si="2"/>
        <v>1555540</v>
      </c>
      <c r="R42" s="1637"/>
      <c r="S42" s="821">
        <v>1435806</v>
      </c>
    </row>
    <row r="43" spans="1:19">
      <c r="A43" s="179" t="s">
        <v>96</v>
      </c>
      <c r="B43" s="44">
        <f>'Step 6 Service-Support'!B43</f>
        <v>0</v>
      </c>
      <c r="C43" s="44">
        <f>'Step 6 Service-Support'!C43</f>
        <v>400000</v>
      </c>
      <c r="D43" s="44">
        <f>'Step 6 Service-Support'!D43</f>
        <v>2613719</v>
      </c>
      <c r="E43" s="44">
        <f>'Step 6 Service-Support'!E43</f>
        <v>0</v>
      </c>
      <c r="F43" s="184"/>
      <c r="G43" s="381">
        <f>SUM('Step 6 Service-Support'!G43:J43)</f>
        <v>0</v>
      </c>
      <c r="H43" s="183"/>
      <c r="I43" s="381">
        <f>SUM('Step 6 Service-Support'!L43)</f>
        <v>0</v>
      </c>
      <c r="J43" s="48"/>
      <c r="K43" s="381">
        <f>'Step 6 Service-Support'!O43</f>
        <v>0</v>
      </c>
      <c r="L43" s="381">
        <f>'Step 6 Service-Support'!P43</f>
        <v>0</v>
      </c>
      <c r="M43" s="55"/>
      <c r="N43" s="44"/>
      <c r="O43" s="44"/>
      <c r="P43" s="44"/>
      <c r="Q43" s="381">
        <f t="shared" si="2"/>
        <v>3013719</v>
      </c>
      <c r="R43" s="1637"/>
      <c r="S43" s="241">
        <f>8453610-S40</f>
        <v>2953610</v>
      </c>
    </row>
    <row r="44" spans="1:19">
      <c r="A44" s="178" t="s">
        <v>97</v>
      </c>
      <c r="B44" s="55">
        <f>'Step 6 Service-Support'!B44</f>
        <v>0</v>
      </c>
      <c r="C44" s="55">
        <f>'Step 6 Service-Support'!C44</f>
        <v>0</v>
      </c>
      <c r="D44" s="55">
        <f>'Step 6 Service-Support'!D44</f>
        <v>0</v>
      </c>
      <c r="E44" s="55">
        <f>'Step 6 Service-Support'!E44</f>
        <v>0</v>
      </c>
      <c r="F44" s="184"/>
      <c r="G44" s="383">
        <f>SUM('Step 6 Service-Support'!G44:J44)</f>
        <v>7430149.0141126635</v>
      </c>
      <c r="H44" s="55"/>
      <c r="I44" s="383">
        <f>SUM('Step 6 Service-Support'!L44)</f>
        <v>45370.98588733653</v>
      </c>
      <c r="J44" s="55"/>
      <c r="K44" s="383">
        <f>'Step 6 Service-Support'!O44</f>
        <v>-244200</v>
      </c>
      <c r="L44" s="383">
        <f>'Step 6 Service-Support'!P44</f>
        <v>3300000</v>
      </c>
      <c r="M44" s="55"/>
      <c r="N44" s="55"/>
      <c r="O44" s="55"/>
      <c r="P44" s="55"/>
      <c r="Q44" s="383">
        <f t="shared" si="2"/>
        <v>10531320</v>
      </c>
      <c r="R44" s="1637"/>
      <c r="S44" s="821">
        <v>9724870</v>
      </c>
    </row>
    <row r="45" spans="1:19">
      <c r="A45" s="367" t="s">
        <v>483</v>
      </c>
      <c r="B45" s="55">
        <f>'Step 6 Service-Support'!B45</f>
        <v>0</v>
      </c>
      <c r="C45" s="55">
        <f>'Step 6 Service-Support'!C45</f>
        <v>0</v>
      </c>
      <c r="D45" s="55">
        <f>'Step 6 Service-Support'!D45</f>
        <v>0</v>
      </c>
      <c r="E45" s="55">
        <f>'Step 6 Service-Support'!E45</f>
        <v>0</v>
      </c>
      <c r="F45" s="55"/>
      <c r="G45" s="383">
        <f>SUM('Step 6 Service-Support'!G45:J45)</f>
        <v>1680318.6282101842</v>
      </c>
      <c r="H45" s="55"/>
      <c r="I45" s="383">
        <f>SUM('Step 6 Service-Support'!L45)</f>
        <v>1837874.1717898159</v>
      </c>
      <c r="J45" s="55"/>
      <c r="K45" s="383">
        <f>'Step 6 Service-Support'!O45</f>
        <v>-278328.8</v>
      </c>
      <c r="L45" s="383">
        <f>'Step 6 Service-Support'!P45</f>
        <v>3761200</v>
      </c>
      <c r="M45" s="55"/>
      <c r="N45" s="55"/>
      <c r="O45" s="55"/>
      <c r="P45" s="1124"/>
      <c r="Q45" s="383">
        <f t="shared" si="2"/>
        <v>7001064</v>
      </c>
      <c r="R45" s="1637"/>
      <c r="S45" s="821">
        <v>5000049</v>
      </c>
    </row>
    <row r="46" spans="1:19">
      <c r="A46" s="178" t="s">
        <v>98</v>
      </c>
      <c r="B46" s="55">
        <f>'Step 6 Service-Support'!B46</f>
        <v>0</v>
      </c>
      <c r="C46" s="55">
        <f>'Step 6 Service-Support'!C46</f>
        <v>0</v>
      </c>
      <c r="D46" s="55">
        <f>'Step 6 Service-Support'!D46</f>
        <v>0</v>
      </c>
      <c r="E46" s="55">
        <f>'Step 6 Service-Support'!E46</f>
        <v>0</v>
      </c>
      <c r="F46" s="55"/>
      <c r="G46" s="383">
        <f>SUM('Step 6 Service-Support'!G46:J46)</f>
        <v>1882536.5792287677</v>
      </c>
      <c r="H46" s="55"/>
      <c r="I46" s="383">
        <f>SUM('Step 6 Service-Support'!L46)</f>
        <v>4591.4207712322759</v>
      </c>
      <c r="J46" s="55"/>
      <c r="K46" s="383">
        <f>'Step 6 Service-Support'!O46</f>
        <v>-3478</v>
      </c>
      <c r="L46" s="383">
        <f>'Step 6 Service-Support'!P46</f>
        <v>47000</v>
      </c>
      <c r="M46" s="55"/>
      <c r="N46" s="55"/>
      <c r="O46" s="55"/>
      <c r="P46" s="173"/>
      <c r="Q46" s="383">
        <f t="shared" si="2"/>
        <v>1930650</v>
      </c>
      <c r="R46" s="1637"/>
      <c r="S46" s="821">
        <v>3643184</v>
      </c>
    </row>
    <row r="47" spans="1:19">
      <c r="A47" s="179" t="s">
        <v>99</v>
      </c>
      <c r="B47" s="44">
        <f>'Step 6 Service-Support'!B47</f>
        <v>0</v>
      </c>
      <c r="C47" s="44">
        <f>'Step 6 Service-Support'!C47</f>
        <v>0</v>
      </c>
      <c r="D47" s="44">
        <f>'Step 6 Service-Support'!D47</f>
        <v>0</v>
      </c>
      <c r="E47" s="44">
        <f>'Step 6 Service-Support'!E47</f>
        <v>0</v>
      </c>
      <c r="F47" s="55"/>
      <c r="G47" s="381">
        <f>SUM('Step 6 Service-Support'!G47:J47)</f>
        <v>21587572.314174496</v>
      </c>
      <c r="H47" s="48"/>
      <c r="I47" s="381">
        <f>SUM('Step 6 Service-Support'!L47)</f>
        <v>5516.6858255045709</v>
      </c>
      <c r="J47" s="48"/>
      <c r="K47" s="381">
        <f>'Step 6 Service-Support'!O47</f>
        <v>-4144</v>
      </c>
      <c r="L47" s="381">
        <f>'Step 6 Service-Support'!P47</f>
        <v>2636000</v>
      </c>
      <c r="M47" s="55"/>
      <c r="N47" s="44"/>
      <c r="O47" s="44"/>
      <c r="P47" s="227"/>
      <c r="Q47" s="381">
        <f t="shared" si="2"/>
        <v>24224945</v>
      </c>
      <c r="R47" s="1637"/>
      <c r="S47" s="241">
        <v>19774660</v>
      </c>
    </row>
    <row r="48" spans="1:19">
      <c r="A48" s="178" t="s">
        <v>484</v>
      </c>
      <c r="B48" s="55">
        <f>'Step 6 Service-Support'!B48</f>
        <v>0</v>
      </c>
      <c r="C48" s="55">
        <f>'Step 6 Service-Support'!C48</f>
        <v>950000</v>
      </c>
      <c r="D48" s="55">
        <f>'Step 6 Service-Support'!D48</f>
        <v>0</v>
      </c>
      <c r="E48" s="55">
        <f>'Step 6 Service-Support'!E48</f>
        <v>0</v>
      </c>
      <c r="F48" s="55"/>
      <c r="G48" s="383">
        <f>SUM('Step 6 Service-Support'!G48:J48)</f>
        <v>2607276</v>
      </c>
      <c r="H48" s="55"/>
      <c r="I48" s="383">
        <f>SUM('Step 6 Service-Support'!L48)</f>
        <v>0</v>
      </c>
      <c r="J48" s="55"/>
      <c r="K48" s="383">
        <f>'Step 6 Service-Support'!O48</f>
        <v>-85100</v>
      </c>
      <c r="L48" s="383">
        <f>'Step 6 Service-Support'!P48</f>
        <v>1580000</v>
      </c>
      <c r="M48" s="55"/>
      <c r="N48" s="55"/>
      <c r="O48" s="55"/>
      <c r="P48" s="173"/>
      <c r="Q48" s="383">
        <f t="shared" si="2"/>
        <v>5052176</v>
      </c>
      <c r="R48" s="1637"/>
      <c r="S48" s="821">
        <v>4501875</v>
      </c>
    </row>
    <row r="49" spans="1:21">
      <c r="A49" s="54" t="s">
        <v>86</v>
      </c>
      <c r="B49" s="55">
        <f>'Step 6 Service-Support'!B49</f>
        <v>0</v>
      </c>
      <c r="C49" s="55">
        <f>'Step 6 Service-Support'!C49</f>
        <v>0</v>
      </c>
      <c r="D49" s="55">
        <f>'Step 6 Service-Support'!D49</f>
        <v>0</v>
      </c>
      <c r="E49" s="55">
        <f>'Step 6 Service-Support'!E49</f>
        <v>0</v>
      </c>
      <c r="F49" s="55"/>
      <c r="G49" s="382">
        <f>SUM('Step 6 Service-Support'!G49:J49)</f>
        <v>1544199.5371277812</v>
      </c>
      <c r="H49" s="55"/>
      <c r="I49" s="382">
        <f>SUM('Step 6 Service-Support'!L49)</f>
        <v>15084.462872218808</v>
      </c>
      <c r="J49" s="55"/>
      <c r="K49" s="382">
        <f>'Step 6 Service-Support'!O49</f>
        <v>0</v>
      </c>
      <c r="L49" s="382">
        <f>'Step 6 Service-Support'!P49</f>
        <v>0</v>
      </c>
      <c r="M49" s="55"/>
      <c r="N49" s="55"/>
      <c r="O49" s="55"/>
      <c r="P49" s="173"/>
      <c r="Q49" s="382">
        <f t="shared" si="2"/>
        <v>1559284</v>
      </c>
      <c r="R49" s="1637"/>
      <c r="S49" s="821">
        <v>1522413</v>
      </c>
    </row>
    <row r="50" spans="1:21">
      <c r="A50" s="368" t="s">
        <v>100</v>
      </c>
      <c r="B50" s="229">
        <f>'Step 6 Service-Support'!B50</f>
        <v>0</v>
      </c>
      <c r="C50" s="229">
        <f>'Step 6 Service-Support'!C50</f>
        <v>0</v>
      </c>
      <c r="D50" s="229">
        <f>'Step 6 Service-Support'!D50</f>
        <v>0</v>
      </c>
      <c r="E50" s="229">
        <f>'Step 6 Service-Support'!E50</f>
        <v>0</v>
      </c>
      <c r="F50" s="55"/>
      <c r="G50" s="381">
        <f>SUM('Step 6 Service-Support'!G50:J50)</f>
        <v>4493343</v>
      </c>
      <c r="H50" s="55"/>
      <c r="I50" s="381">
        <f>SUM('Step 6 Service-Support'!L50)</f>
        <v>0</v>
      </c>
      <c r="J50" s="55"/>
      <c r="K50" s="381">
        <f>'Step 6 Service-Support'!O50</f>
        <v>0</v>
      </c>
      <c r="L50" s="381">
        <f>'Step 6 Service-Support'!P50</f>
        <v>3440000</v>
      </c>
      <c r="M50" s="55"/>
      <c r="N50" s="229"/>
      <c r="O50" s="229"/>
      <c r="P50" s="227"/>
      <c r="Q50" s="381">
        <f t="shared" si="2"/>
        <v>7933343</v>
      </c>
      <c r="R50" s="1637"/>
      <c r="S50" s="241">
        <v>7580439</v>
      </c>
    </row>
    <row r="51" spans="1:21">
      <c r="A51" s="178" t="s">
        <v>101</v>
      </c>
      <c r="B51" s="48">
        <f>'Step 6 Service-Support'!B51</f>
        <v>0</v>
      </c>
      <c r="C51" s="48">
        <f>'Step 6 Service-Support'!C51</f>
        <v>0</v>
      </c>
      <c r="D51" s="48">
        <f>'Step 6 Service-Support'!D51</f>
        <v>0</v>
      </c>
      <c r="E51" s="48">
        <f>'Step 6 Service-Support'!E51</f>
        <v>0</v>
      </c>
      <c r="F51" s="55"/>
      <c r="G51" s="382">
        <f>SUM('Step 6 Service-Support'!G51:J51)</f>
        <v>11349816.319333</v>
      </c>
      <c r="H51" s="48"/>
      <c r="I51" s="382">
        <f>SUM('Step 6 Service-Support'!L51)</f>
        <v>8993.8576670004386</v>
      </c>
      <c r="J51" s="48"/>
      <c r="K51" s="382">
        <f>'Step 6 Service-Support'!O51</f>
        <v>-139661.902</v>
      </c>
      <c r="L51" s="382">
        <f>'Step 6 Service-Support'!P51</f>
        <v>1887323</v>
      </c>
      <c r="M51" s="55"/>
      <c r="N51" s="48"/>
      <c r="O51" s="48"/>
      <c r="P51" s="173"/>
      <c r="Q51" s="382">
        <f t="shared" si="2"/>
        <v>13106471.275</v>
      </c>
      <c r="R51" s="1637"/>
      <c r="S51" s="821">
        <v>7705927</v>
      </c>
    </row>
    <row r="52" spans="1:21">
      <c r="A52" s="178" t="s">
        <v>102</v>
      </c>
      <c r="B52" s="55">
        <f>'Step 6 Service-Support'!B52</f>
        <v>0</v>
      </c>
      <c r="C52" s="55">
        <f>'Step 6 Service-Support'!C52</f>
        <v>0</v>
      </c>
      <c r="D52" s="55">
        <f>'Step 6 Service-Support'!D52</f>
        <v>0</v>
      </c>
      <c r="E52" s="55">
        <f>'Step 6 Service-Support'!E52</f>
        <v>0</v>
      </c>
      <c r="F52" s="55"/>
      <c r="G52" s="383">
        <f>SUM('Step 6 Service-Support'!G52:J52)</f>
        <v>10451097</v>
      </c>
      <c r="H52" s="55"/>
      <c r="I52" s="383">
        <f>SUM('Step 6 Service-Support'!L52)</f>
        <v>0</v>
      </c>
      <c r="J52" s="55"/>
      <c r="K52" s="383">
        <f>'Step 6 Service-Support'!O52</f>
        <v>0</v>
      </c>
      <c r="L52" s="383">
        <f>'Step 6 Service-Support'!P52</f>
        <v>1720000</v>
      </c>
      <c r="M52" s="55"/>
      <c r="N52" s="55"/>
      <c r="O52" s="55"/>
      <c r="P52" s="173"/>
      <c r="Q52" s="383">
        <f t="shared" si="2"/>
        <v>12171097</v>
      </c>
      <c r="R52" s="1637"/>
      <c r="S52" s="821">
        <v>12025835</v>
      </c>
    </row>
    <row r="53" spans="1:21">
      <c r="A53" s="368" t="s">
        <v>103</v>
      </c>
      <c r="B53" s="229">
        <f>'Step 6 Service-Support'!B53</f>
        <v>0</v>
      </c>
      <c r="C53" s="229">
        <f>'Step 6 Service-Support'!C53</f>
        <v>0</v>
      </c>
      <c r="D53" s="229">
        <f>'Step 6 Service-Support'!D53</f>
        <v>0</v>
      </c>
      <c r="E53" s="229">
        <f>'Step 6 Service-Support'!E53</f>
        <v>0</v>
      </c>
      <c r="F53" s="55"/>
      <c r="G53" s="381">
        <f>SUM('Step 6 Service-Support'!G53:J53)</f>
        <v>24640123</v>
      </c>
      <c r="H53" s="55"/>
      <c r="I53" s="381">
        <f>SUM('Step 6 Service-Support'!L53)</f>
        <v>0</v>
      </c>
      <c r="J53" s="55"/>
      <c r="K53" s="381">
        <f>'Step 6 Service-Support'!O53</f>
        <v>-32930</v>
      </c>
      <c r="L53" s="381">
        <f>'Step 6 Service-Support'!P53</f>
        <v>2165000</v>
      </c>
      <c r="M53" s="55"/>
      <c r="N53" s="229"/>
      <c r="O53" s="229"/>
      <c r="P53" s="227"/>
      <c r="Q53" s="381">
        <f t="shared" si="2"/>
        <v>26772193</v>
      </c>
      <c r="R53" s="1637"/>
      <c r="S53" s="241">
        <v>25520328</v>
      </c>
    </row>
    <row r="54" spans="1:21">
      <c r="A54" s="178" t="s">
        <v>104</v>
      </c>
      <c r="B54" s="48">
        <f>'Step 6 Service-Support'!B54</f>
        <v>0</v>
      </c>
      <c r="C54" s="48">
        <f>'Step 6 Service-Support'!C54</f>
        <v>0</v>
      </c>
      <c r="D54" s="48">
        <f>'Step 6 Service-Support'!D54</f>
        <v>0</v>
      </c>
      <c r="E54" s="48">
        <f>'Step 6 Service-Support'!E54</f>
        <v>0</v>
      </c>
      <c r="F54" s="55"/>
      <c r="G54" s="382">
        <f>SUM('Step 6 Service-Support'!G54:J54)</f>
        <v>14265644.861447327</v>
      </c>
      <c r="H54" s="48"/>
      <c r="I54" s="382">
        <f>SUM('Step 6 Service-Support'!L54)</f>
        <v>239.13855267424046</v>
      </c>
      <c r="J54" s="48"/>
      <c r="K54" s="382">
        <f>'Step 6 Service-Support'!O54</f>
        <v>-4958</v>
      </c>
      <c r="L54" s="382">
        <f>'Step 6 Service-Support'!P54</f>
        <v>4797000</v>
      </c>
      <c r="M54" s="55"/>
      <c r="N54" s="48"/>
      <c r="O54" s="48"/>
      <c r="P54" s="173"/>
      <c r="Q54" s="382">
        <f t="shared" si="2"/>
        <v>19057926</v>
      </c>
      <c r="R54" s="1637"/>
      <c r="S54" s="821">
        <v>17684064</v>
      </c>
    </row>
    <row r="55" spans="1:21">
      <c r="A55" s="178" t="s">
        <v>459</v>
      </c>
      <c r="B55" s="48">
        <f>'Step 6 Service-Support'!B55</f>
        <v>0</v>
      </c>
      <c r="C55" s="48">
        <f>'Step 6 Service-Support'!C55</f>
        <v>0</v>
      </c>
      <c r="D55" s="48">
        <f>'Step 6 Service-Support'!D55</f>
        <v>0</v>
      </c>
      <c r="E55" s="48">
        <f>'Step 6 Service-Support'!E55</f>
        <v>0</v>
      </c>
      <c r="F55" s="172"/>
      <c r="G55" s="382">
        <f>SUM('Step 6 Service-Support'!G55:J55)</f>
        <v>3842928</v>
      </c>
      <c r="H55" s="48"/>
      <c r="I55" s="382">
        <f>SUM('Step 6 Service-Support'!L55)</f>
        <v>0</v>
      </c>
      <c r="J55" s="48"/>
      <c r="K55" s="382">
        <f>'Step 6 Service-Support'!O55</f>
        <v>0</v>
      </c>
      <c r="L55" s="382">
        <f>'Step 6 Service-Support'!P55</f>
        <v>0</v>
      </c>
      <c r="M55" s="55"/>
      <c r="N55" s="48"/>
      <c r="O55" s="48"/>
      <c r="P55" s="1124"/>
      <c r="Q55" s="382">
        <f t="shared" si="2"/>
        <v>3842928</v>
      </c>
      <c r="R55" s="1637"/>
      <c r="S55" s="821">
        <v>3700133</v>
      </c>
    </row>
    <row r="56" spans="1:21">
      <c r="A56" s="386" t="s">
        <v>485</v>
      </c>
      <c r="B56" s="228">
        <f>'Step 6 Service-Support'!B56</f>
        <v>0</v>
      </c>
      <c r="C56" s="228">
        <f>'Step 6 Service-Support'!C56</f>
        <v>0</v>
      </c>
      <c r="D56" s="228">
        <f>'Step 6 Service-Support'!D56</f>
        <v>0</v>
      </c>
      <c r="E56" s="228">
        <f>'Step 6 Service-Support'!E56</f>
        <v>0</v>
      </c>
      <c r="F56" s="55"/>
      <c r="G56" s="381">
        <f>SUM('Step 6 Service-Support'!G56:J56)</f>
        <v>1575948</v>
      </c>
      <c r="H56" s="48"/>
      <c r="I56" s="381">
        <f>SUM('Step 6 Service-Support'!L56)</f>
        <v>0</v>
      </c>
      <c r="J56" s="48"/>
      <c r="K56" s="381">
        <f>'Step 6 Service-Support'!O56</f>
        <v>0</v>
      </c>
      <c r="L56" s="381">
        <f>'Step 6 Service-Support'!P56</f>
        <v>860000</v>
      </c>
      <c r="M56" s="55"/>
      <c r="N56" s="228"/>
      <c r="O56" s="228"/>
      <c r="P56" s="227"/>
      <c r="Q56" s="381">
        <f t="shared" si="2"/>
        <v>2435948</v>
      </c>
      <c r="R56" s="168"/>
      <c r="S56" s="241">
        <v>2369903</v>
      </c>
    </row>
    <row r="57" spans="1:21">
      <c r="A57" s="178" t="s">
        <v>105</v>
      </c>
      <c r="B57" s="55">
        <f>'Step 6 Service-Support'!B57</f>
        <v>0</v>
      </c>
      <c r="C57" s="55">
        <f>'Step 6 Service-Support'!C57</f>
        <v>0</v>
      </c>
      <c r="D57" s="55">
        <f>'Step 6 Service-Support'!D57</f>
        <v>0</v>
      </c>
      <c r="E57" s="55">
        <f>'Step 6 Service-Support'!E57</f>
        <v>0</v>
      </c>
      <c r="F57" s="178"/>
      <c r="G57" s="382">
        <f>SUM('Step 6 Service-Support'!G57:J57)</f>
        <v>8106376</v>
      </c>
      <c r="H57" s="55"/>
      <c r="I57" s="382">
        <f>SUM('Step 6 Service-Support'!L57)</f>
        <v>0</v>
      </c>
      <c r="J57" s="55"/>
      <c r="K57" s="382">
        <f>'Step 6 Service-Support'!O57</f>
        <v>0</v>
      </c>
      <c r="L57" s="382">
        <f>'Step 6 Service-Support'!P57</f>
        <v>4300000</v>
      </c>
      <c r="M57" s="55"/>
      <c r="N57" s="55"/>
      <c r="O57" s="55"/>
      <c r="P57" s="55"/>
      <c r="Q57" s="382">
        <f t="shared" si="2"/>
        <v>12406376</v>
      </c>
      <c r="R57" s="168"/>
      <c r="S57" s="821">
        <v>12372914</v>
      </c>
    </row>
    <row r="58" spans="1:21">
      <c r="A58" s="375" t="s">
        <v>106</v>
      </c>
      <c r="B58" s="376">
        <f>SUM(B39:B57)</f>
        <v>0</v>
      </c>
      <c r="C58" s="376">
        <f>SUM(C39:C57)</f>
        <v>9037285</v>
      </c>
      <c r="D58" s="376">
        <f>SUM(D39:D57)</f>
        <v>13020615</v>
      </c>
      <c r="E58" s="376">
        <f>SUM(E39:E57)</f>
        <v>0</v>
      </c>
      <c r="F58" s="390"/>
      <c r="G58" s="376">
        <f>SUM(G39:G57)</f>
        <v>119627951.25363421</v>
      </c>
      <c r="H58" s="174">
        <f>SUM(H39:H57)</f>
        <v>0</v>
      </c>
      <c r="I58" s="376">
        <f>SUM(I39:I57)</f>
        <v>1917682.2595988766</v>
      </c>
      <c r="J58" s="174"/>
      <c r="K58" s="376">
        <f>SUM(K39:K57)</f>
        <v>-792800.70200000005</v>
      </c>
      <c r="L58" s="376">
        <f>SUM(L39:L57)</f>
        <v>30493523</v>
      </c>
      <c r="M58" s="172"/>
      <c r="N58" s="376">
        <f>SUM(N39:N57)</f>
        <v>0</v>
      </c>
      <c r="O58" s="376">
        <f>SUM(O39:O57)</f>
        <v>0</v>
      </c>
      <c r="P58" s="376">
        <f>SUM(P39:P57)</f>
        <v>0</v>
      </c>
      <c r="Q58" s="376">
        <f>SUM(Q39:Q57)</f>
        <v>173304255.8112331</v>
      </c>
      <c r="R58" s="168"/>
      <c r="S58" s="376">
        <f>SUM(S39:S57)</f>
        <v>155419385</v>
      </c>
    </row>
    <row r="59" spans="1:21" ht="16.5" thickBot="1">
      <c r="A59" s="377" t="s">
        <v>107</v>
      </c>
      <c r="B59" s="378">
        <f>B6+B7+B8+B9+B10+B11+B12+B35+B58</f>
        <v>54740445</v>
      </c>
      <c r="C59" s="378">
        <f>C6+C7+C8+C9+C10+C11+C12+C35+C58</f>
        <v>11632166.69897143</v>
      </c>
      <c r="D59" s="378">
        <f>D6+D7+D8+D9+D10+D11+D12+D35+D58</f>
        <v>13020615</v>
      </c>
      <c r="E59" s="378">
        <f>E6+E7+E8+E9+E10+E11+E12+E35+E58</f>
        <v>20356291.723200001</v>
      </c>
      <c r="F59" s="390"/>
      <c r="G59" s="378">
        <f>G6+G7+G8+G9+G10+G11+G12+G35+G58</f>
        <v>124072511.21684961</v>
      </c>
      <c r="H59" s="200">
        <f>H6+H7+H8+H11+H12+H35+H58</f>
        <v>0</v>
      </c>
      <c r="I59" s="378">
        <f>I6+I7+I8+I9+I10+I11+I12+I35+I58</f>
        <v>219046338.89736381</v>
      </c>
      <c r="J59" s="200"/>
      <c r="K59" s="378">
        <f>K6+K7+K8+K9+K10+K11+K12+K35+K58</f>
        <v>-3774705.9984800001</v>
      </c>
      <c r="L59" s="378">
        <f>L6+L7+L8+L9+L10+L11+L12+L35+L58</f>
        <v>142514672.41066667</v>
      </c>
      <c r="M59" s="55"/>
      <c r="N59" s="378">
        <f>N6+N7+N8+N9+N10+N11+N12+N35+N58</f>
        <v>0</v>
      </c>
      <c r="O59" s="378">
        <f>O6+O7+O8+O9+O10+O11+O12+O35+O58</f>
        <v>0</v>
      </c>
      <c r="P59" s="378">
        <f>P6+P7+P8+P9+P10+P11+P12+P35+P58</f>
        <v>0</v>
      </c>
      <c r="Q59" s="378">
        <f>Q6+Q7+Q8+Q9+Q10+Q11+Q12+Q35+Q58</f>
        <v>581608334.94857144</v>
      </c>
      <c r="R59" s="660"/>
      <c r="S59" s="378">
        <f>SUM(S6,S35,S58)</f>
        <v>552825759</v>
      </c>
    </row>
    <row r="60" spans="1:21" ht="17.25" thickTop="1" thickBot="1">
      <c r="A60" s="178"/>
      <c r="B60" s="178"/>
      <c r="C60" s="178"/>
      <c r="D60" s="178"/>
      <c r="E60" s="178"/>
      <c r="F60" s="167"/>
      <c r="G60" s="178"/>
      <c r="H60" s="178"/>
      <c r="I60" s="178"/>
      <c r="J60" s="178"/>
      <c r="K60" s="178"/>
      <c r="L60" s="181"/>
      <c r="M60" s="178"/>
      <c r="N60" s="172"/>
      <c r="O60" s="172"/>
      <c r="P60" s="55"/>
      <c r="Q60" s="55"/>
      <c r="R60" s="55"/>
      <c r="S60" s="55"/>
      <c r="T60" s="46"/>
    </row>
    <row r="61" spans="1:21">
      <c r="A61" s="167"/>
      <c r="B61" s="167"/>
      <c r="C61" s="169"/>
      <c r="D61" s="167"/>
      <c r="E61" s="167"/>
      <c r="F61" s="167"/>
      <c r="G61" s="167"/>
      <c r="H61" s="167"/>
      <c r="I61" s="167"/>
      <c r="J61" s="167"/>
      <c r="K61" s="167"/>
      <c r="L61" s="167"/>
      <c r="N61" s="306" t="s">
        <v>303</v>
      </c>
      <c r="O61" s="1383"/>
      <c r="P61" s="169"/>
      <c r="Q61" s="169"/>
      <c r="R61" s="169"/>
      <c r="S61" s="169"/>
      <c r="T61" s="46"/>
    </row>
    <row r="62" spans="1:21">
      <c r="A62" s="167"/>
      <c r="B62" s="167"/>
      <c r="C62" s="169"/>
      <c r="D62" s="167"/>
      <c r="E62" s="169"/>
      <c r="F62" s="167"/>
      <c r="G62" s="169"/>
      <c r="H62" s="167"/>
      <c r="I62" s="167"/>
      <c r="J62" s="169"/>
      <c r="K62" s="167"/>
      <c r="L62" s="167"/>
      <c r="N62" s="307" t="s">
        <v>304</v>
      </c>
      <c r="O62" s="309">
        <f>I59-'Dashboard-Academic Allocation'!E1</f>
        <v>0</v>
      </c>
      <c r="P62" s="167"/>
      <c r="Q62" s="12"/>
      <c r="T62" s="167"/>
    </row>
    <row r="63" spans="1:21" ht="16.5" thickBot="1">
      <c r="A63" s="167"/>
      <c r="B63" s="167"/>
      <c r="C63" s="167"/>
      <c r="D63" s="167"/>
      <c r="E63" s="169"/>
      <c r="F63" s="167"/>
      <c r="G63" s="167"/>
      <c r="H63" s="167"/>
      <c r="I63" s="167"/>
      <c r="J63" s="167"/>
      <c r="K63" s="167"/>
      <c r="L63" s="167"/>
      <c r="N63" s="310"/>
      <c r="O63" s="312" t="str">
        <f>IF(O62=0,"OK","ERROR")</f>
        <v>OK</v>
      </c>
      <c r="P63" s="167"/>
      <c r="Q63" s="12"/>
      <c r="T63" s="167"/>
      <c r="U63" s="167"/>
    </row>
    <row r="64" spans="1:21">
      <c r="A64" s="167"/>
      <c r="B64" s="167"/>
      <c r="C64" s="167"/>
      <c r="D64" s="167"/>
      <c r="E64" s="169"/>
      <c r="F64" s="167"/>
      <c r="G64" s="167"/>
      <c r="H64" s="167"/>
      <c r="I64" s="169"/>
      <c r="J64" s="169"/>
      <c r="K64" s="169"/>
      <c r="L64" s="169"/>
      <c r="M64" s="169"/>
      <c r="N64" s="167"/>
      <c r="O64" s="167"/>
      <c r="P64" s="169"/>
      <c r="T64" s="193"/>
      <c r="U64" s="193"/>
    </row>
    <row r="65" spans="1:24">
      <c r="A65" s="193"/>
      <c r="B65" s="193"/>
      <c r="C65" s="193"/>
      <c r="D65" s="193"/>
      <c r="E65" s="800"/>
      <c r="F65" s="193"/>
      <c r="G65" s="167"/>
      <c r="H65" s="167"/>
      <c r="I65" s="167"/>
      <c r="J65" s="167"/>
      <c r="K65" s="167"/>
      <c r="L65" s="167"/>
      <c r="M65" s="167"/>
      <c r="N65" s="169"/>
      <c r="O65" s="167"/>
      <c r="P65" s="167"/>
      <c r="V65" s="193"/>
      <c r="W65" s="193"/>
      <c r="X65" s="193"/>
    </row>
    <row r="66" spans="1:24">
      <c r="A66" s="193"/>
      <c r="B66" s="193"/>
      <c r="C66" s="193"/>
      <c r="D66" s="193"/>
      <c r="E66" s="800"/>
      <c r="F66" s="193"/>
      <c r="G66" s="167"/>
      <c r="H66" s="167"/>
      <c r="I66" s="169"/>
      <c r="J66" s="169"/>
      <c r="K66" s="169"/>
      <c r="L66" s="169"/>
      <c r="M66" s="169"/>
      <c r="N66" s="169"/>
      <c r="O66" s="167"/>
      <c r="P66" s="167"/>
      <c r="X66" s="193"/>
    </row>
    <row r="67" spans="1:24">
      <c r="G67" s="167"/>
      <c r="H67" s="167"/>
      <c r="I67" s="167"/>
      <c r="J67" s="167"/>
      <c r="K67" s="167"/>
      <c r="L67" s="167"/>
      <c r="M67" s="167"/>
      <c r="N67" s="167"/>
      <c r="O67" s="167"/>
      <c r="P67" s="167"/>
    </row>
    <row r="68" spans="1:24">
      <c r="G68" s="193"/>
      <c r="H68" s="193"/>
      <c r="I68" s="193"/>
      <c r="J68" s="193"/>
      <c r="K68" s="193"/>
      <c r="L68" s="193"/>
      <c r="M68" s="193"/>
      <c r="N68" s="800"/>
      <c r="O68" s="193"/>
      <c r="P68" s="193"/>
      <c r="Q68" s="193"/>
      <c r="R68" s="193"/>
      <c r="S68" s="193"/>
      <c r="T68" s="193"/>
      <c r="U68" s="193"/>
      <c r="V68" s="193"/>
      <c r="W68" s="193"/>
    </row>
    <row r="69" spans="1:24">
      <c r="G69" s="193"/>
      <c r="H69" s="193"/>
      <c r="I69" s="800"/>
      <c r="J69" s="193"/>
      <c r="K69" s="193"/>
      <c r="L69" s="193"/>
      <c r="M69" s="193"/>
      <c r="N69" s="193"/>
      <c r="O69" s="193"/>
      <c r="P69" s="193"/>
      <c r="Q69" s="193"/>
      <c r="R69" s="193"/>
      <c r="S69" s="193"/>
      <c r="T69" s="193"/>
      <c r="U69" s="193"/>
      <c r="V69" s="193"/>
      <c r="W69" s="193"/>
    </row>
    <row r="72" spans="1:24">
      <c r="I72" s="12"/>
    </row>
    <row r="74" spans="1:24">
      <c r="K74" s="12"/>
    </row>
  </sheetData>
  <mergeCells count="3">
    <mergeCell ref="S6:S12"/>
    <mergeCell ref="B4:E4"/>
    <mergeCell ref="K4:L4"/>
  </mergeCells>
  <phoneticPr fontId="52" type="noConversion"/>
  <pageMargins left="0.75" right="0.75" top="1" bottom="1" header="0.5" footer="0.5"/>
  <pageSetup paperSize="3" scale="67" orientation="landscape"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AC61"/>
  <sheetViews>
    <sheetView workbookViewId="0">
      <pane xSplit="1" ySplit="12" topLeftCell="B13" activePane="bottomRight" state="frozen"/>
      <selection pane="topRight" activeCell="B1" sqref="B1"/>
      <selection pane="bottomLeft" activeCell="A13" sqref="A13"/>
      <selection pane="bottomRight" activeCell="X1" sqref="X1:Z1"/>
    </sheetView>
  </sheetViews>
  <sheetFormatPr defaultColWidth="11" defaultRowHeight="15.75"/>
  <cols>
    <col min="1" max="1" width="38.375" customWidth="1"/>
    <col min="2" max="2" width="13.125" customWidth="1"/>
    <col min="3" max="3" width="12.625" customWidth="1"/>
    <col min="4" max="4" width="2.5" customWidth="1"/>
    <col min="5" max="5" width="12.625" customWidth="1"/>
    <col min="6" max="6" width="2.375" customWidth="1"/>
    <col min="7" max="7" width="13.625" customWidth="1"/>
    <col min="9" max="9" width="11.625" customWidth="1"/>
    <col min="11" max="11" width="12.5" bestFit="1" customWidth="1"/>
    <col min="12" max="12" width="12.625" customWidth="1"/>
    <col min="13" max="13" width="3" customWidth="1"/>
    <col min="20" max="20" width="12.5" customWidth="1"/>
    <col min="21" max="21" width="3.625" customWidth="1"/>
    <col min="22" max="22" width="12.5" customWidth="1"/>
    <col min="23" max="23" width="3" customWidth="1"/>
    <col min="24" max="24" width="13.375" customWidth="1"/>
    <col min="25" max="25" width="4.125" customWidth="1"/>
    <col min="26" max="26" width="13.375" customWidth="1"/>
    <col min="27" max="27" width="6.625" customWidth="1"/>
    <col min="28" max="28" width="5.875" customWidth="1"/>
    <col min="29" max="29" width="14.625" customWidth="1"/>
    <col min="30" max="30" width="13.5" customWidth="1"/>
    <col min="31" max="31" width="12.5" bestFit="1" customWidth="1"/>
  </cols>
  <sheetData>
    <row r="1" spans="1:29">
      <c r="A1" s="175" t="s">
        <v>62</v>
      </c>
      <c r="B1" s="175"/>
      <c r="C1" s="175"/>
      <c r="D1" s="175"/>
      <c r="E1" s="175"/>
      <c r="F1" s="175"/>
      <c r="G1" s="175"/>
      <c r="H1" s="175"/>
      <c r="I1" s="175"/>
      <c r="AA1" s="657"/>
      <c r="AB1" s="657"/>
      <c r="AC1" s="657"/>
    </row>
    <row r="2" spans="1:29">
      <c r="A2" s="175" t="s">
        <v>1475</v>
      </c>
      <c r="B2" s="175"/>
      <c r="C2" s="175"/>
      <c r="D2" s="175"/>
      <c r="E2" s="175"/>
      <c r="F2" s="175"/>
      <c r="G2" s="175"/>
      <c r="H2" s="175"/>
      <c r="I2" s="175"/>
    </row>
    <row r="3" spans="1:29">
      <c r="A3" s="175"/>
      <c r="B3" s="175"/>
      <c r="C3" s="175"/>
      <c r="D3" s="175"/>
      <c r="E3" s="175"/>
      <c r="F3" s="175"/>
      <c r="G3" s="175"/>
      <c r="H3" s="175"/>
      <c r="I3" s="175"/>
    </row>
    <row r="4" spans="1:29" ht="36" customHeight="1">
      <c r="A4" s="176"/>
      <c r="B4" s="1790" t="s">
        <v>1558</v>
      </c>
      <c r="C4" s="1790"/>
      <c r="D4" s="196"/>
      <c r="E4" s="1392" t="s">
        <v>1559</v>
      </c>
      <c r="F4" s="201"/>
      <c r="G4" s="1787" t="s">
        <v>666</v>
      </c>
      <c r="H4" s="1787"/>
      <c r="I4" s="1787"/>
      <c r="J4" s="1787"/>
      <c r="K4" s="1787"/>
      <c r="L4" s="1787"/>
      <c r="M4" s="176"/>
      <c r="N4" s="1782" t="s">
        <v>154</v>
      </c>
      <c r="O4" s="1782"/>
      <c r="P4" s="1782"/>
      <c r="Q4" s="1782"/>
      <c r="R4" s="1782"/>
      <c r="S4" s="1782"/>
      <c r="T4" s="1782"/>
      <c r="U4" s="196"/>
      <c r="V4" s="656"/>
      <c r="W4" s="196"/>
    </row>
    <row r="5" spans="1:29" ht="63.75">
      <c r="A5" s="186" t="s">
        <v>69</v>
      </c>
      <c r="B5" s="1427" t="s">
        <v>1557</v>
      </c>
      <c r="C5" s="237" t="s">
        <v>1556</v>
      </c>
      <c r="D5" s="1226"/>
      <c r="E5" s="237" t="s">
        <v>166</v>
      </c>
      <c r="F5" s="237"/>
      <c r="G5" s="237" t="s">
        <v>653</v>
      </c>
      <c r="H5" s="237" t="s">
        <v>654</v>
      </c>
      <c r="I5" s="237" t="s">
        <v>655</v>
      </c>
      <c r="J5" s="237" t="s">
        <v>406</v>
      </c>
      <c r="K5" s="237" t="s">
        <v>656</v>
      </c>
      <c r="L5" s="237" t="s">
        <v>1401</v>
      </c>
      <c r="M5" s="231"/>
      <c r="N5" s="231" t="s">
        <v>167</v>
      </c>
      <c r="O5" s="231" t="s">
        <v>156</v>
      </c>
      <c r="P5" s="231" t="s">
        <v>1477</v>
      </c>
      <c r="Q5" s="231" t="s">
        <v>886</v>
      </c>
      <c r="R5" s="231" t="s">
        <v>157</v>
      </c>
      <c r="S5" s="231" t="s">
        <v>158</v>
      </c>
      <c r="T5" s="231" t="s">
        <v>176</v>
      </c>
      <c r="U5" s="238"/>
      <c r="V5" s="238" t="s">
        <v>1533</v>
      </c>
      <c r="W5" s="238"/>
      <c r="X5" s="231" t="s">
        <v>1476</v>
      </c>
      <c r="Y5" s="1140"/>
      <c r="Z5" s="1141" t="s">
        <v>1031</v>
      </c>
    </row>
    <row r="6" spans="1:29">
      <c r="A6" s="177" t="s">
        <v>479</v>
      </c>
      <c r="B6" s="44">
        <f>SUM('Step 7 Final Adjustments'!B6,'Step 7 Final Adjustments'!C6,'Step 7 Final Adjustments'!D6)</f>
        <v>3161000</v>
      </c>
      <c r="C6" s="44">
        <f>'Step 7 Final Adjustments'!E6</f>
        <v>0</v>
      </c>
      <c r="D6" s="55"/>
      <c r="E6" s="44">
        <f>'Step 7 Final Adjustments'!G6</f>
        <v>-3161000</v>
      </c>
      <c r="F6" s="48"/>
      <c r="G6" s="44">
        <f>'Step 3 Acad Product &amp; Pools'!L6</f>
        <v>0</v>
      </c>
      <c r="H6" s="44">
        <f>'Step 3 Acad Product &amp; Pools'!M6</f>
        <v>0</v>
      </c>
      <c r="I6" s="44">
        <f>'Step 3 Acad Product &amp; Pools'!N6</f>
        <v>0</v>
      </c>
      <c r="J6" s="44">
        <f>'Step 3 Acad Product &amp; Pools'!O6</f>
        <v>0</v>
      </c>
      <c r="K6" s="44">
        <f>'Step 3 Acad Product &amp; Pools'!P6</f>
        <v>0</v>
      </c>
      <c r="L6" s="44">
        <f>'Step 3 Acad Product &amp; Pools'!Q6</f>
        <v>0</v>
      </c>
      <c r="M6" s="48"/>
      <c r="N6" s="44">
        <f>'Step 1 Dedicated Funds'!N6</f>
        <v>0</v>
      </c>
      <c r="O6" s="44">
        <f>'Step 1 Dedicated Funds'!O6</f>
        <v>0</v>
      </c>
      <c r="P6" s="44">
        <f>'Step 1 Dedicated Funds'!P6</f>
        <v>0</v>
      </c>
      <c r="Q6" s="44">
        <f>'Step 1 Dedicated Funds'!Q6</f>
        <v>0</v>
      </c>
      <c r="R6" s="44">
        <f>'Step 1 Dedicated Funds'!R6</f>
        <v>0</v>
      </c>
      <c r="S6" s="44">
        <f>'Step 1 Dedicated Funds'!S6</f>
        <v>0</v>
      </c>
      <c r="T6" s="44">
        <f>'Step 1 Dedicated Funds'!T6</f>
        <v>0</v>
      </c>
      <c r="U6" s="44"/>
      <c r="V6" s="44">
        <f>SUM('Step 7 Final Adjustments'!N6:P6)</f>
        <v>0</v>
      </c>
      <c r="W6" s="55"/>
      <c r="X6" s="44">
        <f t="shared" ref="X6:X12" si="0">SUM(B6:V6)</f>
        <v>0</v>
      </c>
      <c r="Y6" s="167"/>
      <c r="Z6" s="1765">
        <v>55820357</v>
      </c>
    </row>
    <row r="7" spans="1:29">
      <c r="A7" s="177" t="s">
        <v>486</v>
      </c>
      <c r="B7" s="44">
        <f>SUM('Step 7 Final Adjustments'!B7,'Step 7 Final Adjustments'!C7,'Step 7 Final Adjustments'!D7)</f>
        <v>6990580</v>
      </c>
      <c r="C7" s="44">
        <f>'Step 7 Final Adjustments'!E7</f>
        <v>0</v>
      </c>
      <c r="D7" s="55"/>
      <c r="E7" s="44">
        <f>'Step 7 Final Adjustments'!G7</f>
        <v>-3111300</v>
      </c>
      <c r="F7" s="48"/>
      <c r="G7" s="44">
        <f>'Step 3 Acad Product &amp; Pools'!L7</f>
        <v>0</v>
      </c>
      <c r="H7" s="44">
        <f>'Step 3 Acad Product &amp; Pools'!M7</f>
        <v>0</v>
      </c>
      <c r="I7" s="44">
        <f>'Step 3 Acad Product &amp; Pools'!N7</f>
        <v>0</v>
      </c>
      <c r="J7" s="44">
        <f>'Step 3 Acad Product &amp; Pools'!O7</f>
        <v>0</v>
      </c>
      <c r="K7" s="44">
        <f>'Step 3 Acad Product &amp; Pools'!P7</f>
        <v>0</v>
      </c>
      <c r="L7" s="44">
        <f>'Step 3 Acad Product &amp; Pools'!Q7</f>
        <v>0</v>
      </c>
      <c r="M7" s="48"/>
      <c r="N7" s="44">
        <f>'Step 1 Dedicated Funds'!N7</f>
        <v>-270100</v>
      </c>
      <c r="O7" s="44">
        <f>'Step 1 Dedicated Funds'!O7</f>
        <v>0</v>
      </c>
      <c r="P7" s="44">
        <f>'Step 1 Dedicated Funds'!P7</f>
        <v>0</v>
      </c>
      <c r="Q7" s="44">
        <f>'Step 1 Dedicated Funds'!Q7</f>
        <v>0</v>
      </c>
      <c r="R7" s="44">
        <f>'Step 1 Dedicated Funds'!R7</f>
        <v>3650000</v>
      </c>
      <c r="S7" s="44">
        <f>'Step 1 Dedicated Funds'!S7</f>
        <v>0</v>
      </c>
      <c r="T7" s="44">
        <f>'Step 1 Dedicated Funds'!T7</f>
        <v>0</v>
      </c>
      <c r="U7" s="44"/>
      <c r="V7" s="44">
        <f>SUM('Step 7 Final Adjustments'!N7:P7)</f>
        <v>0</v>
      </c>
      <c r="W7" s="55"/>
      <c r="X7" s="44">
        <f t="shared" si="0"/>
        <v>7259180</v>
      </c>
      <c r="Y7" s="167"/>
      <c r="Z7" s="1766"/>
    </row>
    <row r="8" spans="1:29">
      <c r="A8" s="177" t="s">
        <v>735</v>
      </c>
      <c r="B8" s="44">
        <f>SUM('Step 7 Final Adjustments'!B8,'Step 7 Final Adjustments'!C8,'Step 7 Final Adjustments'!D8)</f>
        <v>-2735327.3010285702</v>
      </c>
      <c r="C8" s="44">
        <f>'Step 7 Final Adjustments'!E8</f>
        <v>-1783708.2767999992</v>
      </c>
      <c r="D8" s="55"/>
      <c r="E8" s="44">
        <f>'Step 7 Final Adjustments'!G8</f>
        <v>-2247150.1274277866</v>
      </c>
      <c r="F8" s="48"/>
      <c r="G8" s="44">
        <f>'Step 3 Acad Product &amp; Pools'!L8</f>
        <v>0</v>
      </c>
      <c r="H8" s="44">
        <f>'Step 3 Acad Product &amp; Pools'!M8</f>
        <v>0</v>
      </c>
      <c r="I8" s="44">
        <f>'Step 3 Acad Product &amp; Pools'!N8</f>
        <v>0</v>
      </c>
      <c r="J8" s="44">
        <f>'Step 3 Acad Product &amp; Pools'!O8</f>
        <v>0</v>
      </c>
      <c r="K8" s="44">
        <f>'Step 3 Acad Product &amp; Pools'!P8</f>
        <v>0</v>
      </c>
      <c r="L8" s="44">
        <f>'Step 3 Acad Product &amp; Pools'!Q8</f>
        <v>0</v>
      </c>
      <c r="M8" s="48"/>
      <c r="N8" s="44">
        <f>'Step 1 Dedicated Funds'!N8</f>
        <v>0</v>
      </c>
      <c r="O8" s="44">
        <f>'Step 1 Dedicated Funds'!O8</f>
        <v>0</v>
      </c>
      <c r="P8" s="44">
        <f>'Step 1 Dedicated Funds'!P8</f>
        <v>0</v>
      </c>
      <c r="Q8" s="44">
        <f>'Step 1 Dedicated Funds'!Q8</f>
        <v>0</v>
      </c>
      <c r="R8" s="44">
        <f>'Step 1 Dedicated Funds'!R8</f>
        <v>0</v>
      </c>
      <c r="S8" s="44">
        <f>'Step 1 Dedicated Funds'!S8</f>
        <v>0</v>
      </c>
      <c r="T8" s="44">
        <f>'Step 1 Dedicated Funds'!T8</f>
        <v>0</v>
      </c>
      <c r="U8" s="44"/>
      <c r="V8" s="44">
        <f>SUM('Step 7 Final Adjustments'!N8:P8)</f>
        <v>-3873757.0580212362</v>
      </c>
      <c r="W8" s="55"/>
      <c r="X8" s="44">
        <f t="shared" si="0"/>
        <v>-10639942.763277592</v>
      </c>
      <c r="Y8" s="167"/>
      <c r="Z8" s="1766"/>
      <c r="AA8" s="12"/>
    </row>
    <row r="9" spans="1:29">
      <c r="A9" s="177" t="s">
        <v>753</v>
      </c>
      <c r="B9" s="44">
        <f>SUM('Step 7 Final Adjustments'!B9,'Step 7 Final Adjustments'!C9,'Step 7 Final Adjustments'!D9)</f>
        <v>0</v>
      </c>
      <c r="C9" s="44">
        <f>'Step 7 Final Adjustments'!E9</f>
        <v>0</v>
      </c>
      <c r="D9" s="55"/>
      <c r="E9" s="44">
        <f>'Step 7 Final Adjustments'!G9</f>
        <v>0</v>
      </c>
      <c r="F9" s="48"/>
      <c r="G9" s="44">
        <f>'Step 3 Acad Product &amp; Pools'!L9</f>
        <v>0</v>
      </c>
      <c r="H9" s="44">
        <f>'Step 3 Acad Product &amp; Pools'!M9</f>
        <v>0</v>
      </c>
      <c r="I9" s="44">
        <f>'Step 3 Acad Product &amp; Pools'!N9</f>
        <v>0</v>
      </c>
      <c r="J9" s="44">
        <f>'Step 3 Acad Product &amp; Pools'!O9</f>
        <v>0</v>
      </c>
      <c r="K9" s="44">
        <f>'Step 3 Acad Product &amp; Pools'!P9</f>
        <v>0</v>
      </c>
      <c r="L9" s="44">
        <f>'Step 3 Acad Product &amp; Pools'!Q9</f>
        <v>0</v>
      </c>
      <c r="M9" s="48"/>
      <c r="N9" s="44">
        <f>'Step 1 Dedicated Funds'!N9</f>
        <v>0</v>
      </c>
      <c r="O9" s="44">
        <f>'Step 1 Dedicated Funds'!O9</f>
        <v>0</v>
      </c>
      <c r="P9" s="44">
        <f>'Step 1 Dedicated Funds'!P9</f>
        <v>10000000</v>
      </c>
      <c r="Q9" s="44">
        <f>'Step 1 Dedicated Funds'!Q9</f>
        <v>0</v>
      </c>
      <c r="R9" s="44">
        <f>'Step 1 Dedicated Funds'!R9</f>
        <v>0</v>
      </c>
      <c r="S9" s="44">
        <f>'Step 1 Dedicated Funds'!S9</f>
        <v>0</v>
      </c>
      <c r="T9" s="44">
        <f>'Step 1 Dedicated Funds'!T9</f>
        <v>0</v>
      </c>
      <c r="U9" s="44"/>
      <c r="V9" s="44">
        <f>SUM('Step 7 Final Adjustments'!N9:P9)</f>
        <v>0</v>
      </c>
      <c r="W9" s="55"/>
      <c r="X9" s="44">
        <f t="shared" si="0"/>
        <v>10000000</v>
      </c>
      <c r="Y9" s="167"/>
      <c r="Z9" s="1766"/>
    </row>
    <row r="10" spans="1:29">
      <c r="A10" s="177" t="s">
        <v>480</v>
      </c>
      <c r="B10" s="44">
        <f>SUM('Step 7 Final Adjustments'!B10,'Step 7 Final Adjustments'!C10,'Step 7 Final Adjustments'!D10)</f>
        <v>18178922</v>
      </c>
      <c r="C10" s="44">
        <f>'Step 7 Final Adjustments'!E10</f>
        <v>0</v>
      </c>
      <c r="D10" s="55"/>
      <c r="E10" s="44">
        <f>'Step 7 Final Adjustments'!G10</f>
        <v>0</v>
      </c>
      <c r="F10" s="48"/>
      <c r="G10" s="44">
        <f>'Step 3 Acad Product &amp; Pools'!L10</f>
        <v>0</v>
      </c>
      <c r="H10" s="44">
        <f>'Step 3 Acad Product &amp; Pools'!M10</f>
        <v>0</v>
      </c>
      <c r="I10" s="44">
        <f>'Step 3 Acad Product &amp; Pools'!N10</f>
        <v>0</v>
      </c>
      <c r="J10" s="44">
        <f>'Step 3 Acad Product &amp; Pools'!O10</f>
        <v>0</v>
      </c>
      <c r="K10" s="44">
        <f>'Step 3 Acad Product &amp; Pools'!P10</f>
        <v>0</v>
      </c>
      <c r="L10" s="44">
        <f>'Step 3 Acad Product &amp; Pools'!Q10</f>
        <v>0</v>
      </c>
      <c r="M10" s="48"/>
      <c r="N10" s="44">
        <f>'Step 1 Dedicated Funds'!N10</f>
        <v>0</v>
      </c>
      <c r="O10" s="44">
        <f>'Step 1 Dedicated Funds'!O10</f>
        <v>0</v>
      </c>
      <c r="P10" s="44">
        <f>'Step 1 Dedicated Funds'!P10</f>
        <v>0</v>
      </c>
      <c r="Q10" s="44">
        <f>'Step 1 Dedicated Funds'!Q10</f>
        <v>0</v>
      </c>
      <c r="R10" s="44">
        <f>'Step 1 Dedicated Funds'!R10</f>
        <v>0</v>
      </c>
      <c r="S10" s="44">
        <f>'Step 1 Dedicated Funds'!S10</f>
        <v>0</v>
      </c>
      <c r="T10" s="44">
        <f>'Step 1 Dedicated Funds'!T10</f>
        <v>0</v>
      </c>
      <c r="U10" s="44"/>
      <c r="V10" s="44">
        <f>SUM('Step 7 Final Adjustments'!N10:P10)</f>
        <v>0</v>
      </c>
      <c r="W10" s="55"/>
      <c r="X10" s="44">
        <f t="shared" si="0"/>
        <v>18178922</v>
      </c>
      <c r="Y10" s="167"/>
      <c r="Z10" s="1766"/>
    </row>
    <row r="11" spans="1:29">
      <c r="A11" s="177" t="s">
        <v>481</v>
      </c>
      <c r="B11" s="44">
        <f>SUM('Step 7 Final Adjustments'!B11,'Step 7 Final Adjustments'!C11,'Step 7 Final Adjustments'!D11)</f>
        <v>4150000</v>
      </c>
      <c r="C11" s="44">
        <f>'Step 7 Final Adjustments'!E11</f>
        <v>0</v>
      </c>
      <c r="D11" s="55"/>
      <c r="E11" s="44">
        <f>'Step 7 Final Adjustments'!G11</f>
        <v>0</v>
      </c>
      <c r="F11" s="48"/>
      <c r="G11" s="44">
        <f>'Step 3 Acad Product &amp; Pools'!L11</f>
        <v>0</v>
      </c>
      <c r="H11" s="44">
        <f>'Step 3 Acad Product &amp; Pools'!M11</f>
        <v>0</v>
      </c>
      <c r="I11" s="44">
        <f>'Step 3 Acad Product &amp; Pools'!N11</f>
        <v>0</v>
      </c>
      <c r="J11" s="44">
        <f>'Step 3 Acad Product &amp; Pools'!O11</f>
        <v>0</v>
      </c>
      <c r="K11" s="44">
        <f>'Step 3 Acad Product &amp; Pools'!P11</f>
        <v>0</v>
      </c>
      <c r="L11" s="44">
        <f>'Step 3 Acad Product &amp; Pools'!Q11</f>
        <v>0</v>
      </c>
      <c r="M11" s="48"/>
      <c r="N11" s="44">
        <f>'Step 1 Dedicated Funds'!N11</f>
        <v>0</v>
      </c>
      <c r="O11" s="44">
        <f>'Step 1 Dedicated Funds'!O11</f>
        <v>0</v>
      </c>
      <c r="P11" s="44">
        <f>'Step 1 Dedicated Funds'!P11</f>
        <v>0</v>
      </c>
      <c r="Q11" s="44">
        <f>'Step 1 Dedicated Funds'!Q11</f>
        <v>0</v>
      </c>
      <c r="R11" s="44">
        <f>'Step 1 Dedicated Funds'!R11</f>
        <v>0</v>
      </c>
      <c r="S11" s="44">
        <f>'Step 1 Dedicated Funds'!S11</f>
        <v>0</v>
      </c>
      <c r="T11" s="44">
        <f>'Step 1 Dedicated Funds'!T11</f>
        <v>0</v>
      </c>
      <c r="U11" s="44"/>
      <c r="V11" s="44">
        <f>SUM('Step 7 Final Adjustments'!N11:P11)</f>
        <v>0</v>
      </c>
      <c r="W11" s="55"/>
      <c r="X11" s="44">
        <f t="shared" si="0"/>
        <v>4150000</v>
      </c>
      <c r="Y11" s="167"/>
      <c r="Z11" s="1766"/>
    </row>
    <row r="12" spans="1:29">
      <c r="A12" s="177" t="s">
        <v>482</v>
      </c>
      <c r="B12" s="44">
        <f>SUM('Step 7 Final Adjustments'!B12,'Step 7 Final Adjustments'!C12,'Step 7 Final Adjustments'!D12)</f>
        <v>26139223</v>
      </c>
      <c r="C12" s="44">
        <f>'Step 7 Final Adjustments'!E12</f>
        <v>0</v>
      </c>
      <c r="D12" s="55"/>
      <c r="E12" s="44">
        <f>'Step 7 Final Adjustments'!G12</f>
        <v>0</v>
      </c>
      <c r="F12" s="48"/>
      <c r="G12" s="44">
        <f>'Step 3 Acad Product &amp; Pools'!L12</f>
        <v>0</v>
      </c>
      <c r="H12" s="44">
        <f>'Step 3 Acad Product &amp; Pools'!M12</f>
        <v>0</v>
      </c>
      <c r="I12" s="44">
        <f>'Step 3 Acad Product &amp; Pools'!N12</f>
        <v>0</v>
      </c>
      <c r="J12" s="44">
        <f>'Step 3 Acad Product &amp; Pools'!O12</f>
        <v>0</v>
      </c>
      <c r="K12" s="44">
        <f>'Step 3 Acad Product &amp; Pools'!P12</f>
        <v>0</v>
      </c>
      <c r="L12" s="44">
        <f>'Step 3 Acad Product &amp; Pools'!Q12</f>
        <v>0</v>
      </c>
      <c r="M12" s="48"/>
      <c r="N12" s="44">
        <f>'Step 1 Dedicated Funds'!N12</f>
        <v>0</v>
      </c>
      <c r="O12" s="44">
        <f>'Step 1 Dedicated Funds'!O12</f>
        <v>0</v>
      </c>
      <c r="P12" s="44">
        <f>'Step 1 Dedicated Funds'!P12</f>
        <v>0</v>
      </c>
      <c r="Q12" s="44">
        <f>'Step 1 Dedicated Funds'!Q12</f>
        <v>0</v>
      </c>
      <c r="R12" s="44">
        <f>'Step 1 Dedicated Funds'!R12</f>
        <v>0</v>
      </c>
      <c r="S12" s="44">
        <f>'Step 1 Dedicated Funds'!S12</f>
        <v>0</v>
      </c>
      <c r="T12" s="44">
        <f>'Step 1 Dedicated Funds'!T12</f>
        <v>0</v>
      </c>
      <c r="U12" s="44"/>
      <c r="V12" s="44">
        <f>SUM('Step 7 Final Adjustments'!N12:P12)</f>
        <v>0</v>
      </c>
      <c r="W12" s="55"/>
      <c r="X12" s="44">
        <f t="shared" si="0"/>
        <v>26139223</v>
      </c>
      <c r="Y12" s="167"/>
      <c r="Z12" s="1766"/>
    </row>
    <row r="13" spans="1:29">
      <c r="A13" s="168"/>
      <c r="B13" s="48"/>
      <c r="C13" s="48"/>
      <c r="D13" s="55"/>
      <c r="E13" s="48"/>
      <c r="F13" s="48"/>
      <c r="G13" s="48"/>
      <c r="H13" s="48"/>
      <c r="I13" s="48"/>
      <c r="J13" s="48"/>
      <c r="K13" s="48"/>
      <c r="L13" s="48"/>
      <c r="M13" s="48"/>
      <c r="N13" s="48"/>
      <c r="O13" s="48"/>
      <c r="P13" s="48"/>
      <c r="Q13" s="48"/>
      <c r="R13" s="48"/>
      <c r="S13" s="48"/>
      <c r="T13" s="48"/>
      <c r="U13" s="48"/>
      <c r="V13" s="48"/>
      <c r="W13" s="48"/>
      <c r="X13" s="48"/>
      <c r="Y13" s="168"/>
      <c r="Z13" s="48"/>
    </row>
    <row r="14" spans="1:29">
      <c r="A14" s="51" t="s">
        <v>72</v>
      </c>
      <c r="B14" s="34"/>
      <c r="C14" s="34"/>
      <c r="D14" s="54"/>
      <c r="E14" s="34"/>
      <c r="F14" s="49"/>
      <c r="G14" s="34"/>
      <c r="H14" s="34"/>
      <c r="I14" s="34"/>
      <c r="J14" s="34"/>
      <c r="K14" s="34"/>
      <c r="L14" s="34"/>
      <c r="M14" s="49"/>
      <c r="N14" s="34"/>
      <c r="O14" s="34"/>
      <c r="P14" s="34"/>
      <c r="Q14" s="34"/>
      <c r="R14" s="34"/>
      <c r="S14" s="34"/>
      <c r="T14" s="34"/>
      <c r="U14" s="34"/>
      <c r="V14" s="34"/>
      <c r="W14" s="54"/>
      <c r="X14" s="34"/>
      <c r="Y14" s="168"/>
      <c r="Z14" s="34"/>
    </row>
    <row r="15" spans="1:29">
      <c r="A15" s="1382" t="s">
        <v>1514</v>
      </c>
      <c r="B15" s="382">
        <f>SUM('Step 7 Final Adjustments'!B15,'Step 7 Final Adjustments'!C15,'Step 7 Final Adjustments'!D15)</f>
        <v>0</v>
      </c>
      <c r="C15" s="382">
        <f>'Step 7 Final Adjustments'!E15</f>
        <v>0</v>
      </c>
      <c r="D15" s="382"/>
      <c r="E15" s="382">
        <f>'Step 7 Final Adjustments'!G15</f>
        <v>0</v>
      </c>
      <c r="F15" s="382"/>
      <c r="G15" s="382">
        <f>'Step 3 Acad Product &amp; Pools'!L15</f>
        <v>0</v>
      </c>
      <c r="H15" s="382">
        <f>'Step 3 Acad Product &amp; Pools'!M15</f>
        <v>0</v>
      </c>
      <c r="I15" s="382">
        <f>'Step 3 Acad Product &amp; Pools'!N15</f>
        <v>0</v>
      </c>
      <c r="J15" s="382">
        <f>'Step 3 Acad Product &amp; Pools'!O15</f>
        <v>0</v>
      </c>
      <c r="K15" s="382">
        <f>'Step 3 Acad Product &amp; Pools'!P15</f>
        <v>0</v>
      </c>
      <c r="L15" s="382">
        <f>'Step 3 Acad Product &amp; Pools'!Q15</f>
        <v>0</v>
      </c>
      <c r="M15" s="382"/>
      <c r="N15" s="382">
        <f>'Step 1 Dedicated Funds'!N15</f>
        <v>0</v>
      </c>
      <c r="O15" s="382">
        <f>'Step 1 Dedicated Funds'!O15</f>
        <v>0</v>
      </c>
      <c r="P15" s="382">
        <f>'Step 1 Dedicated Funds'!P15</f>
        <v>0</v>
      </c>
      <c r="Q15" s="382">
        <f>'Step 1 Dedicated Funds'!Q15</f>
        <v>0</v>
      </c>
      <c r="R15" s="382">
        <f>'Step 1 Dedicated Funds'!R15</f>
        <v>0</v>
      </c>
      <c r="S15" s="382">
        <f>'Step 1 Dedicated Funds'!S15</f>
        <v>0</v>
      </c>
      <c r="T15" s="382">
        <f>'Step 1 Dedicated Funds'!T15</f>
        <v>0</v>
      </c>
      <c r="U15" s="382"/>
      <c r="V15" s="382">
        <f>SUM('Step 7 Final Adjustments'!N15:P15)</f>
        <v>2000000</v>
      </c>
      <c r="W15" s="54"/>
      <c r="X15" s="382">
        <f>SUM(B15:V15)</f>
        <v>2000000</v>
      </c>
      <c r="Y15" s="168"/>
      <c r="Z15" s="34"/>
    </row>
    <row r="16" spans="1:29">
      <c r="A16" s="179" t="s">
        <v>73</v>
      </c>
      <c r="B16" s="44">
        <f>SUM('Step 7 Final Adjustments'!B16,'Step 7 Final Adjustments'!C16,'Step 7 Final Adjustments'!D16)</f>
        <v>0</v>
      </c>
      <c r="C16" s="44">
        <f>'Step 7 Final Adjustments'!E16</f>
        <v>0</v>
      </c>
      <c r="D16" s="55"/>
      <c r="E16" s="381">
        <f>'Step 7 Final Adjustments'!G16</f>
        <v>0</v>
      </c>
      <c r="F16" s="48"/>
      <c r="G16" s="381">
        <f>'Step 3 Acad Product &amp; Pools'!L16</f>
        <v>4330962.1050008144</v>
      </c>
      <c r="H16" s="381">
        <f>'Step 3 Acad Product &amp; Pools'!M16</f>
        <v>4062828.4382634559</v>
      </c>
      <c r="I16" s="381">
        <f>'Step 3 Acad Product &amp; Pools'!N16</f>
        <v>7438000</v>
      </c>
      <c r="J16" s="381">
        <f>'Step 3 Acad Product &amp; Pools'!O16</f>
        <v>1459316.4883024483</v>
      </c>
      <c r="K16" s="381">
        <f>'Step 3 Acad Product &amp; Pools'!P16</f>
        <v>492908.91727135814</v>
      </c>
      <c r="L16" s="381">
        <f>'Step 3 Acad Product &amp; Pools'!Q16</f>
        <v>2996760.1394493561</v>
      </c>
      <c r="M16" s="48"/>
      <c r="N16" s="381">
        <f>'Step 1 Dedicated Funds'!N16</f>
        <v>-129925.12999999999</v>
      </c>
      <c r="O16" s="381">
        <f>'Step 1 Dedicated Funds'!O16</f>
        <v>952508</v>
      </c>
      <c r="P16" s="381">
        <f>'Step 1 Dedicated Funds'!P16</f>
        <v>0</v>
      </c>
      <c r="Q16" s="381">
        <f>'Step 1 Dedicated Funds'!Q16</f>
        <v>0</v>
      </c>
      <c r="R16" s="381">
        <f>'Step 1 Dedicated Funds'!R16</f>
        <v>524000</v>
      </c>
      <c r="S16" s="381">
        <f>'Step 1 Dedicated Funds'!S16</f>
        <v>279237</v>
      </c>
      <c r="T16" s="381">
        <f>'Step 1 Dedicated Funds'!T16</f>
        <v>1900000</v>
      </c>
      <c r="U16" s="381"/>
      <c r="V16" s="381">
        <f>SUM('Step 7 Final Adjustments'!N16:P16)</f>
        <v>0</v>
      </c>
      <c r="W16" s="55"/>
      <c r="X16" s="381">
        <f t="shared" ref="X16:X34" si="1">SUM(B16:V16)</f>
        <v>24306595.958287429</v>
      </c>
      <c r="Y16" s="168"/>
      <c r="Z16" s="241">
        <v>24815559</v>
      </c>
    </row>
    <row r="17" spans="1:26">
      <c r="A17" s="54" t="s">
        <v>74</v>
      </c>
      <c r="B17" s="48">
        <f>SUM('Step 7 Final Adjustments'!B17,'Step 7 Final Adjustments'!C17,'Step 7 Final Adjustments'!D17)</f>
        <v>0</v>
      </c>
      <c r="C17" s="48">
        <f>'Step 7 Final Adjustments'!E17</f>
        <v>0</v>
      </c>
      <c r="D17" s="55"/>
      <c r="E17" s="382">
        <f>'Step 7 Final Adjustments'!G17</f>
        <v>0</v>
      </c>
      <c r="F17" s="48"/>
      <c r="G17" s="382">
        <f>'Step 3 Acad Product &amp; Pools'!L17</f>
        <v>6098014.0602151724</v>
      </c>
      <c r="H17" s="382">
        <f>'Step 3 Acad Product &amp; Pools'!M17</f>
        <v>5008750.544583492</v>
      </c>
      <c r="I17" s="382">
        <f>'Step 3 Acad Product &amp; Pools'!N17</f>
        <v>4841000</v>
      </c>
      <c r="J17" s="382">
        <f>'Step 3 Acad Product &amp; Pools'!O17</f>
        <v>3661.2158427891541</v>
      </c>
      <c r="K17" s="382">
        <f>'Step 3 Acad Product &amp; Pools'!P17</f>
        <v>1204914.2940596591</v>
      </c>
      <c r="L17" s="382">
        <f>'Step 3 Acad Product &amp; Pools'!Q17</f>
        <v>1415123.0877913125</v>
      </c>
      <c r="M17" s="48"/>
      <c r="N17" s="382">
        <f>'Step 1 Dedicated Funds'!N17</f>
        <v>-27905.178</v>
      </c>
      <c r="O17" s="382">
        <f>'Step 1 Dedicated Funds'!O17</f>
        <v>0</v>
      </c>
      <c r="P17" s="382">
        <f>'Step 1 Dedicated Funds'!P17</f>
        <v>0</v>
      </c>
      <c r="Q17" s="382">
        <f>'Step 1 Dedicated Funds'!Q17</f>
        <v>2842647.8739999998</v>
      </c>
      <c r="R17" s="382">
        <f>'Step 1 Dedicated Funds'!R17</f>
        <v>225000</v>
      </c>
      <c r="S17" s="382">
        <f>'Step 1 Dedicated Funds'!S17</f>
        <v>152097</v>
      </c>
      <c r="T17" s="382">
        <f>'Step 1 Dedicated Funds'!T17</f>
        <v>3000</v>
      </c>
      <c r="U17" s="382"/>
      <c r="V17" s="382">
        <f>SUM('Step 7 Final Adjustments'!N17:P17)</f>
        <v>0</v>
      </c>
      <c r="W17" s="55"/>
      <c r="X17" s="382">
        <f t="shared" si="1"/>
        <v>21766302.898492426</v>
      </c>
      <c r="Y17" s="168"/>
      <c r="Z17" s="821">
        <v>20462422</v>
      </c>
    </row>
    <row r="18" spans="1:26">
      <c r="A18" s="178" t="s">
        <v>75</v>
      </c>
      <c r="B18" s="48">
        <f>SUM('Step 7 Final Adjustments'!B18,'Step 7 Final Adjustments'!C18,'Step 7 Final Adjustments'!D18)</f>
        <v>0</v>
      </c>
      <c r="C18" s="48">
        <f>'Step 7 Final Adjustments'!E18</f>
        <v>0</v>
      </c>
      <c r="D18" s="55"/>
      <c r="E18" s="382">
        <f>'Step 7 Final Adjustments'!G18</f>
        <v>0</v>
      </c>
      <c r="F18" s="48"/>
      <c r="G18" s="382">
        <f>'Step 3 Acad Product &amp; Pools'!L18</f>
        <v>6197731.9396294253</v>
      </c>
      <c r="H18" s="382">
        <f>'Step 3 Acad Product &amp; Pools'!M18</f>
        <v>12887618.959108954</v>
      </c>
      <c r="I18" s="382">
        <f>'Step 3 Acad Product &amp; Pools'!N18</f>
        <v>15471000</v>
      </c>
      <c r="J18" s="382">
        <f>'Step 3 Acad Product &amp; Pools'!O18</f>
        <v>1760533.9184146451</v>
      </c>
      <c r="K18" s="382">
        <f>'Step 3 Acad Product &amp; Pools'!P18</f>
        <v>1970453.1146573103</v>
      </c>
      <c r="L18" s="382">
        <f>'Step 3 Acad Product &amp; Pools'!Q18</f>
        <v>9987494.9167604316</v>
      </c>
      <c r="M18" s="48"/>
      <c r="N18" s="382">
        <f>'Step 1 Dedicated Funds'!N18</f>
        <v>-629629.88800000004</v>
      </c>
      <c r="O18" s="382">
        <f>'Step 1 Dedicated Funds'!O18</f>
        <v>7000000</v>
      </c>
      <c r="P18" s="382">
        <f>'Step 1 Dedicated Funds'!P18</f>
        <v>0</v>
      </c>
      <c r="Q18" s="382">
        <f>'Step 1 Dedicated Funds'!Q18</f>
        <v>9347387.2766666673</v>
      </c>
      <c r="R18" s="382">
        <f>'Step 1 Dedicated Funds'!R18</f>
        <v>1431500</v>
      </c>
      <c r="S18" s="382">
        <f>'Step 1 Dedicated Funds'!S18</f>
        <v>77012</v>
      </c>
      <c r="T18" s="382">
        <f>'Step 1 Dedicated Funds'!T18</f>
        <v>2300000</v>
      </c>
      <c r="U18" s="382"/>
      <c r="V18" s="382">
        <f>SUM('Step 7 Final Adjustments'!N18:P18)</f>
        <v>0</v>
      </c>
      <c r="W18" s="55"/>
      <c r="X18" s="382">
        <f t="shared" si="1"/>
        <v>67801102.237237439</v>
      </c>
      <c r="Y18" s="168"/>
      <c r="Z18" s="821">
        <v>64222079</v>
      </c>
    </row>
    <row r="19" spans="1:26">
      <c r="A19" s="179" t="s">
        <v>76</v>
      </c>
      <c r="B19" s="44">
        <f>SUM('Step 7 Final Adjustments'!B19,'Step 7 Final Adjustments'!C19,'Step 7 Final Adjustments'!D19)</f>
        <v>0</v>
      </c>
      <c r="C19" s="44">
        <f>'Step 7 Final Adjustments'!E19</f>
        <v>750000</v>
      </c>
      <c r="D19" s="55"/>
      <c r="E19" s="381">
        <f>'Step 7 Final Adjustments'!G19</f>
        <v>0</v>
      </c>
      <c r="F19" s="48"/>
      <c r="G19" s="381">
        <f>'Step 3 Acad Product &amp; Pools'!L19</f>
        <v>1032008.4842294791</v>
      </c>
      <c r="H19" s="381">
        <f>'Step 3 Acad Product &amp; Pools'!M19</f>
        <v>1216033.8803664767</v>
      </c>
      <c r="I19" s="381">
        <f>'Step 3 Acad Product &amp; Pools'!N19</f>
        <v>1489000</v>
      </c>
      <c r="J19" s="381">
        <f>'Step 3 Acad Product &amp; Pools'!O19</f>
        <v>351174.30069355096</v>
      </c>
      <c r="K19" s="381">
        <f>'Step 3 Acad Product &amp; Pools'!P19</f>
        <v>186029.68925574538</v>
      </c>
      <c r="L19" s="381">
        <f>'Step 3 Acad Product &amp; Pools'!Q19</f>
        <v>1367226.4321265465</v>
      </c>
      <c r="M19" s="48"/>
      <c r="N19" s="381">
        <f>'Step 1 Dedicated Funds'!N19</f>
        <v>-206605.74669999999</v>
      </c>
      <c r="O19" s="381">
        <f>'Step 1 Dedicated Funds'!O19</f>
        <v>1814888.55</v>
      </c>
      <c r="P19" s="381">
        <f>'Step 1 Dedicated Funds'!P19</f>
        <v>0</v>
      </c>
      <c r="Q19" s="381">
        <f>'Step 1 Dedicated Funds'!Q19</f>
        <v>107227.7</v>
      </c>
      <c r="R19" s="381">
        <f>'Step 1 Dedicated Funds'!R19</f>
        <v>542000</v>
      </c>
      <c r="S19" s="381">
        <f>'Step 1 Dedicated Funds'!S19</f>
        <v>435081</v>
      </c>
      <c r="T19" s="381">
        <f>'Step 1 Dedicated Funds'!T19</f>
        <v>450000</v>
      </c>
      <c r="U19" s="381"/>
      <c r="V19" s="381">
        <f>SUM('Step 7 Final Adjustments'!N19:P19)</f>
        <v>0</v>
      </c>
      <c r="W19" s="55"/>
      <c r="X19" s="381">
        <f t="shared" si="1"/>
        <v>9534064.2899717987</v>
      </c>
      <c r="Y19" s="168"/>
      <c r="Z19" s="241">
        <v>9355600</v>
      </c>
    </row>
    <row r="20" spans="1:26">
      <c r="A20" s="54" t="s">
        <v>77</v>
      </c>
      <c r="B20" s="48">
        <f>SUM('Step 7 Final Adjustments'!B20,'Step 7 Final Adjustments'!C20,'Step 7 Final Adjustments'!D20)</f>
        <v>250000</v>
      </c>
      <c r="C20" s="48">
        <f>'Step 7 Final Adjustments'!E20</f>
        <v>0</v>
      </c>
      <c r="D20" s="55"/>
      <c r="E20" s="382">
        <f>'Step 7 Final Adjustments'!G20</f>
        <v>0</v>
      </c>
      <c r="F20" s="48"/>
      <c r="G20" s="382">
        <f>'Step 3 Acad Product &amp; Pools'!L20</f>
        <v>5388886.6157729132</v>
      </c>
      <c r="H20" s="382">
        <f>'Step 3 Acad Product &amp; Pools'!M20</f>
        <v>4303847.7806698401</v>
      </c>
      <c r="I20" s="382">
        <f>'Step 3 Acad Product &amp; Pools'!N20</f>
        <v>3597000</v>
      </c>
      <c r="J20" s="382">
        <f>'Step 3 Acad Product &amp; Pools'!O20</f>
        <v>696931.98959000909</v>
      </c>
      <c r="K20" s="382">
        <f>'Step 3 Acad Product &amp; Pools'!P20</f>
        <v>981917.66314386949</v>
      </c>
      <c r="L20" s="382">
        <f>'Step 3 Acad Product &amp; Pools'!Q20</f>
        <v>2021194.7388021345</v>
      </c>
      <c r="M20" s="48"/>
      <c r="N20" s="382">
        <f>'Step 1 Dedicated Funds'!N20</f>
        <v>-100853.046</v>
      </c>
      <c r="O20" s="382">
        <f>'Step 1 Dedicated Funds'!O20</f>
        <v>0</v>
      </c>
      <c r="P20" s="382">
        <f>'Step 1 Dedicated Funds'!P20</f>
        <v>0</v>
      </c>
      <c r="Q20" s="382">
        <f>'Step 1 Dedicated Funds'!Q20</f>
        <v>0</v>
      </c>
      <c r="R20" s="382">
        <f>'Step 1 Dedicated Funds'!R20</f>
        <v>1250000</v>
      </c>
      <c r="S20" s="382">
        <f>'Step 1 Dedicated Funds'!S20</f>
        <v>112879</v>
      </c>
      <c r="T20" s="382">
        <f>'Step 1 Dedicated Funds'!T20</f>
        <v>900000</v>
      </c>
      <c r="U20" s="382"/>
      <c r="V20" s="382">
        <f>SUM('Step 7 Final Adjustments'!N20:P20)</f>
        <v>298757.05802123621</v>
      </c>
      <c r="W20" s="55"/>
      <c r="X20" s="382">
        <f t="shared" si="1"/>
        <v>19700561.800000001</v>
      </c>
      <c r="Y20" s="168"/>
      <c r="Z20" s="821">
        <v>20440194</v>
      </c>
    </row>
    <row r="21" spans="1:26">
      <c r="A21" s="178" t="s">
        <v>78</v>
      </c>
      <c r="B21" s="48">
        <f>SUM('Step 7 Final Adjustments'!B21,'Step 7 Final Adjustments'!C21,'Step 7 Final Adjustments'!D21)</f>
        <v>0</v>
      </c>
      <c r="C21" s="48">
        <f>'Step 7 Final Adjustments'!E21</f>
        <v>250000</v>
      </c>
      <c r="D21" s="55"/>
      <c r="E21" s="382">
        <f>'Step 7 Final Adjustments'!G21</f>
        <v>0</v>
      </c>
      <c r="F21" s="48"/>
      <c r="G21" s="382">
        <f>'Step 3 Acad Product &amp; Pools'!L21</f>
        <v>1237465.4375682762</v>
      </c>
      <c r="H21" s="382">
        <f>'Step 3 Acad Product &amp; Pools'!M21</f>
        <v>246651.00639659457</v>
      </c>
      <c r="I21" s="382">
        <f>'Step 3 Acad Product &amp; Pools'!N21</f>
        <v>1817000</v>
      </c>
      <c r="J21" s="382">
        <f>'Step 3 Acad Product &amp; Pools'!O21</f>
        <v>17698.498355001917</v>
      </c>
      <c r="K21" s="382">
        <f>'Step 3 Acad Product &amp; Pools'!P21</f>
        <v>232802.24015642281</v>
      </c>
      <c r="L21" s="382">
        <f>'Step 3 Acad Product &amp; Pools'!Q21</f>
        <v>1137959.8418030241</v>
      </c>
      <c r="M21" s="48"/>
      <c r="N21" s="382">
        <f>'Step 1 Dedicated Funds'!N21</f>
        <v>-5920</v>
      </c>
      <c r="O21" s="382">
        <f>'Step 1 Dedicated Funds'!O21</f>
        <v>0</v>
      </c>
      <c r="P21" s="382">
        <f>'Step 1 Dedicated Funds'!P21</f>
        <v>0</v>
      </c>
      <c r="Q21" s="382">
        <f>'Step 1 Dedicated Funds'!Q21</f>
        <v>0</v>
      </c>
      <c r="R21" s="382">
        <f>'Step 1 Dedicated Funds'!R21</f>
        <v>80000</v>
      </c>
      <c r="S21" s="382">
        <f>'Step 1 Dedicated Funds'!S21</f>
        <v>0</v>
      </c>
      <c r="T21" s="382">
        <f>'Step 1 Dedicated Funds'!T21</f>
        <v>25000</v>
      </c>
      <c r="U21" s="382"/>
      <c r="V21" s="382">
        <f>SUM('Step 7 Final Adjustments'!N21:P21)</f>
        <v>475000</v>
      </c>
      <c r="W21" s="55"/>
      <c r="X21" s="382">
        <f t="shared" si="1"/>
        <v>5513657.0242793197</v>
      </c>
      <c r="Y21" s="168"/>
      <c r="Z21" s="821">
        <v>4830008</v>
      </c>
    </row>
    <row r="22" spans="1:26">
      <c r="A22" s="179" t="s">
        <v>79</v>
      </c>
      <c r="B22" s="44">
        <f>SUM('Step 7 Final Adjustments'!B22,'Step 7 Final Adjustments'!C22,'Step 7 Final Adjustments'!D22)</f>
        <v>300000</v>
      </c>
      <c r="C22" s="44">
        <f>'Step 7 Final Adjustments'!E22</f>
        <v>0</v>
      </c>
      <c r="D22" s="55"/>
      <c r="E22" s="381">
        <f>'Step 7 Final Adjustments'!G22</f>
        <v>0</v>
      </c>
      <c r="F22" s="48"/>
      <c r="G22" s="381">
        <f>'Step 3 Acad Product &amp; Pools'!L22</f>
        <v>20343697.414019994</v>
      </c>
      <c r="H22" s="381">
        <f>'Step 3 Acad Product &amp; Pools'!M22</f>
        <v>6143677.3678060807</v>
      </c>
      <c r="I22" s="381">
        <f>'Step 3 Acad Product &amp; Pools'!N22</f>
        <v>13056000</v>
      </c>
      <c r="J22" s="381">
        <f>'Step 3 Acad Product &amp; Pools'!O22</f>
        <v>72993.153751321035</v>
      </c>
      <c r="K22" s="381">
        <f>'Step 3 Acad Product &amp; Pools'!P22</f>
        <v>1234271.6396475714</v>
      </c>
      <c r="L22" s="381">
        <f>'Step 3 Acad Product &amp; Pools'!Q22</f>
        <v>2005849.1081571057</v>
      </c>
      <c r="M22" s="48"/>
      <c r="N22" s="381">
        <f>'Step 1 Dedicated Funds'!N22</f>
        <v>-124520.466</v>
      </c>
      <c r="O22" s="381">
        <f>'Step 1 Dedicated Funds'!O22</f>
        <v>0</v>
      </c>
      <c r="P22" s="381">
        <f>'Step 1 Dedicated Funds'!P22</f>
        <v>0</v>
      </c>
      <c r="Q22" s="381">
        <f>'Step 1 Dedicated Funds'!Q22</f>
        <v>0</v>
      </c>
      <c r="R22" s="381">
        <f>'Step 1 Dedicated Funds'!R22</f>
        <v>1350000</v>
      </c>
      <c r="S22" s="381">
        <f>'Step 1 Dedicated Funds'!S22</f>
        <v>332709</v>
      </c>
      <c r="T22" s="381">
        <f>'Step 1 Dedicated Funds'!T22</f>
        <v>80000</v>
      </c>
      <c r="U22" s="381"/>
      <c r="V22" s="381">
        <f>SUM('Step 7 Final Adjustments'!N22:P22)</f>
        <v>0</v>
      </c>
      <c r="W22" s="55"/>
      <c r="X22" s="381">
        <f t="shared" si="1"/>
        <v>44794677.217382081</v>
      </c>
      <c r="Y22" s="168"/>
      <c r="Z22" s="241">
        <v>45922830</v>
      </c>
    </row>
    <row r="23" spans="1:26">
      <c r="A23" s="178" t="s">
        <v>80</v>
      </c>
      <c r="B23" s="48">
        <f>SUM('Step 7 Final Adjustments'!B23,'Step 7 Final Adjustments'!C23,'Step 7 Final Adjustments'!D23)</f>
        <v>10875</v>
      </c>
      <c r="C23" s="48">
        <f>'Step 7 Final Adjustments'!E23</f>
        <v>2600000</v>
      </c>
      <c r="D23" s="55"/>
      <c r="E23" s="382">
        <f>'Step 7 Final Adjustments'!G23</f>
        <v>0</v>
      </c>
      <c r="F23" s="48"/>
      <c r="G23" s="382">
        <f>'Step 3 Acad Product &amp; Pools'!L23</f>
        <v>2590882.5638019373</v>
      </c>
      <c r="H23" s="382">
        <f>'Step 3 Acad Product &amp; Pools'!M23</f>
        <v>853875.83086411131</v>
      </c>
      <c r="I23" s="382">
        <f>'Step 3 Acad Product &amp; Pools'!N23</f>
        <v>1385000</v>
      </c>
      <c r="J23" s="382">
        <f>'Step 3 Acad Product &amp; Pools'!O23</f>
        <v>1864879.4057358669</v>
      </c>
      <c r="K23" s="382">
        <f>'Step 3 Acad Product &amp; Pools'!P23</f>
        <v>149350.19466513742</v>
      </c>
      <c r="L23" s="382">
        <f>'Step 3 Acad Product &amp; Pools'!Q23</f>
        <v>1547775.3050429728</v>
      </c>
      <c r="M23" s="48"/>
      <c r="N23" s="382">
        <f>'Step 1 Dedicated Funds'!N23</f>
        <v>-76433.248019999999</v>
      </c>
      <c r="O23" s="382">
        <f>'Step 1 Dedicated Funds'!O23</f>
        <v>3640724.73</v>
      </c>
      <c r="P23" s="382">
        <f>'Step 1 Dedicated Funds'!P23</f>
        <v>0</v>
      </c>
      <c r="Q23" s="382">
        <f>'Step 1 Dedicated Funds'!Q23</f>
        <v>0</v>
      </c>
      <c r="R23" s="382">
        <f>'Step 1 Dedicated Funds'!R23</f>
        <v>372500</v>
      </c>
      <c r="S23" s="382">
        <f>'Step 1 Dedicated Funds'!S23</f>
        <v>19657</v>
      </c>
      <c r="T23" s="382">
        <f>'Step 1 Dedicated Funds'!T23</f>
        <v>4000000</v>
      </c>
      <c r="U23" s="382"/>
      <c r="V23" s="382">
        <f>SUM('Step 7 Final Adjustments'!N23:P23)</f>
        <v>0</v>
      </c>
      <c r="W23" s="55"/>
      <c r="X23" s="382">
        <f t="shared" si="1"/>
        <v>18959086.782090023</v>
      </c>
      <c r="Y23" s="168"/>
      <c r="Z23" s="821">
        <v>14831995</v>
      </c>
    </row>
    <row r="24" spans="1:26">
      <c r="A24" s="178" t="s">
        <v>81</v>
      </c>
      <c r="B24" s="55">
        <f>SUM('Step 7 Final Adjustments'!B24,'Step 7 Final Adjustments'!C24,'Step 7 Final Adjustments'!D24)</f>
        <v>0</v>
      </c>
      <c r="C24" s="55">
        <f>'Step 7 Final Adjustments'!E24</f>
        <v>2930000</v>
      </c>
      <c r="D24" s="55"/>
      <c r="E24" s="383">
        <f>'Step 7 Final Adjustments'!G24</f>
        <v>0</v>
      </c>
      <c r="F24" s="55"/>
      <c r="G24" s="383">
        <f>'Step 3 Acad Product &amp; Pools'!L24</f>
        <v>147592.04373479375</v>
      </c>
      <c r="H24" s="383">
        <f>'Step 3 Acad Product &amp; Pools'!M24</f>
        <v>0</v>
      </c>
      <c r="I24" s="383">
        <f>'Step 3 Acad Product &amp; Pools'!N24</f>
        <v>115000</v>
      </c>
      <c r="J24" s="383">
        <f>'Step 3 Acad Product &amp; Pools'!O24</f>
        <v>190353.50504244954</v>
      </c>
      <c r="K24" s="383">
        <f>'Step 3 Acad Product &amp; Pools'!P24</f>
        <v>55935.712292815158</v>
      </c>
      <c r="L24" s="383">
        <f>'Step 3 Acad Product &amp; Pools'!Q24</f>
        <v>3634566.8862528903</v>
      </c>
      <c r="M24" s="55"/>
      <c r="N24" s="383">
        <f>'Step 1 Dedicated Funds'!N24</f>
        <v>-109608.874</v>
      </c>
      <c r="O24" s="383">
        <f>'Step 1 Dedicated Funds'!O24</f>
        <v>1141201</v>
      </c>
      <c r="P24" s="383">
        <f>'Step 1 Dedicated Funds'!P24</f>
        <v>0</v>
      </c>
      <c r="Q24" s="383">
        <f>'Step 1 Dedicated Funds'!Q24</f>
        <v>4068741.5599999996</v>
      </c>
      <c r="R24" s="383">
        <f>'Step 1 Dedicated Funds'!R24</f>
        <v>340000</v>
      </c>
      <c r="S24" s="383">
        <f>'Step 1 Dedicated Funds'!S24</f>
        <v>0</v>
      </c>
      <c r="T24" s="383">
        <f>'Step 1 Dedicated Funds'!T24</f>
        <v>200000</v>
      </c>
      <c r="U24" s="383"/>
      <c r="V24" s="383">
        <f>SUM('Step 7 Final Adjustments'!N24:P24)</f>
        <v>0</v>
      </c>
      <c r="W24" s="55"/>
      <c r="X24" s="383">
        <f t="shared" si="1"/>
        <v>12713781.83332295</v>
      </c>
      <c r="Y24" s="168"/>
      <c r="Z24" s="821">
        <v>12737398</v>
      </c>
    </row>
    <row r="25" spans="1:26">
      <c r="A25" s="179" t="s">
        <v>82</v>
      </c>
      <c r="B25" s="44">
        <f>SUM('Step 7 Final Adjustments'!B25,'Step 7 Final Adjustments'!C25,'Step 7 Final Adjustments'!D25)</f>
        <v>769226</v>
      </c>
      <c r="C25" s="44">
        <f>'Step 7 Final Adjustments'!E25</f>
        <v>0</v>
      </c>
      <c r="D25" s="55"/>
      <c r="E25" s="381">
        <f>'Step 7 Final Adjustments'!G25</f>
        <v>0</v>
      </c>
      <c r="F25" s="48"/>
      <c r="G25" s="381">
        <f>'Step 3 Acad Product &amp; Pools'!L25</f>
        <v>23013790.883986704</v>
      </c>
      <c r="H25" s="381">
        <f>'Step 3 Acad Product &amp; Pools'!M25</f>
        <v>5193991.1331941113</v>
      </c>
      <c r="I25" s="381">
        <f>'Step 3 Acad Product &amp; Pools'!N25</f>
        <v>6604000</v>
      </c>
      <c r="J25" s="381">
        <f>'Step 3 Acad Product &amp; Pools'!O25</f>
        <v>631019.69091526477</v>
      </c>
      <c r="K25" s="381">
        <f>'Step 3 Acad Product &amp; Pools'!P25</f>
        <v>713716.44515106641</v>
      </c>
      <c r="L25" s="381">
        <f>'Step 3 Acad Product &amp; Pools'!Q25</f>
        <v>3347195.3259247104</v>
      </c>
      <c r="M25" s="48"/>
      <c r="N25" s="381">
        <f>'Step 1 Dedicated Funds'!N25</f>
        <v>-117008.57799999999</v>
      </c>
      <c r="O25" s="381">
        <f>'Step 1 Dedicated Funds'!O25</f>
        <v>0</v>
      </c>
      <c r="P25" s="381">
        <f>'Step 1 Dedicated Funds'!P25</f>
        <v>0</v>
      </c>
      <c r="Q25" s="381">
        <f>'Step 1 Dedicated Funds'!Q25</f>
        <v>0</v>
      </c>
      <c r="R25" s="381">
        <f>'Step 1 Dedicated Funds'!R25</f>
        <v>1355000</v>
      </c>
      <c r="S25" s="381">
        <f>'Step 1 Dedicated Funds'!S25</f>
        <v>226197</v>
      </c>
      <c r="T25" s="381">
        <f>'Step 1 Dedicated Funds'!T25</f>
        <v>800000</v>
      </c>
      <c r="U25" s="381"/>
      <c r="V25" s="381">
        <f>SUM('Step 7 Final Adjustments'!N25:P25)</f>
        <v>1900000</v>
      </c>
      <c r="W25" s="55"/>
      <c r="X25" s="381">
        <f t="shared" si="1"/>
        <v>44437127.901171856</v>
      </c>
      <c r="Y25" s="168"/>
      <c r="Z25" s="241">
        <v>42113801</v>
      </c>
    </row>
    <row r="26" spans="1:26">
      <c r="A26" s="178" t="s">
        <v>83</v>
      </c>
      <c r="B26" s="55">
        <f>SUM('Step 7 Final Adjustments'!B26,'Step 7 Final Adjustments'!C26,'Step 7 Final Adjustments'!D26)</f>
        <v>120828</v>
      </c>
      <c r="C26" s="55">
        <f>'Step 7 Final Adjustments'!E26</f>
        <v>7210000</v>
      </c>
      <c r="D26" s="55"/>
      <c r="E26" s="383">
        <f>'Step 7 Final Adjustments'!G26</f>
        <v>0</v>
      </c>
      <c r="F26" s="55"/>
      <c r="G26" s="383">
        <f>'Step 3 Acad Product &amp; Pools'!L26</f>
        <v>302898.14914308861</v>
      </c>
      <c r="H26" s="383">
        <f>'Step 3 Acad Product &amp; Pools'!M26</f>
        <v>0</v>
      </c>
      <c r="I26" s="383">
        <f>'Step 3 Acad Product &amp; Pools'!N26</f>
        <v>0</v>
      </c>
      <c r="J26" s="383">
        <f>'Step 3 Acad Product &amp; Pools'!O26</f>
        <v>139434.01238899163</v>
      </c>
      <c r="K26" s="383">
        <f>'Step 3 Acad Product &amp; Pools'!P26</f>
        <v>17381.675886031815</v>
      </c>
      <c r="L26" s="383">
        <f>'Step 3 Acad Product &amp; Pools'!Q26</f>
        <v>2419899.3325825199</v>
      </c>
      <c r="M26" s="55"/>
      <c r="N26" s="383">
        <f>'Step 1 Dedicated Funds'!N26</f>
        <v>-1047873.6699999999</v>
      </c>
      <c r="O26" s="383">
        <f>'Step 1 Dedicated Funds'!O26</f>
        <v>5160455</v>
      </c>
      <c r="P26" s="383">
        <f>'Step 1 Dedicated Funds'!P26</f>
        <v>0</v>
      </c>
      <c r="Q26" s="383">
        <f>'Step 1 Dedicated Funds'!Q26</f>
        <v>2986244.48</v>
      </c>
      <c r="R26" s="383">
        <f>'Step 1 Dedicated Funds'!R26</f>
        <v>9000000</v>
      </c>
      <c r="S26" s="383">
        <f>'Step 1 Dedicated Funds'!S26</f>
        <v>0</v>
      </c>
      <c r="T26" s="383">
        <f>'Step 1 Dedicated Funds'!T26</f>
        <v>140000</v>
      </c>
      <c r="U26" s="383"/>
      <c r="V26" s="383">
        <f>SUM('Step 7 Final Adjustments'!N26:P26)</f>
        <v>0</v>
      </c>
      <c r="W26" s="55"/>
      <c r="X26" s="383">
        <f t="shared" si="1"/>
        <v>26449266.98000063</v>
      </c>
      <c r="Y26" s="168"/>
      <c r="Z26" s="821">
        <v>24909417</v>
      </c>
    </row>
    <row r="27" spans="1:26">
      <c r="A27" s="178" t="s">
        <v>84</v>
      </c>
      <c r="B27" s="48">
        <f>SUM('Step 7 Final Adjustments'!B27,'Step 7 Final Adjustments'!C27,'Step 7 Final Adjustments'!D27)</f>
        <v>0</v>
      </c>
      <c r="C27" s="48">
        <f>'Step 7 Final Adjustments'!E27</f>
        <v>0</v>
      </c>
      <c r="D27" s="55"/>
      <c r="E27" s="382">
        <f>'Step 7 Final Adjustments'!G27</f>
        <v>0</v>
      </c>
      <c r="F27" s="48"/>
      <c r="G27" s="382">
        <f>'Step 3 Acad Product &amp; Pools'!L27</f>
        <v>0</v>
      </c>
      <c r="H27" s="382">
        <f>'Step 3 Acad Product &amp; Pools'!M27</f>
        <v>0</v>
      </c>
      <c r="I27" s="382">
        <f>'Step 3 Acad Product &amp; Pools'!N27</f>
        <v>0</v>
      </c>
      <c r="J27" s="382">
        <f>'Step 3 Acad Product &amp; Pools'!O27</f>
        <v>0</v>
      </c>
      <c r="K27" s="382">
        <f>'Step 3 Acad Product &amp; Pools'!P27</f>
        <v>0</v>
      </c>
      <c r="L27" s="382">
        <f>'Step 3 Acad Product &amp; Pools'!Q27</f>
        <v>0</v>
      </c>
      <c r="M27" s="48"/>
      <c r="N27" s="382">
        <f>'Step 1 Dedicated Funds'!N27</f>
        <v>0</v>
      </c>
      <c r="O27" s="382">
        <f>'Step 1 Dedicated Funds'!O27</f>
        <v>0</v>
      </c>
      <c r="P27" s="382">
        <f>'Step 1 Dedicated Funds'!P27</f>
        <v>0</v>
      </c>
      <c r="Q27" s="382">
        <f>'Step 1 Dedicated Funds'!Q27</f>
        <v>0</v>
      </c>
      <c r="R27" s="382">
        <f>'Step 1 Dedicated Funds'!R27</f>
        <v>0</v>
      </c>
      <c r="S27" s="382">
        <f>'Step 1 Dedicated Funds'!S27</f>
        <v>0</v>
      </c>
      <c r="T27" s="382">
        <f>'Step 1 Dedicated Funds'!T27</f>
        <v>0</v>
      </c>
      <c r="U27" s="382"/>
      <c r="V27" s="382">
        <f>SUM('Step 7 Final Adjustments'!N27:P27)</f>
        <v>0</v>
      </c>
      <c r="W27" s="55"/>
      <c r="X27" s="382">
        <f t="shared" si="1"/>
        <v>0</v>
      </c>
      <c r="Y27" s="168"/>
      <c r="Z27" s="821">
        <v>543366</v>
      </c>
    </row>
    <row r="28" spans="1:26">
      <c r="A28" s="179" t="s">
        <v>85</v>
      </c>
      <c r="B28" s="44">
        <f>SUM('Step 7 Final Adjustments'!B28,'Step 7 Final Adjustments'!C28,'Step 7 Final Adjustments'!D28)</f>
        <v>0</v>
      </c>
      <c r="C28" s="44">
        <f>'Step 7 Final Adjustments'!E28</f>
        <v>0</v>
      </c>
      <c r="D28" s="55"/>
      <c r="E28" s="381">
        <f>'Step 7 Final Adjustments'!G28</f>
        <v>0</v>
      </c>
      <c r="F28" s="48"/>
      <c r="G28" s="381">
        <f>'Step 3 Acad Product &amp; Pools'!L28</f>
        <v>1134692.1551494014</v>
      </c>
      <c r="H28" s="381">
        <f>'Step 3 Acad Product &amp; Pools'!M28</f>
        <v>708809.78308782657</v>
      </c>
      <c r="I28" s="381">
        <f>'Step 3 Acad Product &amp; Pools'!N28</f>
        <v>1000</v>
      </c>
      <c r="J28" s="381">
        <f>'Step 3 Acad Product &amp; Pools'!O28</f>
        <v>0</v>
      </c>
      <c r="K28" s="381">
        <f>'Step 3 Acad Product &amp; Pools'!P28</f>
        <v>2552.3560206654997</v>
      </c>
      <c r="L28" s="381">
        <f>'Step 3 Acad Product &amp; Pools'!Q28</f>
        <v>0</v>
      </c>
      <c r="M28" s="48"/>
      <c r="N28" s="381">
        <f>'Step 1 Dedicated Funds'!N28</f>
        <v>-12506</v>
      </c>
      <c r="O28" s="381">
        <f>'Step 1 Dedicated Funds'!O28</f>
        <v>0</v>
      </c>
      <c r="P28" s="381">
        <f>'Step 1 Dedicated Funds'!P28</f>
        <v>0</v>
      </c>
      <c r="Q28" s="381">
        <f>'Step 1 Dedicated Funds'!Q28</f>
        <v>1439386</v>
      </c>
      <c r="R28" s="381">
        <f>'Step 1 Dedicated Funds'!R28</f>
        <v>169000</v>
      </c>
      <c r="S28" s="381">
        <f>'Step 1 Dedicated Funds'!S28</f>
        <v>0</v>
      </c>
      <c r="T28" s="381">
        <f>'Step 1 Dedicated Funds'!T28</f>
        <v>0</v>
      </c>
      <c r="U28" s="381"/>
      <c r="V28" s="381">
        <f>SUM('Step 7 Final Adjustments'!N28:P28)</f>
        <v>-400000</v>
      </c>
      <c r="W28" s="55"/>
      <c r="X28" s="381">
        <f t="shared" si="1"/>
        <v>3042934.2942578932</v>
      </c>
      <c r="Y28" s="168"/>
      <c r="Z28" s="241">
        <v>2839964</v>
      </c>
    </row>
    <row r="29" spans="1:26">
      <c r="A29" s="54" t="s">
        <v>87</v>
      </c>
      <c r="B29" s="55">
        <f>SUM('Step 7 Final Adjustments'!B29,'Step 7 Final Adjustments'!C29,'Step 7 Final Adjustments'!D29)</f>
        <v>0</v>
      </c>
      <c r="C29" s="55">
        <f>'Step 7 Final Adjustments'!E29</f>
        <v>0</v>
      </c>
      <c r="D29" s="55"/>
      <c r="E29" s="55">
        <f>'Step 7 Final Adjustments'!G29</f>
        <v>106593</v>
      </c>
      <c r="F29" s="55"/>
      <c r="G29" s="55">
        <f>'Step 3 Acad Product &amp; Pools'!L29</f>
        <v>0</v>
      </c>
      <c r="H29" s="55">
        <f>'Step 3 Acad Product &amp; Pools'!M29</f>
        <v>0</v>
      </c>
      <c r="I29" s="55">
        <f>'Step 3 Acad Product &amp; Pools'!N29</f>
        <v>0</v>
      </c>
      <c r="J29" s="55">
        <f>'Step 3 Acad Product &amp; Pools'!O29</f>
        <v>0</v>
      </c>
      <c r="K29" s="55">
        <f>'Step 3 Acad Product &amp; Pools'!P29</f>
        <v>0</v>
      </c>
      <c r="L29" s="55">
        <f>'Step 3 Acad Product &amp; Pools'!Q29</f>
        <v>0</v>
      </c>
      <c r="M29" s="55"/>
      <c r="N29" s="55">
        <f>'Step 1 Dedicated Funds'!N29</f>
        <v>0</v>
      </c>
      <c r="O29" s="55">
        <f>'Step 1 Dedicated Funds'!O29</f>
        <v>0</v>
      </c>
      <c r="P29" s="55">
        <f>'Step 1 Dedicated Funds'!P29</f>
        <v>0</v>
      </c>
      <c r="Q29" s="55">
        <f>'Step 1 Dedicated Funds'!Q29</f>
        <v>0</v>
      </c>
      <c r="R29" s="55">
        <f>'Step 1 Dedicated Funds'!R29</f>
        <v>20115497</v>
      </c>
      <c r="S29" s="55">
        <f>'Step 1 Dedicated Funds'!S29</f>
        <v>0</v>
      </c>
      <c r="T29" s="55">
        <f>'Step 1 Dedicated Funds'!T29</f>
        <v>0</v>
      </c>
      <c r="U29" s="55"/>
      <c r="V29" s="55">
        <f>SUM('Step 7 Final Adjustments'!N29:P29)</f>
        <v>0</v>
      </c>
      <c r="W29" s="55"/>
      <c r="X29" s="55">
        <f t="shared" si="1"/>
        <v>20222090</v>
      </c>
      <c r="Y29" s="168"/>
      <c r="Z29" s="821">
        <v>18786975</v>
      </c>
    </row>
    <row r="30" spans="1:26">
      <c r="A30" s="178" t="s">
        <v>88</v>
      </c>
      <c r="B30" s="48">
        <f>SUM('Step 7 Final Adjustments'!B30,'Step 7 Final Adjustments'!C30,'Step 7 Final Adjustments'!D30)</f>
        <v>0</v>
      </c>
      <c r="C30" s="48">
        <f>'Step 7 Final Adjustments'!E30</f>
        <v>0</v>
      </c>
      <c r="D30" s="55"/>
      <c r="E30" s="48">
        <f>'Step 7 Final Adjustments'!G30</f>
        <v>0</v>
      </c>
      <c r="F30" s="48"/>
      <c r="G30" s="48">
        <f>'Step 3 Acad Product &amp; Pools'!L30</f>
        <v>0</v>
      </c>
      <c r="H30" s="48">
        <f>'Step 3 Acad Product &amp; Pools'!M30</f>
        <v>0</v>
      </c>
      <c r="I30" s="48">
        <f>'Step 3 Acad Product &amp; Pools'!N30</f>
        <v>0</v>
      </c>
      <c r="J30" s="48">
        <f>'Step 3 Acad Product &amp; Pools'!O30</f>
        <v>0</v>
      </c>
      <c r="K30" s="48">
        <f>'Step 3 Acad Product &amp; Pools'!P30</f>
        <v>0</v>
      </c>
      <c r="L30" s="48">
        <f>'Step 3 Acad Product &amp; Pools'!Q30</f>
        <v>0</v>
      </c>
      <c r="M30" s="48"/>
      <c r="N30" s="48">
        <f>'Step 1 Dedicated Funds'!N30</f>
        <v>0</v>
      </c>
      <c r="O30" s="48">
        <f>'Step 1 Dedicated Funds'!O30</f>
        <v>0</v>
      </c>
      <c r="P30" s="48">
        <f>'Step 1 Dedicated Funds'!P30</f>
        <v>0</v>
      </c>
      <c r="Q30" s="48">
        <f>'Step 1 Dedicated Funds'!Q30</f>
        <v>0</v>
      </c>
      <c r="R30" s="48">
        <f>'Step 1 Dedicated Funds'!R30</f>
        <v>0</v>
      </c>
      <c r="S30" s="48">
        <f>'Step 1 Dedicated Funds'!S30</f>
        <v>0</v>
      </c>
      <c r="T30" s="48">
        <f>'Step 1 Dedicated Funds'!T30</f>
        <v>3440000</v>
      </c>
      <c r="U30" s="48"/>
      <c r="V30" s="48">
        <f>SUM('Step 7 Final Adjustments'!N30:P30)</f>
        <v>0</v>
      </c>
      <c r="W30" s="55"/>
      <c r="X30" s="48">
        <f t="shared" si="1"/>
        <v>3440000</v>
      </c>
      <c r="Y30" s="168"/>
      <c r="Z30" s="241">
        <v>3296000</v>
      </c>
    </row>
    <row r="31" spans="1:26">
      <c r="A31" s="368" t="s">
        <v>461</v>
      </c>
      <c r="B31" s="228">
        <f>SUM('Step 7 Final Adjustments'!B31,'Step 7 Final Adjustments'!C31,'Step 7 Final Adjustments'!D31)</f>
        <v>0</v>
      </c>
      <c r="C31" s="228">
        <f>'Step 7 Final Adjustments'!E31</f>
        <v>0</v>
      </c>
      <c r="D31" s="55"/>
      <c r="E31" s="228">
        <f>'Step 7 Final Adjustments'!G31</f>
        <v>498436.67197615036</v>
      </c>
      <c r="F31" s="48"/>
      <c r="G31" s="228">
        <f>'Step 3 Acad Product &amp; Pools'!L31</f>
        <v>143634.2346562871</v>
      </c>
      <c r="H31" s="228">
        <f>'Step 3 Acad Product &amp; Pools'!M31</f>
        <v>0</v>
      </c>
      <c r="I31" s="228">
        <f>'Step 3 Acad Product &amp; Pools'!N31</f>
        <v>186000</v>
      </c>
      <c r="J31" s="228">
        <f>'Step 3 Acad Product &amp; Pools'!O31</f>
        <v>0</v>
      </c>
      <c r="K31" s="228">
        <f>'Step 3 Acad Product &amp; Pools'!P31</f>
        <v>1667.0933675625088</v>
      </c>
      <c r="L31" s="228">
        <f>'Step 3 Acad Product &amp; Pools'!Q31</f>
        <v>0</v>
      </c>
      <c r="M31" s="48"/>
      <c r="N31" s="228">
        <f>'Step 1 Dedicated Funds'!N31</f>
        <v>-259</v>
      </c>
      <c r="O31" s="228">
        <f>'Step 1 Dedicated Funds'!O31</f>
        <v>0</v>
      </c>
      <c r="P31" s="228">
        <f>'Step 1 Dedicated Funds'!P31</f>
        <v>0</v>
      </c>
      <c r="Q31" s="228">
        <f>'Step 1 Dedicated Funds'!Q31</f>
        <v>0</v>
      </c>
      <c r="R31" s="228">
        <f>'Step 1 Dedicated Funds'!R31</f>
        <v>3500</v>
      </c>
      <c r="S31" s="228">
        <f>'Step 1 Dedicated Funds'!S31</f>
        <v>0</v>
      </c>
      <c r="T31" s="228">
        <f>'Step 1 Dedicated Funds'!T31</f>
        <v>0</v>
      </c>
      <c r="U31" s="228"/>
      <c r="V31" s="228">
        <f>SUM('Step 7 Final Adjustments'!N31:P31)</f>
        <v>0</v>
      </c>
      <c r="W31" s="55"/>
      <c r="X31" s="228">
        <f t="shared" si="1"/>
        <v>832979</v>
      </c>
      <c r="Y31" s="168"/>
      <c r="Z31" s="821">
        <v>4706010</v>
      </c>
    </row>
    <row r="32" spans="1:26">
      <c r="A32" s="367" t="s">
        <v>462</v>
      </c>
      <c r="B32" s="55">
        <f>SUM('Step 7 Final Adjustments'!B32,'Step 7 Final Adjustments'!C32,'Step 7 Final Adjustments'!D32)</f>
        <v>0</v>
      </c>
      <c r="C32" s="55">
        <f>'Step 7 Final Adjustments'!E32</f>
        <v>0</v>
      </c>
      <c r="D32" s="55"/>
      <c r="E32" s="55">
        <f>'Step 7 Final Adjustments'!G32</f>
        <v>0</v>
      </c>
      <c r="F32" s="55"/>
      <c r="G32" s="55">
        <f>'Step 3 Acad Product &amp; Pools'!L32</f>
        <v>330785.37515803892</v>
      </c>
      <c r="H32" s="55">
        <f>'Step 3 Acad Product &amp; Pools'!M32</f>
        <v>0</v>
      </c>
      <c r="I32" s="55">
        <f>'Step 3 Acad Product &amp; Pools'!N32</f>
        <v>358000</v>
      </c>
      <c r="J32" s="55">
        <f>'Step 3 Acad Product &amp; Pools'!O32</f>
        <v>0</v>
      </c>
      <c r="K32" s="55">
        <f>'Step 3 Acad Product &amp; Pools'!P32</f>
        <v>65920.930355003642</v>
      </c>
      <c r="L32" s="55">
        <f>'Step 3 Acad Product &amp; Pools'!Q32</f>
        <v>619822.66477974958</v>
      </c>
      <c r="M32" s="55"/>
      <c r="N32" s="55">
        <f>'Step 1 Dedicated Funds'!N32</f>
        <v>0</v>
      </c>
      <c r="O32" s="55">
        <f>'Step 1 Dedicated Funds'!O32</f>
        <v>0</v>
      </c>
      <c r="P32" s="55">
        <f>'Step 1 Dedicated Funds'!P32</f>
        <v>0</v>
      </c>
      <c r="Q32" s="55">
        <f>'Step 1 Dedicated Funds'!Q32</f>
        <v>0</v>
      </c>
      <c r="R32" s="55">
        <f>'Step 1 Dedicated Funds'!R32</f>
        <v>0</v>
      </c>
      <c r="S32" s="55">
        <f>'Step 1 Dedicated Funds'!S32</f>
        <v>0</v>
      </c>
      <c r="T32" s="55">
        <f>'Step 1 Dedicated Funds'!T32</f>
        <v>0</v>
      </c>
      <c r="U32" s="55"/>
      <c r="V32" s="55">
        <f>SUM('Step 7 Final Adjustments'!N32:P32)</f>
        <v>-400000</v>
      </c>
      <c r="W32" s="55"/>
      <c r="X32" s="55">
        <f t="shared" si="1"/>
        <v>974528.97029279219</v>
      </c>
      <c r="Y32" s="168"/>
      <c r="Z32" s="821">
        <v>838394</v>
      </c>
    </row>
    <row r="33" spans="1:26">
      <c r="A33" s="178" t="s">
        <v>89</v>
      </c>
      <c r="B33" s="48">
        <f>SUM('Step 7 Final Adjustments'!B33,'Step 7 Final Adjustments'!C33,'Step 7 Final Adjustments'!D33)</f>
        <v>0</v>
      </c>
      <c r="C33" s="48">
        <f>'Step 7 Final Adjustments'!E33</f>
        <v>0</v>
      </c>
      <c r="D33" s="55"/>
      <c r="E33" s="48">
        <f>'Step 7 Final Adjustments'!G33</f>
        <v>12358980.418667037</v>
      </c>
      <c r="F33" s="48"/>
      <c r="G33" s="48">
        <f>'Step 3 Acad Product &amp; Pools'!L33</f>
        <v>0</v>
      </c>
      <c r="H33" s="48">
        <f>'Step 3 Acad Product &amp; Pools'!M33</f>
        <v>0</v>
      </c>
      <c r="I33" s="48">
        <f>'Step 3 Acad Product &amp; Pools'!N33</f>
        <v>0</v>
      </c>
      <c r="J33" s="48">
        <f>'Step 3 Acad Product &amp; Pools'!O33</f>
        <v>3206.9413329626632</v>
      </c>
      <c r="K33" s="48">
        <f>'Step 3 Acad Product &amp; Pools'!P33</f>
        <v>0</v>
      </c>
      <c r="L33" s="48">
        <f>'Step 3 Acad Product &amp; Pools'!Q33</f>
        <v>0</v>
      </c>
      <c r="M33" s="48"/>
      <c r="N33" s="48">
        <f>'Step 1 Dedicated Funds'!N33</f>
        <v>-22210.36</v>
      </c>
      <c r="O33" s="48">
        <f>'Step 1 Dedicated Funds'!O33</f>
        <v>49413</v>
      </c>
      <c r="P33" s="48">
        <f>'Step 1 Dedicated Funds'!P33</f>
        <v>0</v>
      </c>
      <c r="Q33" s="48">
        <f>'Step 1 Dedicated Funds'!Q33</f>
        <v>0</v>
      </c>
      <c r="R33" s="48">
        <f>'Step 1 Dedicated Funds'!R33</f>
        <v>140000</v>
      </c>
      <c r="S33" s="48">
        <f>'Step 1 Dedicated Funds'!S33</f>
        <v>110727</v>
      </c>
      <c r="T33" s="48">
        <f>'Step 1 Dedicated Funds'!T33</f>
        <v>2580000</v>
      </c>
      <c r="U33" s="48"/>
      <c r="V33" s="48">
        <f>SUM('Step 7 Final Adjustments'!N33:P33)</f>
        <v>0</v>
      </c>
      <c r="W33" s="48"/>
      <c r="X33">
        <f t="shared" si="1"/>
        <v>15220117</v>
      </c>
      <c r="Y33" s="168"/>
      <c r="Z33" s="241">
        <v>14579961</v>
      </c>
    </row>
    <row r="34" spans="1:26">
      <c r="A34" s="368" t="s">
        <v>90</v>
      </c>
      <c r="B34" s="228">
        <f>SUM('Step 7 Final Adjustments'!B34,'Step 7 Final Adjustments'!C34,'Step 7 Final Adjustments'!D34)</f>
        <v>0</v>
      </c>
      <c r="C34" s="228">
        <f>'Step 7 Final Adjustments'!E34</f>
        <v>8400000</v>
      </c>
      <c r="D34" s="55"/>
      <c r="E34" s="384">
        <f>'Step 7 Final Adjustments'!G34</f>
        <v>0</v>
      </c>
      <c r="F34" s="48"/>
      <c r="G34" s="384">
        <f>'Step 3 Acad Product &amp; Pools'!L34</f>
        <v>0</v>
      </c>
      <c r="H34" s="384">
        <f>'Step 3 Acad Product &amp; Pools'!M34</f>
        <v>0</v>
      </c>
      <c r="I34" s="384">
        <f>'Step 3 Acad Product &amp; Pools'!N34</f>
        <v>0</v>
      </c>
      <c r="J34" s="384">
        <f>'Step 3 Acad Product &amp; Pools'!O34</f>
        <v>849637.58558934915</v>
      </c>
      <c r="K34" s="384">
        <f>'Step 3 Acad Product &amp; Pools'!P34</f>
        <v>0</v>
      </c>
      <c r="L34" s="384">
        <f>'Step 3 Acad Product &amp; Pools'!Q34</f>
        <v>0</v>
      </c>
      <c r="M34" s="48"/>
      <c r="N34" s="384">
        <f>'Step 1 Dedicated Funds'!N34</f>
        <v>-100546.11176</v>
      </c>
      <c r="O34" s="384">
        <f>'Step 1 Dedicated Funds'!O34</f>
        <v>476964.24</v>
      </c>
      <c r="P34" s="384">
        <f>'Step 1 Dedicated Funds'!P34</f>
        <v>0</v>
      </c>
      <c r="Q34" s="384">
        <f>'Step 1 Dedicated Funds'!Q34</f>
        <v>0</v>
      </c>
      <c r="R34" s="384">
        <f>'Step 1 Dedicated Funds'!R34</f>
        <v>725000</v>
      </c>
      <c r="S34" s="384">
        <f>'Step 1 Dedicated Funds'!S34</f>
        <v>156767</v>
      </c>
      <c r="T34" s="384">
        <f>'Step 1 Dedicated Funds'!T34</f>
        <v>1000000</v>
      </c>
      <c r="U34" s="384"/>
      <c r="V34" s="384">
        <f>SUM('Step 7 Final Adjustments'!N34:P34)</f>
        <v>0</v>
      </c>
      <c r="W34" s="55"/>
      <c r="X34" s="384">
        <f t="shared" si="1"/>
        <v>11507822.71382935</v>
      </c>
      <c r="Y34" s="168"/>
      <c r="Z34" s="821">
        <v>11354044</v>
      </c>
    </row>
    <row r="35" spans="1:26">
      <c r="A35" s="371" t="s">
        <v>91</v>
      </c>
      <c r="B35" s="372">
        <f>SUM(B16:B34)</f>
        <v>1450929</v>
      </c>
      <c r="C35" s="372">
        <f>SUM(C16:C34)</f>
        <v>22140000</v>
      </c>
      <c r="D35" s="658"/>
      <c r="E35" s="372">
        <f>SUM(E16:E34)</f>
        <v>12964010.090643188</v>
      </c>
      <c r="F35" s="372">
        <f t="shared" ref="F35:L35" si="2">SUM(F16:F34)</f>
        <v>0</v>
      </c>
      <c r="G35" s="372">
        <f t="shared" si="2"/>
        <v>72293041.462066323</v>
      </c>
      <c r="H35" s="372">
        <f t="shared" si="2"/>
        <v>40626084.724340945</v>
      </c>
      <c r="I35" s="372">
        <f t="shared" si="2"/>
        <v>56358000</v>
      </c>
      <c r="J35" s="372">
        <f t="shared" si="2"/>
        <v>8040840.7059546504</v>
      </c>
      <c r="K35" s="372">
        <f t="shared" si="2"/>
        <v>7309821.9659302207</v>
      </c>
      <c r="L35" s="372">
        <f t="shared" si="2"/>
        <v>32500867.779472753</v>
      </c>
      <c r="M35" s="372"/>
      <c r="N35" s="372">
        <f t="shared" ref="N35:T35" si="3">SUM(N16:N34)</f>
        <v>-2711805.29648</v>
      </c>
      <c r="O35" s="372">
        <f t="shared" si="3"/>
        <v>20236154.52</v>
      </c>
      <c r="P35" s="372">
        <f t="shared" si="3"/>
        <v>0</v>
      </c>
      <c r="Q35" s="372">
        <f t="shared" si="3"/>
        <v>20791634.890666667</v>
      </c>
      <c r="R35" s="372">
        <f t="shared" si="3"/>
        <v>37622997</v>
      </c>
      <c r="S35" s="372">
        <f t="shared" si="3"/>
        <v>1902363</v>
      </c>
      <c r="T35" s="372">
        <f t="shared" si="3"/>
        <v>17818000</v>
      </c>
      <c r="U35" s="659"/>
      <c r="V35" s="372">
        <f>SUM(V15:V34)</f>
        <v>3873757.0580212362</v>
      </c>
      <c r="W35" s="659"/>
      <c r="X35" s="372">
        <f>SUM(X15:X34)</f>
        <v>353216696.90061599</v>
      </c>
      <c r="Y35" s="168"/>
      <c r="Z35" s="372">
        <f>SUM(Z16:Z34)</f>
        <v>341586017</v>
      </c>
    </row>
    <row r="36" spans="1:26">
      <c r="A36" s="178"/>
      <c r="B36" s="46"/>
      <c r="C36" s="46"/>
      <c r="D36" s="181"/>
      <c r="E36" s="46"/>
      <c r="F36" s="46"/>
      <c r="G36" s="46"/>
      <c r="H36" s="46"/>
      <c r="I36" s="46"/>
      <c r="J36" s="46"/>
      <c r="K36" s="46"/>
      <c r="L36" s="46"/>
      <c r="M36" s="46"/>
      <c r="N36" s="46"/>
      <c r="O36" s="46"/>
      <c r="P36" s="46"/>
      <c r="Q36" s="46"/>
      <c r="R36" s="46"/>
      <c r="S36" s="46"/>
      <c r="T36" s="46"/>
      <c r="U36" s="46"/>
      <c r="V36" s="46"/>
      <c r="W36" s="46"/>
      <c r="X36" s="46"/>
      <c r="Y36" s="168"/>
      <c r="Z36" s="43"/>
    </row>
    <row r="37" spans="1:26">
      <c r="A37" s="168"/>
      <c r="D37" s="47"/>
      <c r="F37" s="46"/>
      <c r="M37" s="46"/>
      <c r="W37" s="46"/>
      <c r="Y37" s="173"/>
      <c r="Z37" s="173"/>
    </row>
    <row r="38" spans="1:26">
      <c r="A38" s="54" t="s">
        <v>92</v>
      </c>
      <c r="B38" s="55"/>
      <c r="C38" s="55"/>
      <c r="D38" s="47"/>
      <c r="E38" s="55"/>
      <c r="F38" s="55"/>
      <c r="G38" s="55"/>
      <c r="H38" s="55"/>
      <c r="I38" s="55"/>
      <c r="J38" s="55"/>
      <c r="K38" s="55"/>
      <c r="L38" s="55"/>
      <c r="M38" s="55"/>
      <c r="N38" s="55"/>
      <c r="O38" s="55"/>
      <c r="P38" s="55"/>
      <c r="Q38" s="55"/>
      <c r="R38" s="55"/>
      <c r="S38" s="55"/>
      <c r="T38" s="55"/>
      <c r="U38" s="55"/>
      <c r="V38" s="55"/>
      <c r="W38" s="55"/>
      <c r="X38" s="55"/>
      <c r="Y38" s="168"/>
      <c r="Z38" s="55"/>
    </row>
    <row r="39" spans="1:26">
      <c r="A39" s="179" t="s">
        <v>93</v>
      </c>
      <c r="B39" s="44">
        <f>SUM('Step 7 Final Adjustments'!B39,'Step 7 Final Adjustments'!C39,'Step 7 Final Adjustments'!D39)</f>
        <v>9171356</v>
      </c>
      <c r="C39" s="44">
        <f>'Step 7 Final Adjustments'!E39</f>
        <v>0</v>
      </c>
      <c r="D39" s="55"/>
      <c r="E39" s="381">
        <f>'Step 7 Final Adjustments'!G39</f>
        <v>0</v>
      </c>
      <c r="F39" s="183"/>
      <c r="G39" s="381">
        <f>'Step 3 Acad Product &amp; Pools'!L39</f>
        <v>0</v>
      </c>
      <c r="H39" s="381">
        <f>'Step 3 Acad Product &amp; Pools'!M39</f>
        <v>0</v>
      </c>
      <c r="I39" s="381">
        <f>'Step 3 Acad Product &amp; Pools'!N39</f>
        <v>0</v>
      </c>
      <c r="J39" s="381">
        <f>'Step 3 Acad Product &amp; Pools'!O39</f>
        <v>11.536233093548432</v>
      </c>
      <c r="K39" s="381">
        <f>'Step 3 Acad Product &amp; Pools'!P39</f>
        <v>0</v>
      </c>
      <c r="L39" s="381">
        <f>'Step 3 Acad Product &amp; Pools'!Q39</f>
        <v>0</v>
      </c>
      <c r="M39" s="48"/>
      <c r="N39" s="381">
        <f>'Step 1 Dedicated Funds'!N39</f>
        <v>0</v>
      </c>
      <c r="O39" s="381">
        <f>'Step 1 Dedicated Funds'!O39</f>
        <v>0</v>
      </c>
      <c r="P39" s="381">
        <f>'Step 1 Dedicated Funds'!P39</f>
        <v>0</v>
      </c>
      <c r="Q39" s="381">
        <f>'Step 1 Dedicated Funds'!Q39</f>
        <v>0</v>
      </c>
      <c r="R39" s="381">
        <f>'Step 1 Dedicated Funds'!R39</f>
        <v>0</v>
      </c>
      <c r="S39" s="381">
        <f>'Step 1 Dedicated Funds'!S39</f>
        <v>0</v>
      </c>
      <c r="T39" s="381">
        <f>'Step 1 Dedicated Funds'!T39</f>
        <v>0</v>
      </c>
      <c r="U39" s="381"/>
      <c r="V39" s="381">
        <f>SUM('Step 7 Final Adjustments'!N39:P39)</f>
        <v>0</v>
      </c>
      <c r="W39" s="55"/>
      <c r="X39" s="381">
        <f t="shared" ref="X39:X57" si="4">SUM(B39:V39)</f>
        <v>9171367.5362330936</v>
      </c>
      <c r="Y39" s="168"/>
      <c r="Z39" s="241">
        <v>8383602</v>
      </c>
    </row>
    <row r="40" spans="1:26">
      <c r="A40" s="367" t="s">
        <v>344</v>
      </c>
      <c r="B40" s="55">
        <f>SUM('Step 7 Final Adjustments'!B40,'Step 7 Final Adjustments'!C40,'Step 7 Final Adjustments'!D40)</f>
        <v>7340700</v>
      </c>
      <c r="C40" s="55">
        <f>'Step 7 Final Adjustments'!E40</f>
        <v>0</v>
      </c>
      <c r="D40" s="184"/>
      <c r="E40" s="383"/>
      <c r="F40" s="55"/>
      <c r="G40" s="383"/>
      <c r="H40" s="383"/>
      <c r="I40" s="383"/>
      <c r="J40" s="383"/>
      <c r="K40" s="383"/>
      <c r="L40" s="383"/>
      <c r="M40" s="55"/>
      <c r="N40" s="383"/>
      <c r="O40" s="383"/>
      <c r="P40" s="383"/>
      <c r="Q40" s="383"/>
      <c r="R40" s="383"/>
      <c r="S40" s="383"/>
      <c r="T40" s="383"/>
      <c r="U40" s="383"/>
      <c r="V40" s="383"/>
      <c r="W40" s="55"/>
      <c r="X40" s="383">
        <f t="shared" si="4"/>
        <v>7340700</v>
      </c>
      <c r="Y40" s="168"/>
      <c r="Z40" s="821">
        <v>5500000</v>
      </c>
    </row>
    <row r="41" spans="1:26">
      <c r="A41" s="178" t="s">
        <v>94</v>
      </c>
      <c r="B41" s="55">
        <f>SUM('Step 7 Final Adjustments'!B41,'Step 7 Final Adjustments'!C41,'Step 7 Final Adjustments'!D41)</f>
        <v>26585</v>
      </c>
      <c r="C41" s="55">
        <f>'Step 7 Final Adjustments'!E41</f>
        <v>0</v>
      </c>
      <c r="D41" s="184"/>
      <c r="E41" s="383">
        <f>'Step 7 Final Adjustments'!G41</f>
        <v>4170623</v>
      </c>
      <c r="F41" s="55"/>
      <c r="G41" s="383">
        <f>'Step 3 Acad Product &amp; Pools'!L41</f>
        <v>0</v>
      </c>
      <c r="H41" s="383">
        <f>'Step 3 Acad Product &amp; Pools'!M41</f>
        <v>0</v>
      </c>
      <c r="I41" s="383">
        <f>'Step 3 Acad Product &amp; Pools'!N41</f>
        <v>0</v>
      </c>
      <c r="J41" s="383">
        <f>'Step 3 Acad Product &amp; Pools'!O41</f>
        <v>0</v>
      </c>
      <c r="K41" s="383">
        <f>'Step 3 Acad Product &amp; Pools'!P41</f>
        <v>0</v>
      </c>
      <c r="L41" s="383">
        <f>'Step 3 Acad Product &amp; Pools'!Q41</f>
        <v>0</v>
      </c>
      <c r="M41" s="55"/>
      <c r="N41" s="383">
        <f>'Step 1 Dedicated Funds'!N41</f>
        <v>0</v>
      </c>
      <c r="O41" s="383">
        <f>'Step 1 Dedicated Funds'!O41</f>
        <v>0</v>
      </c>
      <c r="P41" s="383">
        <f>'Step 1 Dedicated Funds'!P41</f>
        <v>0</v>
      </c>
      <c r="Q41" s="383">
        <f>'Step 1 Dedicated Funds'!Q41</f>
        <v>0</v>
      </c>
      <c r="R41" s="383">
        <f>'Step 1 Dedicated Funds'!R41</f>
        <v>0</v>
      </c>
      <c r="S41" s="383">
        <f>'Step 1 Dedicated Funds'!S41</f>
        <v>0</v>
      </c>
      <c r="T41" s="383">
        <f>'Step 1 Dedicated Funds'!T41</f>
        <v>0</v>
      </c>
      <c r="U41" s="383"/>
      <c r="V41" s="383">
        <f>SUM('Step 7 Final Adjustments'!N41:P41)</f>
        <v>0</v>
      </c>
      <c r="W41" s="55"/>
      <c r="X41" s="383">
        <f t="shared" si="4"/>
        <v>4197208</v>
      </c>
      <c r="Y41" s="168"/>
      <c r="Z41" s="821">
        <v>4019773</v>
      </c>
    </row>
    <row r="42" spans="1:26">
      <c r="A42" s="54" t="s">
        <v>95</v>
      </c>
      <c r="B42" s="55">
        <f>SUM('Step 7 Final Adjustments'!B42,'Step 7 Final Adjustments'!C42,'Step 7 Final Adjustments'!D42)</f>
        <v>1555540</v>
      </c>
      <c r="C42" s="55">
        <f>'Step 7 Final Adjustments'!E42</f>
        <v>0</v>
      </c>
      <c r="D42" s="55"/>
      <c r="E42" s="383">
        <f>'Step 7 Final Adjustments'!G42</f>
        <v>0</v>
      </c>
      <c r="F42" s="184"/>
      <c r="G42" s="383">
        <f>'Step 3 Acad Product &amp; Pools'!L42</f>
        <v>0</v>
      </c>
      <c r="H42" s="383">
        <f>'Step 3 Acad Product &amp; Pools'!M42</f>
        <v>0</v>
      </c>
      <c r="I42" s="383">
        <f>'Step 3 Acad Product &amp; Pools'!N42</f>
        <v>0</v>
      </c>
      <c r="J42" s="383">
        <f>'Step 3 Acad Product &amp; Pools'!O42</f>
        <v>0</v>
      </c>
      <c r="K42" s="383">
        <f>'Step 3 Acad Product &amp; Pools'!P42</f>
        <v>0</v>
      </c>
      <c r="L42" s="383">
        <f>'Step 3 Acad Product &amp; Pools'!Q42</f>
        <v>0</v>
      </c>
      <c r="M42" s="55"/>
      <c r="N42" s="383">
        <f>'Step 1 Dedicated Funds'!N42</f>
        <v>0</v>
      </c>
      <c r="O42" s="383">
        <f>'Step 1 Dedicated Funds'!O42</f>
        <v>0</v>
      </c>
      <c r="P42" s="383">
        <f>'Step 1 Dedicated Funds'!P42</f>
        <v>0</v>
      </c>
      <c r="Q42" s="383">
        <f>'Step 1 Dedicated Funds'!Q42</f>
        <v>0</v>
      </c>
      <c r="R42" s="383">
        <f>'Step 1 Dedicated Funds'!R42</f>
        <v>0</v>
      </c>
      <c r="S42" s="383">
        <f>'Step 1 Dedicated Funds'!S42</f>
        <v>0</v>
      </c>
      <c r="T42" s="383">
        <f>'Step 1 Dedicated Funds'!T42</f>
        <v>0</v>
      </c>
      <c r="U42" s="383"/>
      <c r="V42" s="383">
        <f>SUM('Step 7 Final Adjustments'!N42:P42)</f>
        <v>0</v>
      </c>
      <c r="W42" s="55"/>
      <c r="X42" s="383">
        <f t="shared" si="4"/>
        <v>1555540</v>
      </c>
      <c r="Y42" s="168"/>
      <c r="Z42" s="821">
        <v>1435806</v>
      </c>
    </row>
    <row r="43" spans="1:26">
      <c r="A43" s="179" t="s">
        <v>96</v>
      </c>
      <c r="B43" s="44">
        <f>SUM('Step 7 Final Adjustments'!B43,'Step 7 Final Adjustments'!C43,'Step 7 Final Adjustments'!D43)</f>
        <v>3013719</v>
      </c>
      <c r="C43" s="44">
        <f>'Step 7 Final Adjustments'!E43</f>
        <v>0</v>
      </c>
      <c r="D43" s="184"/>
      <c r="E43" s="381">
        <f>'Step 7 Final Adjustments'!G43</f>
        <v>0</v>
      </c>
      <c r="F43" s="183"/>
      <c r="G43" s="381">
        <f>'Step 3 Acad Product &amp; Pools'!L43</f>
        <v>0</v>
      </c>
      <c r="H43" s="381">
        <f>'Step 3 Acad Product &amp; Pools'!M43</f>
        <v>0</v>
      </c>
      <c r="I43" s="381">
        <f>'Step 3 Acad Product &amp; Pools'!N43</f>
        <v>0</v>
      </c>
      <c r="J43" s="381">
        <f>'Step 3 Acad Product &amp; Pools'!O43</f>
        <v>0</v>
      </c>
      <c r="K43" s="381">
        <f>'Step 3 Acad Product &amp; Pools'!P43</f>
        <v>0</v>
      </c>
      <c r="L43" s="381">
        <f>'Step 3 Acad Product &amp; Pools'!Q43</f>
        <v>0</v>
      </c>
      <c r="M43" s="48"/>
      <c r="N43" s="381">
        <f>'Step 1 Dedicated Funds'!N43</f>
        <v>0</v>
      </c>
      <c r="O43" s="381">
        <f>'Step 1 Dedicated Funds'!O43</f>
        <v>0</v>
      </c>
      <c r="P43" s="381">
        <f>'Step 1 Dedicated Funds'!P43</f>
        <v>0</v>
      </c>
      <c r="Q43" s="381">
        <f>'Step 1 Dedicated Funds'!Q43</f>
        <v>0</v>
      </c>
      <c r="R43" s="381">
        <f>'Step 1 Dedicated Funds'!R43</f>
        <v>0</v>
      </c>
      <c r="S43" s="381">
        <f>'Step 1 Dedicated Funds'!S43</f>
        <v>0</v>
      </c>
      <c r="T43" s="381">
        <f>'Step 1 Dedicated Funds'!T43</f>
        <v>0</v>
      </c>
      <c r="U43" s="381"/>
      <c r="V43" s="381">
        <f>SUM('Step 7 Final Adjustments'!N43:P43)</f>
        <v>0</v>
      </c>
      <c r="W43" s="55"/>
      <c r="X43" s="381">
        <f t="shared" si="4"/>
        <v>3013719</v>
      </c>
      <c r="Y43" s="168"/>
      <c r="Z43" s="241">
        <f>8453610-Z40</f>
        <v>2953610</v>
      </c>
    </row>
    <row r="44" spans="1:26">
      <c r="A44" s="178" t="s">
        <v>97</v>
      </c>
      <c r="B44" s="55">
        <f>SUM('Step 7 Final Adjustments'!B44,'Step 7 Final Adjustments'!C44,'Step 7 Final Adjustments'!D44)</f>
        <v>0</v>
      </c>
      <c r="C44" s="55">
        <f>'Step 7 Final Adjustments'!E44</f>
        <v>0</v>
      </c>
      <c r="D44" s="184"/>
      <c r="E44" s="383">
        <f>'Step 7 Final Adjustments'!G44</f>
        <v>7430149.0141126635</v>
      </c>
      <c r="F44" s="55"/>
      <c r="G44" s="383">
        <f>'Step 3 Acad Product &amp; Pools'!L44</f>
        <v>0</v>
      </c>
      <c r="H44" s="383">
        <f>'Step 3 Acad Product &amp; Pools'!M44</f>
        <v>0</v>
      </c>
      <c r="I44" s="383">
        <f>'Step 3 Acad Product &amp; Pools'!N44</f>
        <v>0</v>
      </c>
      <c r="J44" s="383">
        <f>'Step 3 Acad Product &amp; Pools'!O44</f>
        <v>45370.98588733653</v>
      </c>
      <c r="K44" s="383">
        <f>'Step 3 Acad Product &amp; Pools'!P44</f>
        <v>0</v>
      </c>
      <c r="L44" s="383">
        <f>'Step 3 Acad Product &amp; Pools'!Q44</f>
        <v>0</v>
      </c>
      <c r="M44" s="55"/>
      <c r="N44" s="383">
        <f>'Step 1 Dedicated Funds'!N44</f>
        <v>-244200</v>
      </c>
      <c r="O44" s="383">
        <f>'Step 1 Dedicated Funds'!O44</f>
        <v>0</v>
      </c>
      <c r="P44" s="383">
        <f>'Step 1 Dedicated Funds'!P44</f>
        <v>0</v>
      </c>
      <c r="Q44" s="383">
        <f>'Step 1 Dedicated Funds'!Q44</f>
        <v>0</v>
      </c>
      <c r="R44" s="383">
        <f>'Step 1 Dedicated Funds'!R44</f>
        <v>3300000</v>
      </c>
      <c r="S44" s="383">
        <f>'Step 1 Dedicated Funds'!S44</f>
        <v>0</v>
      </c>
      <c r="T44" s="383">
        <f>'Step 1 Dedicated Funds'!T44</f>
        <v>0</v>
      </c>
      <c r="U44" s="383"/>
      <c r="V44" s="383">
        <f>SUM('Step 7 Final Adjustments'!N44:P44)</f>
        <v>0</v>
      </c>
      <c r="W44" s="55"/>
      <c r="X44" s="383">
        <f t="shared" si="4"/>
        <v>10531320</v>
      </c>
      <c r="Y44" s="168"/>
      <c r="Z44" s="821">
        <v>9724870</v>
      </c>
    </row>
    <row r="45" spans="1:26">
      <c r="A45" s="367" t="s">
        <v>483</v>
      </c>
      <c r="B45" s="55">
        <f>SUM('Step 7 Final Adjustments'!B45,'Step 7 Final Adjustments'!C45,'Step 7 Final Adjustments'!D45)</f>
        <v>0</v>
      </c>
      <c r="C45" s="55">
        <f>'Step 7 Final Adjustments'!E45</f>
        <v>0</v>
      </c>
      <c r="D45" s="55"/>
      <c r="E45" s="383">
        <f>'Step 7 Final Adjustments'!G45</f>
        <v>1680318.6282101842</v>
      </c>
      <c r="F45" s="55"/>
      <c r="G45" s="383">
        <f>'Step 3 Acad Product &amp; Pools'!L45</f>
        <v>1646432.7362341844</v>
      </c>
      <c r="H45" s="383">
        <f>'Step 3 Acad Product &amp; Pools'!M45</f>
        <v>0</v>
      </c>
      <c r="I45" s="383">
        <f>'Step 3 Acad Product &amp; Pools'!N45</f>
        <v>184000</v>
      </c>
      <c r="J45" s="383">
        <f>'Step 3 Acad Product &amp; Pools'!O45</f>
        <v>4568.1511044794779</v>
      </c>
      <c r="K45" s="383">
        <f>'Step 3 Acad Product &amp; Pools'!P45</f>
        <v>2873.2844511518533</v>
      </c>
      <c r="L45" s="383">
        <f>'Step 3 Acad Product &amp; Pools'!Q45</f>
        <v>0</v>
      </c>
      <c r="M45" s="55"/>
      <c r="N45" s="383">
        <f>'Step 1 Dedicated Funds'!N45</f>
        <v>-278328.8</v>
      </c>
      <c r="O45" s="383">
        <f>'Step 1 Dedicated Funds'!O45</f>
        <v>0</v>
      </c>
      <c r="P45" s="383">
        <f>'Step 1 Dedicated Funds'!P45</f>
        <v>0</v>
      </c>
      <c r="Q45" s="383">
        <f>'Step 1 Dedicated Funds'!Q45</f>
        <v>0</v>
      </c>
      <c r="R45" s="383">
        <f>'Step 1 Dedicated Funds'!R45</f>
        <v>3761200</v>
      </c>
      <c r="S45" s="383">
        <f>'Step 1 Dedicated Funds'!S45</f>
        <v>0</v>
      </c>
      <c r="T45" s="383">
        <f>'Step 1 Dedicated Funds'!T45</f>
        <v>0</v>
      </c>
      <c r="U45" s="383"/>
      <c r="V45" s="383">
        <f>SUM('Step 7 Final Adjustments'!N45:P45)</f>
        <v>0</v>
      </c>
      <c r="W45" s="55"/>
      <c r="X45" s="383">
        <f t="shared" si="4"/>
        <v>7001064</v>
      </c>
      <c r="Y45" s="168"/>
      <c r="Z45" s="821">
        <v>5000049</v>
      </c>
    </row>
    <row r="46" spans="1:26">
      <c r="A46" s="178" t="s">
        <v>98</v>
      </c>
      <c r="B46" s="55">
        <f>SUM('Step 7 Final Adjustments'!B46,'Step 7 Final Adjustments'!C46,'Step 7 Final Adjustments'!D46)</f>
        <v>0</v>
      </c>
      <c r="C46" s="55">
        <f>'Step 7 Final Adjustments'!E46</f>
        <v>0</v>
      </c>
      <c r="D46" s="55"/>
      <c r="E46" s="383">
        <f>'Step 7 Final Adjustments'!G46</f>
        <v>1882536.5792287677</v>
      </c>
      <c r="F46" s="55"/>
      <c r="G46" s="383">
        <f>'Step 3 Acad Product &amp; Pools'!L46</f>
        <v>0</v>
      </c>
      <c r="H46" s="383">
        <f>'Step 3 Acad Product &amp; Pools'!M46</f>
        <v>0</v>
      </c>
      <c r="I46" s="383">
        <f>'Step 3 Acad Product &amp; Pools'!N46</f>
        <v>0</v>
      </c>
      <c r="J46" s="383">
        <f>'Step 3 Acad Product &amp; Pools'!O46</f>
        <v>4591.4207712322759</v>
      </c>
      <c r="K46" s="383">
        <f>'Step 3 Acad Product &amp; Pools'!P46</f>
        <v>0</v>
      </c>
      <c r="L46" s="383">
        <f>'Step 3 Acad Product &amp; Pools'!Q46</f>
        <v>0</v>
      </c>
      <c r="M46" s="55"/>
      <c r="N46" s="383">
        <f>'Step 1 Dedicated Funds'!N46</f>
        <v>-3478</v>
      </c>
      <c r="O46" s="383">
        <f>'Step 1 Dedicated Funds'!O46</f>
        <v>0</v>
      </c>
      <c r="P46" s="383">
        <f>'Step 1 Dedicated Funds'!P46</f>
        <v>0</v>
      </c>
      <c r="Q46" s="383">
        <f>'Step 1 Dedicated Funds'!Q46</f>
        <v>0</v>
      </c>
      <c r="R46" s="383">
        <f>'Step 1 Dedicated Funds'!R46</f>
        <v>47000</v>
      </c>
      <c r="S46" s="383">
        <f>'Step 1 Dedicated Funds'!S46</f>
        <v>0</v>
      </c>
      <c r="T46" s="383">
        <f>'Step 1 Dedicated Funds'!T46</f>
        <v>0</v>
      </c>
      <c r="U46" s="383"/>
      <c r="V46" s="383">
        <f>SUM('Step 7 Final Adjustments'!N46:P46)</f>
        <v>0</v>
      </c>
      <c r="W46" s="55"/>
      <c r="X46" s="383">
        <f t="shared" si="4"/>
        <v>1930650</v>
      </c>
      <c r="Y46" s="168"/>
      <c r="Z46" s="821">
        <v>3643184</v>
      </c>
    </row>
    <row r="47" spans="1:26">
      <c r="A47" s="179" t="s">
        <v>99</v>
      </c>
      <c r="B47" s="44">
        <f>SUM('Step 7 Final Adjustments'!B47,'Step 7 Final Adjustments'!C47,'Step 7 Final Adjustments'!D47)</f>
        <v>0</v>
      </c>
      <c r="C47" s="44">
        <f>'Step 7 Final Adjustments'!E47</f>
        <v>0</v>
      </c>
      <c r="D47" s="55"/>
      <c r="E47" s="381">
        <f>'Step 7 Final Adjustments'!G47</f>
        <v>21587572.314174496</v>
      </c>
      <c r="F47" s="48"/>
      <c r="G47" s="381">
        <f>'Step 3 Acad Product &amp; Pools'!L47</f>
        <v>0</v>
      </c>
      <c r="H47" s="381">
        <f>'Step 3 Acad Product &amp; Pools'!M47</f>
        <v>0</v>
      </c>
      <c r="I47" s="381">
        <f>'Step 3 Acad Product &amp; Pools'!N47</f>
        <v>0</v>
      </c>
      <c r="J47" s="381">
        <f>'Step 3 Acad Product &amp; Pools'!O47</f>
        <v>5516.6858255045709</v>
      </c>
      <c r="K47" s="381">
        <f>'Step 3 Acad Product &amp; Pools'!P47</f>
        <v>0</v>
      </c>
      <c r="L47" s="381">
        <f>'Step 3 Acad Product &amp; Pools'!Q47</f>
        <v>0</v>
      </c>
      <c r="M47" s="48"/>
      <c r="N47" s="381">
        <f>'Step 1 Dedicated Funds'!N47</f>
        <v>-4144</v>
      </c>
      <c r="O47" s="381">
        <f>'Step 1 Dedicated Funds'!O47</f>
        <v>0</v>
      </c>
      <c r="P47" s="381">
        <f>'Step 1 Dedicated Funds'!P47</f>
        <v>0</v>
      </c>
      <c r="Q47" s="381">
        <f>'Step 1 Dedicated Funds'!Q47</f>
        <v>0</v>
      </c>
      <c r="R47" s="381">
        <f>'Step 1 Dedicated Funds'!R47</f>
        <v>56000</v>
      </c>
      <c r="S47" s="381">
        <f>'Step 1 Dedicated Funds'!S47</f>
        <v>0</v>
      </c>
      <c r="T47" s="381">
        <f>'Step 1 Dedicated Funds'!T47</f>
        <v>2580000</v>
      </c>
      <c r="U47" s="381"/>
      <c r="V47" s="381">
        <f>SUM('Step 7 Final Adjustments'!N47:P47)</f>
        <v>0</v>
      </c>
      <c r="W47" s="55"/>
      <c r="X47" s="381">
        <f t="shared" si="4"/>
        <v>24224945</v>
      </c>
      <c r="Y47" s="168"/>
      <c r="Z47" s="241">
        <v>19774660</v>
      </c>
    </row>
    <row r="48" spans="1:26">
      <c r="A48" s="178" t="s">
        <v>484</v>
      </c>
      <c r="B48" s="55">
        <f>SUM('Step 7 Final Adjustments'!B48,'Step 7 Final Adjustments'!C48,'Step 7 Final Adjustments'!D48)</f>
        <v>950000</v>
      </c>
      <c r="C48" s="55">
        <f>'Step 7 Final Adjustments'!E48</f>
        <v>0</v>
      </c>
      <c r="D48" s="55"/>
      <c r="E48" s="383">
        <f>'Step 7 Final Adjustments'!G48</f>
        <v>2607276</v>
      </c>
      <c r="F48" s="55"/>
      <c r="G48" s="383">
        <f>'Step 3 Acad Product &amp; Pools'!L48</f>
        <v>0</v>
      </c>
      <c r="H48" s="383">
        <f>'Step 3 Acad Product &amp; Pools'!M48</f>
        <v>0</v>
      </c>
      <c r="I48" s="383">
        <f>'Step 3 Acad Product &amp; Pools'!N48</f>
        <v>0</v>
      </c>
      <c r="J48" s="383">
        <f>'Step 3 Acad Product &amp; Pools'!O48</f>
        <v>0</v>
      </c>
      <c r="K48" s="383">
        <f>'Step 3 Acad Product &amp; Pools'!P48</f>
        <v>0</v>
      </c>
      <c r="L48" s="383">
        <f>'Step 3 Acad Product &amp; Pools'!Q48</f>
        <v>0</v>
      </c>
      <c r="M48" s="55"/>
      <c r="N48" s="383">
        <f>'Step 1 Dedicated Funds'!N48</f>
        <v>-85100</v>
      </c>
      <c r="O48" s="383">
        <f>'Step 1 Dedicated Funds'!O48</f>
        <v>0</v>
      </c>
      <c r="P48" s="383">
        <f>'Step 1 Dedicated Funds'!P48</f>
        <v>0</v>
      </c>
      <c r="Q48" s="383">
        <f>'Step 1 Dedicated Funds'!Q48</f>
        <v>0</v>
      </c>
      <c r="R48" s="383">
        <f>'Step 1 Dedicated Funds'!R48</f>
        <v>1150000</v>
      </c>
      <c r="S48" s="383">
        <f>'Step 1 Dedicated Funds'!S48</f>
        <v>0</v>
      </c>
      <c r="T48" s="383">
        <f>'Step 1 Dedicated Funds'!T48</f>
        <v>430000</v>
      </c>
      <c r="U48" s="383"/>
      <c r="V48" s="383">
        <f>SUM('Step 7 Final Adjustments'!N48:P48)</f>
        <v>0</v>
      </c>
      <c r="W48" s="55"/>
      <c r="X48" s="383">
        <f t="shared" si="4"/>
        <v>5052176</v>
      </c>
      <c r="Y48" s="168"/>
      <c r="Z48" s="821">
        <v>4501875</v>
      </c>
    </row>
    <row r="49" spans="1:26">
      <c r="A49" s="54" t="s">
        <v>86</v>
      </c>
      <c r="B49" s="55">
        <f>SUM('Step 7 Final Adjustments'!B49,'Step 7 Final Adjustments'!C49,'Step 7 Final Adjustments'!D49)</f>
        <v>0</v>
      </c>
      <c r="C49" s="55">
        <f>'Step 7 Final Adjustments'!E49</f>
        <v>0</v>
      </c>
      <c r="D49" s="55"/>
      <c r="E49" s="382">
        <f>'Step 7 Final Adjustments'!G49</f>
        <v>1544199.5371277812</v>
      </c>
      <c r="F49" s="55"/>
      <c r="G49" s="382">
        <f>'Step 3 Acad Product &amp; Pools'!L49</f>
        <v>0</v>
      </c>
      <c r="H49" s="382">
        <f>'Step 3 Acad Product &amp; Pools'!M49</f>
        <v>0</v>
      </c>
      <c r="I49" s="382">
        <f>'Step 3 Acad Product &amp; Pools'!N49</f>
        <v>0</v>
      </c>
      <c r="J49" s="382">
        <f>'Step 3 Acad Product &amp; Pools'!O49</f>
        <v>15084.462872218808</v>
      </c>
      <c r="K49" s="382">
        <f>'Step 3 Acad Product &amp; Pools'!P49</f>
        <v>0</v>
      </c>
      <c r="L49" s="382">
        <f>'Step 3 Acad Product &amp; Pools'!Q49</f>
        <v>0</v>
      </c>
      <c r="M49" s="55"/>
      <c r="N49" s="382">
        <f>'Step 1 Dedicated Funds'!N49</f>
        <v>0</v>
      </c>
      <c r="O49" s="382">
        <f>'Step 1 Dedicated Funds'!O49</f>
        <v>0</v>
      </c>
      <c r="P49" s="382">
        <f>'Step 1 Dedicated Funds'!P49</f>
        <v>0</v>
      </c>
      <c r="Q49" s="382">
        <f>'Step 1 Dedicated Funds'!Q49</f>
        <v>0</v>
      </c>
      <c r="R49" s="382">
        <f>'Step 1 Dedicated Funds'!R49</f>
        <v>0</v>
      </c>
      <c r="S49" s="382">
        <f>'Step 1 Dedicated Funds'!S49</f>
        <v>0</v>
      </c>
      <c r="T49" s="382">
        <f>'Step 1 Dedicated Funds'!T49</f>
        <v>0</v>
      </c>
      <c r="U49" s="382"/>
      <c r="V49" s="382">
        <f>SUM('Step 7 Final Adjustments'!N49:P49)</f>
        <v>0</v>
      </c>
      <c r="W49" s="55"/>
      <c r="X49" s="382">
        <f t="shared" si="4"/>
        <v>1559284</v>
      </c>
      <c r="Y49" s="168"/>
      <c r="Z49" s="821">
        <v>1522413</v>
      </c>
    </row>
    <row r="50" spans="1:26">
      <c r="A50" s="368" t="s">
        <v>100</v>
      </c>
      <c r="B50" s="229">
        <f>SUM('Step 7 Final Adjustments'!B50,'Step 7 Final Adjustments'!C50,'Step 7 Final Adjustments'!D50)</f>
        <v>0</v>
      </c>
      <c r="C50" s="229">
        <f>'Step 7 Final Adjustments'!E50</f>
        <v>0</v>
      </c>
      <c r="D50" s="55"/>
      <c r="E50" s="381">
        <f>'Step 7 Final Adjustments'!G50</f>
        <v>4493343</v>
      </c>
      <c r="F50" s="55"/>
      <c r="G50" s="381">
        <f>'Step 3 Acad Product &amp; Pools'!L50</f>
        <v>0</v>
      </c>
      <c r="H50" s="381">
        <f>'Step 3 Acad Product &amp; Pools'!M50</f>
        <v>0</v>
      </c>
      <c r="I50" s="381">
        <f>'Step 3 Acad Product &amp; Pools'!N50</f>
        <v>0</v>
      </c>
      <c r="J50" s="381">
        <f>'Step 3 Acad Product &amp; Pools'!O50</f>
        <v>0</v>
      </c>
      <c r="K50" s="381">
        <f>'Step 3 Acad Product &amp; Pools'!P50</f>
        <v>0</v>
      </c>
      <c r="L50" s="381">
        <f>'Step 3 Acad Product &amp; Pools'!Q50</f>
        <v>0</v>
      </c>
      <c r="M50" s="55"/>
      <c r="N50" s="381">
        <f>'Step 1 Dedicated Funds'!N50</f>
        <v>0</v>
      </c>
      <c r="O50" s="381">
        <f>'Step 1 Dedicated Funds'!O50</f>
        <v>0</v>
      </c>
      <c r="P50" s="381">
        <f>'Step 1 Dedicated Funds'!P50</f>
        <v>0</v>
      </c>
      <c r="Q50" s="381">
        <f>'Step 1 Dedicated Funds'!Q50</f>
        <v>0</v>
      </c>
      <c r="R50" s="381">
        <f>'Step 1 Dedicated Funds'!R50</f>
        <v>0</v>
      </c>
      <c r="S50" s="381">
        <f>'Step 1 Dedicated Funds'!S50</f>
        <v>0</v>
      </c>
      <c r="T50" s="381">
        <f>'Step 1 Dedicated Funds'!T50</f>
        <v>3440000</v>
      </c>
      <c r="U50" s="381"/>
      <c r="V50" s="381">
        <f>SUM('Step 7 Final Adjustments'!N50:P50)</f>
        <v>0</v>
      </c>
      <c r="W50" s="55"/>
      <c r="X50" s="381">
        <f t="shared" si="4"/>
        <v>7933343</v>
      </c>
      <c r="Y50" s="168"/>
      <c r="Z50" s="241">
        <v>7580439</v>
      </c>
    </row>
    <row r="51" spans="1:26">
      <c r="A51" s="178" t="s">
        <v>101</v>
      </c>
      <c r="B51" s="48">
        <f>SUM('Step 7 Final Adjustments'!B51,'Step 7 Final Adjustments'!C51,'Step 7 Final Adjustments'!D51)</f>
        <v>0</v>
      </c>
      <c r="C51" s="48">
        <f>'Step 7 Final Adjustments'!E51</f>
        <v>0</v>
      </c>
      <c r="D51" s="55"/>
      <c r="E51" s="382">
        <f>'Step 7 Final Adjustments'!G51</f>
        <v>11349816.319333</v>
      </c>
      <c r="F51" s="48"/>
      <c r="G51" s="382">
        <f>'Step 3 Acad Product &amp; Pools'!L51</f>
        <v>0</v>
      </c>
      <c r="H51" s="382">
        <f>'Step 3 Acad Product &amp; Pools'!M51</f>
        <v>0</v>
      </c>
      <c r="I51" s="382">
        <f>'Step 3 Acad Product &amp; Pools'!N51</f>
        <v>0</v>
      </c>
      <c r="J51" s="382">
        <f>'Step 3 Acad Product &amp; Pools'!O51</f>
        <v>8993.8576670004386</v>
      </c>
      <c r="K51" s="382">
        <f>'Step 3 Acad Product &amp; Pools'!P51</f>
        <v>0</v>
      </c>
      <c r="L51" s="382">
        <f>'Step 3 Acad Product &amp; Pools'!Q51</f>
        <v>0</v>
      </c>
      <c r="M51" s="48"/>
      <c r="N51" s="382">
        <f>'Step 1 Dedicated Funds'!N51</f>
        <v>-139661.902</v>
      </c>
      <c r="O51" s="382">
        <f>'Step 1 Dedicated Funds'!O51</f>
        <v>73323</v>
      </c>
      <c r="P51" s="382">
        <f>'Step 1 Dedicated Funds'!P51</f>
        <v>0</v>
      </c>
      <c r="Q51" s="382">
        <f>'Step 1 Dedicated Funds'!Q51</f>
        <v>0</v>
      </c>
      <c r="R51" s="382">
        <f>'Step 1 Dedicated Funds'!R51</f>
        <v>1814000</v>
      </c>
      <c r="S51" s="382">
        <f>'Step 1 Dedicated Funds'!S51</f>
        <v>0</v>
      </c>
      <c r="T51" s="382">
        <f>'Step 1 Dedicated Funds'!T51</f>
        <v>0</v>
      </c>
      <c r="U51" s="382"/>
      <c r="V51" s="382">
        <f>SUM('Step 7 Final Adjustments'!N51:P51)</f>
        <v>0</v>
      </c>
      <c r="W51" s="55"/>
      <c r="X51" s="382">
        <f t="shared" si="4"/>
        <v>13106471.275</v>
      </c>
      <c r="Y51" s="168"/>
      <c r="Z51" s="821">
        <v>7705927</v>
      </c>
    </row>
    <row r="52" spans="1:26">
      <c r="A52" s="178" t="s">
        <v>102</v>
      </c>
      <c r="B52" s="55">
        <f>SUM('Step 7 Final Adjustments'!B52,'Step 7 Final Adjustments'!C52,'Step 7 Final Adjustments'!D52)</f>
        <v>0</v>
      </c>
      <c r="C52" s="55">
        <f>'Step 7 Final Adjustments'!E52</f>
        <v>0</v>
      </c>
      <c r="D52" s="55"/>
      <c r="E52" s="383">
        <f>'Step 7 Final Adjustments'!G52</f>
        <v>10451097</v>
      </c>
      <c r="F52" s="55"/>
      <c r="G52" s="383">
        <f>'Step 3 Acad Product &amp; Pools'!L52</f>
        <v>0</v>
      </c>
      <c r="H52" s="383">
        <f>'Step 3 Acad Product &amp; Pools'!M52</f>
        <v>0</v>
      </c>
      <c r="I52" s="383">
        <f>'Step 3 Acad Product &amp; Pools'!N52</f>
        <v>0</v>
      </c>
      <c r="J52" s="383">
        <f>'Step 3 Acad Product &amp; Pools'!O52</f>
        <v>0</v>
      </c>
      <c r="K52" s="383">
        <f>'Step 3 Acad Product &amp; Pools'!P52</f>
        <v>0</v>
      </c>
      <c r="L52" s="383">
        <f>'Step 3 Acad Product &amp; Pools'!Q52</f>
        <v>0</v>
      </c>
      <c r="M52" s="55"/>
      <c r="N52" s="383">
        <f>'Step 1 Dedicated Funds'!N52</f>
        <v>0</v>
      </c>
      <c r="O52" s="383">
        <f>'Step 1 Dedicated Funds'!O52</f>
        <v>0</v>
      </c>
      <c r="P52" s="383">
        <f>'Step 1 Dedicated Funds'!P52</f>
        <v>0</v>
      </c>
      <c r="Q52" s="383">
        <f>'Step 1 Dedicated Funds'!Q52</f>
        <v>0</v>
      </c>
      <c r="R52" s="383">
        <f>'Step 1 Dedicated Funds'!R52</f>
        <v>0</v>
      </c>
      <c r="S52" s="383">
        <f>'Step 1 Dedicated Funds'!S52</f>
        <v>0</v>
      </c>
      <c r="T52" s="383">
        <f>'Step 1 Dedicated Funds'!T52</f>
        <v>1720000</v>
      </c>
      <c r="U52" s="383"/>
      <c r="V52" s="383">
        <f>SUM('Step 7 Final Adjustments'!N52:P52)</f>
        <v>0</v>
      </c>
      <c r="W52" s="55"/>
      <c r="X52" s="383">
        <f t="shared" si="4"/>
        <v>12171097</v>
      </c>
      <c r="Y52" s="168"/>
      <c r="Z52" s="821">
        <v>12025835</v>
      </c>
    </row>
    <row r="53" spans="1:26">
      <c r="A53" s="368" t="s">
        <v>103</v>
      </c>
      <c r="B53" s="229">
        <f>SUM('Step 7 Final Adjustments'!B53,'Step 7 Final Adjustments'!C53,'Step 7 Final Adjustments'!D53)</f>
        <v>0</v>
      </c>
      <c r="C53" s="229">
        <f>'Step 7 Final Adjustments'!E53</f>
        <v>0</v>
      </c>
      <c r="D53" s="55"/>
      <c r="E53" s="381">
        <f>'Step 7 Final Adjustments'!G53</f>
        <v>24640123</v>
      </c>
      <c r="F53" s="55"/>
      <c r="G53" s="381">
        <f>'Step 3 Acad Product &amp; Pools'!L53</f>
        <v>0</v>
      </c>
      <c r="H53" s="381">
        <f>'Step 3 Acad Product &amp; Pools'!M53</f>
        <v>0</v>
      </c>
      <c r="I53" s="381">
        <f>'Step 3 Acad Product &amp; Pools'!N53</f>
        <v>0</v>
      </c>
      <c r="J53" s="381">
        <f>'Step 3 Acad Product &amp; Pools'!O53</f>
        <v>0</v>
      </c>
      <c r="K53" s="381">
        <f>'Step 3 Acad Product &amp; Pools'!P53</f>
        <v>0</v>
      </c>
      <c r="L53" s="381">
        <f>'Step 3 Acad Product &amp; Pools'!Q53</f>
        <v>0</v>
      </c>
      <c r="M53" s="55"/>
      <c r="N53" s="381">
        <f>'Step 1 Dedicated Funds'!N53</f>
        <v>-32930</v>
      </c>
      <c r="O53" s="381">
        <f>'Step 1 Dedicated Funds'!O53</f>
        <v>0</v>
      </c>
      <c r="P53" s="381">
        <f>'Step 1 Dedicated Funds'!P53</f>
        <v>0</v>
      </c>
      <c r="Q53" s="381">
        <f>'Step 1 Dedicated Funds'!Q53</f>
        <v>0</v>
      </c>
      <c r="R53" s="381">
        <f>'Step 1 Dedicated Funds'!R53</f>
        <v>445000</v>
      </c>
      <c r="S53" s="381">
        <f>'Step 1 Dedicated Funds'!S53</f>
        <v>0</v>
      </c>
      <c r="T53" s="381">
        <f>'Step 1 Dedicated Funds'!T53</f>
        <v>1720000</v>
      </c>
      <c r="U53" s="381"/>
      <c r="V53" s="381">
        <f>SUM('Step 7 Final Adjustments'!N53:P53)</f>
        <v>0</v>
      </c>
      <c r="W53" s="55"/>
      <c r="X53" s="381">
        <f t="shared" si="4"/>
        <v>26772193</v>
      </c>
      <c r="Y53" s="168"/>
      <c r="Z53" s="241">
        <v>25520328</v>
      </c>
    </row>
    <row r="54" spans="1:26">
      <c r="A54" s="178" t="s">
        <v>104</v>
      </c>
      <c r="B54" s="48">
        <f>SUM('Step 7 Final Adjustments'!B54,'Step 7 Final Adjustments'!C54,'Step 7 Final Adjustments'!D54)</f>
        <v>0</v>
      </c>
      <c r="C54" s="48">
        <f>'Step 7 Final Adjustments'!E54</f>
        <v>0</v>
      </c>
      <c r="D54" s="55"/>
      <c r="E54" s="382">
        <f>'Step 7 Final Adjustments'!G54</f>
        <v>14265644.861447327</v>
      </c>
      <c r="F54" s="48"/>
      <c r="G54" s="382">
        <f>'Step 3 Acad Product &amp; Pools'!L54</f>
        <v>0</v>
      </c>
      <c r="H54" s="382">
        <f>'Step 3 Acad Product &amp; Pools'!M54</f>
        <v>0</v>
      </c>
      <c r="I54" s="382">
        <f>'Step 3 Acad Product &amp; Pools'!N54</f>
        <v>0</v>
      </c>
      <c r="J54" s="382">
        <f>'Step 3 Acad Product &amp; Pools'!O54</f>
        <v>239.13855267424046</v>
      </c>
      <c r="K54" s="382">
        <f>'Step 3 Acad Product &amp; Pools'!P54</f>
        <v>0</v>
      </c>
      <c r="L54" s="382">
        <f>'Step 3 Acad Product &amp; Pools'!Q54</f>
        <v>0</v>
      </c>
      <c r="M54" s="48"/>
      <c r="N54" s="382">
        <f>'Step 1 Dedicated Funds'!N54</f>
        <v>-4958</v>
      </c>
      <c r="O54" s="382">
        <f>'Step 1 Dedicated Funds'!O54</f>
        <v>0</v>
      </c>
      <c r="P54" s="382">
        <f>'Step 1 Dedicated Funds'!P54</f>
        <v>0</v>
      </c>
      <c r="Q54" s="382">
        <f>'Step 1 Dedicated Funds'!Q54</f>
        <v>0</v>
      </c>
      <c r="R54" s="382">
        <f>'Step 1 Dedicated Funds'!R54</f>
        <v>67000</v>
      </c>
      <c r="S54" s="382">
        <f>'Step 1 Dedicated Funds'!S54</f>
        <v>0</v>
      </c>
      <c r="T54" s="382">
        <f>'Step 1 Dedicated Funds'!T54</f>
        <v>4730000</v>
      </c>
      <c r="U54" s="382"/>
      <c r="V54" s="382">
        <f>SUM('Step 7 Final Adjustments'!N54:P54)</f>
        <v>0</v>
      </c>
      <c r="W54" s="55"/>
      <c r="X54" s="382">
        <f t="shared" si="4"/>
        <v>19057926</v>
      </c>
      <c r="Y54" s="168"/>
      <c r="Z54" s="821">
        <v>17684064</v>
      </c>
    </row>
    <row r="55" spans="1:26">
      <c r="A55" s="178" t="s">
        <v>459</v>
      </c>
      <c r="B55" s="48">
        <f>SUM('Step 7 Final Adjustments'!B55,'Step 7 Final Adjustments'!C55,'Step 7 Final Adjustments'!D55)</f>
        <v>0</v>
      </c>
      <c r="C55" s="48">
        <f>'Step 7 Final Adjustments'!E55</f>
        <v>0</v>
      </c>
      <c r="D55" s="172"/>
      <c r="E55" s="382">
        <f>'Step 7 Final Adjustments'!G55</f>
        <v>3842928</v>
      </c>
      <c r="F55" s="48"/>
      <c r="G55" s="382">
        <f>'Step 3 Acad Product &amp; Pools'!L55</f>
        <v>0</v>
      </c>
      <c r="H55" s="382">
        <f>'Step 3 Acad Product &amp; Pools'!M55</f>
        <v>0</v>
      </c>
      <c r="I55" s="382">
        <f>'Step 3 Acad Product &amp; Pools'!N55</f>
        <v>0</v>
      </c>
      <c r="J55" s="382">
        <f>'Step 3 Acad Product &amp; Pools'!O55</f>
        <v>0</v>
      </c>
      <c r="K55" s="382">
        <f>'Step 3 Acad Product &amp; Pools'!P55</f>
        <v>0</v>
      </c>
      <c r="L55" s="382">
        <f>'Step 3 Acad Product &amp; Pools'!Q55</f>
        <v>0</v>
      </c>
      <c r="M55" s="48"/>
      <c r="N55" s="382">
        <f>'Step 1 Dedicated Funds'!N55</f>
        <v>0</v>
      </c>
      <c r="O55" s="382">
        <f>'Step 1 Dedicated Funds'!O55</f>
        <v>0</v>
      </c>
      <c r="P55" s="382">
        <f>'Step 1 Dedicated Funds'!P55</f>
        <v>0</v>
      </c>
      <c r="Q55" s="382">
        <f>'Step 1 Dedicated Funds'!Q55</f>
        <v>0</v>
      </c>
      <c r="R55" s="382">
        <f>'Step 1 Dedicated Funds'!R55</f>
        <v>0</v>
      </c>
      <c r="S55" s="382">
        <f>'Step 1 Dedicated Funds'!S55</f>
        <v>0</v>
      </c>
      <c r="T55" s="382">
        <f>'Step 1 Dedicated Funds'!T55</f>
        <v>0</v>
      </c>
      <c r="U55" s="382"/>
      <c r="V55" s="382">
        <f>SUM('Step 7 Final Adjustments'!N55:P55)</f>
        <v>0</v>
      </c>
      <c r="W55" s="55"/>
      <c r="X55" s="382">
        <f t="shared" si="4"/>
        <v>3842928</v>
      </c>
      <c r="Y55" s="168"/>
      <c r="Z55" s="821">
        <v>3700133</v>
      </c>
    </row>
    <row r="56" spans="1:26">
      <c r="A56" s="386" t="s">
        <v>485</v>
      </c>
      <c r="B56" s="228">
        <f>SUM('Step 7 Final Adjustments'!B56,'Step 7 Final Adjustments'!C56,'Step 7 Final Adjustments'!D56)</f>
        <v>0</v>
      </c>
      <c r="C56" s="228">
        <f>'Step 7 Final Adjustments'!E56</f>
        <v>0</v>
      </c>
      <c r="D56" s="55"/>
      <c r="E56" s="381">
        <f>'Step 7 Final Adjustments'!G56</f>
        <v>1575948</v>
      </c>
      <c r="F56" s="48"/>
      <c r="G56" s="381">
        <f>'Step 3 Acad Product &amp; Pools'!L56</f>
        <v>0</v>
      </c>
      <c r="H56" s="381">
        <f>'Step 3 Acad Product &amp; Pools'!M56</f>
        <v>0</v>
      </c>
      <c r="I56" s="381">
        <f>'Step 3 Acad Product &amp; Pools'!N56</f>
        <v>0</v>
      </c>
      <c r="J56" s="381">
        <f>'Step 3 Acad Product &amp; Pools'!O56</f>
        <v>0</v>
      </c>
      <c r="K56" s="381">
        <f>'Step 3 Acad Product &amp; Pools'!P56</f>
        <v>0</v>
      </c>
      <c r="L56" s="381">
        <f>'Step 3 Acad Product &amp; Pools'!Q56</f>
        <v>0</v>
      </c>
      <c r="M56" s="48"/>
      <c r="N56" s="381">
        <f>'Step 1 Dedicated Funds'!N56</f>
        <v>0</v>
      </c>
      <c r="O56" s="381">
        <f>'Step 1 Dedicated Funds'!O56</f>
        <v>0</v>
      </c>
      <c r="P56" s="381">
        <f>'Step 1 Dedicated Funds'!P56</f>
        <v>0</v>
      </c>
      <c r="Q56" s="381">
        <f>'Step 1 Dedicated Funds'!Q56</f>
        <v>0</v>
      </c>
      <c r="R56" s="381">
        <f>'Step 1 Dedicated Funds'!R56</f>
        <v>0</v>
      </c>
      <c r="S56" s="381">
        <f>'Step 1 Dedicated Funds'!S56</f>
        <v>0</v>
      </c>
      <c r="T56" s="381">
        <f>'Step 1 Dedicated Funds'!T56</f>
        <v>860000</v>
      </c>
      <c r="U56" s="381"/>
      <c r="V56" s="381">
        <f>SUM('Step 7 Final Adjustments'!N56:P56)</f>
        <v>0</v>
      </c>
      <c r="W56" s="55"/>
      <c r="X56" s="381">
        <f t="shared" si="4"/>
        <v>2435948</v>
      </c>
      <c r="Y56" s="168"/>
      <c r="Z56" s="241">
        <v>2369903</v>
      </c>
    </row>
    <row r="57" spans="1:26">
      <c r="A57" s="178" t="s">
        <v>105</v>
      </c>
      <c r="B57" s="55">
        <f>SUM('Step 7 Final Adjustments'!B57,'Step 7 Final Adjustments'!C57,'Step 7 Final Adjustments'!D57)</f>
        <v>0</v>
      </c>
      <c r="C57" s="55">
        <f>'Step 7 Final Adjustments'!E57</f>
        <v>0</v>
      </c>
      <c r="D57" s="178"/>
      <c r="E57" s="382">
        <f>'Step 7 Final Adjustments'!G57</f>
        <v>8106376</v>
      </c>
      <c r="F57" s="55"/>
      <c r="G57" s="382">
        <f>'Step 3 Acad Product &amp; Pools'!L57</f>
        <v>0</v>
      </c>
      <c r="H57" s="382">
        <f>'Step 3 Acad Product &amp; Pools'!M57</f>
        <v>0</v>
      </c>
      <c r="I57" s="382">
        <f>'Step 3 Acad Product &amp; Pools'!N57</f>
        <v>0</v>
      </c>
      <c r="J57" s="382">
        <f>'Step 3 Acad Product &amp; Pools'!O57</f>
        <v>0</v>
      </c>
      <c r="K57" s="382">
        <f>'Step 3 Acad Product &amp; Pools'!P57</f>
        <v>0</v>
      </c>
      <c r="L57" s="382">
        <f>'Step 3 Acad Product &amp; Pools'!Q57</f>
        <v>0</v>
      </c>
      <c r="M57" s="55"/>
      <c r="N57" s="382">
        <f>'Step 1 Dedicated Funds'!N57</f>
        <v>0</v>
      </c>
      <c r="O57" s="382">
        <f>'Step 1 Dedicated Funds'!O57</f>
        <v>0</v>
      </c>
      <c r="P57" s="382">
        <f>'Step 1 Dedicated Funds'!P57</f>
        <v>0</v>
      </c>
      <c r="Q57" s="382">
        <f>'Step 1 Dedicated Funds'!Q57</f>
        <v>0</v>
      </c>
      <c r="R57" s="382">
        <f>'Step 1 Dedicated Funds'!R57</f>
        <v>0</v>
      </c>
      <c r="S57" s="382">
        <f>'Step 1 Dedicated Funds'!S57</f>
        <v>0</v>
      </c>
      <c r="T57" s="382">
        <f>'Step 1 Dedicated Funds'!T57</f>
        <v>4300000</v>
      </c>
      <c r="U57" s="382"/>
      <c r="V57" s="382">
        <f>SUM('Step 7 Final Adjustments'!N57:P57)</f>
        <v>0</v>
      </c>
      <c r="W57" s="55"/>
      <c r="X57" s="382">
        <f t="shared" si="4"/>
        <v>12406376</v>
      </c>
      <c r="Y57" s="168"/>
      <c r="Z57" s="821">
        <v>12372914</v>
      </c>
    </row>
    <row r="58" spans="1:26">
      <c r="A58" s="375" t="s">
        <v>106</v>
      </c>
      <c r="B58" s="376">
        <f>SUM(B39:B57)</f>
        <v>22057900</v>
      </c>
      <c r="C58" s="376">
        <f>SUM(C39:C57)</f>
        <v>0</v>
      </c>
      <c r="D58" s="390"/>
      <c r="E58" s="376">
        <f>SUM(E39:E57)</f>
        <v>119627951.25363421</v>
      </c>
      <c r="F58" s="174">
        <f t="shared" ref="F58:L58" si="5">SUM(F39:F57)</f>
        <v>0</v>
      </c>
      <c r="G58" s="376">
        <f t="shared" si="5"/>
        <v>1646432.7362341844</v>
      </c>
      <c r="H58" s="376">
        <f t="shared" si="5"/>
        <v>0</v>
      </c>
      <c r="I58" s="376">
        <f t="shared" si="5"/>
        <v>184000</v>
      </c>
      <c r="J58" s="376">
        <f t="shared" si="5"/>
        <v>84376.238913539884</v>
      </c>
      <c r="K58" s="376">
        <f t="shared" si="5"/>
        <v>2873.2844511518533</v>
      </c>
      <c r="L58" s="376">
        <f t="shared" si="5"/>
        <v>0</v>
      </c>
      <c r="M58" s="174"/>
      <c r="N58" s="376">
        <f t="shared" ref="N58:T58" si="6">SUM(N39:N57)</f>
        <v>-792800.70200000005</v>
      </c>
      <c r="O58" s="376">
        <f t="shared" si="6"/>
        <v>73323</v>
      </c>
      <c r="P58" s="376">
        <f t="shared" si="6"/>
        <v>0</v>
      </c>
      <c r="Q58" s="376">
        <f t="shared" si="6"/>
        <v>0</v>
      </c>
      <c r="R58" s="376">
        <f t="shared" si="6"/>
        <v>10640200</v>
      </c>
      <c r="S58" s="376">
        <f t="shared" si="6"/>
        <v>0</v>
      </c>
      <c r="T58" s="376">
        <f t="shared" si="6"/>
        <v>19780000</v>
      </c>
      <c r="U58" s="1086"/>
      <c r="V58" s="376">
        <f>SUM(V39:V57)</f>
        <v>0</v>
      </c>
      <c r="W58" s="172"/>
      <c r="X58" s="376">
        <f>SUM(X39:X57)</f>
        <v>173304255.8112331</v>
      </c>
      <c r="Y58" s="168"/>
      <c r="Z58" s="376">
        <f>SUM(Z39:Z57)</f>
        <v>155419385</v>
      </c>
    </row>
    <row r="59" spans="1:26" ht="16.5" thickBot="1">
      <c r="A59" s="377" t="s">
        <v>107</v>
      </c>
      <c r="B59" s="378">
        <f>B6+B7+B8+B9+B10+B11+B12+B35+B58</f>
        <v>79393226.698971421</v>
      </c>
      <c r="C59" s="378">
        <f>C6+C7+C8+C9+C10+C11+C12+C35+C58</f>
        <v>20356291.723200001</v>
      </c>
      <c r="D59" s="390"/>
      <c r="E59" s="378">
        <f>E6+E7+E8+E9+E10+E11+E12+E35+E58</f>
        <v>124072511.21684961</v>
      </c>
      <c r="F59" s="200">
        <f>F6+F7+F8+F11+F12+F35+F58</f>
        <v>0</v>
      </c>
      <c r="G59" s="378">
        <f t="shared" ref="G59:L59" si="7">G6+G7+G8+G9+G10+G11+G12+G35+G58</f>
        <v>73939474.198300511</v>
      </c>
      <c r="H59" s="378">
        <f t="shared" si="7"/>
        <v>40626084.724340945</v>
      </c>
      <c r="I59" s="378">
        <f>I6+I7+I8+I9+I10+I11+I12+I35+I58</f>
        <v>56542000</v>
      </c>
      <c r="J59" s="378">
        <f t="shared" si="7"/>
        <v>8125216.9448681902</v>
      </c>
      <c r="K59" s="378">
        <f t="shared" si="7"/>
        <v>7312695.2503813729</v>
      </c>
      <c r="L59" s="378">
        <f t="shared" si="7"/>
        <v>32500867.779472753</v>
      </c>
      <c r="M59" s="200"/>
      <c r="N59" s="378">
        <f t="shared" ref="N59:T59" si="8">N6+N7+N8+N9+N10+N11+N12+N35+N58</f>
        <v>-3774705.9984800001</v>
      </c>
      <c r="O59" s="378">
        <f t="shared" si="8"/>
        <v>20309477.52</v>
      </c>
      <c r="P59" s="378">
        <f t="shared" si="8"/>
        <v>10000000</v>
      </c>
      <c r="Q59" s="378">
        <f t="shared" si="8"/>
        <v>20791634.890666667</v>
      </c>
      <c r="R59" s="378">
        <f t="shared" si="8"/>
        <v>51913197</v>
      </c>
      <c r="S59" s="378">
        <f t="shared" si="8"/>
        <v>1902363</v>
      </c>
      <c r="T59" s="378">
        <f t="shared" si="8"/>
        <v>37598000</v>
      </c>
      <c r="U59" s="805"/>
      <c r="V59" s="378">
        <f>V6+V7+V8+V9+V10+V11+V12+V35+V58</f>
        <v>0</v>
      </c>
      <c r="W59" s="55"/>
      <c r="X59" s="378">
        <f>X6+X7+X8+X9+X10+X11+X12+X35+X58</f>
        <v>581608334.94857144</v>
      </c>
      <c r="Y59" s="660"/>
      <c r="Z59" s="378">
        <f>SUM(Z6,Z35,Z58)</f>
        <v>552825759</v>
      </c>
    </row>
    <row r="60" spans="1:26" ht="17.25" thickTop="1" thickBot="1">
      <c r="A60" s="178"/>
      <c r="B60" s="178"/>
      <c r="C60" s="178"/>
      <c r="D60" s="167"/>
      <c r="E60" s="167"/>
      <c r="F60" s="178"/>
      <c r="G60" s="178"/>
      <c r="H60" s="178"/>
      <c r="I60" s="178"/>
      <c r="J60" s="178"/>
      <c r="K60" s="178"/>
      <c r="L60" s="172"/>
      <c r="M60" s="172"/>
      <c r="N60" s="55"/>
      <c r="O60" s="55"/>
      <c r="P60" s="55"/>
      <c r="Q60" s="55"/>
      <c r="R60" s="55"/>
      <c r="S60" s="55"/>
      <c r="T60" s="55"/>
      <c r="U60" s="55"/>
      <c r="V60" s="55"/>
      <c r="W60" s="55"/>
      <c r="X60" s="171">
        <f>SUM(B59:V59)</f>
        <v>581608334.94857144</v>
      </c>
      <c r="Y60" s="168"/>
      <c r="Z60" s="57"/>
    </row>
    <row r="61" spans="1:26" ht="16.5" thickTop="1"/>
  </sheetData>
  <mergeCells count="4">
    <mergeCell ref="G4:L4"/>
    <mergeCell ref="N4:T4"/>
    <mergeCell ref="Z6:Z12"/>
    <mergeCell ref="B4:C4"/>
  </mergeCells>
  <phoneticPr fontId="52" type="noConversion"/>
  <pageMargins left="0.7" right="0.7" top="0.75" bottom="0.75" header="0.3" footer="0.3"/>
  <pageSetup paperSize="5" scale="48"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R63"/>
  <sheetViews>
    <sheetView workbookViewId="0">
      <selection activeCell="H16" sqref="H16"/>
    </sheetView>
  </sheetViews>
  <sheetFormatPr defaultColWidth="11" defaultRowHeight="15.75"/>
  <cols>
    <col min="1" max="1" width="35.5" customWidth="1"/>
    <col min="2" max="2" width="3" customWidth="1"/>
    <col min="3" max="3" width="15" customWidth="1"/>
    <col min="4" max="4" width="13.875" customWidth="1"/>
    <col min="5" max="5" width="14.875" customWidth="1"/>
    <col min="6" max="6" width="4.625" customWidth="1"/>
    <col min="7" max="7" width="13.125" customWidth="1"/>
    <col min="8" max="8" width="13" customWidth="1"/>
    <col min="9" max="9" width="12" customWidth="1"/>
    <col min="10" max="10" width="4.5" customWidth="1"/>
    <col min="11" max="11" width="12.875" customWidth="1"/>
    <col min="12" max="13" width="12" customWidth="1"/>
    <col min="14" max="14" width="4.5" customWidth="1"/>
    <col min="16" max="16" width="11.875" customWidth="1"/>
    <col min="17" max="17" width="11.375" bestFit="1" customWidth="1"/>
    <col min="18" max="18" width="12.625" customWidth="1"/>
  </cols>
  <sheetData>
    <row r="1" spans="1:18">
      <c r="A1" s="10" t="s">
        <v>1568</v>
      </c>
    </row>
    <row r="2" spans="1:18">
      <c r="A2" t="s">
        <v>1607</v>
      </c>
    </row>
    <row r="3" spans="1:18">
      <c r="A3" t="s">
        <v>1606</v>
      </c>
    </row>
    <row r="5" spans="1:18">
      <c r="G5" s="1791" t="s">
        <v>1476</v>
      </c>
      <c r="H5" s="1791"/>
      <c r="I5" s="1791"/>
      <c r="K5" s="1791" t="s">
        <v>1524</v>
      </c>
      <c r="L5" s="1791"/>
      <c r="M5" s="1791"/>
      <c r="O5" s="1791" t="s">
        <v>1569</v>
      </c>
      <c r="P5" s="1791"/>
      <c r="Q5" s="1791"/>
    </row>
    <row r="6" spans="1:18" ht="25.5">
      <c r="A6" s="186" t="s">
        <v>69</v>
      </c>
      <c r="C6" s="1433" t="s">
        <v>1570</v>
      </c>
      <c r="D6" s="1433" t="s">
        <v>1571</v>
      </c>
      <c r="E6" s="1433" t="s">
        <v>1433</v>
      </c>
      <c r="F6" s="1071"/>
      <c r="G6" s="1433" t="s">
        <v>1572</v>
      </c>
      <c r="H6" s="1433" t="s">
        <v>1573</v>
      </c>
      <c r="I6" s="1433" t="s">
        <v>13</v>
      </c>
      <c r="J6" s="1071"/>
      <c r="K6" s="1433" t="s">
        <v>1572</v>
      </c>
      <c r="L6" s="1433" t="s">
        <v>1573</v>
      </c>
      <c r="M6" s="1433" t="s">
        <v>13</v>
      </c>
      <c r="N6" s="1071"/>
      <c r="O6" s="1433" t="s">
        <v>1572</v>
      </c>
      <c r="P6" s="1433" t="s">
        <v>1573</v>
      </c>
      <c r="Q6" s="1434" t="s">
        <v>13</v>
      </c>
    </row>
    <row r="7" spans="1:18">
      <c r="A7" s="177" t="s">
        <v>479</v>
      </c>
      <c r="C7" s="44">
        <f>'Step 7 Final Adjustments'!Q6</f>
        <v>0</v>
      </c>
      <c r="D7" s="1792">
        <v>55820357</v>
      </c>
      <c r="E7" s="1793">
        <v>60329649</v>
      </c>
      <c r="G7" s="1793">
        <v>3379900</v>
      </c>
      <c r="H7" s="1793">
        <f>SUM(C7:C13)-G7</f>
        <v>51707482.23672241</v>
      </c>
      <c r="I7" s="1793">
        <f>SUM(G7:H13)</f>
        <v>55087382.23672241</v>
      </c>
      <c r="K7" s="1793">
        <v>3750300</v>
      </c>
      <c r="L7" s="1793">
        <f>SUM(D7-K7)</f>
        <v>52070057</v>
      </c>
      <c r="M7" s="1793">
        <f>SUM(K7:L13)</f>
        <v>55820357</v>
      </c>
      <c r="O7" s="1793">
        <f>G7-K7</f>
        <v>-370400</v>
      </c>
      <c r="P7" s="1793">
        <f>H7-L7</f>
        <v>-362574.76327759027</v>
      </c>
      <c r="Q7" s="1793">
        <f>I7-M7</f>
        <v>-732974.76327759027</v>
      </c>
    </row>
    <row r="8" spans="1:18">
      <c r="A8" s="177" t="s">
        <v>486</v>
      </c>
      <c r="C8" s="44">
        <f>'Step 7 Final Adjustments'!Q7</f>
        <v>7259180</v>
      </c>
      <c r="D8" s="1792"/>
      <c r="E8" s="1793"/>
      <c r="G8" s="1793"/>
      <c r="H8" s="1793"/>
      <c r="I8" s="1793"/>
      <c r="K8" s="1793"/>
      <c r="L8" s="1793"/>
      <c r="M8" s="1793"/>
      <c r="O8" s="1793"/>
      <c r="P8" s="1794"/>
      <c r="Q8" s="1794"/>
    </row>
    <row r="9" spans="1:18">
      <c r="A9" s="177" t="s">
        <v>735</v>
      </c>
      <c r="C9" s="44">
        <f>'Step 7 Final Adjustments'!Q8</f>
        <v>-10639942.763277592</v>
      </c>
      <c r="D9" s="1792"/>
      <c r="E9" s="1793"/>
      <c r="G9" s="1793"/>
      <c r="H9" s="1793"/>
      <c r="I9" s="1793"/>
      <c r="K9" s="1793"/>
      <c r="L9" s="1793"/>
      <c r="M9" s="1793"/>
      <c r="O9" s="1793"/>
      <c r="P9" s="1794"/>
      <c r="Q9" s="1794"/>
    </row>
    <row r="10" spans="1:18">
      <c r="A10" s="177" t="s">
        <v>753</v>
      </c>
      <c r="C10" s="44">
        <f>'Step 7 Final Adjustments'!Q9</f>
        <v>10000000</v>
      </c>
      <c r="D10" s="1792"/>
      <c r="E10" s="1793"/>
      <c r="F10" s="12"/>
      <c r="G10" s="1793"/>
      <c r="H10" s="1793"/>
      <c r="I10" s="1793"/>
      <c r="K10" s="1793"/>
      <c r="L10" s="1793"/>
      <c r="M10" s="1793"/>
      <c r="O10" s="1793"/>
      <c r="P10" s="1794"/>
      <c r="Q10" s="1794"/>
    </row>
    <row r="11" spans="1:18">
      <c r="A11" s="177" t="s">
        <v>480</v>
      </c>
      <c r="C11" s="44">
        <f>'Step 7 Final Adjustments'!Q10</f>
        <v>18178922</v>
      </c>
      <c r="D11" s="1792"/>
      <c r="E11" s="1793"/>
      <c r="G11" s="1793"/>
      <c r="H11" s="1793"/>
      <c r="I11" s="1793"/>
      <c r="K11" s="1793"/>
      <c r="L11" s="1793"/>
      <c r="M11" s="1793"/>
      <c r="O11" s="1793"/>
      <c r="P11" s="1794"/>
      <c r="Q11" s="1794"/>
    </row>
    <row r="12" spans="1:18">
      <c r="A12" s="177" t="s">
        <v>481</v>
      </c>
      <c r="C12" s="44">
        <f>'Step 7 Final Adjustments'!Q11</f>
        <v>4150000</v>
      </c>
      <c r="D12" s="1792"/>
      <c r="E12" s="1793"/>
      <c r="G12" s="1793"/>
      <c r="H12" s="1793"/>
      <c r="I12" s="1793"/>
      <c r="K12" s="1793"/>
      <c r="L12" s="1793"/>
      <c r="M12" s="1793"/>
      <c r="O12" s="1793"/>
      <c r="P12" s="1794"/>
      <c r="Q12" s="1794"/>
    </row>
    <row r="13" spans="1:18">
      <c r="A13" s="177" t="s">
        <v>482</v>
      </c>
      <c r="C13" s="44">
        <f>'Step 7 Final Adjustments'!Q12</f>
        <v>26139223</v>
      </c>
      <c r="D13" s="1792"/>
      <c r="E13" s="1793"/>
      <c r="G13" s="1793"/>
      <c r="H13" s="1793"/>
      <c r="I13" s="1793"/>
      <c r="K13" s="1793"/>
      <c r="L13" s="1793"/>
      <c r="M13" s="1793"/>
      <c r="O13" s="1793"/>
      <c r="P13" s="1794"/>
      <c r="Q13" s="1794"/>
    </row>
    <row r="14" spans="1:18">
      <c r="A14" s="168"/>
      <c r="C14" s="48"/>
    </row>
    <row r="15" spans="1:18">
      <c r="A15" s="51" t="s">
        <v>72</v>
      </c>
      <c r="C15" s="34"/>
    </row>
    <row r="16" spans="1:18">
      <c r="A16" s="1382" t="s">
        <v>1514</v>
      </c>
      <c r="C16" s="382">
        <f>'Step 7 Final Adjustments'!Q15</f>
        <v>2000000</v>
      </c>
      <c r="G16">
        <v>0</v>
      </c>
      <c r="H16" s="12">
        <f>C16</f>
        <v>2000000</v>
      </c>
      <c r="I16" s="382">
        <f t="shared" ref="I16:I35" si="0">SUM(G16:H16)</f>
        <v>2000000</v>
      </c>
      <c r="O16" s="381">
        <f t="shared" ref="O16:Q31" si="1">G16-K16</f>
        <v>0</v>
      </c>
      <c r="P16" s="381">
        <f t="shared" si="1"/>
        <v>2000000</v>
      </c>
      <c r="Q16" s="381">
        <f t="shared" si="1"/>
        <v>2000000</v>
      </c>
      <c r="R16" s="12"/>
    </row>
    <row r="17" spans="1:18">
      <c r="A17" s="179" t="s">
        <v>73</v>
      </c>
      <c r="C17" s="381">
        <f>'Step 7 Final Adjustments'!Q16</f>
        <v>24306595.958287429</v>
      </c>
      <c r="D17" s="381">
        <v>24815559</v>
      </c>
      <c r="E17" s="381">
        <v>23973878</v>
      </c>
      <c r="G17" s="381">
        <v>3605279.7349</v>
      </c>
      <c r="H17" s="381">
        <f t="shared" ref="H17:H35" si="2">C17-G17</f>
        <v>20701316.223387428</v>
      </c>
      <c r="I17" s="381">
        <f>SUM(G17:H17)</f>
        <v>24306595.958287429</v>
      </c>
      <c r="K17" s="381">
        <v>3554384.1919999998</v>
      </c>
      <c r="L17" s="381">
        <f t="shared" ref="L17:L35" si="3">D17-K17</f>
        <v>21261174.807999998</v>
      </c>
      <c r="M17" s="381">
        <f>SUM(K17:L17)</f>
        <v>24815559</v>
      </c>
      <c r="O17" s="381">
        <f t="shared" si="1"/>
        <v>50895.542900000233</v>
      </c>
      <c r="P17" s="381">
        <f t="shared" si="1"/>
        <v>-559858.5846125707</v>
      </c>
      <c r="Q17" s="381">
        <f t="shared" si="1"/>
        <v>-508963.04171257094</v>
      </c>
      <c r="R17" s="12"/>
    </row>
    <row r="18" spans="1:18">
      <c r="A18" s="54" t="s">
        <v>74</v>
      </c>
      <c r="C18" s="382">
        <f>'Step 7 Final Adjustments'!Q17</f>
        <v>21766302.898492426</v>
      </c>
      <c r="D18" s="382">
        <v>20462422</v>
      </c>
      <c r="E18" s="382">
        <v>20462422</v>
      </c>
      <c r="G18" s="382">
        <v>3189998.6828773692</v>
      </c>
      <c r="H18" s="382">
        <f t="shared" si="2"/>
        <v>18576304.215615056</v>
      </c>
      <c r="I18" s="382">
        <f t="shared" si="0"/>
        <v>21766302.898492426</v>
      </c>
      <c r="K18" s="382">
        <v>3290973.4660000005</v>
      </c>
      <c r="L18" s="382">
        <f t="shared" si="3"/>
        <v>17171448.533999998</v>
      </c>
      <c r="M18" s="382">
        <f t="shared" ref="M18:M35" si="4">SUM(K18:L18)</f>
        <v>20462422</v>
      </c>
      <c r="O18" s="382">
        <f t="shared" si="1"/>
        <v>-100974.78312263126</v>
      </c>
      <c r="P18" s="382">
        <f t="shared" si="1"/>
        <v>1404855.6816150583</v>
      </c>
      <c r="Q18" s="382">
        <f>I18-M18</f>
        <v>1303880.8984924257</v>
      </c>
      <c r="R18" s="12"/>
    </row>
    <row r="19" spans="1:18">
      <c r="A19" s="178" t="s">
        <v>75</v>
      </c>
      <c r="C19" s="382">
        <f>'Step 7 Final Adjustments'!Q18</f>
        <v>67801102.237237439</v>
      </c>
      <c r="D19" s="382">
        <v>64222079</v>
      </c>
      <c r="E19" s="382">
        <v>61306607</v>
      </c>
      <c r="G19" s="382">
        <v>19678764.482887194</v>
      </c>
      <c r="H19" s="382">
        <f t="shared" si="2"/>
        <v>48122337.754350245</v>
      </c>
      <c r="I19" s="382">
        <f t="shared" si="0"/>
        <v>67801102.237237439</v>
      </c>
      <c r="K19" s="382">
        <v>19759275.012000002</v>
      </c>
      <c r="L19" s="382">
        <f t="shared" si="3"/>
        <v>44462803.987999998</v>
      </c>
      <c r="M19" s="382">
        <f t="shared" si="4"/>
        <v>64222079</v>
      </c>
      <c r="O19" s="382">
        <f t="shared" si="1"/>
        <v>-80510.529112808406</v>
      </c>
      <c r="P19" s="382">
        <f t="shared" si="1"/>
        <v>3659533.766350247</v>
      </c>
      <c r="Q19" s="382">
        <f t="shared" si="1"/>
        <v>3579023.2372374386</v>
      </c>
      <c r="R19" s="12"/>
    </row>
    <row r="20" spans="1:18">
      <c r="A20" s="179" t="s">
        <v>76</v>
      </c>
      <c r="C20" s="381">
        <f>'Step 7 Final Adjustments'!Q19</f>
        <v>9534064.2899717987</v>
      </c>
      <c r="D20" s="381">
        <v>9355600</v>
      </c>
      <c r="E20" s="381">
        <v>9355600</v>
      </c>
      <c r="G20" s="381">
        <v>3145427.3738114685</v>
      </c>
      <c r="H20" s="381">
        <f t="shared" si="2"/>
        <v>6388636.9161603302</v>
      </c>
      <c r="I20" s="381">
        <f t="shared" si="0"/>
        <v>9534064.2899717987</v>
      </c>
      <c r="K20" s="381">
        <v>3135635.1679999996</v>
      </c>
      <c r="L20" s="381">
        <f t="shared" si="3"/>
        <v>6219964.8320000004</v>
      </c>
      <c r="M20" s="381">
        <f t="shared" si="4"/>
        <v>9355600</v>
      </c>
      <c r="O20" s="381">
        <f t="shared" si="1"/>
        <v>9792.2058114688843</v>
      </c>
      <c r="P20" s="381">
        <f t="shared" si="1"/>
        <v>168672.08416032977</v>
      </c>
      <c r="Q20" s="381">
        <f t="shared" si="1"/>
        <v>178464.28997179866</v>
      </c>
      <c r="R20" s="12"/>
    </row>
    <row r="21" spans="1:18">
      <c r="A21" s="54" t="s">
        <v>77</v>
      </c>
      <c r="C21" s="382">
        <f>'Step 7 Final Adjustments'!Q20</f>
        <v>19700561.800000001</v>
      </c>
      <c r="D21" s="382">
        <v>20440194</v>
      </c>
      <c r="E21" s="382">
        <v>20440194</v>
      </c>
      <c r="G21" s="382">
        <v>2112025.9539999999</v>
      </c>
      <c r="H21" s="382">
        <f t="shared" si="2"/>
        <v>17588535.846000001</v>
      </c>
      <c r="I21" s="382">
        <f t="shared" si="0"/>
        <v>19700561.800000001</v>
      </c>
      <c r="K21" s="382">
        <v>2240045.5839999998</v>
      </c>
      <c r="L21" s="382">
        <f t="shared" si="3"/>
        <v>18200148.416000001</v>
      </c>
      <c r="M21" s="382">
        <f t="shared" si="4"/>
        <v>20440194</v>
      </c>
      <c r="O21" s="382">
        <f t="shared" si="1"/>
        <v>-128019.62999999989</v>
      </c>
      <c r="P21" s="382">
        <f t="shared" si="1"/>
        <v>-611612.5700000003</v>
      </c>
      <c r="Q21" s="382">
        <f t="shared" si="1"/>
        <v>-739632.19999999925</v>
      </c>
      <c r="R21" s="12"/>
    </row>
    <row r="22" spans="1:18">
      <c r="A22" s="178" t="s">
        <v>78</v>
      </c>
      <c r="C22" s="382">
        <f>'Step 7 Final Adjustments'!Q21</f>
        <v>5513657.0242793197</v>
      </c>
      <c r="D22" s="382">
        <v>4830008</v>
      </c>
      <c r="E22" s="382">
        <v>4806568</v>
      </c>
      <c r="G22" s="382">
        <v>104080</v>
      </c>
      <c r="H22" s="382">
        <f t="shared" si="2"/>
        <v>5409577.0242793197</v>
      </c>
      <c r="I22" s="382">
        <f t="shared" si="0"/>
        <v>5513657.0242793197</v>
      </c>
      <c r="K22" s="382">
        <v>85243.407999999996</v>
      </c>
      <c r="L22" s="382">
        <f t="shared" si="3"/>
        <v>4744764.5920000002</v>
      </c>
      <c r="M22" s="382">
        <f t="shared" si="4"/>
        <v>4830008</v>
      </c>
      <c r="O22" s="382">
        <f t="shared" si="1"/>
        <v>18836.592000000004</v>
      </c>
      <c r="P22" s="382">
        <f t="shared" si="1"/>
        <v>664812.4322793195</v>
      </c>
      <c r="Q22" s="382">
        <f t="shared" si="1"/>
        <v>683649.02427931968</v>
      </c>
      <c r="R22" s="12"/>
    </row>
    <row r="23" spans="1:18">
      <c r="A23" s="179" t="s">
        <v>79</v>
      </c>
      <c r="C23" s="381">
        <f>'Step 7 Final Adjustments'!Q22</f>
        <v>44794677.217382081</v>
      </c>
      <c r="D23" s="381">
        <v>45922830</v>
      </c>
      <c r="E23" s="381">
        <v>45894131</v>
      </c>
      <c r="G23" s="381">
        <v>1628188.534</v>
      </c>
      <c r="H23" s="381">
        <f t="shared" si="2"/>
        <v>43166488.683382079</v>
      </c>
      <c r="I23" s="381">
        <f t="shared" si="0"/>
        <v>44794677.217382081</v>
      </c>
      <c r="K23" s="381">
        <v>1680838.534</v>
      </c>
      <c r="L23" s="381">
        <f t="shared" si="3"/>
        <v>44241991.465999998</v>
      </c>
      <c r="M23" s="381">
        <f t="shared" si="4"/>
        <v>45922830</v>
      </c>
      <c r="O23" s="381">
        <f t="shared" si="1"/>
        <v>-52650</v>
      </c>
      <c r="P23" s="381">
        <f t="shared" si="1"/>
        <v>-1075502.7826179191</v>
      </c>
      <c r="Q23" s="381">
        <f t="shared" si="1"/>
        <v>-1128152.7826179191</v>
      </c>
      <c r="R23" s="12"/>
    </row>
    <row r="24" spans="1:18">
      <c r="A24" s="178" t="s">
        <v>80</v>
      </c>
      <c r="C24" s="382">
        <f>'Step 7 Final Adjustments'!Q23</f>
        <v>18959086.782090027</v>
      </c>
      <c r="D24" s="382">
        <v>14831995</v>
      </c>
      <c r="E24" s="382">
        <v>14831995</v>
      </c>
      <c r="G24" s="382">
        <v>5356448.4819799997</v>
      </c>
      <c r="H24" s="382">
        <f t="shared" si="2"/>
        <v>13602638.300110027</v>
      </c>
      <c r="I24" s="382">
        <f t="shared" si="0"/>
        <v>18959086.782090027</v>
      </c>
      <c r="K24" s="382">
        <v>3680855.0559999999</v>
      </c>
      <c r="L24" s="382">
        <f t="shared" si="3"/>
        <v>11151139.944</v>
      </c>
      <c r="M24" s="382">
        <f t="shared" si="4"/>
        <v>14831995</v>
      </c>
      <c r="O24" s="382">
        <f t="shared" si="1"/>
        <v>1675593.4259799998</v>
      </c>
      <c r="P24" s="382">
        <f t="shared" si="1"/>
        <v>2451498.3561100271</v>
      </c>
      <c r="Q24" s="382">
        <f t="shared" si="1"/>
        <v>4127091.7820900269</v>
      </c>
      <c r="R24" s="12"/>
    </row>
    <row r="25" spans="1:18">
      <c r="A25" s="178" t="s">
        <v>81</v>
      </c>
      <c r="C25" s="383">
        <f>'Step 7 Final Adjustments'!Q24</f>
        <v>12713781.83332295</v>
      </c>
      <c r="D25" s="383">
        <v>12737398</v>
      </c>
      <c r="E25" s="382">
        <v>12737398</v>
      </c>
      <c r="G25" s="382">
        <v>5806784.1912803631</v>
      </c>
      <c r="H25" s="382">
        <f t="shared" si="2"/>
        <v>6906997.6420425866</v>
      </c>
      <c r="I25" s="382">
        <f t="shared" si="0"/>
        <v>12713781.83332295</v>
      </c>
      <c r="K25" s="382">
        <v>5085809.71</v>
      </c>
      <c r="L25" s="382">
        <f t="shared" si="3"/>
        <v>7651588.29</v>
      </c>
      <c r="M25" s="382">
        <f t="shared" si="4"/>
        <v>12737398</v>
      </c>
      <c r="O25" s="382">
        <f t="shared" si="1"/>
        <v>720974.48128036316</v>
      </c>
      <c r="P25" s="382">
        <f t="shared" si="1"/>
        <v>-744590.64795741346</v>
      </c>
      <c r="Q25" s="382">
        <f t="shared" si="1"/>
        <v>-23616.166677050292</v>
      </c>
      <c r="R25" s="12"/>
    </row>
    <row r="26" spans="1:18">
      <c r="A26" s="179" t="s">
        <v>82</v>
      </c>
      <c r="C26" s="381">
        <f>'Step 7 Final Adjustments'!Q25</f>
        <v>44437127.901171856</v>
      </c>
      <c r="D26" s="381">
        <v>42113801</v>
      </c>
      <c r="E26" s="381">
        <v>41413801</v>
      </c>
      <c r="G26" s="381">
        <v>2214188.4220000003</v>
      </c>
      <c r="H26" s="381">
        <f t="shared" si="2"/>
        <v>42222939.479171857</v>
      </c>
      <c r="I26" s="381">
        <f t="shared" si="0"/>
        <v>44437127.901171856</v>
      </c>
      <c r="K26" s="381">
        <v>2207148.4219999998</v>
      </c>
      <c r="L26" s="381">
        <f t="shared" si="3"/>
        <v>39906652.578000002</v>
      </c>
      <c r="M26" s="381">
        <f t="shared" si="4"/>
        <v>42113801</v>
      </c>
      <c r="O26" s="381">
        <f t="shared" si="1"/>
        <v>7040.0000000004657</v>
      </c>
      <c r="P26" s="381">
        <f t="shared" si="1"/>
        <v>2316286.9011718556</v>
      </c>
      <c r="Q26" s="381">
        <f t="shared" si="1"/>
        <v>2323326.9011718556</v>
      </c>
      <c r="R26" s="12"/>
    </row>
    <row r="27" spans="1:18">
      <c r="A27" s="178" t="s">
        <v>83</v>
      </c>
      <c r="C27" s="383">
        <f>'Step 7 Final Adjustments'!Q26</f>
        <v>26449266.98000063</v>
      </c>
      <c r="D27" s="383">
        <v>24909417</v>
      </c>
      <c r="E27" s="382">
        <v>24909417</v>
      </c>
      <c r="G27" s="382">
        <v>16561105.197072154</v>
      </c>
      <c r="H27" s="382">
        <f t="shared" si="2"/>
        <v>9888161.7829284761</v>
      </c>
      <c r="I27" s="382">
        <f t="shared" si="0"/>
        <v>26449266.98000063</v>
      </c>
      <c r="K27" s="382">
        <v>15572432.298</v>
      </c>
      <c r="L27" s="382">
        <f t="shared" si="3"/>
        <v>9336984.7019999996</v>
      </c>
      <c r="M27" s="382">
        <f t="shared" si="4"/>
        <v>24909417</v>
      </c>
      <c r="O27" s="382">
        <f t="shared" si="1"/>
        <v>988672.89907215349</v>
      </c>
      <c r="P27" s="382">
        <f t="shared" si="1"/>
        <v>551177.08092847653</v>
      </c>
      <c r="Q27" s="382">
        <f t="shared" si="1"/>
        <v>1539849.98000063</v>
      </c>
      <c r="R27" s="12"/>
    </row>
    <row r="28" spans="1:18">
      <c r="A28" s="178" t="s">
        <v>84</v>
      </c>
      <c r="C28" s="382">
        <f>'Step 7 Final Adjustments'!Q27</f>
        <v>0</v>
      </c>
      <c r="D28" s="382">
        <v>543366</v>
      </c>
      <c r="E28" s="382">
        <v>543366</v>
      </c>
      <c r="G28" s="382">
        <v>0</v>
      </c>
      <c r="H28" s="382">
        <f t="shared" si="2"/>
        <v>0</v>
      </c>
      <c r="I28" s="382">
        <f t="shared" si="0"/>
        <v>0</v>
      </c>
      <c r="K28" s="382">
        <v>0</v>
      </c>
      <c r="L28" s="382">
        <f t="shared" si="3"/>
        <v>543366</v>
      </c>
      <c r="M28" s="382">
        <f t="shared" si="4"/>
        <v>543366</v>
      </c>
      <c r="O28" s="382">
        <f t="shared" si="1"/>
        <v>0</v>
      </c>
      <c r="P28" s="382">
        <f t="shared" si="1"/>
        <v>-543366</v>
      </c>
      <c r="Q28" s="382">
        <f t="shared" si="1"/>
        <v>-543366</v>
      </c>
      <c r="R28" s="12"/>
    </row>
    <row r="29" spans="1:18">
      <c r="A29" s="179" t="s">
        <v>85</v>
      </c>
      <c r="C29" s="381">
        <f>'Step 7 Final Adjustments'!Q28</f>
        <v>3042934.2942578932</v>
      </c>
      <c r="D29" s="381">
        <v>2839964</v>
      </c>
      <c r="E29" s="381">
        <v>2839964</v>
      </c>
      <c r="G29" s="381">
        <v>1597375.0623999999</v>
      </c>
      <c r="H29" s="381">
        <f t="shared" si="2"/>
        <v>1445559.2318578933</v>
      </c>
      <c r="I29" s="381">
        <f t="shared" si="0"/>
        <v>3042934.2942578932</v>
      </c>
      <c r="K29" s="381">
        <v>1258938</v>
      </c>
      <c r="L29" s="381">
        <f t="shared" si="3"/>
        <v>1581026</v>
      </c>
      <c r="M29" s="381">
        <f t="shared" si="4"/>
        <v>2839964</v>
      </c>
      <c r="O29" s="381">
        <f t="shared" si="1"/>
        <v>338437.06239999994</v>
      </c>
      <c r="P29" s="381">
        <f t="shared" si="1"/>
        <v>-135466.76814210671</v>
      </c>
      <c r="Q29" s="381">
        <f t="shared" si="1"/>
        <v>202970.29425789323</v>
      </c>
      <c r="R29" s="12"/>
    </row>
    <row r="30" spans="1:18">
      <c r="A30" s="54" t="s">
        <v>87</v>
      </c>
      <c r="C30" s="55">
        <f>'Step 7 Final Adjustments'!Q29</f>
        <v>20222090</v>
      </c>
      <c r="D30" s="55">
        <v>18786975</v>
      </c>
      <c r="E30" s="382">
        <v>18786975</v>
      </c>
      <c r="G30" s="382">
        <v>20115497</v>
      </c>
      <c r="H30" s="382">
        <f t="shared" si="2"/>
        <v>106593</v>
      </c>
      <c r="I30" s="382">
        <f t="shared" si="0"/>
        <v>20222090</v>
      </c>
      <c r="K30" s="382">
        <v>18786975</v>
      </c>
      <c r="L30" s="382">
        <f t="shared" si="3"/>
        <v>0</v>
      </c>
      <c r="M30" s="382">
        <f t="shared" si="4"/>
        <v>18786975</v>
      </c>
      <c r="O30" s="382">
        <f t="shared" si="1"/>
        <v>1328522</v>
      </c>
      <c r="P30" s="382">
        <f t="shared" si="1"/>
        <v>106593</v>
      </c>
      <c r="Q30" s="382">
        <f t="shared" si="1"/>
        <v>1435115</v>
      </c>
      <c r="R30" s="12"/>
    </row>
    <row r="31" spans="1:18">
      <c r="A31" s="178" t="s">
        <v>88</v>
      </c>
      <c r="C31" s="48">
        <f>'Step 7 Final Adjustments'!Q30</f>
        <v>3440000</v>
      </c>
      <c r="D31" s="48">
        <v>3296000</v>
      </c>
      <c r="E31" s="382">
        <v>3296000</v>
      </c>
      <c r="G31" s="382">
        <v>3440000</v>
      </c>
      <c r="H31" s="382">
        <f t="shared" si="2"/>
        <v>0</v>
      </c>
      <c r="I31" s="382">
        <f t="shared" si="0"/>
        <v>3440000</v>
      </c>
      <c r="K31" s="382">
        <v>3296000</v>
      </c>
      <c r="L31" s="382">
        <f t="shared" si="3"/>
        <v>0</v>
      </c>
      <c r="M31" s="382">
        <f t="shared" si="4"/>
        <v>3296000</v>
      </c>
      <c r="O31" s="382">
        <f t="shared" si="1"/>
        <v>144000</v>
      </c>
      <c r="P31" s="382">
        <f t="shared" si="1"/>
        <v>0</v>
      </c>
      <c r="Q31" s="382">
        <f t="shared" si="1"/>
        <v>144000</v>
      </c>
      <c r="R31" s="12"/>
    </row>
    <row r="32" spans="1:18">
      <c r="A32" s="368" t="s">
        <v>461</v>
      </c>
      <c r="C32" s="228">
        <f>'Step 7 Final Adjustments'!Q31</f>
        <v>832979</v>
      </c>
      <c r="D32" s="228">
        <v>4706010</v>
      </c>
      <c r="E32" s="381">
        <v>4706010</v>
      </c>
      <c r="G32" s="381">
        <v>3241000</v>
      </c>
      <c r="H32" s="381">
        <f t="shared" si="2"/>
        <v>-2408021</v>
      </c>
      <c r="I32" s="381">
        <f t="shared" si="0"/>
        <v>832979</v>
      </c>
      <c r="K32" s="381">
        <v>2615903.7000000002</v>
      </c>
      <c r="L32" s="381">
        <f t="shared" si="3"/>
        <v>2090106.2999999998</v>
      </c>
      <c r="M32" s="381">
        <f t="shared" si="4"/>
        <v>4706010</v>
      </c>
      <c r="O32" s="381">
        <f t="shared" ref="O32:Q35" si="5">G32-K32</f>
        <v>625096.29999999981</v>
      </c>
      <c r="P32" s="381">
        <f t="shared" si="5"/>
        <v>-4498127.3</v>
      </c>
      <c r="Q32" s="381">
        <f t="shared" si="5"/>
        <v>-3873031</v>
      </c>
      <c r="R32" s="12"/>
    </row>
    <row r="33" spans="1:18">
      <c r="A33" s="367" t="s">
        <v>462</v>
      </c>
      <c r="C33" s="55">
        <f>'Step 7 Final Adjustments'!Q32</f>
        <v>974528.97029279219</v>
      </c>
      <c r="D33" s="55">
        <v>838394</v>
      </c>
      <c r="E33" s="382">
        <v>838394</v>
      </c>
      <c r="G33" s="382">
        <v>0</v>
      </c>
      <c r="H33" s="382">
        <f t="shared" si="2"/>
        <v>974528.97029279219</v>
      </c>
      <c r="I33" s="382">
        <f t="shared" si="0"/>
        <v>974528.97029279219</v>
      </c>
      <c r="K33" s="382">
        <v>0</v>
      </c>
      <c r="L33" s="382">
        <f t="shared" si="3"/>
        <v>838394</v>
      </c>
      <c r="M33" s="382">
        <f t="shared" si="4"/>
        <v>838394</v>
      </c>
      <c r="O33" s="382">
        <f t="shared" si="5"/>
        <v>0</v>
      </c>
      <c r="P33" s="382">
        <f t="shared" si="5"/>
        <v>136134.97029279219</v>
      </c>
      <c r="Q33" s="382">
        <f t="shared" si="5"/>
        <v>136134.97029279219</v>
      </c>
      <c r="R33" s="12"/>
    </row>
    <row r="34" spans="1:18">
      <c r="A34" s="178" t="s">
        <v>89</v>
      </c>
      <c r="C34" s="48">
        <f>'Step 7 Final Adjustments'!Q33</f>
        <v>15220117</v>
      </c>
      <c r="D34" s="48">
        <v>14579961</v>
      </c>
      <c r="E34" s="382">
        <v>14579961</v>
      </c>
      <c r="G34" s="382">
        <v>2857929.64</v>
      </c>
      <c r="H34" s="382">
        <f t="shared" si="2"/>
        <v>12362187.359999999</v>
      </c>
      <c r="I34" s="382">
        <f t="shared" si="0"/>
        <v>15220117</v>
      </c>
      <c r="K34" s="382">
        <v>2727064.1135384617</v>
      </c>
      <c r="L34" s="382">
        <f t="shared" si="3"/>
        <v>11852896.886461537</v>
      </c>
      <c r="M34" s="382">
        <f t="shared" si="4"/>
        <v>14579961</v>
      </c>
      <c r="O34" s="382">
        <f t="shared" si="5"/>
        <v>130865.52646153839</v>
      </c>
      <c r="P34" s="382">
        <f t="shared" si="5"/>
        <v>509290.47353846207</v>
      </c>
      <c r="Q34" s="382">
        <f t="shared" si="5"/>
        <v>640156</v>
      </c>
      <c r="R34" s="12"/>
    </row>
    <row r="35" spans="1:18">
      <c r="A35" s="368" t="s">
        <v>90</v>
      </c>
      <c r="C35" s="384">
        <f>'Step 7 Final Adjustments'!Q34</f>
        <v>11507822.71382935</v>
      </c>
      <c r="D35" s="384">
        <v>11354044</v>
      </c>
      <c r="E35" s="384">
        <v>11354044</v>
      </c>
      <c r="G35" s="384">
        <v>2258185.12824</v>
      </c>
      <c r="H35" s="384">
        <f t="shared" si="2"/>
        <v>9249637.5855893493</v>
      </c>
      <c r="I35" s="384">
        <f t="shared" si="0"/>
        <v>11507822.71382935</v>
      </c>
      <c r="K35" s="384">
        <v>2065679.46</v>
      </c>
      <c r="L35" s="384">
        <f t="shared" si="3"/>
        <v>9288364.5399999991</v>
      </c>
      <c r="M35" s="384">
        <f t="shared" si="4"/>
        <v>11354044</v>
      </c>
      <c r="O35" s="384">
        <f t="shared" si="5"/>
        <v>192505.66824000003</v>
      </c>
      <c r="P35" s="384">
        <f t="shared" si="5"/>
        <v>-38726.954410649836</v>
      </c>
      <c r="Q35" s="384">
        <f t="shared" si="5"/>
        <v>153778.71382934973</v>
      </c>
      <c r="R35" s="12"/>
    </row>
    <row r="36" spans="1:18">
      <c r="A36" s="371" t="s">
        <v>91</v>
      </c>
      <c r="C36" s="372">
        <v>354646902.77600849</v>
      </c>
      <c r="D36" s="372">
        <v>341586017</v>
      </c>
      <c r="E36" s="372">
        <f>SUM(E17:E35)</f>
        <v>337076725</v>
      </c>
      <c r="G36" s="372">
        <f>SUM(G17:G35)</f>
        <v>96912277.885448545</v>
      </c>
      <c r="H36" s="372">
        <f>SUM(H16:H35)</f>
        <v>256304419.01516747</v>
      </c>
      <c r="I36" s="372">
        <f>SUM(I16:I35)</f>
        <v>353216696.90061599</v>
      </c>
      <c r="K36" s="372">
        <f>SUM(K16:K35)</f>
        <v>91043201.123538449</v>
      </c>
      <c r="L36" s="372">
        <f>SUM(L16:L35)</f>
        <v>250542815.87646151</v>
      </c>
      <c r="M36" s="372">
        <f>SUM(M16:M35)</f>
        <v>341586017</v>
      </c>
      <c r="O36" s="372">
        <f>SUM(O16:O35)</f>
        <v>5869076.7619100846</v>
      </c>
      <c r="P36" s="372">
        <f>SUM(P16:P35)</f>
        <v>5761603.1387059093</v>
      </c>
      <c r="Q36" s="372">
        <f>SUM(Q16:Q35)</f>
        <v>11630679.90061599</v>
      </c>
      <c r="R36" s="12"/>
    </row>
    <row r="37" spans="1:18">
      <c r="A37" s="178"/>
      <c r="C37" s="46"/>
      <c r="D37" s="46"/>
    </row>
    <row r="38" spans="1:18">
      <c r="A38" s="168"/>
    </row>
    <row r="39" spans="1:18">
      <c r="A39" s="54" t="s">
        <v>92</v>
      </c>
      <c r="C39" s="55"/>
      <c r="D39" s="55"/>
    </row>
    <row r="40" spans="1:18">
      <c r="A40" s="179" t="s">
        <v>93</v>
      </c>
      <c r="C40" s="381">
        <f>'Step 7 Final Adjustments'!Q39</f>
        <v>9171367.5362330936</v>
      </c>
      <c r="D40" s="381">
        <v>8383602</v>
      </c>
      <c r="E40" s="384">
        <v>8383602</v>
      </c>
      <c r="G40" s="384">
        <v>0</v>
      </c>
      <c r="H40" s="384">
        <f t="shared" ref="H40:H58" si="6">C40-G40</f>
        <v>9171367.5362330936</v>
      </c>
      <c r="I40" s="384">
        <f t="shared" ref="I40:I58" si="7">SUM(G40:H40)</f>
        <v>9171367.5362330936</v>
      </c>
      <c r="K40" s="384"/>
      <c r="L40" s="384">
        <f t="shared" ref="L40:L58" si="8">D40-K40</f>
        <v>8383602</v>
      </c>
      <c r="M40" s="384">
        <f t="shared" ref="M40:M58" si="9">SUM(K40:L40)</f>
        <v>8383602</v>
      </c>
      <c r="O40" s="384">
        <f t="shared" ref="O40:Q58" si="10">G40-K40</f>
        <v>0</v>
      </c>
      <c r="P40" s="384">
        <f t="shared" si="10"/>
        <v>787765.53623309359</v>
      </c>
      <c r="Q40" s="384">
        <f t="shared" si="10"/>
        <v>787765.53623309359</v>
      </c>
      <c r="R40" s="12"/>
    </row>
    <row r="41" spans="1:18">
      <c r="A41" s="367" t="s">
        <v>344</v>
      </c>
      <c r="C41" s="382">
        <f>'Step 7 Final Adjustments'!Q40</f>
        <v>7340700</v>
      </c>
      <c r="D41" s="382">
        <f>5500000</f>
        <v>5500000</v>
      </c>
      <c r="E41" s="382">
        <f>5500000</f>
        <v>5500000</v>
      </c>
      <c r="G41" s="382">
        <v>0</v>
      </c>
      <c r="H41" s="382">
        <f t="shared" si="6"/>
        <v>7340700</v>
      </c>
      <c r="I41" s="382">
        <f t="shared" si="7"/>
        <v>7340700</v>
      </c>
      <c r="K41" s="382"/>
      <c r="L41" s="382">
        <f t="shared" si="8"/>
        <v>5500000</v>
      </c>
      <c r="M41" s="382">
        <f t="shared" si="9"/>
        <v>5500000</v>
      </c>
      <c r="O41" s="382">
        <f t="shared" si="10"/>
        <v>0</v>
      </c>
      <c r="P41" s="382">
        <f t="shared" si="10"/>
        <v>1840700</v>
      </c>
      <c r="Q41" s="382">
        <f t="shared" si="10"/>
        <v>1840700</v>
      </c>
      <c r="R41" s="12"/>
    </row>
    <row r="42" spans="1:18">
      <c r="A42" s="178" t="s">
        <v>94</v>
      </c>
      <c r="C42" s="383">
        <f>'Step 7 Final Adjustments'!Q41</f>
        <v>4197208</v>
      </c>
      <c r="D42" s="383">
        <v>4019773</v>
      </c>
      <c r="E42" s="382">
        <v>4019773</v>
      </c>
      <c r="G42" s="382">
        <v>0</v>
      </c>
      <c r="H42" s="382">
        <f t="shared" si="6"/>
        <v>4197208</v>
      </c>
      <c r="I42" s="382">
        <f t="shared" si="7"/>
        <v>4197208</v>
      </c>
      <c r="K42" s="382"/>
      <c r="L42" s="382">
        <f t="shared" si="8"/>
        <v>4019773</v>
      </c>
      <c r="M42" s="382">
        <f t="shared" si="9"/>
        <v>4019773</v>
      </c>
      <c r="O42" s="382">
        <f t="shared" si="10"/>
        <v>0</v>
      </c>
      <c r="P42" s="382">
        <f t="shared" si="10"/>
        <v>177435</v>
      </c>
      <c r="Q42" s="382">
        <f t="shared" si="10"/>
        <v>177435</v>
      </c>
      <c r="R42" s="12"/>
    </row>
    <row r="43" spans="1:18">
      <c r="A43" s="54" t="s">
        <v>95</v>
      </c>
      <c r="C43" s="383">
        <f>'Step 7 Final Adjustments'!Q42</f>
        <v>1555540</v>
      </c>
      <c r="D43" s="383">
        <v>1435806</v>
      </c>
      <c r="E43" s="382">
        <v>1435806</v>
      </c>
      <c r="G43" s="382">
        <v>0</v>
      </c>
      <c r="H43" s="382">
        <f t="shared" si="6"/>
        <v>1555540</v>
      </c>
      <c r="I43" s="382">
        <f t="shared" si="7"/>
        <v>1555540</v>
      </c>
      <c r="K43" s="382"/>
      <c r="L43" s="382">
        <f t="shared" si="8"/>
        <v>1435806</v>
      </c>
      <c r="M43" s="382">
        <f t="shared" si="9"/>
        <v>1435806</v>
      </c>
      <c r="O43" s="382">
        <f t="shared" si="10"/>
        <v>0</v>
      </c>
      <c r="P43" s="382">
        <f t="shared" si="10"/>
        <v>119734</v>
      </c>
      <c r="Q43" s="382">
        <f t="shared" si="10"/>
        <v>119734</v>
      </c>
      <c r="R43" s="12"/>
    </row>
    <row r="44" spans="1:18">
      <c r="A44" s="179" t="s">
        <v>96</v>
      </c>
      <c r="C44" s="381">
        <f>'Step 7 Final Adjustments'!Q43</f>
        <v>3013719</v>
      </c>
      <c r="D44" s="381">
        <f>8453610-D41</f>
        <v>2953610</v>
      </c>
      <c r="E44" s="381">
        <f>8453610-E41</f>
        <v>2953610</v>
      </c>
      <c r="G44" s="381">
        <v>0</v>
      </c>
      <c r="H44" s="381">
        <f t="shared" si="6"/>
        <v>3013719</v>
      </c>
      <c r="I44" s="381">
        <f t="shared" si="7"/>
        <v>3013719</v>
      </c>
      <c r="K44" s="381"/>
      <c r="L44" s="381">
        <f t="shared" si="8"/>
        <v>2953610</v>
      </c>
      <c r="M44" s="381">
        <f t="shared" si="9"/>
        <v>2953610</v>
      </c>
      <c r="O44" s="381">
        <f t="shared" si="10"/>
        <v>0</v>
      </c>
      <c r="P44" s="381">
        <f t="shared" si="10"/>
        <v>60109</v>
      </c>
      <c r="Q44" s="381">
        <f t="shared" si="10"/>
        <v>60109</v>
      </c>
      <c r="R44" s="12"/>
    </row>
    <row r="45" spans="1:18">
      <c r="A45" s="178" t="s">
        <v>97</v>
      </c>
      <c r="C45" s="383">
        <f>'Step 7 Final Adjustments'!Q44</f>
        <v>10531320</v>
      </c>
      <c r="D45" s="383">
        <v>9724870</v>
      </c>
      <c r="E45" s="383">
        <v>9724870</v>
      </c>
      <c r="G45" s="383">
        <v>3055800</v>
      </c>
      <c r="H45" s="383">
        <f t="shared" si="6"/>
        <v>7475520</v>
      </c>
      <c r="I45" s="383">
        <f t="shared" si="7"/>
        <v>10531320</v>
      </c>
      <c r="K45" s="383">
        <v>2916022.1519999998</v>
      </c>
      <c r="L45" s="383">
        <f t="shared" si="8"/>
        <v>6808847.8480000002</v>
      </c>
      <c r="M45" s="383">
        <f t="shared" si="9"/>
        <v>9724870</v>
      </c>
      <c r="O45" s="383">
        <f t="shared" si="10"/>
        <v>139777.84800000023</v>
      </c>
      <c r="P45" s="383">
        <f t="shared" si="10"/>
        <v>666672.15199999977</v>
      </c>
      <c r="Q45" s="383">
        <f t="shared" si="10"/>
        <v>806450</v>
      </c>
      <c r="R45" s="12"/>
    </row>
    <row r="46" spans="1:18">
      <c r="A46" s="367" t="s">
        <v>483</v>
      </c>
      <c r="C46" s="383">
        <f>'Step 7 Final Adjustments'!Q45</f>
        <v>7001064</v>
      </c>
      <c r="D46" s="383">
        <v>5000049</v>
      </c>
      <c r="E46" s="383">
        <v>5000049</v>
      </c>
      <c r="G46" s="383">
        <v>88896</v>
      </c>
      <c r="H46" s="383">
        <f t="shared" si="6"/>
        <v>6912168</v>
      </c>
      <c r="I46" s="383">
        <f t="shared" si="7"/>
        <v>7001064</v>
      </c>
      <c r="K46" s="383">
        <v>28706</v>
      </c>
      <c r="L46" s="383">
        <f t="shared" si="8"/>
        <v>4971343</v>
      </c>
      <c r="M46" s="383">
        <f t="shared" si="9"/>
        <v>5000049</v>
      </c>
      <c r="O46" s="383">
        <f t="shared" si="10"/>
        <v>60190</v>
      </c>
      <c r="P46" s="383">
        <f t="shared" si="10"/>
        <v>1940825</v>
      </c>
      <c r="Q46" s="383">
        <f t="shared" si="10"/>
        <v>2001015</v>
      </c>
      <c r="R46" s="12"/>
    </row>
    <row r="47" spans="1:18">
      <c r="A47" s="178" t="s">
        <v>98</v>
      </c>
      <c r="C47" s="383">
        <f>'Step 7 Final Adjustments'!Q46</f>
        <v>1930650</v>
      </c>
      <c r="D47" s="383">
        <v>3643184</v>
      </c>
      <c r="E47" s="383">
        <v>3643184</v>
      </c>
      <c r="G47" s="383">
        <v>43522</v>
      </c>
      <c r="H47" s="383">
        <f t="shared" si="6"/>
        <v>1887128</v>
      </c>
      <c r="I47" s="383">
        <f t="shared" si="7"/>
        <v>1930650</v>
      </c>
      <c r="K47" s="383">
        <v>9260</v>
      </c>
      <c r="L47" s="383">
        <f t="shared" si="8"/>
        <v>3633924</v>
      </c>
      <c r="M47" s="383">
        <f t="shared" si="9"/>
        <v>3643184</v>
      </c>
      <c r="O47" s="383">
        <f t="shared" si="10"/>
        <v>34262</v>
      </c>
      <c r="P47" s="383">
        <f t="shared" si="10"/>
        <v>-1746796</v>
      </c>
      <c r="Q47" s="383">
        <f t="shared" si="10"/>
        <v>-1712534</v>
      </c>
      <c r="R47" s="12"/>
    </row>
    <row r="48" spans="1:18">
      <c r="A48" s="179" t="s">
        <v>99</v>
      </c>
      <c r="C48" s="381">
        <f>'Step 7 Final Adjustments'!Q47</f>
        <v>24224945</v>
      </c>
      <c r="D48" s="381">
        <v>19774660</v>
      </c>
      <c r="E48" s="381">
        <v>19774660</v>
      </c>
      <c r="G48" s="381">
        <v>2631856</v>
      </c>
      <c r="H48" s="381">
        <f t="shared" si="6"/>
        <v>21593089</v>
      </c>
      <c r="I48" s="381">
        <f t="shared" si="7"/>
        <v>24224945</v>
      </c>
      <c r="K48" s="381">
        <v>2491673.0615384616</v>
      </c>
      <c r="L48" s="381">
        <f t="shared" si="8"/>
        <v>17282986.938461538</v>
      </c>
      <c r="M48" s="381">
        <f t="shared" si="9"/>
        <v>19774660</v>
      </c>
      <c r="O48" s="381">
        <f t="shared" si="10"/>
        <v>140182.9384615384</v>
      </c>
      <c r="P48" s="381">
        <f t="shared" si="10"/>
        <v>4310102.0615384616</v>
      </c>
      <c r="Q48" s="381">
        <f t="shared" si="10"/>
        <v>4450285</v>
      </c>
      <c r="R48" s="12"/>
    </row>
    <row r="49" spans="1:18">
      <c r="A49" s="178" t="s">
        <v>484</v>
      </c>
      <c r="C49" s="383">
        <f>'Step 7 Final Adjustments'!Q48</f>
        <v>5052176</v>
      </c>
      <c r="D49" s="383">
        <v>4501875</v>
      </c>
      <c r="E49" s="383">
        <v>4501875</v>
      </c>
      <c r="G49" s="383">
        <v>1494900</v>
      </c>
      <c r="H49" s="383">
        <f t="shared" si="6"/>
        <v>3557276</v>
      </c>
      <c r="I49" s="383">
        <f t="shared" si="7"/>
        <v>5052176</v>
      </c>
      <c r="K49" s="383">
        <v>1391043.626923077</v>
      </c>
      <c r="L49" s="383">
        <f t="shared" si="8"/>
        <v>3110831.3730769232</v>
      </c>
      <c r="M49" s="383">
        <f t="shared" si="9"/>
        <v>4501875</v>
      </c>
      <c r="O49" s="383">
        <f t="shared" si="10"/>
        <v>103856.37307692296</v>
      </c>
      <c r="P49" s="383">
        <f t="shared" si="10"/>
        <v>446444.62692307681</v>
      </c>
      <c r="Q49" s="383">
        <f t="shared" si="10"/>
        <v>550301</v>
      </c>
      <c r="R49" s="12"/>
    </row>
    <row r="50" spans="1:18">
      <c r="A50" s="54" t="s">
        <v>86</v>
      </c>
      <c r="C50" s="382">
        <f>'Step 7 Final Adjustments'!Q49</f>
        <v>1559284</v>
      </c>
      <c r="D50" s="382">
        <v>1522413</v>
      </c>
      <c r="E50" s="382">
        <v>1522413</v>
      </c>
      <c r="G50" s="382">
        <v>0</v>
      </c>
      <c r="H50" s="382">
        <f t="shared" si="6"/>
        <v>1559284</v>
      </c>
      <c r="I50" s="382">
        <f t="shared" si="7"/>
        <v>1559284</v>
      </c>
      <c r="K50" s="382">
        <v>0</v>
      </c>
      <c r="L50" s="382">
        <f t="shared" si="8"/>
        <v>1522413</v>
      </c>
      <c r="M50" s="382">
        <f t="shared" si="9"/>
        <v>1522413</v>
      </c>
      <c r="O50" s="382">
        <f t="shared" si="10"/>
        <v>0</v>
      </c>
      <c r="P50" s="382">
        <f t="shared" si="10"/>
        <v>36871</v>
      </c>
      <c r="Q50" s="382">
        <f t="shared" si="10"/>
        <v>36871</v>
      </c>
      <c r="R50" s="12"/>
    </row>
    <row r="51" spans="1:18">
      <c r="A51" s="368" t="s">
        <v>100</v>
      </c>
      <c r="C51" s="381">
        <f>'Step 7 Final Adjustments'!Q50</f>
        <v>7933343</v>
      </c>
      <c r="D51" s="381">
        <v>7580439</v>
      </c>
      <c r="E51" s="381">
        <v>7580439</v>
      </c>
      <c r="G51" s="381">
        <v>3440000</v>
      </c>
      <c r="H51" s="381">
        <f t="shared" si="6"/>
        <v>4493343</v>
      </c>
      <c r="I51" s="381">
        <f t="shared" si="7"/>
        <v>7933343</v>
      </c>
      <c r="K51" s="381">
        <v>3289388.6153846155</v>
      </c>
      <c r="L51" s="381">
        <f t="shared" si="8"/>
        <v>4291050.384615384</v>
      </c>
      <c r="M51" s="381">
        <f t="shared" si="9"/>
        <v>7580439</v>
      </c>
      <c r="O51" s="381">
        <f t="shared" si="10"/>
        <v>150611.38461538451</v>
      </c>
      <c r="P51" s="381">
        <f t="shared" si="10"/>
        <v>202292.61538461596</v>
      </c>
      <c r="Q51" s="381">
        <f t="shared" si="10"/>
        <v>352904</v>
      </c>
      <c r="R51" s="12"/>
    </row>
    <row r="52" spans="1:18">
      <c r="A52" s="178" t="s">
        <v>101</v>
      </c>
      <c r="C52" s="382">
        <f>'Step 7 Final Adjustments'!Q51</f>
        <v>13106471.275</v>
      </c>
      <c r="D52" s="382">
        <v>7705927</v>
      </c>
      <c r="E52" s="382">
        <v>7705927</v>
      </c>
      <c r="G52" s="382">
        <v>1317997.098</v>
      </c>
      <c r="H52" s="382">
        <f t="shared" si="6"/>
        <v>11788474.177000001</v>
      </c>
      <c r="I52" s="382">
        <f t="shared" si="7"/>
        <v>13106471.275</v>
      </c>
      <c r="K52" s="382">
        <v>1089170.46</v>
      </c>
      <c r="L52" s="382">
        <f t="shared" si="8"/>
        <v>6616756.54</v>
      </c>
      <c r="M52" s="382">
        <f t="shared" si="9"/>
        <v>7705927</v>
      </c>
      <c r="O52" s="382">
        <f t="shared" si="10"/>
        <v>228826.63800000004</v>
      </c>
      <c r="P52" s="382">
        <f t="shared" si="10"/>
        <v>5171717.637000001</v>
      </c>
      <c r="Q52" s="382">
        <f t="shared" si="10"/>
        <v>5400544.2750000004</v>
      </c>
      <c r="R52" s="12"/>
    </row>
    <row r="53" spans="1:18">
      <c r="A53" s="178" t="s">
        <v>102</v>
      </c>
      <c r="C53" s="383">
        <f>'Step 7 Final Adjustments'!Q52</f>
        <v>12171097</v>
      </c>
      <c r="D53" s="383">
        <v>12025835</v>
      </c>
      <c r="E53" s="383">
        <v>12025835</v>
      </c>
      <c r="G53" s="383">
        <v>1720000</v>
      </c>
      <c r="H53" s="383">
        <f t="shared" si="6"/>
        <v>10451097</v>
      </c>
      <c r="I53" s="383">
        <f t="shared" si="7"/>
        <v>12171097</v>
      </c>
      <c r="K53" s="383">
        <v>1644694.3076923077</v>
      </c>
      <c r="L53" s="383">
        <f t="shared" si="8"/>
        <v>10381140.692307692</v>
      </c>
      <c r="M53" s="383">
        <f t="shared" si="9"/>
        <v>12025835</v>
      </c>
      <c r="O53" s="383">
        <f t="shared" si="10"/>
        <v>75305.692307692254</v>
      </c>
      <c r="P53" s="383">
        <f t="shared" si="10"/>
        <v>69956.307692307979</v>
      </c>
      <c r="Q53" s="383">
        <f t="shared" si="10"/>
        <v>145262</v>
      </c>
      <c r="R53" s="12"/>
    </row>
    <row r="54" spans="1:18">
      <c r="A54" s="368" t="s">
        <v>103</v>
      </c>
      <c r="C54" s="381">
        <f>'Step 7 Final Adjustments'!Q53</f>
        <v>26772193</v>
      </c>
      <c r="D54" s="381">
        <v>25520328</v>
      </c>
      <c r="E54" s="381">
        <v>25520328</v>
      </c>
      <c r="G54" s="381">
        <v>2132070</v>
      </c>
      <c r="H54" s="381">
        <f t="shared" si="6"/>
        <v>24640123</v>
      </c>
      <c r="I54" s="381">
        <f t="shared" si="7"/>
        <v>26772193</v>
      </c>
      <c r="K54" s="381">
        <v>1988240.3076923077</v>
      </c>
      <c r="L54" s="381">
        <f t="shared" si="8"/>
        <v>23532087.692307692</v>
      </c>
      <c r="M54" s="381">
        <f t="shared" si="9"/>
        <v>25520328</v>
      </c>
      <c r="O54" s="381">
        <f t="shared" si="10"/>
        <v>143829.69230769225</v>
      </c>
      <c r="P54" s="381">
        <f t="shared" si="10"/>
        <v>1108035.307692308</v>
      </c>
      <c r="Q54" s="381">
        <f t="shared" si="10"/>
        <v>1251865</v>
      </c>
      <c r="R54" s="12"/>
    </row>
    <row r="55" spans="1:18">
      <c r="A55" s="178" t="s">
        <v>104</v>
      </c>
      <c r="C55" s="382">
        <f>'Step 7 Final Adjustments'!Q54</f>
        <v>19057926</v>
      </c>
      <c r="D55" s="382">
        <v>17684064</v>
      </c>
      <c r="E55" s="382">
        <v>17684064</v>
      </c>
      <c r="G55" s="382">
        <v>4792042</v>
      </c>
      <c r="H55" s="382">
        <f t="shared" si="6"/>
        <v>14265884</v>
      </c>
      <c r="I55" s="382">
        <f t="shared" si="7"/>
        <v>19057926</v>
      </c>
      <c r="K55" s="382">
        <v>4522909.346153846</v>
      </c>
      <c r="L55" s="382">
        <f t="shared" si="8"/>
        <v>13161154.653846154</v>
      </c>
      <c r="M55" s="382">
        <f t="shared" si="9"/>
        <v>17684064</v>
      </c>
      <c r="O55" s="382">
        <f t="shared" si="10"/>
        <v>269132.65384615399</v>
      </c>
      <c r="P55" s="382">
        <f t="shared" si="10"/>
        <v>1104729.346153846</v>
      </c>
      <c r="Q55" s="382">
        <f t="shared" si="10"/>
        <v>1373862</v>
      </c>
      <c r="R55" s="12"/>
    </row>
    <row r="56" spans="1:18">
      <c r="A56" s="178" t="s">
        <v>459</v>
      </c>
      <c r="C56" s="382">
        <f>'Step 7 Final Adjustments'!Q55</f>
        <v>3842928</v>
      </c>
      <c r="D56" s="382">
        <v>3700133</v>
      </c>
      <c r="E56" s="382">
        <v>3700133</v>
      </c>
      <c r="G56" s="382">
        <v>0</v>
      </c>
      <c r="H56" s="382">
        <f t="shared" si="6"/>
        <v>3842928</v>
      </c>
      <c r="I56" s="382">
        <f t="shared" si="7"/>
        <v>3842928</v>
      </c>
      <c r="K56" s="382">
        <v>37040</v>
      </c>
      <c r="L56" s="382">
        <f t="shared" si="8"/>
        <v>3663093</v>
      </c>
      <c r="M56" s="382">
        <f t="shared" si="9"/>
        <v>3700133</v>
      </c>
      <c r="O56" s="382">
        <f t="shared" si="10"/>
        <v>-37040</v>
      </c>
      <c r="P56" s="382">
        <f t="shared" si="10"/>
        <v>179835</v>
      </c>
      <c r="Q56" s="382">
        <f t="shared" si="10"/>
        <v>142795</v>
      </c>
      <c r="R56" s="12"/>
    </row>
    <row r="57" spans="1:18">
      <c r="A57" s="386" t="s">
        <v>485</v>
      </c>
      <c r="C57" s="381">
        <f>'Step 7 Final Adjustments'!Q56</f>
        <v>2435948</v>
      </c>
      <c r="D57" s="381">
        <v>2369903</v>
      </c>
      <c r="E57" s="381">
        <v>2369903</v>
      </c>
      <c r="G57" s="381">
        <v>860000</v>
      </c>
      <c r="H57" s="381">
        <f t="shared" si="6"/>
        <v>1575948</v>
      </c>
      <c r="I57" s="381">
        <f t="shared" si="7"/>
        <v>2435948</v>
      </c>
      <c r="K57" s="381">
        <v>822347.15384615387</v>
      </c>
      <c r="L57" s="381">
        <f t="shared" si="8"/>
        <v>1547555.846153846</v>
      </c>
      <c r="M57" s="381">
        <f t="shared" si="9"/>
        <v>2369903</v>
      </c>
      <c r="O57" s="381">
        <f t="shared" si="10"/>
        <v>37652.846153846127</v>
      </c>
      <c r="P57" s="381">
        <f t="shared" si="10"/>
        <v>28392.153846153989</v>
      </c>
      <c r="Q57" s="381">
        <f t="shared" si="10"/>
        <v>66045</v>
      </c>
      <c r="R57" s="12"/>
    </row>
    <row r="58" spans="1:18">
      <c r="A58" s="178" t="s">
        <v>105</v>
      </c>
      <c r="C58" s="382">
        <f>'Step 7 Final Adjustments'!Q57</f>
        <v>12406376</v>
      </c>
      <c r="D58" s="382">
        <v>12372914</v>
      </c>
      <c r="E58" s="382">
        <v>12372914</v>
      </c>
      <c r="G58" s="382">
        <v>4300000</v>
      </c>
      <c r="H58" s="382">
        <f t="shared" si="6"/>
        <v>8106376</v>
      </c>
      <c r="I58" s="382">
        <f t="shared" si="7"/>
        <v>12406376</v>
      </c>
      <c r="K58" s="382">
        <v>4167295.769230769</v>
      </c>
      <c r="L58" s="382">
        <f t="shared" si="8"/>
        <v>8205618.230769231</v>
      </c>
      <c r="M58" s="382">
        <f t="shared" si="9"/>
        <v>12372914</v>
      </c>
      <c r="O58" s="382">
        <f t="shared" si="10"/>
        <v>132704.23076923098</v>
      </c>
      <c r="P58" s="382">
        <f t="shared" si="10"/>
        <v>-99242.230769230984</v>
      </c>
      <c r="Q58" s="382">
        <f t="shared" si="10"/>
        <v>33462</v>
      </c>
      <c r="R58" s="12"/>
    </row>
    <row r="59" spans="1:18">
      <c r="A59" s="375" t="s">
        <v>106</v>
      </c>
      <c r="C59" s="376">
        <v>168189622.03727126</v>
      </c>
      <c r="D59" s="376">
        <v>155419385</v>
      </c>
      <c r="E59" s="376">
        <f>SUM(E40:E58)</f>
        <v>155419385</v>
      </c>
      <c r="G59" s="376">
        <f>SUM(G40:G58)</f>
        <v>25877083.097999997</v>
      </c>
      <c r="H59" s="376">
        <f>SUM(H40:H58)</f>
        <v>147427172.71323311</v>
      </c>
      <c r="I59" s="376">
        <f>SUM(I40:I58)</f>
        <v>173304255.8112331</v>
      </c>
      <c r="K59" s="376">
        <f>SUM(K40:K58)</f>
        <v>24397790.800461538</v>
      </c>
      <c r="L59" s="376">
        <f>SUM(L40:L58)</f>
        <v>131021594.19953848</v>
      </c>
      <c r="M59" s="376">
        <f>SUM(M40:M58)</f>
        <v>155419385</v>
      </c>
      <c r="O59" s="376">
        <f>SUM(O40:O58)</f>
        <v>1479292.2975384616</v>
      </c>
      <c r="P59" s="376">
        <f>SUM(P40:P58)</f>
        <v>16405578.513694633</v>
      </c>
      <c r="Q59" s="376">
        <f>SUM(Q40:Q58)</f>
        <v>17884870.811233096</v>
      </c>
      <c r="R59" s="12"/>
    </row>
    <row r="60" spans="1:18" ht="16.5" thickBot="1">
      <c r="A60" s="377" t="s">
        <v>107</v>
      </c>
      <c r="C60" s="378">
        <v>578181004.09857142</v>
      </c>
      <c r="D60" s="378">
        <v>552825759.38800001</v>
      </c>
      <c r="E60" s="378">
        <f>SUM(E7,E36,E59)</f>
        <v>552825759</v>
      </c>
      <c r="G60" s="378">
        <f>SUM(G7,G36,G59)</f>
        <v>126169260.98344854</v>
      </c>
      <c r="H60" s="378">
        <f>SUM(H7,H36,H59)</f>
        <v>455439073.965123</v>
      </c>
      <c r="I60" s="378">
        <f>SUM(I7,I36,I59)</f>
        <v>581608334.94857144</v>
      </c>
      <c r="K60" s="378">
        <f>SUM(K7,K36,K59)</f>
        <v>119191291.92399999</v>
      </c>
      <c r="L60" s="378">
        <f>SUM(L7,L36,L59)</f>
        <v>433634467.07599998</v>
      </c>
      <c r="M60" s="378">
        <f>SUM(M7,M36,M59)</f>
        <v>552825759</v>
      </c>
      <c r="O60" s="378">
        <f>SUM(O7,O36,O59)</f>
        <v>6977969.0594485458</v>
      </c>
      <c r="P60" s="378">
        <f>SUM(P7,P36,P59)</f>
        <v>21804606.889122952</v>
      </c>
      <c r="Q60" s="378">
        <f>SUM(Q7,Q36,Q59)</f>
        <v>28782575.948571496</v>
      </c>
      <c r="R60" s="12"/>
    </row>
    <row r="61" spans="1:18" ht="16.5" thickTop="1"/>
    <row r="62" spans="1:18">
      <c r="O62" s="12"/>
      <c r="P62" s="12"/>
      <c r="Q62" s="12"/>
    </row>
    <row r="63" spans="1:18">
      <c r="P63" s="12"/>
    </row>
  </sheetData>
  <mergeCells count="14">
    <mergeCell ref="G5:I5"/>
    <mergeCell ref="K5:M5"/>
    <mergeCell ref="O5:Q5"/>
    <mergeCell ref="D7:D13"/>
    <mergeCell ref="E7:E13"/>
    <mergeCell ref="G7:G13"/>
    <mergeCell ref="H7:H13"/>
    <mergeCell ref="I7:I13"/>
    <mergeCell ref="K7:K13"/>
    <mergeCell ref="L7:L13"/>
    <mergeCell ref="M7:M13"/>
    <mergeCell ref="O7:O13"/>
    <mergeCell ref="P7:P13"/>
    <mergeCell ref="Q7:Q13"/>
  </mergeCells>
  <phoneticPr fontId="52" type="noConversion"/>
  <pageMargins left="0.75" right="0.75" top="1" bottom="1" header="0.5" footer="0.5"/>
  <pageSetup scale="47" orientation="landscape" horizontalDpi="4294967292" verticalDpi="4294967292" copies="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59"/>
  <sheetViews>
    <sheetView workbookViewId="0">
      <selection activeCell="L56" sqref="L56"/>
    </sheetView>
  </sheetViews>
  <sheetFormatPr defaultColWidth="11" defaultRowHeight="15.75"/>
  <cols>
    <col min="1" max="1" width="45.375" customWidth="1"/>
    <col min="2" max="2" width="12.5" customWidth="1"/>
    <col min="8" max="8" width="13.5" customWidth="1"/>
    <col min="9" max="9" width="11.375" bestFit="1" customWidth="1"/>
    <col min="11" max="11" width="19.5" customWidth="1"/>
    <col min="12" max="12" width="11.625" customWidth="1"/>
    <col min="13" max="13" width="11.875" customWidth="1"/>
    <col min="14" max="14" width="13" customWidth="1"/>
    <col min="18" max="18" width="12.5" bestFit="1" customWidth="1"/>
  </cols>
  <sheetData>
    <row r="1" spans="1:17">
      <c r="A1" s="175" t="s">
        <v>62</v>
      </c>
      <c r="B1" s="175"/>
      <c r="C1" s="175"/>
      <c r="D1" s="175"/>
      <c r="E1" s="175"/>
      <c r="F1" s="175"/>
      <c r="G1" s="175"/>
      <c r="H1" s="175"/>
    </row>
    <row r="2" spans="1:17">
      <c r="A2" s="175" t="s">
        <v>1478</v>
      </c>
      <c r="B2" s="175"/>
      <c r="C2" s="175"/>
      <c r="D2" s="175"/>
      <c r="E2" s="175"/>
      <c r="F2" s="175"/>
      <c r="G2" s="175"/>
      <c r="H2" s="175"/>
    </row>
    <row r="3" spans="1:17">
      <c r="A3" s="175"/>
      <c r="B3" s="175"/>
      <c r="C3" s="175"/>
      <c r="D3" s="175"/>
      <c r="E3" s="175"/>
      <c r="F3" s="175"/>
      <c r="G3" s="175"/>
      <c r="H3" s="175"/>
    </row>
    <row r="4" spans="1:17">
      <c r="A4" s="176"/>
      <c r="B4" s="1795" t="s">
        <v>666</v>
      </c>
      <c r="C4" s="1795"/>
      <c r="D4" s="1795"/>
      <c r="E4" s="1795"/>
      <c r="F4" s="1795"/>
      <c r="G4" s="1795"/>
      <c r="H4" s="1795"/>
      <c r="K4" s="1795" t="s">
        <v>1608</v>
      </c>
      <c r="L4" s="1795"/>
      <c r="M4" s="1795"/>
      <c r="N4" s="1795"/>
      <c r="O4" s="1795"/>
      <c r="P4" s="1795"/>
      <c r="Q4" s="1795"/>
    </row>
    <row r="5" spans="1:17" ht="51">
      <c r="A5" s="186" t="s">
        <v>69</v>
      </c>
      <c r="B5" s="631" t="s">
        <v>653</v>
      </c>
      <c r="C5" s="631" t="s">
        <v>654</v>
      </c>
      <c r="D5" s="631" t="s">
        <v>655</v>
      </c>
      <c r="E5" s="631" t="s">
        <v>406</v>
      </c>
      <c r="F5" s="631" t="s">
        <v>656</v>
      </c>
      <c r="G5" s="646" t="s">
        <v>1401</v>
      </c>
      <c r="H5" s="631" t="s">
        <v>1438</v>
      </c>
      <c r="K5" s="220"/>
      <c r="L5" s="619" t="s">
        <v>653</v>
      </c>
      <c r="M5" s="619" t="s">
        <v>654</v>
      </c>
      <c r="N5" s="619" t="s">
        <v>655</v>
      </c>
      <c r="O5" s="619" t="s">
        <v>406</v>
      </c>
      <c r="P5" s="619" t="s">
        <v>656</v>
      </c>
      <c r="Q5" s="619" t="s">
        <v>261</v>
      </c>
    </row>
    <row r="6" spans="1:17">
      <c r="A6" s="177" t="s">
        <v>479</v>
      </c>
      <c r="B6" s="44"/>
      <c r="C6" s="44"/>
      <c r="D6" s="44"/>
      <c r="E6" s="44"/>
      <c r="F6" s="44"/>
      <c r="G6" s="44"/>
      <c r="H6" s="44"/>
    </row>
    <row r="7" spans="1:17">
      <c r="A7" s="177" t="s">
        <v>486</v>
      </c>
      <c r="B7" s="44"/>
      <c r="C7" s="44"/>
      <c r="D7" s="44"/>
      <c r="E7" s="44"/>
      <c r="F7" s="44"/>
      <c r="G7" s="44"/>
      <c r="H7" s="44"/>
    </row>
    <row r="8" spans="1:17">
      <c r="A8" s="177" t="s">
        <v>480</v>
      </c>
      <c r="B8" s="44"/>
      <c r="C8" s="44"/>
      <c r="D8" s="44"/>
      <c r="E8" s="44"/>
      <c r="F8" s="44"/>
      <c r="G8" s="44"/>
      <c r="H8" s="44"/>
      <c r="K8" t="s">
        <v>659</v>
      </c>
    </row>
    <row r="9" spans="1:17">
      <c r="A9" s="177" t="s">
        <v>481</v>
      </c>
      <c r="B9" s="44"/>
      <c r="C9" s="44"/>
      <c r="D9" s="44"/>
      <c r="E9" s="44"/>
      <c r="F9" s="44"/>
      <c r="G9" s="44"/>
      <c r="H9" s="44"/>
      <c r="K9" t="s">
        <v>660</v>
      </c>
    </row>
    <row r="10" spans="1:17">
      <c r="A10" s="177" t="s">
        <v>482</v>
      </c>
      <c r="B10" s="44"/>
      <c r="C10" s="44"/>
      <c r="D10" s="44"/>
      <c r="E10" s="44"/>
      <c r="F10" s="44"/>
      <c r="G10" s="44"/>
      <c r="H10" s="44"/>
      <c r="K10" t="s">
        <v>1176</v>
      </c>
    </row>
    <row r="11" spans="1:17">
      <c r="A11" s="168"/>
      <c r="B11" s="48"/>
      <c r="C11" s="48"/>
      <c r="D11" s="48"/>
      <c r="E11" s="48"/>
      <c r="F11" s="48"/>
      <c r="G11" s="48"/>
      <c r="H11" s="48"/>
    </row>
    <row r="12" spans="1:17">
      <c r="A12" s="51" t="s">
        <v>72</v>
      </c>
      <c r="B12" s="34"/>
      <c r="C12" s="34"/>
      <c r="D12" s="34"/>
      <c r="E12" s="34"/>
      <c r="F12" s="34"/>
      <c r="G12" s="34"/>
      <c r="H12" s="34"/>
      <c r="K12" s="479"/>
      <c r="L12" s="220"/>
      <c r="M12" s="220"/>
      <c r="N12" s="220"/>
      <c r="O12" s="220"/>
      <c r="P12" s="220"/>
      <c r="Q12" s="220"/>
    </row>
    <row r="13" spans="1:17">
      <c r="A13" s="179" t="s">
        <v>73</v>
      </c>
      <c r="B13" s="44">
        <f t="shared" ref="B13:D14" si="0">L13</f>
        <v>4330962.1050008144</v>
      </c>
      <c r="C13" s="44">
        <f t="shared" si="0"/>
        <v>4062828.4382634559</v>
      </c>
      <c r="D13" s="44">
        <f t="shared" si="0"/>
        <v>7438000</v>
      </c>
      <c r="E13" s="44">
        <f>'Grant Data'!D12</f>
        <v>1459316.4883024483</v>
      </c>
      <c r="F13" s="44">
        <f>P13</f>
        <v>492908.91727135814</v>
      </c>
      <c r="G13" s="44">
        <f>Q13</f>
        <v>2996760.1394493561</v>
      </c>
      <c r="H13" s="44">
        <f>SUM(B13:G13)</f>
        <v>20780776.088287428</v>
      </c>
      <c r="I13" s="12"/>
      <c r="K13" s="481" t="s">
        <v>538</v>
      </c>
      <c r="L13" s="536">
        <f>'Foundation SCH'!D19+'Honors College Incentive'!D12</f>
        <v>4330962.1050008144</v>
      </c>
      <c r="M13" s="536">
        <f>'Undergrad Completions'!D17</f>
        <v>4062828.4382634559</v>
      </c>
      <c r="N13" s="536">
        <f>'Ecampus And Summer'!D7+'Ecampus And Summer'!I7</f>
        <v>7438000</v>
      </c>
      <c r="O13" s="625"/>
      <c r="P13" s="536">
        <f>'Strategic Populations'!D17+'Cascades Incentive'!D17</f>
        <v>492908.91727135814</v>
      </c>
      <c r="Q13" s="536">
        <f>'Graduate Completions'!D17</f>
        <v>2996760.1394493561</v>
      </c>
    </row>
    <row r="14" spans="1:17">
      <c r="A14" s="54" t="s">
        <v>74</v>
      </c>
      <c r="B14" s="48">
        <f t="shared" si="0"/>
        <v>6098014.0602151724</v>
      </c>
      <c r="C14" s="48">
        <f t="shared" si="0"/>
        <v>5008750.544583492</v>
      </c>
      <c r="D14" s="48">
        <f t="shared" si="0"/>
        <v>4841000</v>
      </c>
      <c r="E14" s="48">
        <f>'Grant Data'!D13</f>
        <v>3661.2158427891541</v>
      </c>
      <c r="F14" s="48">
        <f>P14</f>
        <v>1204914.2940596591</v>
      </c>
      <c r="G14" s="48">
        <f>Q14</f>
        <v>1415123.0877913125</v>
      </c>
      <c r="H14" s="48">
        <f t="shared" ref="H14:H31" si="1">SUM(B14:G14)</f>
        <v>18571463.202492423</v>
      </c>
      <c r="I14" s="12"/>
      <c r="K14" s="481" t="s">
        <v>6</v>
      </c>
      <c r="L14" s="536">
        <f>'Foundation SCH'!D20+'Honors College Incentive'!D13</f>
        <v>6098014.0602151724</v>
      </c>
      <c r="M14" s="536">
        <f>'Undergrad Completions'!D18</f>
        <v>5008750.544583492</v>
      </c>
      <c r="N14" s="536">
        <f>'Ecampus And Summer'!D8+'Ecampus And Summer'!I8</f>
        <v>4841000</v>
      </c>
      <c r="O14" s="625"/>
      <c r="P14" s="536">
        <f>'Strategic Populations'!D18+'Cascades Incentive'!D18</f>
        <v>1204914.2940596591</v>
      </c>
      <c r="Q14" s="536">
        <f>'Graduate Completions'!D18</f>
        <v>1415123.0877913125</v>
      </c>
    </row>
    <row r="15" spans="1:17">
      <c r="A15" s="178" t="s">
        <v>75</v>
      </c>
      <c r="B15" s="48">
        <f>L22</f>
        <v>6197731.9396294253</v>
      </c>
      <c r="C15" s="48">
        <f>M22</f>
        <v>12887618.959108954</v>
      </c>
      <c r="D15" s="48">
        <f>N22</f>
        <v>15471000</v>
      </c>
      <c r="E15" s="48">
        <f>'Grant Data'!D14</f>
        <v>1760533.9184146451</v>
      </c>
      <c r="F15" s="48">
        <f>P22</f>
        <v>1970453.1146573103</v>
      </c>
      <c r="G15" s="48">
        <f>Q22</f>
        <v>9987494.9167604316</v>
      </c>
      <c r="H15" s="48">
        <f t="shared" si="1"/>
        <v>48274832.848570772</v>
      </c>
      <c r="I15" s="12"/>
      <c r="K15" s="481" t="s">
        <v>8</v>
      </c>
      <c r="L15" s="536">
        <f>'Foundation SCH'!D21+'Honors College Incentive'!D14</f>
        <v>1237465.4375682762</v>
      </c>
      <c r="M15" s="536">
        <f>'Undergrad Completions'!D19</f>
        <v>246651.00639659457</v>
      </c>
      <c r="N15" s="536">
        <f>'Ecampus And Summer'!D9+'Ecampus And Summer'!I9</f>
        <v>1817000</v>
      </c>
      <c r="O15" s="625"/>
      <c r="P15" s="536">
        <f>'Strategic Populations'!D19+'Cascades Incentive'!D19</f>
        <v>232802.24015642281</v>
      </c>
      <c r="Q15" s="536">
        <f>'Graduate Completions'!D19</f>
        <v>1137959.8418030241</v>
      </c>
    </row>
    <row r="16" spans="1:17">
      <c r="A16" s="179" t="s">
        <v>76</v>
      </c>
      <c r="B16" s="44">
        <f>L16</f>
        <v>1032008.4842294791</v>
      </c>
      <c r="C16" s="44">
        <f>M16</f>
        <v>1216033.8803664767</v>
      </c>
      <c r="D16" s="44">
        <f>N16</f>
        <v>1489000</v>
      </c>
      <c r="E16" s="44">
        <f>'Grant Data'!D15</f>
        <v>351174.30069355096</v>
      </c>
      <c r="F16" s="44">
        <f>P16</f>
        <v>186029.68925574538</v>
      </c>
      <c r="G16" s="44">
        <f>Q16</f>
        <v>1367226.4321265465</v>
      </c>
      <c r="H16" s="44">
        <f t="shared" si="1"/>
        <v>5641472.7866717987</v>
      </c>
      <c r="I16" s="12"/>
      <c r="K16" s="483" t="s">
        <v>2</v>
      </c>
      <c r="L16" s="536">
        <f>'Foundation SCH'!D22+'Honors College Incentive'!D15</f>
        <v>1032008.4842294791</v>
      </c>
      <c r="M16" s="536">
        <f>'Undergrad Completions'!D20</f>
        <v>1216033.8803664767</v>
      </c>
      <c r="N16" s="536">
        <f>'Ecampus And Summer'!D10+'Ecampus And Summer'!I10</f>
        <v>1489000</v>
      </c>
      <c r="O16" s="625"/>
      <c r="P16" s="536">
        <f>'Strategic Populations'!D20+'Cascades Incentive'!D20</f>
        <v>186029.68925574538</v>
      </c>
      <c r="Q16" s="536">
        <f>'Graduate Completions'!D20</f>
        <v>1367226.4321265465</v>
      </c>
    </row>
    <row r="17" spans="1:17">
      <c r="A17" s="54" t="s">
        <v>77</v>
      </c>
      <c r="B17" s="48">
        <f>L23</f>
        <v>5388886.6157729132</v>
      </c>
      <c r="C17" s="48">
        <f>M23</f>
        <v>4303847.7806698401</v>
      </c>
      <c r="D17" s="48">
        <f>N23</f>
        <v>3597000</v>
      </c>
      <c r="E17" s="48">
        <f>'Grant Data'!D16</f>
        <v>696931.98959000909</v>
      </c>
      <c r="F17" s="48">
        <f>P23</f>
        <v>981917.66314386949</v>
      </c>
      <c r="G17" s="48">
        <f>Q23</f>
        <v>2021194.7388021345</v>
      </c>
      <c r="H17" s="48">
        <f t="shared" si="1"/>
        <v>16989778.787978765</v>
      </c>
      <c r="I17" s="12"/>
      <c r="K17" s="481" t="s">
        <v>10</v>
      </c>
      <c r="L17" s="536">
        <f>'Foundation SCH'!D23+'Honors College Incentive'!D16</f>
        <v>147592.04373479375</v>
      </c>
      <c r="M17" s="536">
        <f>'Undergrad Completions'!D21</f>
        <v>0</v>
      </c>
      <c r="N17" s="536">
        <f>'Ecampus And Summer'!D11+'Ecampus And Summer'!I11</f>
        <v>115000</v>
      </c>
      <c r="O17" s="625"/>
      <c r="P17" s="536">
        <f>'Strategic Populations'!D21+'Cascades Incentive'!D21</f>
        <v>55935.712292815158</v>
      </c>
      <c r="Q17" s="536">
        <f>'Graduate Completions'!D21</f>
        <v>3634566.8862528903</v>
      </c>
    </row>
    <row r="18" spans="1:17">
      <c r="A18" s="178" t="s">
        <v>78</v>
      </c>
      <c r="B18" s="48">
        <f>L15</f>
        <v>1237465.4375682762</v>
      </c>
      <c r="C18" s="48">
        <f>M15</f>
        <v>246651.00639659457</v>
      </c>
      <c r="D18" s="48">
        <f>N15</f>
        <v>1817000</v>
      </c>
      <c r="E18" s="48">
        <f>'Grant Data'!D17</f>
        <v>17698.498355001917</v>
      </c>
      <c r="F18" s="48">
        <f>P15</f>
        <v>232802.24015642281</v>
      </c>
      <c r="G18" s="48">
        <f>Q15</f>
        <v>1137959.8418030241</v>
      </c>
      <c r="H18" s="48">
        <f t="shared" si="1"/>
        <v>4689577.0242793197</v>
      </c>
      <c r="I18" s="12"/>
      <c r="K18" s="481" t="s">
        <v>4</v>
      </c>
      <c r="L18" s="536">
        <f>'Foundation SCH'!D24+'Honors College Incentive'!D17</f>
        <v>23013790.883986704</v>
      </c>
      <c r="M18" s="536">
        <f>'Undergrad Completions'!D22</f>
        <v>5193991.1331941113</v>
      </c>
      <c r="N18" s="536">
        <f>'Ecampus And Summer'!D12+'Ecampus And Summer'!I12</f>
        <v>6604000</v>
      </c>
      <c r="O18" s="625"/>
      <c r="P18" s="536">
        <f>'Strategic Populations'!D22+'Cascades Incentive'!D22</f>
        <v>713716.44515106641</v>
      </c>
      <c r="Q18" s="536">
        <f>'Graduate Completions'!D22</f>
        <v>3347195.3259247104</v>
      </c>
    </row>
    <row r="19" spans="1:17">
      <c r="A19" s="179" t="s">
        <v>79</v>
      </c>
      <c r="B19" s="44">
        <f>L20</f>
        <v>20343697.414019994</v>
      </c>
      <c r="C19" s="44">
        <f>M20</f>
        <v>6143677.3678060807</v>
      </c>
      <c r="D19" s="44">
        <f>N20</f>
        <v>13056000</v>
      </c>
      <c r="E19" s="44">
        <f>'Grant Data'!D18</f>
        <v>72993.153751321035</v>
      </c>
      <c r="F19" s="44">
        <f>P20</f>
        <v>1234271.6396475714</v>
      </c>
      <c r="G19" s="44">
        <f>Q20</f>
        <v>2005849.1081571057</v>
      </c>
      <c r="H19" s="44">
        <f t="shared" si="1"/>
        <v>42856488.683382079</v>
      </c>
      <c r="I19" s="12"/>
      <c r="K19" s="481" t="s">
        <v>14</v>
      </c>
      <c r="L19" s="536">
        <f>'Foundation SCH'!D25+'Honors College Incentive'!D18</f>
        <v>330785.37515803892</v>
      </c>
      <c r="M19" s="536">
        <f>'Undergrad Completions'!D23</f>
        <v>0</v>
      </c>
      <c r="N19" s="536">
        <f>'Ecampus And Summer'!D13+'Ecampus And Summer'!I13</f>
        <v>358000</v>
      </c>
      <c r="O19" s="628"/>
      <c r="P19" s="536">
        <f>'Strategic Populations'!D23+'Cascades Incentive'!D23</f>
        <v>65920.930355003642</v>
      </c>
      <c r="Q19" s="536">
        <f>'Graduate Completions'!D23</f>
        <v>619822.66477974958</v>
      </c>
    </row>
    <row r="20" spans="1:17">
      <c r="A20" s="178" t="s">
        <v>80</v>
      </c>
      <c r="B20" s="48">
        <f>L24</f>
        <v>2590882.5638019373</v>
      </c>
      <c r="C20" s="48">
        <f>M24</f>
        <v>853875.83086411131</v>
      </c>
      <c r="D20" s="48">
        <f>N24</f>
        <v>1385000</v>
      </c>
      <c r="E20" s="48">
        <f>'Grant Data'!D19</f>
        <v>1864879.4057358669</v>
      </c>
      <c r="F20" s="48">
        <f>P24</f>
        <v>149350.19466513742</v>
      </c>
      <c r="G20" s="48">
        <f>Q24</f>
        <v>1547775.3050429728</v>
      </c>
      <c r="H20" s="48">
        <f t="shared" si="1"/>
        <v>8391763.3001100272</v>
      </c>
      <c r="I20" s="12"/>
      <c r="K20" s="483" t="s">
        <v>17</v>
      </c>
      <c r="L20" s="536">
        <f>'Foundation SCH'!D26+'Honors College Incentive'!D19</f>
        <v>20343697.414019994</v>
      </c>
      <c r="M20" s="536">
        <f>'Undergrad Completions'!D24</f>
        <v>6143677.3678060807</v>
      </c>
      <c r="N20" s="536">
        <f>'Ecampus And Summer'!D14+'Ecampus And Summer'!I14</f>
        <v>13056000</v>
      </c>
      <c r="O20" s="625"/>
      <c r="P20" s="536">
        <f>'Strategic Populations'!D24+'Cascades Incentive'!D24</f>
        <v>1234271.6396475714</v>
      </c>
      <c r="Q20" s="536">
        <f>'Graduate Completions'!D24</f>
        <v>2005849.1081571057</v>
      </c>
    </row>
    <row r="21" spans="1:17">
      <c r="A21" s="178" t="s">
        <v>81</v>
      </c>
      <c r="B21" s="48">
        <f t="shared" ref="B21:D22" si="2">L17</f>
        <v>147592.04373479375</v>
      </c>
      <c r="C21" s="48">
        <f t="shared" si="2"/>
        <v>0</v>
      </c>
      <c r="D21" s="48">
        <f t="shared" si="2"/>
        <v>115000</v>
      </c>
      <c r="E21" s="48">
        <f>'Grant Data'!D20</f>
        <v>190353.50504244954</v>
      </c>
      <c r="F21" s="48">
        <f>P17</f>
        <v>55935.712292815158</v>
      </c>
      <c r="G21" s="48">
        <f>Q17</f>
        <v>3634566.8862528903</v>
      </c>
      <c r="H21" s="48">
        <f t="shared" si="1"/>
        <v>4143448.147322949</v>
      </c>
      <c r="I21" s="12"/>
      <c r="K21" s="481" t="s">
        <v>324</v>
      </c>
      <c r="L21" s="536">
        <f>'Foundation SCH'!D27+'Honors College Incentive'!D20</f>
        <v>302898.14914308861</v>
      </c>
      <c r="M21" s="536">
        <f>'Undergrad Completions'!D25</f>
        <v>0</v>
      </c>
      <c r="N21" s="536">
        <f>'Ecampus And Summer'!D15+'Ecampus And Summer'!I15</f>
        <v>0</v>
      </c>
      <c r="O21" s="628"/>
      <c r="P21" s="536">
        <f>'Strategic Populations'!D25+'Cascades Incentive'!D25</f>
        <v>17381.675886031815</v>
      </c>
      <c r="Q21" s="536">
        <f>'Graduate Completions'!D25</f>
        <v>2419899.3325825199</v>
      </c>
    </row>
    <row r="22" spans="1:17">
      <c r="A22" s="179" t="s">
        <v>82</v>
      </c>
      <c r="B22" s="44">
        <f t="shared" si="2"/>
        <v>23013790.883986704</v>
      </c>
      <c r="C22" s="44">
        <f t="shared" si="2"/>
        <v>5193991.1331941113</v>
      </c>
      <c r="D22" s="44">
        <f t="shared" si="2"/>
        <v>6604000</v>
      </c>
      <c r="E22" s="44">
        <f>'Grant Data'!D21</f>
        <v>631019.69091526477</v>
      </c>
      <c r="F22" s="44">
        <f>P18</f>
        <v>713716.44515106641</v>
      </c>
      <c r="G22" s="44">
        <f>Q18</f>
        <v>3347195.3259247104</v>
      </c>
      <c r="H22" s="44">
        <f t="shared" si="1"/>
        <v>39503713.479171857</v>
      </c>
      <c r="I22" s="12"/>
      <c r="K22" s="481" t="s">
        <v>7</v>
      </c>
      <c r="L22" s="536">
        <f>'Foundation SCH'!D28+'Honors College Incentive'!D21</f>
        <v>6197731.9396294253</v>
      </c>
      <c r="M22" s="536">
        <f>'Undergrad Completions'!D26</f>
        <v>12887618.959108954</v>
      </c>
      <c r="N22" s="536">
        <f>'Ecampus And Summer'!D16+'Ecampus And Summer'!I16</f>
        <v>15471000</v>
      </c>
      <c r="O22" s="625"/>
      <c r="P22" s="536">
        <f>'Strategic Populations'!D26+'Cascades Incentive'!D26</f>
        <v>1970453.1146573103</v>
      </c>
      <c r="Q22" s="536">
        <f>'Graduate Completions'!D26</f>
        <v>9987494.9167604316</v>
      </c>
    </row>
    <row r="23" spans="1:17">
      <c r="A23" s="178" t="s">
        <v>83</v>
      </c>
      <c r="B23" s="48">
        <f>L21</f>
        <v>302898.14914308861</v>
      </c>
      <c r="C23" s="48">
        <f>M21</f>
        <v>0</v>
      </c>
      <c r="D23" s="48">
        <f>N21</f>
        <v>0</v>
      </c>
      <c r="E23" s="48">
        <f>'Grant Data'!D22</f>
        <v>139434.01238899163</v>
      </c>
      <c r="F23" s="48">
        <f>P21</f>
        <v>17381.675886031815</v>
      </c>
      <c r="G23" s="48">
        <f>Q21</f>
        <v>2419899.3325825199</v>
      </c>
      <c r="H23" s="48">
        <f t="shared" si="1"/>
        <v>2879613.1700006318</v>
      </c>
      <c r="I23" s="12"/>
      <c r="K23" s="481" t="s">
        <v>9</v>
      </c>
      <c r="L23" s="536">
        <f>'Foundation SCH'!D29+'Honors College Incentive'!D22</f>
        <v>5388886.6157729132</v>
      </c>
      <c r="M23" s="536">
        <f>'Undergrad Completions'!D27</f>
        <v>4303847.7806698401</v>
      </c>
      <c r="N23" s="536">
        <f>'Ecampus And Summer'!D17+'Ecampus And Summer'!I17</f>
        <v>3597000</v>
      </c>
      <c r="O23" s="625"/>
      <c r="P23" s="536">
        <f>'Strategic Populations'!D27+'Cascades Incentive'!D27</f>
        <v>981917.66314386949</v>
      </c>
      <c r="Q23" s="536">
        <f>'Graduate Completions'!D27</f>
        <v>2021194.7388021345</v>
      </c>
    </row>
    <row r="24" spans="1:17">
      <c r="A24" s="178" t="s">
        <v>84</v>
      </c>
      <c r="B24" s="48">
        <v>0</v>
      </c>
      <c r="C24" s="48">
        <v>0</v>
      </c>
      <c r="D24" s="48">
        <v>0</v>
      </c>
      <c r="E24" s="48">
        <f>'Grant Data'!D23</f>
        <v>0</v>
      </c>
      <c r="F24" s="48">
        <v>0</v>
      </c>
      <c r="G24" s="48">
        <v>0</v>
      </c>
      <c r="H24" s="48">
        <f t="shared" si="1"/>
        <v>0</v>
      </c>
      <c r="K24" s="483" t="s">
        <v>5</v>
      </c>
      <c r="L24" s="536">
        <f>'Foundation SCH'!D30+'Honors College Incentive'!D23</f>
        <v>2590882.5638019373</v>
      </c>
      <c r="M24" s="536">
        <f>'Undergrad Completions'!D28</f>
        <v>853875.83086411131</v>
      </c>
      <c r="N24" s="536">
        <f>'Ecampus And Summer'!D18+'Ecampus And Summer'!I18</f>
        <v>1385000</v>
      </c>
      <c r="O24" s="625"/>
      <c r="P24" s="536">
        <f>'Strategic Populations'!D28+'Cascades Incentive'!D28</f>
        <v>149350.19466513742</v>
      </c>
      <c r="Q24" s="536">
        <f>'Graduate Completions'!D28</f>
        <v>1547775.3050429728</v>
      </c>
    </row>
    <row r="25" spans="1:17">
      <c r="A25" s="179" t="s">
        <v>85</v>
      </c>
      <c r="B25" s="44">
        <f>L28</f>
        <v>1134692.1551494014</v>
      </c>
      <c r="C25" s="44">
        <f>M28</f>
        <v>708809.78308782657</v>
      </c>
      <c r="D25" s="44">
        <f>N28</f>
        <v>1000</v>
      </c>
      <c r="E25" s="44">
        <f>'Grant Data'!D24</f>
        <v>0</v>
      </c>
      <c r="F25" s="44">
        <f>P28</f>
        <v>2552.3560206654997</v>
      </c>
      <c r="G25" s="44">
        <f>Q28</f>
        <v>0</v>
      </c>
      <c r="H25" s="44">
        <f t="shared" si="1"/>
        <v>1847054.2942578935</v>
      </c>
      <c r="I25" s="12"/>
      <c r="K25" s="481"/>
      <c r="L25" s="472"/>
      <c r="M25" s="472"/>
      <c r="N25" s="472"/>
      <c r="O25" s="625"/>
      <c r="P25" s="472"/>
      <c r="Q25" s="472"/>
    </row>
    <row r="26" spans="1:17">
      <c r="A26" s="54" t="s">
        <v>87</v>
      </c>
      <c r="B26" s="48">
        <v>0</v>
      </c>
      <c r="C26" s="48">
        <v>0</v>
      </c>
      <c r="D26" s="48">
        <v>0</v>
      </c>
      <c r="E26" s="48">
        <f>'Grant Data'!D25</f>
        <v>0</v>
      </c>
      <c r="F26" s="48">
        <v>0</v>
      </c>
      <c r="G26" s="48">
        <v>0</v>
      </c>
      <c r="H26" s="48">
        <f t="shared" si="1"/>
        <v>0</v>
      </c>
      <c r="I26" s="12"/>
      <c r="K26" s="481" t="s">
        <v>541</v>
      </c>
      <c r="L26" s="536">
        <f>'Foundation SCH'!D32+'Honors College Incentive'!D25</f>
        <v>325790.38823052723</v>
      </c>
      <c r="M26" s="536">
        <f>'Undergrad Completions'!D30</f>
        <v>0</v>
      </c>
      <c r="N26" s="536">
        <f>'Ecampus And Summer'!D20+'Ecampus And Summer'!I20</f>
        <v>0</v>
      </c>
      <c r="O26" s="628"/>
      <c r="P26" s="536">
        <f>'Strategic Populations'!D30+'Cascades Incentive'!D30</f>
        <v>647.22448387720931</v>
      </c>
      <c r="Q26" s="536">
        <f>'Graduate Completions'!D30</f>
        <v>0</v>
      </c>
    </row>
    <row r="27" spans="1:17">
      <c r="A27" s="178" t="s">
        <v>88</v>
      </c>
      <c r="B27" s="48">
        <v>0</v>
      </c>
      <c r="C27" s="48">
        <v>0</v>
      </c>
      <c r="D27" s="48">
        <v>0</v>
      </c>
      <c r="E27" s="48">
        <f>'Grant Data'!D26</f>
        <v>0</v>
      </c>
      <c r="F27" s="48">
        <v>0</v>
      </c>
      <c r="G27" s="48">
        <v>0</v>
      </c>
      <c r="H27" s="48">
        <f t="shared" si="1"/>
        <v>0</v>
      </c>
      <c r="I27" s="12"/>
      <c r="K27" s="481" t="s">
        <v>563</v>
      </c>
      <c r="L27" s="536">
        <f>'Foundation SCH'!D33+'Honors College Incentive'!D26</f>
        <v>39621.955964644352</v>
      </c>
      <c r="M27" s="536">
        <f>'Undergrad Completions'!D31</f>
        <v>0</v>
      </c>
      <c r="N27" s="536">
        <f>'Ecampus And Summer'!D21+'Ecampus And Summer'!I21</f>
        <v>93000</v>
      </c>
      <c r="O27" s="626"/>
      <c r="P27" s="536">
        <f>'Strategic Populations'!D31+'Cascades Incentive'!D31</f>
        <v>970.83672581581391</v>
      </c>
      <c r="Q27" s="536">
        <f>'Graduate Completions'!D31</f>
        <v>0</v>
      </c>
    </row>
    <row r="28" spans="1:17">
      <c r="A28" s="368" t="s">
        <v>461</v>
      </c>
      <c r="B28" s="228">
        <f>L30</f>
        <v>143634.2346562871</v>
      </c>
      <c r="C28" s="228">
        <f>M30</f>
        <v>0</v>
      </c>
      <c r="D28" s="228">
        <f>N30</f>
        <v>186000</v>
      </c>
      <c r="E28" s="228">
        <f>'Grant Data'!D27</f>
        <v>0</v>
      </c>
      <c r="F28" s="228">
        <f>P30</f>
        <v>1667.0933675625088</v>
      </c>
      <c r="G28" s="228">
        <f>Q30</f>
        <v>0</v>
      </c>
      <c r="H28" s="228">
        <f t="shared" si="1"/>
        <v>331301.32802384964</v>
      </c>
      <c r="I28" s="12"/>
      <c r="K28" s="483" t="s">
        <v>543</v>
      </c>
      <c r="L28" s="536">
        <f>'Foundation SCH'!D34+'Honors College Incentive'!D27</f>
        <v>1134692.1551494014</v>
      </c>
      <c r="M28" s="536">
        <f>'Undergrad Completions'!D32</f>
        <v>708809.78308782657</v>
      </c>
      <c r="N28" s="536">
        <f>'Ecampus And Summer'!D22+'Ecampus And Summer'!I22</f>
        <v>1000</v>
      </c>
      <c r="O28" s="628"/>
      <c r="P28" s="536">
        <f>'Strategic Populations'!D32+'Cascades Incentive'!D32</f>
        <v>2552.3560206654997</v>
      </c>
      <c r="Q28" s="536">
        <f>'Graduate Completions'!D32</f>
        <v>0</v>
      </c>
    </row>
    <row r="29" spans="1:17">
      <c r="A29" s="367" t="s">
        <v>462</v>
      </c>
      <c r="B29" s="48">
        <f>L19</f>
        <v>330785.37515803892</v>
      </c>
      <c r="C29" s="48">
        <f>M19</f>
        <v>0</v>
      </c>
      <c r="D29" s="48">
        <f>N19</f>
        <v>358000</v>
      </c>
      <c r="E29" s="48">
        <f>'Grant Data'!D28</f>
        <v>0</v>
      </c>
      <c r="F29" s="48">
        <f>P19</f>
        <v>65920.930355003642</v>
      </c>
      <c r="G29" s="48">
        <f>Q19</f>
        <v>619822.66477974958</v>
      </c>
      <c r="H29" s="48">
        <f t="shared" si="1"/>
        <v>1374528.9702927922</v>
      </c>
      <c r="I29" s="12"/>
      <c r="K29" s="481" t="s">
        <v>562</v>
      </c>
      <c r="L29" s="536">
        <f>'Foundation SCH'!D35+'Honors College Incentive'!D28</f>
        <v>1281020.3920390129</v>
      </c>
      <c r="M29" s="536">
        <f>'Undergrad Completions'!D33</f>
        <v>0</v>
      </c>
      <c r="N29" s="536">
        <f>'Ecampus And Summer'!D23+'Ecampus And Summer'!I23</f>
        <v>91000</v>
      </c>
      <c r="O29" s="626"/>
      <c r="P29" s="536">
        <f>'Strategic Populations'!D33+'Cascades Incentive'!D33</f>
        <v>1255.2232414588302</v>
      </c>
      <c r="Q29" s="536">
        <f>'Graduate Completions'!D33</f>
        <v>0</v>
      </c>
    </row>
    <row r="30" spans="1:17">
      <c r="A30" s="178" t="s">
        <v>89</v>
      </c>
      <c r="B30" s="48"/>
      <c r="C30" s="48"/>
      <c r="D30" s="48"/>
      <c r="E30" s="48">
        <f>'Grant Data'!D29</f>
        <v>3206.9413329626632</v>
      </c>
      <c r="F30" s="48"/>
      <c r="G30" s="48"/>
      <c r="H30" s="48">
        <f t="shared" si="1"/>
        <v>3206.9413329626632</v>
      </c>
      <c r="I30" s="12"/>
      <c r="K30" s="629" t="s">
        <v>545</v>
      </c>
      <c r="L30" s="536">
        <f>'Foundation SCH'!D36+'Honors College Incentive'!D29</f>
        <v>143634.2346562871</v>
      </c>
      <c r="M30" s="536">
        <f>'Undergrad Completions'!D34</f>
        <v>0</v>
      </c>
      <c r="N30" s="536">
        <f>'Ecampus And Summer'!D24+'Ecampus And Summer'!I24</f>
        <v>186000</v>
      </c>
      <c r="O30" s="628"/>
      <c r="P30" s="536">
        <f>'Strategic Populations'!D34+'Cascades Incentive'!D34</f>
        <v>1667.0933675625088</v>
      </c>
      <c r="Q30" s="536">
        <f>'Graduate Completions'!D34</f>
        <v>0</v>
      </c>
    </row>
    <row r="31" spans="1:17">
      <c r="A31" s="368" t="s">
        <v>90</v>
      </c>
      <c r="B31" s="228"/>
      <c r="C31" s="228"/>
      <c r="D31" s="228"/>
      <c r="E31" s="44">
        <f>'Grant Data'!D30</f>
        <v>849637.58558934915</v>
      </c>
      <c r="F31" s="228"/>
      <c r="G31" s="228"/>
      <c r="H31" s="228">
        <f t="shared" si="1"/>
        <v>849637.58558934915</v>
      </c>
      <c r="I31" s="12"/>
      <c r="L31" s="573"/>
      <c r="M31" s="573"/>
      <c r="N31" s="573"/>
      <c r="P31" s="573"/>
      <c r="Q31" s="573"/>
    </row>
    <row r="32" spans="1:17">
      <c r="A32" s="371" t="s">
        <v>91</v>
      </c>
      <c r="B32" s="644">
        <f t="shared" ref="B32:H32" si="3">SUM(B13:B31)</f>
        <v>72293041.462066323</v>
      </c>
      <c r="C32" s="644">
        <f t="shared" si="3"/>
        <v>40626084.724340945</v>
      </c>
      <c r="D32" s="644">
        <f t="shared" si="3"/>
        <v>56358000</v>
      </c>
      <c r="E32" s="644">
        <f t="shared" si="3"/>
        <v>8040840.7059546504</v>
      </c>
      <c r="F32" s="644">
        <f t="shared" si="3"/>
        <v>7309821.9659302207</v>
      </c>
      <c r="G32" s="644">
        <f t="shared" si="3"/>
        <v>32500867.779472753</v>
      </c>
      <c r="H32" s="644">
        <f t="shared" si="3"/>
        <v>217128656.63776493</v>
      </c>
      <c r="K32" s="488"/>
      <c r="L32" s="630">
        <f>SUM(L13:L30)</f>
        <v>73939474.198300526</v>
      </c>
      <c r="M32" s="630">
        <f>SUM(M13:M30)</f>
        <v>40626084.724340938</v>
      </c>
      <c r="N32" s="630">
        <f>SUM(N13:N30)</f>
        <v>56542000</v>
      </c>
      <c r="O32" s="538"/>
      <c r="P32" s="630">
        <f>SUM(P13:P30)</f>
        <v>7312695.2503813719</v>
      </c>
      <c r="Q32" s="630">
        <f>SUM(Q13:Q30)</f>
        <v>32500867.779472753</v>
      </c>
    </row>
    <row r="33" spans="1:18">
      <c r="A33" s="178"/>
      <c r="L33" s="536">
        <f>'Foundation SCH'!D37+'Honors College Incentive'!D30</f>
        <v>73939474.198300511</v>
      </c>
      <c r="M33" s="536">
        <f>'Undergrad Completions'!D35</f>
        <v>40626084.724340938</v>
      </c>
      <c r="N33" s="536">
        <f>'Ecampus And Summer'!D25+'Ecampus And Summer'!I25</f>
        <v>56542000</v>
      </c>
      <c r="P33" s="536">
        <f>'Strategic Populations'!D35+'Cascades Incentive'!D35</f>
        <v>7312695.250381371</v>
      </c>
      <c r="Q33" s="536">
        <f>'Graduate Completions'!D35</f>
        <v>32500867.779472753</v>
      </c>
      <c r="R33" s="475"/>
    </row>
    <row r="34" spans="1:18">
      <c r="A34" s="168"/>
      <c r="R34" s="12"/>
    </row>
    <row r="35" spans="1:18">
      <c r="A35" s="54" t="s">
        <v>92</v>
      </c>
      <c r="B35" s="55"/>
      <c r="C35" s="55"/>
      <c r="D35" s="55"/>
      <c r="E35" s="55"/>
      <c r="F35" s="55"/>
      <c r="G35" s="55"/>
      <c r="H35" s="55"/>
    </row>
    <row r="36" spans="1:18">
      <c r="A36" s="179" t="s">
        <v>93</v>
      </c>
      <c r="B36" s="44"/>
      <c r="C36" s="44"/>
      <c r="D36" s="44"/>
      <c r="E36" s="44">
        <f>'Grant Data'!D35</f>
        <v>11.536233093548432</v>
      </c>
      <c r="F36" s="44"/>
      <c r="G36" s="44">
        <f t="shared" ref="G36:G53" si="4">Q36</f>
        <v>0</v>
      </c>
      <c r="H36" s="44">
        <f t="shared" ref="H36:H53" si="5">SUM(B36:G36)</f>
        <v>11.536233093548432</v>
      </c>
    </row>
    <row r="37" spans="1:18">
      <c r="A37" s="178" t="s">
        <v>94</v>
      </c>
      <c r="B37" s="48"/>
      <c r="C37" s="48"/>
      <c r="D37" s="48"/>
      <c r="E37" s="48">
        <f>'Grant Data'!D36</f>
        <v>0</v>
      </c>
      <c r="F37" s="48"/>
      <c r="G37" s="48">
        <f t="shared" si="4"/>
        <v>0</v>
      </c>
      <c r="H37" s="48">
        <f t="shared" si="5"/>
        <v>0</v>
      </c>
      <c r="K37" s="488" t="s">
        <v>667</v>
      </c>
      <c r="L37" s="630">
        <v>0</v>
      </c>
      <c r="M37" s="630">
        <v>0</v>
      </c>
      <c r="N37" s="630"/>
      <c r="O37" s="538">
        <v>0</v>
      </c>
      <c r="P37" s="630">
        <v>0</v>
      </c>
      <c r="Q37" s="630">
        <v>0</v>
      </c>
    </row>
    <row r="38" spans="1:18">
      <c r="A38" s="54" t="s">
        <v>95</v>
      </c>
      <c r="B38" s="48"/>
      <c r="C38" s="48"/>
      <c r="D38" s="48"/>
      <c r="E38" s="48">
        <f>'Grant Data'!D37</f>
        <v>0</v>
      </c>
      <c r="F38" s="48"/>
      <c r="G38" s="48">
        <f t="shared" si="4"/>
        <v>0</v>
      </c>
      <c r="H38" s="48">
        <f t="shared" si="5"/>
        <v>0</v>
      </c>
    </row>
    <row r="39" spans="1:18">
      <c r="A39" s="179" t="s">
        <v>96</v>
      </c>
      <c r="B39" s="44"/>
      <c r="C39" s="44"/>
      <c r="D39" s="44"/>
      <c r="E39" s="44">
        <f>'Grant Data'!D38</f>
        <v>0</v>
      </c>
      <c r="F39" s="44"/>
      <c r="G39" s="44">
        <f t="shared" si="4"/>
        <v>0</v>
      </c>
      <c r="H39" s="44">
        <f t="shared" si="5"/>
        <v>0</v>
      </c>
      <c r="K39" s="154" t="s">
        <v>925</v>
      </c>
    </row>
    <row r="40" spans="1:18">
      <c r="A40" s="178" t="s">
        <v>97</v>
      </c>
      <c r="B40" s="48"/>
      <c r="C40" s="48"/>
      <c r="D40" s="48"/>
      <c r="E40" s="48">
        <f>'Grant Data'!D39</f>
        <v>45370.98588733653</v>
      </c>
      <c r="F40" s="48"/>
      <c r="G40" s="48">
        <f t="shared" si="4"/>
        <v>0</v>
      </c>
      <c r="H40" s="48">
        <f t="shared" si="5"/>
        <v>45370.98588733653</v>
      </c>
      <c r="K40" s="632"/>
      <c r="L40" s="634"/>
      <c r="M40" s="634"/>
      <c r="N40" s="635"/>
    </row>
    <row r="41" spans="1:18">
      <c r="A41" s="367" t="s">
        <v>483</v>
      </c>
      <c r="B41" s="48">
        <f>L26+L27+L29</f>
        <v>1646432.7362341844</v>
      </c>
      <c r="C41" s="48">
        <f>M26+M27+M29</f>
        <v>0</v>
      </c>
      <c r="D41" s="48">
        <f>N26+N27+N29</f>
        <v>184000</v>
      </c>
      <c r="E41" s="48">
        <f>'Grant Data'!D40</f>
        <v>4568.1511044794779</v>
      </c>
      <c r="F41" s="48">
        <f>P26+P27+P29</f>
        <v>2873.2844511518533</v>
      </c>
      <c r="G41" s="48">
        <f>Q26+Q27+Q29</f>
        <v>0</v>
      </c>
      <c r="H41" s="48">
        <f t="shared" si="5"/>
        <v>1837874.1717898159</v>
      </c>
      <c r="K41" s="636"/>
      <c r="L41" s="452"/>
      <c r="M41" s="452"/>
      <c r="N41" s="637"/>
    </row>
    <row r="42" spans="1:18">
      <c r="A42" s="178" t="s">
        <v>98</v>
      </c>
      <c r="B42" s="48"/>
      <c r="C42" s="48"/>
      <c r="D42" s="48"/>
      <c r="E42" s="48">
        <f>'Grant Data'!D41</f>
        <v>4591.4207712322759</v>
      </c>
      <c r="F42" s="48"/>
      <c r="G42" s="48">
        <f t="shared" si="4"/>
        <v>0</v>
      </c>
      <c r="H42" s="48">
        <f t="shared" si="5"/>
        <v>4591.4207712322759</v>
      </c>
      <c r="K42" s="636"/>
      <c r="L42" s="452"/>
      <c r="M42" s="452"/>
      <c r="N42" s="638"/>
    </row>
    <row r="43" spans="1:18">
      <c r="A43" s="179" t="s">
        <v>99</v>
      </c>
      <c r="B43" s="44"/>
      <c r="C43" s="44"/>
      <c r="D43" s="44"/>
      <c r="E43" s="44">
        <f>'Grant Data'!D42</f>
        <v>5516.6858255045709</v>
      </c>
      <c r="F43" s="44"/>
      <c r="G43" s="44">
        <f t="shared" si="4"/>
        <v>0</v>
      </c>
      <c r="H43" s="44">
        <f t="shared" si="5"/>
        <v>5516.6858255045709</v>
      </c>
      <c r="K43" s="636"/>
      <c r="L43" s="452"/>
      <c r="M43" s="452"/>
      <c r="N43" s="639"/>
    </row>
    <row r="44" spans="1:18">
      <c r="A44" s="178" t="s">
        <v>484</v>
      </c>
      <c r="B44" s="48"/>
      <c r="C44" s="48"/>
      <c r="D44" s="48"/>
      <c r="E44" s="48">
        <f>'Grant Data'!D43</f>
        <v>0</v>
      </c>
      <c r="F44" s="48"/>
      <c r="G44" s="48">
        <f t="shared" si="4"/>
        <v>0</v>
      </c>
      <c r="H44" s="48">
        <f t="shared" si="5"/>
        <v>0</v>
      </c>
      <c r="K44" s="636"/>
      <c r="L44" s="452"/>
      <c r="M44" s="452"/>
      <c r="N44" s="633"/>
    </row>
    <row r="45" spans="1:18">
      <c r="A45" s="54" t="s">
        <v>86</v>
      </c>
      <c r="B45" s="48"/>
      <c r="C45" s="48"/>
      <c r="D45" s="48"/>
      <c r="E45" s="48">
        <f>'Grant Data'!D44</f>
        <v>15084.462872218808</v>
      </c>
      <c r="F45" s="48"/>
      <c r="G45" s="48">
        <f t="shared" si="4"/>
        <v>0</v>
      </c>
      <c r="H45" s="48">
        <f t="shared" si="5"/>
        <v>15084.462872218808</v>
      </c>
      <c r="K45" s="636"/>
      <c r="L45" s="452"/>
      <c r="M45" s="452"/>
      <c r="N45" s="640"/>
    </row>
    <row r="46" spans="1:18">
      <c r="A46" s="368" t="s">
        <v>100</v>
      </c>
      <c r="B46" s="228"/>
      <c r="C46" s="228"/>
      <c r="D46" s="228"/>
      <c r="E46" s="228">
        <f>'Grant Data'!D45</f>
        <v>0</v>
      </c>
      <c r="F46" s="228"/>
      <c r="G46" s="228">
        <f t="shared" si="4"/>
        <v>0</v>
      </c>
      <c r="H46" s="228">
        <f t="shared" si="5"/>
        <v>0</v>
      </c>
      <c r="K46" s="636"/>
      <c r="L46" s="452"/>
      <c r="M46" s="452"/>
      <c r="N46" s="640"/>
    </row>
    <row r="47" spans="1:18">
      <c r="A47" s="178" t="s">
        <v>101</v>
      </c>
      <c r="B47" s="48"/>
      <c r="C47" s="48"/>
      <c r="D47" s="48"/>
      <c r="E47" s="48">
        <f>'Grant Data'!D46</f>
        <v>8993.8576670004386</v>
      </c>
      <c r="F47" s="48"/>
      <c r="G47" s="48">
        <f t="shared" si="4"/>
        <v>0</v>
      </c>
      <c r="H47" s="48">
        <f t="shared" si="5"/>
        <v>8993.8576670004386</v>
      </c>
      <c r="K47" s="641"/>
      <c r="L47" s="533"/>
      <c r="M47" s="533"/>
      <c r="N47" s="642"/>
    </row>
    <row r="48" spans="1:18">
      <c r="A48" s="178" t="s">
        <v>102</v>
      </c>
      <c r="B48" s="48"/>
      <c r="C48" s="48"/>
      <c r="D48" s="48"/>
      <c r="E48" s="48">
        <f>'Grant Data'!D47</f>
        <v>0</v>
      </c>
      <c r="F48" s="48"/>
      <c r="G48" s="48">
        <f t="shared" si="4"/>
        <v>0</v>
      </c>
      <c r="H48" s="48">
        <f t="shared" si="5"/>
        <v>0</v>
      </c>
    </row>
    <row r="49" spans="1:14">
      <c r="A49" s="368" t="s">
        <v>103</v>
      </c>
      <c r="B49" s="228"/>
      <c r="C49" s="228"/>
      <c r="D49" s="228"/>
      <c r="E49" s="228">
        <f>'Grant Data'!D48</f>
        <v>0</v>
      </c>
      <c r="F49" s="228"/>
      <c r="G49" s="228">
        <f t="shared" si="4"/>
        <v>0</v>
      </c>
      <c r="H49" s="228">
        <f t="shared" si="5"/>
        <v>0</v>
      </c>
      <c r="N49" s="536"/>
    </row>
    <row r="50" spans="1:14">
      <c r="A50" s="178" t="s">
        <v>104</v>
      </c>
      <c r="B50" s="48"/>
      <c r="C50" s="48"/>
      <c r="D50" s="48"/>
      <c r="E50" s="48">
        <f>'Grant Data'!D49</f>
        <v>239.13855267424046</v>
      </c>
      <c r="F50" s="48"/>
      <c r="G50" s="48">
        <f t="shared" si="4"/>
        <v>0</v>
      </c>
      <c r="H50" s="48">
        <f t="shared" si="5"/>
        <v>239.13855267424046</v>
      </c>
    </row>
    <row r="51" spans="1:14">
      <c r="A51" s="178" t="s">
        <v>459</v>
      </c>
      <c r="B51" s="48"/>
      <c r="C51" s="48"/>
      <c r="D51" s="48"/>
      <c r="E51" s="48">
        <f>'Grant Data'!D50</f>
        <v>0</v>
      </c>
      <c r="F51" s="48"/>
      <c r="G51" s="48">
        <f t="shared" si="4"/>
        <v>0</v>
      </c>
      <c r="H51" s="48">
        <f t="shared" si="5"/>
        <v>0</v>
      </c>
    </row>
    <row r="52" spans="1:14">
      <c r="A52" s="386" t="s">
        <v>485</v>
      </c>
      <c r="B52" s="228"/>
      <c r="C52" s="228"/>
      <c r="D52" s="228"/>
      <c r="E52" s="228">
        <f>'Grant Data'!D51</f>
        <v>0</v>
      </c>
      <c r="F52" s="228"/>
      <c r="G52" s="228">
        <f t="shared" si="4"/>
        <v>0</v>
      </c>
      <c r="H52" s="228">
        <f t="shared" si="5"/>
        <v>0</v>
      </c>
    </row>
    <row r="53" spans="1:14">
      <c r="A53" s="178" t="s">
        <v>105</v>
      </c>
      <c r="B53" s="48"/>
      <c r="C53" s="48"/>
      <c r="D53" s="48"/>
      <c r="E53" s="48">
        <f>'Grant Data'!D52</f>
        <v>0</v>
      </c>
      <c r="F53" s="48"/>
      <c r="G53" s="48">
        <f t="shared" si="4"/>
        <v>0</v>
      </c>
      <c r="H53" s="48">
        <f t="shared" si="5"/>
        <v>0</v>
      </c>
    </row>
    <row r="54" spans="1:14">
      <c r="A54" s="375" t="s">
        <v>106</v>
      </c>
      <c r="B54" s="643">
        <f t="shared" ref="B54:H54" si="6">SUM(B36:B53)</f>
        <v>1646432.7362341844</v>
      </c>
      <c r="C54" s="643">
        <f t="shared" si="6"/>
        <v>0</v>
      </c>
      <c r="D54" s="643">
        <f t="shared" si="6"/>
        <v>184000</v>
      </c>
      <c r="E54" s="643">
        <f t="shared" si="6"/>
        <v>84376.238913539884</v>
      </c>
      <c r="F54" s="643">
        <f t="shared" si="6"/>
        <v>2873.2844511518533</v>
      </c>
      <c r="G54" s="643">
        <f t="shared" si="6"/>
        <v>0</v>
      </c>
      <c r="H54" s="643">
        <f t="shared" si="6"/>
        <v>1917682.2595988766</v>
      </c>
    </row>
    <row r="55" spans="1:14" ht="16.5" thickBot="1">
      <c r="A55" s="377" t="s">
        <v>107</v>
      </c>
      <c r="B55" s="378">
        <f>B6+B7+B8+B9+B10+B32+B54</f>
        <v>73939474.198300511</v>
      </c>
      <c r="C55" s="378">
        <f>C6+C7+C8+C9+C10+C32+C54</f>
        <v>40626084.724340945</v>
      </c>
      <c r="D55" s="378">
        <f>D6+D7+D8+D9+D10+D32+D54</f>
        <v>56542000</v>
      </c>
      <c r="E55" s="378">
        <f>F6+F7+F8+F9+F10+E32+E54</f>
        <v>8125216.9448681902</v>
      </c>
      <c r="F55" s="378">
        <f>F6+F7+F8+F9+F10+F32+F54</f>
        <v>7312695.2503813729</v>
      </c>
      <c r="G55" s="378">
        <f>G6+G7+G8+G9+G10+G32+G54</f>
        <v>32500867.779472753</v>
      </c>
      <c r="H55" s="378">
        <f>SUM(B55:G55)</f>
        <v>219046338.89736378</v>
      </c>
    </row>
    <row r="56" spans="1:14" ht="16.5" thickTop="1">
      <c r="H56" s="322">
        <f>H32+H54</f>
        <v>219046338.89736381</v>
      </c>
    </row>
    <row r="57" spans="1:14">
      <c r="B57" s="12">
        <f>B55-L32</f>
        <v>0</v>
      </c>
      <c r="C57" s="12">
        <f>C55-M32</f>
        <v>0</v>
      </c>
      <c r="D57" s="645">
        <f>D55-N32</f>
        <v>0</v>
      </c>
      <c r="H57" s="12"/>
    </row>
    <row r="59" spans="1:14">
      <c r="H59" s="322"/>
    </row>
  </sheetData>
  <mergeCells count="2">
    <mergeCell ref="B4:H4"/>
    <mergeCell ref="K4:Q4"/>
  </mergeCells>
  <pageMargins left="0.75" right="0.75" top="1" bottom="1" header="0.5" footer="0.5"/>
  <pageSetup orientation="portrait" horizontalDpi="4294967292" verticalDpi="4294967292"/>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211"/>
  <sheetViews>
    <sheetView topLeftCell="A90" zoomScale="99" workbookViewId="0">
      <selection activeCell="E40" sqref="E40"/>
    </sheetView>
  </sheetViews>
  <sheetFormatPr defaultColWidth="11" defaultRowHeight="15.75"/>
  <cols>
    <col min="1" max="1" width="21.5" customWidth="1"/>
    <col min="2" max="3" width="14.125" customWidth="1"/>
    <col min="4" max="4" width="15.125" customWidth="1"/>
    <col min="5" max="5" width="7.875" style="46" customWidth="1"/>
    <col min="6" max="6" width="19.875" customWidth="1"/>
    <col min="11" max="11" width="11" customWidth="1"/>
    <col min="12" max="15" width="11" style="46" customWidth="1"/>
    <col min="16" max="16" width="11.5" customWidth="1"/>
    <col min="24" max="28" width="12.625" customWidth="1"/>
    <col min="29" max="29" width="10" customWidth="1"/>
    <col min="30" max="30" width="9.375" customWidth="1"/>
    <col min="38" max="38" width="11.625" customWidth="1"/>
  </cols>
  <sheetData>
    <row r="1" spans="2:37">
      <c r="B1" s="10" t="s">
        <v>526</v>
      </c>
      <c r="Q1" s="1" t="s">
        <v>833</v>
      </c>
    </row>
    <row r="2" spans="2:37" ht="16.5" thickBot="1">
      <c r="B2" s="10"/>
      <c r="O2" s="936" t="s">
        <v>803</v>
      </c>
      <c r="Q2" s="1" t="s">
        <v>834</v>
      </c>
    </row>
    <row r="3" spans="2:37" ht="16.5" thickBot="1">
      <c r="B3" s="438" t="s">
        <v>298</v>
      </c>
      <c r="C3" s="439" t="s">
        <v>255</v>
      </c>
      <c r="D3" s="440" t="s">
        <v>299</v>
      </c>
      <c r="E3" s="493"/>
      <c r="F3" s="154"/>
      <c r="G3" s="154"/>
      <c r="H3" s="939" t="s">
        <v>408</v>
      </c>
      <c r="I3" s="940"/>
      <c r="J3" s="940"/>
      <c r="K3" s="930" t="s">
        <v>527</v>
      </c>
      <c r="L3" s="441"/>
      <c r="M3" s="444" t="s">
        <v>529</v>
      </c>
      <c r="N3" s="933">
        <v>0.70499999999999996</v>
      </c>
      <c r="O3" s="449">
        <v>1</v>
      </c>
    </row>
    <row r="4" spans="2:37" ht="16.5" thickBot="1">
      <c r="B4" s="442" t="s">
        <v>258</v>
      </c>
      <c r="C4" s="443" t="s">
        <v>302</v>
      </c>
      <c r="D4" s="1796">
        <f>'Dashboard-Academic Allocation'!C20</f>
        <v>0.45</v>
      </c>
      <c r="E4" s="494"/>
      <c r="F4" s="154"/>
      <c r="G4" s="154"/>
      <c r="H4" s="154"/>
      <c r="I4" s="154"/>
      <c r="J4" s="154"/>
      <c r="K4" s="154"/>
      <c r="L4" s="155"/>
      <c r="M4" s="448" t="s">
        <v>530</v>
      </c>
      <c r="N4" s="934">
        <v>1.0169999999999999</v>
      </c>
      <c r="O4" s="450">
        <v>1.4239999999999999</v>
      </c>
      <c r="Q4" s="1023"/>
    </row>
    <row r="5" spans="2:37" ht="16.5" thickBot="1">
      <c r="B5" s="445"/>
      <c r="C5" s="446" t="s">
        <v>411</v>
      </c>
      <c r="D5" s="1797"/>
      <c r="E5" s="494"/>
      <c r="F5" s="154"/>
      <c r="G5" s="154"/>
      <c r="H5" s="939" t="s">
        <v>528</v>
      </c>
      <c r="I5" s="940"/>
      <c r="J5" s="940"/>
      <c r="K5" s="930" t="s">
        <v>527</v>
      </c>
      <c r="L5" s="154"/>
      <c r="M5" s="447" t="s">
        <v>531</v>
      </c>
      <c r="N5" s="935">
        <v>2.0489999999999999</v>
      </c>
      <c r="O5" s="451">
        <v>2.8250000000000002</v>
      </c>
    </row>
    <row r="6" spans="2:37" ht="16.5" thickBot="1">
      <c r="B6" s="445"/>
      <c r="C6" s="446" t="s">
        <v>412</v>
      </c>
      <c r="D6" s="1797"/>
      <c r="E6" s="494"/>
      <c r="F6" s="154"/>
      <c r="G6" s="154"/>
      <c r="H6" s="154"/>
      <c r="I6" s="154"/>
      <c r="J6" s="154"/>
      <c r="K6" s="154"/>
      <c r="L6" s="154"/>
      <c r="M6" s="154"/>
      <c r="N6" s="154"/>
      <c r="O6" s="154"/>
    </row>
    <row r="7" spans="2:37" ht="16.5" thickBot="1">
      <c r="B7" s="286"/>
      <c r="C7" s="287" t="s">
        <v>260</v>
      </c>
      <c r="D7" s="937">
        <f>'Dashboard-Academic Allocation'!C23</f>
        <v>5.0000000000000001E-3</v>
      </c>
      <c r="E7" s="495"/>
      <c r="G7" s="941" t="s">
        <v>606</v>
      </c>
      <c r="H7" s="942"/>
      <c r="I7" s="942"/>
      <c r="J7" s="942"/>
      <c r="K7" s="932" t="s">
        <v>1010</v>
      </c>
      <c r="L7"/>
      <c r="M7"/>
      <c r="N7"/>
      <c r="O7"/>
    </row>
    <row r="8" spans="2:37" ht="16.5" thickBot="1">
      <c r="L8"/>
      <c r="M8"/>
      <c r="N8"/>
      <c r="O8"/>
    </row>
    <row r="9" spans="2:37" ht="16.5" thickBot="1">
      <c r="F9" s="10"/>
      <c r="G9" s="941" t="s">
        <v>921</v>
      </c>
      <c r="H9" s="942"/>
      <c r="I9" s="942"/>
      <c r="J9" s="942"/>
      <c r="K9" s="932" t="s">
        <v>1010</v>
      </c>
      <c r="L9"/>
      <c r="M9"/>
      <c r="N9"/>
      <c r="O9"/>
      <c r="U9" s="475"/>
    </row>
    <row r="10" spans="2:37" ht="16.5" thickBot="1">
      <c r="R10" s="10" t="s">
        <v>558</v>
      </c>
      <c r="AD10" s="10" t="s">
        <v>831</v>
      </c>
    </row>
    <row r="11" spans="2:37" ht="16.5" thickBot="1">
      <c r="B11" s="497" t="s">
        <v>564</v>
      </c>
      <c r="C11" s="498"/>
      <c r="D11" s="938">
        <f>'Dashboard-Academic Allocation'!D20</f>
        <v>73126952.503813699</v>
      </c>
      <c r="G11" s="1081" t="s">
        <v>931</v>
      </c>
      <c r="H11" s="1082"/>
      <c r="I11" s="1082"/>
      <c r="J11" s="1082"/>
      <c r="K11" s="1114" t="str">
        <f>'Dashboard-Academic Allocation'!C14</f>
        <v>yes</v>
      </c>
      <c r="V11" s="474"/>
      <c r="W11" s="474"/>
    </row>
    <row r="12" spans="2:37" ht="26.25" thickBot="1">
      <c r="R12" s="452"/>
      <c r="S12" s="453" t="s">
        <v>532</v>
      </c>
      <c r="T12" s="453" t="s">
        <v>533</v>
      </c>
      <c r="U12" s="453" t="s">
        <v>534</v>
      </c>
      <c r="V12" s="453" t="s">
        <v>555</v>
      </c>
      <c r="W12" s="453" t="s">
        <v>874</v>
      </c>
      <c r="X12" s="453" t="s">
        <v>875</v>
      </c>
      <c r="Y12" s="453" t="s">
        <v>1034</v>
      </c>
      <c r="Z12" s="453" t="s">
        <v>1344</v>
      </c>
      <c r="AA12" s="453" t="s">
        <v>1748</v>
      </c>
      <c r="AB12" s="453" t="s">
        <v>1257</v>
      </c>
      <c r="AD12" s="570"/>
      <c r="AE12" s="571" t="s">
        <v>532</v>
      </c>
      <c r="AF12" s="571" t="s">
        <v>533</v>
      </c>
      <c r="AG12" s="572" t="s">
        <v>534</v>
      </c>
      <c r="AH12" s="571" t="s">
        <v>555</v>
      </c>
      <c r="AI12" s="477" t="s">
        <v>874</v>
      </c>
      <c r="AJ12" s="477" t="s">
        <v>875</v>
      </c>
      <c r="AK12" s="477" t="s">
        <v>875</v>
      </c>
    </row>
    <row r="13" spans="2:37" ht="16.5" thickBot="1">
      <c r="B13" s="497" t="s">
        <v>1370</v>
      </c>
      <c r="C13" s="498"/>
      <c r="D13" s="938" t="s">
        <v>179</v>
      </c>
      <c r="R13" s="454"/>
      <c r="S13" s="154"/>
      <c r="T13" s="154"/>
      <c r="U13" s="154"/>
      <c r="V13" s="154"/>
      <c r="W13" s="154"/>
    </row>
    <row r="14" spans="2:37" ht="25.5">
      <c r="R14" s="460" t="s">
        <v>556</v>
      </c>
      <c r="S14" s="1333">
        <v>865378</v>
      </c>
      <c r="T14" s="1333">
        <v>881265</v>
      </c>
      <c r="U14" s="1333">
        <v>876229</v>
      </c>
      <c r="V14" s="1333">
        <f>SUM(V16,V37,V59,V82,V103,V129,V152)</f>
        <v>873172.45874806133</v>
      </c>
      <c r="W14" s="1333">
        <f>SUM(W16,W37,W59,W82,W103,W129,W152)</f>
        <v>867355</v>
      </c>
      <c r="X14" s="1333">
        <f>SUM(X16,X37,X59,X82,X103,X129,X152)</f>
        <v>866417.14200707362</v>
      </c>
      <c r="Y14" s="1333">
        <f>SUM(Y16,Y37,Y59,Y82,Y103,Y129,Y152)</f>
        <v>862385</v>
      </c>
      <c r="Z14" s="1334">
        <v>853950.14288075233</v>
      </c>
      <c r="AA14" s="1333">
        <f>SUM(AA16,AA37,AA59,AA82,AA103,AA129,AA152,AA107)</f>
        <v>849845</v>
      </c>
      <c r="AB14" s="1333"/>
    </row>
    <row r="15" spans="2:37">
      <c r="R15" s="454"/>
      <c r="S15" s="454"/>
      <c r="T15" s="454"/>
      <c r="U15" s="454"/>
      <c r="V15" s="454"/>
      <c r="W15" s="454"/>
      <c r="Z15" s="1279"/>
      <c r="AA15" s="1279"/>
    </row>
    <row r="16" spans="2:37" ht="38.25">
      <c r="R16" s="1147" t="s">
        <v>536</v>
      </c>
      <c r="S16" s="1148">
        <v>17924</v>
      </c>
      <c r="T16" s="1148">
        <v>17893</v>
      </c>
      <c r="U16" s="1148">
        <v>17643</v>
      </c>
      <c r="V16" s="1335">
        <v>16900.646210539722</v>
      </c>
      <c r="W16" s="1148">
        <v>16910</v>
      </c>
      <c r="X16" s="1335">
        <v>16309.562271294364</v>
      </c>
      <c r="Y16" s="1336">
        <v>16075</v>
      </c>
      <c r="Z16" s="1335">
        <v>14402.540575981777</v>
      </c>
      <c r="AA16" s="1647">
        <v>14008</v>
      </c>
      <c r="AB16" s="1336">
        <v>14000</v>
      </c>
      <c r="AD16" s="1147" t="s">
        <v>607</v>
      </c>
      <c r="AE16" s="1148">
        <v>82</v>
      </c>
      <c r="AF16" s="1148">
        <v>86</v>
      </c>
      <c r="AG16" s="1148">
        <v>166</v>
      </c>
      <c r="AH16" s="1148">
        <v>195.33333333333331</v>
      </c>
      <c r="AI16" s="220"/>
      <c r="AJ16" s="220"/>
      <c r="AK16" s="220"/>
    </row>
    <row r="17" spans="1:65">
      <c r="A17" s="943" t="s">
        <v>830</v>
      </c>
      <c r="B17" s="943" t="s">
        <v>830</v>
      </c>
      <c r="C17" s="943"/>
      <c r="D17" s="943"/>
      <c r="F17" s="478" t="s">
        <v>561</v>
      </c>
      <c r="G17" s="478"/>
      <c r="H17" s="478"/>
      <c r="I17" s="478"/>
      <c r="J17" s="478"/>
      <c r="K17" s="478"/>
      <c r="L17" s="478"/>
      <c r="M17" s="478"/>
      <c r="N17" s="478"/>
      <c r="O17" s="478"/>
      <c r="P17" s="217"/>
      <c r="R17" s="454"/>
      <c r="S17" s="454"/>
      <c r="T17" s="454"/>
      <c r="U17" s="454"/>
      <c r="V17" s="1017"/>
      <c r="W17" s="454"/>
      <c r="X17" s="1017"/>
      <c r="Y17" s="454"/>
      <c r="Z17" s="454"/>
      <c r="AA17" s="1648"/>
      <c r="AB17" s="454"/>
      <c r="AD17" s="154"/>
      <c r="AE17" s="517"/>
      <c r="AF17" s="517"/>
      <c r="AG17" s="517"/>
      <c r="AH17" s="517"/>
    </row>
    <row r="18" spans="1:65" ht="25.5">
      <c r="A18" s="479"/>
      <c r="B18" s="480" t="s">
        <v>1371</v>
      </c>
      <c r="C18" s="480" t="s">
        <v>938</v>
      </c>
      <c r="D18" s="480" t="s">
        <v>1314</v>
      </c>
      <c r="E18" s="496"/>
      <c r="F18" s="479"/>
      <c r="G18" s="480" t="s">
        <v>841</v>
      </c>
      <c r="H18" s="480"/>
      <c r="I18" s="480" t="s">
        <v>938</v>
      </c>
      <c r="J18" s="479"/>
      <c r="K18" s="480" t="s">
        <v>1314</v>
      </c>
      <c r="L18" s="480"/>
      <c r="M18" s="480"/>
      <c r="N18" s="1074"/>
      <c r="O18" s="1074"/>
      <c r="P18" s="1074"/>
      <c r="R18" s="459" t="s">
        <v>537</v>
      </c>
      <c r="S18" s="460"/>
      <c r="T18" s="460"/>
      <c r="U18" s="460"/>
      <c r="V18" s="1018"/>
      <c r="W18" s="460"/>
      <c r="X18" s="1018"/>
      <c r="Y18" s="460"/>
      <c r="Z18" s="460"/>
      <c r="AA18" s="1649"/>
      <c r="AB18" s="460"/>
      <c r="AD18" s="569" t="s">
        <v>608</v>
      </c>
      <c r="AE18" s="460"/>
      <c r="AF18" s="460"/>
      <c r="AG18" s="460"/>
      <c r="AH18" s="566"/>
    </row>
    <row r="19" spans="1:65">
      <c r="A19" s="481" t="s">
        <v>538</v>
      </c>
      <c r="B19" s="455">
        <f>G19*D$11</f>
        <v>3978883.9055469432</v>
      </c>
      <c r="C19" s="455">
        <f>I19*D$11</f>
        <v>4161800.8060032544</v>
      </c>
      <c r="D19" s="455">
        <f>K19*D$11</f>
        <v>4323264.187702585</v>
      </c>
      <c r="E19" s="806"/>
      <c r="F19" s="481" t="s">
        <v>538</v>
      </c>
      <c r="G19" s="490">
        <f>(B41+C41+D41)/(B$59+C$59+D$59)</f>
        <v>5.4410634783931919E-2</v>
      </c>
      <c r="H19" s="482"/>
      <c r="I19" s="490">
        <f>(G41+H41+I41)/(G$59+H$59+I$59)</f>
        <v>5.6911995693875103E-2</v>
      </c>
      <c r="J19" s="192"/>
      <c r="K19" s="490">
        <f>(K41+L41+M41)/(K$59+L$59+M$59)</f>
        <v>5.9119982984073061E-2</v>
      </c>
      <c r="L19" s="482"/>
      <c r="M19" s="482"/>
      <c r="N19" s="1076"/>
      <c r="O19" s="1076"/>
      <c r="R19" s="481" t="s">
        <v>538</v>
      </c>
      <c r="S19" s="455">
        <v>5785</v>
      </c>
      <c r="T19" s="455">
        <v>5765</v>
      </c>
      <c r="U19" s="455">
        <v>6174</v>
      </c>
      <c r="V19" s="1016">
        <v>5498.4171346176427</v>
      </c>
      <c r="W19" s="455">
        <v>5433</v>
      </c>
      <c r="X19" s="1016">
        <v>4647.817598969621</v>
      </c>
      <c r="Y19" s="455">
        <v>4824</v>
      </c>
      <c r="Z19" s="1016">
        <v>4929.5346780674363</v>
      </c>
      <c r="AA19" s="1647">
        <v>5083</v>
      </c>
      <c r="AB19" s="455">
        <f>3*'What If Data'!C25+3*'What If Data'!T25</f>
        <v>0</v>
      </c>
      <c r="AD19" s="1149" t="s">
        <v>538</v>
      </c>
      <c r="AE19" s="1150">
        <v>1518</v>
      </c>
      <c r="AF19" s="1150">
        <v>2161</v>
      </c>
      <c r="AG19" s="1150">
        <v>2920</v>
      </c>
      <c r="AH19" s="1151">
        <v>4726.4918310848134</v>
      </c>
      <c r="AI19" s="1152"/>
      <c r="AJ19" s="1152"/>
      <c r="AK19" s="1152"/>
    </row>
    <row r="20" spans="1:65">
      <c r="A20" s="481" t="s">
        <v>6</v>
      </c>
      <c r="B20" s="455">
        <f t="shared" ref="B20:B30" si="0">G20*D$11</f>
        <v>5640185.5248321081</v>
      </c>
      <c r="C20" s="455">
        <f t="shared" ref="C20:C30" si="1">I20*D$11</f>
        <v>5732382.7971183276</v>
      </c>
      <c r="D20" s="455">
        <f t="shared" ref="D20:D30" si="2">K20*D$11</f>
        <v>6035028.1352029666</v>
      </c>
      <c r="E20" s="806"/>
      <c r="F20" s="481" t="s">
        <v>6</v>
      </c>
      <c r="G20" s="490">
        <f t="shared" ref="G20:G30" si="3">(B42+C42+D42)/(B$59+C$59+D$59)</f>
        <v>7.7128682814150668E-2</v>
      </c>
      <c r="H20" s="482"/>
      <c r="I20" s="490">
        <f t="shared" ref="I20:I30" si="4">(G42+H42+I42)/(G$59+H$59+I$59)</f>
        <v>7.8389466548867512E-2</v>
      </c>
      <c r="J20" s="192"/>
      <c r="K20" s="490">
        <f t="shared" ref="K20:K30" si="5">(K42+L42+M42)/(K$59+L$59+M$59)</f>
        <v>8.252809570983051E-2</v>
      </c>
      <c r="L20" s="482"/>
      <c r="M20" s="482"/>
      <c r="N20" s="1076"/>
      <c r="O20" s="1076"/>
      <c r="R20" s="481" t="s">
        <v>6</v>
      </c>
      <c r="S20" s="455">
        <v>4346</v>
      </c>
      <c r="T20" s="455">
        <v>3582</v>
      </c>
      <c r="U20" s="455">
        <v>2750</v>
      </c>
      <c r="V20" s="1016">
        <v>4246.9839901477835</v>
      </c>
      <c r="W20" s="455">
        <v>4569</v>
      </c>
      <c r="X20" s="1016">
        <v>4702.4136406175803</v>
      </c>
      <c r="Y20" s="455">
        <v>4139</v>
      </c>
      <c r="Z20" s="1016">
        <v>1873.6486000464213</v>
      </c>
      <c r="AA20" s="1647">
        <v>1851</v>
      </c>
      <c r="AB20" s="455">
        <f>3*'What If Data'!C26+3*'What If Data'!T26</f>
        <v>0</v>
      </c>
      <c r="AD20" s="1149" t="s">
        <v>6</v>
      </c>
      <c r="AE20" s="1150">
        <v>1480</v>
      </c>
      <c r="AF20" s="1150">
        <v>1339</v>
      </c>
      <c r="AG20" s="1150">
        <v>1574</v>
      </c>
      <c r="AH20" s="1151">
        <v>2496.8325279780247</v>
      </c>
      <c r="AI20" s="1152"/>
      <c r="AJ20" s="1152"/>
      <c r="AK20" s="1152"/>
      <c r="BF20" s="10"/>
      <c r="BG20" s="10"/>
      <c r="BH20" s="10"/>
      <c r="BI20" s="10"/>
      <c r="BJ20" s="10"/>
      <c r="BK20" s="10"/>
      <c r="BL20" s="10"/>
      <c r="BM20" s="10"/>
    </row>
    <row r="21" spans="1:65">
      <c r="A21" s="481" t="s">
        <v>8</v>
      </c>
      <c r="B21" s="455">
        <f t="shared" si="0"/>
        <v>1106770.3557893594</v>
      </c>
      <c r="C21" s="455">
        <f t="shared" si="1"/>
        <v>1120979.6300159616</v>
      </c>
      <c r="D21" s="455">
        <f t="shared" si="2"/>
        <v>1237465.4375682762</v>
      </c>
      <c r="E21" s="806"/>
      <c r="F21" s="481" t="s">
        <v>8</v>
      </c>
      <c r="G21" s="490">
        <f t="shared" si="3"/>
        <v>1.5134916988802991E-2</v>
      </c>
      <c r="H21" s="482"/>
      <c r="I21" s="490">
        <f t="shared" si="4"/>
        <v>1.5329226661777003E-2</v>
      </c>
      <c r="J21" s="192"/>
      <c r="K21" s="490">
        <f t="shared" si="5"/>
        <v>1.6922152437621959E-2</v>
      </c>
      <c r="L21" s="482"/>
      <c r="M21" s="482"/>
      <c r="N21" s="1076"/>
      <c r="O21" s="1076"/>
      <c r="R21" s="481" t="s">
        <v>8</v>
      </c>
      <c r="S21" s="455">
        <v>42</v>
      </c>
      <c r="T21" s="455">
        <v>9</v>
      </c>
      <c r="U21" s="455">
        <v>21</v>
      </c>
      <c r="V21" s="1016">
        <v>24</v>
      </c>
      <c r="W21" s="455">
        <v>54</v>
      </c>
      <c r="X21" s="1016">
        <v>28</v>
      </c>
      <c r="Y21" s="455">
        <v>36</v>
      </c>
      <c r="Z21" s="1016">
        <v>23.314285714285717</v>
      </c>
      <c r="AA21" s="1647">
        <v>24</v>
      </c>
      <c r="AB21" s="455">
        <f>3*'What If Data'!C27+3*'What If Data'!T27</f>
        <v>0</v>
      </c>
      <c r="AD21" s="1149" t="s">
        <v>8</v>
      </c>
      <c r="AE21" s="1153">
        <v>0</v>
      </c>
      <c r="AF21" s="1153">
        <v>0</v>
      </c>
      <c r="AG21" s="1153">
        <v>0</v>
      </c>
      <c r="AH21" s="1154">
        <v>0</v>
      </c>
      <c r="AI21" s="1152"/>
      <c r="AJ21" s="1152"/>
      <c r="AK21" s="1152"/>
    </row>
    <row r="22" spans="1:65">
      <c r="A22" s="483" t="s">
        <v>2</v>
      </c>
      <c r="B22" s="463">
        <f t="shared" si="0"/>
        <v>987848.53790849727</v>
      </c>
      <c r="C22" s="463">
        <f t="shared" si="1"/>
        <v>1017812.4607025891</v>
      </c>
      <c r="D22" s="463">
        <f t="shared" si="2"/>
        <v>1030638.5158967434</v>
      </c>
      <c r="E22" s="806"/>
      <c r="F22" s="483" t="s">
        <v>2</v>
      </c>
      <c r="G22" s="492">
        <f t="shared" si="3"/>
        <v>1.3508679140662661E-2</v>
      </c>
      <c r="H22" s="484"/>
      <c r="I22" s="492">
        <f t="shared" si="4"/>
        <v>1.3918431246666658E-2</v>
      </c>
      <c r="J22" s="192"/>
      <c r="K22" s="492">
        <f t="shared" si="5"/>
        <v>1.4093825608868273E-2</v>
      </c>
      <c r="L22" s="484"/>
      <c r="M22" s="484"/>
      <c r="N22" s="1076"/>
      <c r="O22" s="1076"/>
      <c r="R22" s="483" t="s">
        <v>2</v>
      </c>
      <c r="S22" s="463">
        <v>2182</v>
      </c>
      <c r="T22" s="463">
        <v>1976</v>
      </c>
      <c r="U22" s="463">
        <v>1439</v>
      </c>
      <c r="V22" s="1019">
        <v>1620.5858679300145</v>
      </c>
      <c r="W22" s="463">
        <v>1331</v>
      </c>
      <c r="X22" s="1019">
        <v>1251.3310867913954</v>
      </c>
      <c r="Y22" s="463">
        <v>1022</v>
      </c>
      <c r="Z22" s="1019">
        <v>951.60078976467719</v>
      </c>
      <c r="AA22" s="1650">
        <v>981</v>
      </c>
      <c r="AB22" s="455">
        <f>3*'What If Data'!C28+3*'What If Data'!T28</f>
        <v>0</v>
      </c>
      <c r="AD22" s="1155" t="s">
        <v>2</v>
      </c>
      <c r="AE22" s="1150">
        <v>323</v>
      </c>
      <c r="AF22" s="1150">
        <v>441</v>
      </c>
      <c r="AG22" s="1150">
        <v>587</v>
      </c>
      <c r="AH22" s="1154">
        <v>450.33333333333331</v>
      </c>
      <c r="AI22" s="1152"/>
      <c r="AJ22" s="1152"/>
      <c r="AK22" s="1152"/>
    </row>
    <row r="23" spans="1:65" s="10" customFormat="1" ht="15.95" customHeight="1">
      <c r="A23" s="481" t="s">
        <v>10</v>
      </c>
      <c r="B23" s="455">
        <f t="shared" si="0"/>
        <v>152948.7866564827</v>
      </c>
      <c r="C23" s="455">
        <f t="shared" si="1"/>
        <v>147786.55855809248</v>
      </c>
      <c r="D23" s="455">
        <f t="shared" si="2"/>
        <v>147592.04373479375</v>
      </c>
      <c r="E23" s="806"/>
      <c r="F23" s="481" t="s">
        <v>10</v>
      </c>
      <c r="G23" s="490">
        <f t="shared" si="3"/>
        <v>2.0915514925704875E-3</v>
      </c>
      <c r="H23" s="485"/>
      <c r="I23" s="490">
        <f t="shared" si="4"/>
        <v>2.0209588051735804E-3</v>
      </c>
      <c r="J23" s="192"/>
      <c r="K23" s="490">
        <f t="shared" si="5"/>
        <v>2.0182988444253378E-3</v>
      </c>
      <c r="L23" s="482"/>
      <c r="M23" s="482"/>
      <c r="N23" s="1076"/>
      <c r="O23" s="1076"/>
      <c r="P23"/>
      <c r="Q23"/>
      <c r="R23" s="481" t="s">
        <v>10</v>
      </c>
      <c r="S23" s="454">
        <v>0</v>
      </c>
      <c r="T23" s="454">
        <v>2</v>
      </c>
      <c r="U23" s="454">
        <v>0</v>
      </c>
      <c r="V23" s="1016">
        <v>0.66666666666666663</v>
      </c>
      <c r="W23" s="455">
        <v>2</v>
      </c>
      <c r="X23" s="1016">
        <v>1.3333333333333333</v>
      </c>
      <c r="Y23" s="455">
        <v>0</v>
      </c>
      <c r="Z23" s="1016">
        <v>1</v>
      </c>
      <c r="AA23" s="1647">
        <v>0</v>
      </c>
      <c r="AB23" s="455">
        <f>3*'What If Data'!C29+3*'What If Data'!T29</f>
        <v>0</v>
      </c>
      <c r="AC23"/>
      <c r="AD23" s="1149" t="s">
        <v>10</v>
      </c>
      <c r="AE23" s="1150">
        <v>266</v>
      </c>
      <c r="AF23" s="1150">
        <v>248</v>
      </c>
      <c r="AG23" s="1150">
        <v>164</v>
      </c>
      <c r="AH23" s="1154">
        <v>226</v>
      </c>
      <c r="AI23" s="1152"/>
      <c r="AJ23" s="1152"/>
      <c r="AK23" s="1152"/>
      <c r="AL23"/>
      <c r="AM23"/>
      <c r="AN23"/>
      <c r="AO23"/>
      <c r="AP23"/>
      <c r="AQ23"/>
      <c r="AR23"/>
      <c r="AS23"/>
      <c r="AT23"/>
      <c r="AU23"/>
      <c r="AV23"/>
      <c r="AW23"/>
      <c r="AX23"/>
      <c r="AY23"/>
      <c r="AZ23"/>
      <c r="BA23"/>
      <c r="BB23"/>
      <c r="BC23"/>
      <c r="BD23"/>
      <c r="BE23"/>
      <c r="BF23"/>
      <c r="BG23"/>
      <c r="BH23"/>
      <c r="BI23"/>
      <c r="BJ23"/>
      <c r="BK23"/>
      <c r="BL23"/>
      <c r="BM23"/>
    </row>
    <row r="24" spans="1:65">
      <c r="A24" s="481" t="s">
        <v>4</v>
      </c>
      <c r="B24" s="455">
        <f t="shared" si="0"/>
        <v>23130054.739860583</v>
      </c>
      <c r="C24" s="455">
        <f t="shared" si="1"/>
        <v>22887322.854226053</v>
      </c>
      <c r="D24" s="455">
        <f t="shared" si="2"/>
        <v>22742993.810215946</v>
      </c>
      <c r="E24" s="806"/>
      <c r="F24" s="481" t="s">
        <v>4</v>
      </c>
      <c r="G24" s="490">
        <f t="shared" si="3"/>
        <v>0.31629999539026749</v>
      </c>
      <c r="H24" s="482"/>
      <c r="I24" s="490">
        <f t="shared" si="4"/>
        <v>0.31298067361732923</v>
      </c>
      <c r="J24" s="192"/>
      <c r="K24" s="490">
        <f t="shared" si="5"/>
        <v>0.31100699579993929</v>
      </c>
      <c r="L24" s="482"/>
      <c r="M24" s="482"/>
      <c r="N24" s="1076"/>
      <c r="O24" s="1076"/>
      <c r="R24" s="481" t="s">
        <v>4</v>
      </c>
      <c r="S24" s="455">
        <v>32887</v>
      </c>
      <c r="T24" s="455">
        <v>32914</v>
      </c>
      <c r="U24" s="455">
        <v>32718</v>
      </c>
      <c r="V24" s="1016">
        <v>33588.783948295953</v>
      </c>
      <c r="W24" s="455">
        <v>32912</v>
      </c>
      <c r="X24" s="1016">
        <v>32449.498166949172</v>
      </c>
      <c r="Y24" s="455">
        <v>32732</v>
      </c>
      <c r="Z24" s="1016">
        <v>33469.526908476691</v>
      </c>
      <c r="AA24" s="1647">
        <v>34025</v>
      </c>
      <c r="AB24" s="455">
        <f>3*'What If Data'!C30+3*'What If Data'!T30</f>
        <v>0</v>
      </c>
      <c r="AD24" s="1149" t="s">
        <v>4</v>
      </c>
      <c r="AE24" s="1150">
        <v>4122</v>
      </c>
      <c r="AF24" s="1150">
        <v>4163</v>
      </c>
      <c r="AG24" s="1150">
        <v>4795</v>
      </c>
      <c r="AH24" s="1151">
        <v>5999.9663052468359</v>
      </c>
      <c r="AI24" s="1152"/>
      <c r="AJ24" s="1152"/>
      <c r="AK24" s="1152"/>
    </row>
    <row r="25" spans="1:65">
      <c r="A25" s="481" t="s">
        <v>14</v>
      </c>
      <c r="B25" s="455">
        <f t="shared" si="0"/>
        <v>321659.28452740359</v>
      </c>
      <c r="C25" s="455">
        <f t="shared" si="1"/>
        <v>316211.696801226</v>
      </c>
      <c r="D25" s="455">
        <f t="shared" si="2"/>
        <v>330785.37515803892</v>
      </c>
      <c r="E25" s="806"/>
      <c r="F25" s="481" t="s">
        <v>14</v>
      </c>
      <c r="G25" s="490">
        <f t="shared" si="3"/>
        <v>4.3986419987983019E-3</v>
      </c>
      <c r="H25" s="485"/>
      <c r="I25" s="490">
        <f t="shared" si="4"/>
        <v>4.3241470617107281E-3</v>
      </c>
      <c r="J25" s="192"/>
      <c r="K25" s="490">
        <f t="shared" si="5"/>
        <v>4.523439905974311E-3</v>
      </c>
      <c r="L25" s="482"/>
      <c r="M25" s="482"/>
      <c r="N25" s="1076"/>
      <c r="O25" s="1076"/>
      <c r="R25" s="481" t="s">
        <v>14</v>
      </c>
      <c r="S25" s="454">
        <v>0</v>
      </c>
      <c r="T25" s="454">
        <v>0</v>
      </c>
      <c r="U25" s="454">
        <v>0</v>
      </c>
      <c r="V25" s="1017">
        <v>0</v>
      </c>
      <c r="W25" s="454">
        <v>0</v>
      </c>
      <c r="X25" s="1017">
        <v>0</v>
      </c>
      <c r="Y25" s="454">
        <v>0</v>
      </c>
      <c r="Z25" s="1017">
        <v>0</v>
      </c>
      <c r="AA25" s="1648">
        <v>0</v>
      </c>
      <c r="AB25" s="455">
        <f>3*'What If Data'!C31+3*'What If Data'!T31</f>
        <v>0</v>
      </c>
      <c r="AD25" s="1149" t="s">
        <v>14</v>
      </c>
      <c r="AE25" s="1156">
        <v>0</v>
      </c>
      <c r="AF25" s="1156">
        <v>0</v>
      </c>
      <c r="AG25" s="1156">
        <v>0</v>
      </c>
      <c r="AH25" s="1154">
        <v>0</v>
      </c>
      <c r="AI25" s="1152"/>
      <c r="AJ25" s="1152"/>
      <c r="AK25" s="1152"/>
    </row>
    <row r="26" spans="1:65">
      <c r="A26" s="483" t="s">
        <v>17</v>
      </c>
      <c r="B26" s="463">
        <f t="shared" si="0"/>
        <v>20175653.537352484</v>
      </c>
      <c r="C26" s="463">
        <f t="shared" si="1"/>
        <v>20599558.476093471</v>
      </c>
      <c r="D26" s="463">
        <f t="shared" si="2"/>
        <v>20217138.434710126</v>
      </c>
      <c r="E26" s="806"/>
      <c r="F26" s="483" t="s">
        <v>17</v>
      </c>
      <c r="G26" s="492">
        <f t="shared" si="3"/>
        <v>0.27589900640670467</v>
      </c>
      <c r="H26" s="484"/>
      <c r="I26" s="492">
        <f t="shared" si="4"/>
        <v>0.28169584224119237</v>
      </c>
      <c r="J26" s="192"/>
      <c r="K26" s="492">
        <f t="shared" si="5"/>
        <v>0.2764663060949486</v>
      </c>
      <c r="L26" s="484"/>
      <c r="M26" s="484"/>
      <c r="N26" s="1076"/>
      <c r="O26" s="1076"/>
      <c r="R26" s="483" t="s">
        <v>17</v>
      </c>
      <c r="S26" s="463">
        <v>31539</v>
      </c>
      <c r="T26" s="463">
        <v>30684</v>
      </c>
      <c r="U26" s="463">
        <v>30994</v>
      </c>
      <c r="V26" s="1019">
        <v>29243.245438444581</v>
      </c>
      <c r="W26" s="463">
        <v>29787</v>
      </c>
      <c r="X26" s="1019">
        <v>31833.238539842147</v>
      </c>
      <c r="Y26" s="463">
        <v>33123</v>
      </c>
      <c r="Z26" s="1019">
        <v>31911.925333396106</v>
      </c>
      <c r="AA26" s="1650">
        <v>31259</v>
      </c>
      <c r="AB26" s="455">
        <f>3*'What If Data'!C32+3*'What If Data'!T32</f>
        <v>0</v>
      </c>
      <c r="AD26" s="1155" t="s">
        <v>17</v>
      </c>
      <c r="AE26" s="1150">
        <v>13794</v>
      </c>
      <c r="AF26" s="1150">
        <v>14306</v>
      </c>
      <c r="AG26" s="1150">
        <v>15873</v>
      </c>
      <c r="AH26" s="1151">
        <v>18600.718573408147</v>
      </c>
      <c r="AI26" s="1152"/>
      <c r="AJ26" s="1152"/>
      <c r="AK26" s="1152"/>
    </row>
    <row r="27" spans="1:65">
      <c r="A27" s="481" t="s">
        <v>324</v>
      </c>
      <c r="B27" s="455">
        <f t="shared" si="0"/>
        <v>142991.47588927296</v>
      </c>
      <c r="C27" s="455">
        <f t="shared" si="1"/>
        <v>221931.28972440952</v>
      </c>
      <c r="D27" s="455">
        <f t="shared" si="2"/>
        <v>302898.14914308861</v>
      </c>
      <c r="E27" s="806"/>
      <c r="F27" s="481" t="s">
        <v>324</v>
      </c>
      <c r="G27" s="490">
        <f t="shared" si="3"/>
        <v>1.9553867759198049E-3</v>
      </c>
      <c r="H27" s="485"/>
      <c r="I27" s="490">
        <f t="shared" si="4"/>
        <v>3.0348767742349909E-3</v>
      </c>
      <c r="J27" s="192"/>
      <c r="K27" s="490">
        <f t="shared" si="5"/>
        <v>4.1420863138976281E-3</v>
      </c>
      <c r="L27" s="482"/>
      <c r="M27" s="482"/>
      <c r="N27" s="1076"/>
      <c r="O27" s="1076"/>
      <c r="R27" s="481" t="s">
        <v>324</v>
      </c>
      <c r="S27" s="454">
        <v>0</v>
      </c>
      <c r="T27" s="454">
        <v>0</v>
      </c>
      <c r="U27" s="454">
        <v>0</v>
      </c>
      <c r="V27" s="1017">
        <v>0</v>
      </c>
      <c r="W27" s="454">
        <v>0</v>
      </c>
      <c r="X27" s="1017">
        <v>0</v>
      </c>
      <c r="Y27" s="454">
        <v>0</v>
      </c>
      <c r="Z27" s="1017">
        <v>0</v>
      </c>
      <c r="AA27" s="1648">
        <v>0</v>
      </c>
      <c r="AB27" s="455">
        <f>3*'What If Data'!C33+3*'What If Data'!T33</f>
        <v>0</v>
      </c>
      <c r="AD27" s="1149" t="s">
        <v>324</v>
      </c>
      <c r="AE27" s="1156">
        <v>0</v>
      </c>
      <c r="AF27" s="1156">
        <v>0</v>
      </c>
      <c r="AG27" s="1156">
        <v>0</v>
      </c>
      <c r="AH27" s="1154">
        <v>0</v>
      </c>
      <c r="AI27" s="1152"/>
      <c r="AJ27" s="1152"/>
      <c r="AK27" s="1152"/>
    </row>
    <row r="28" spans="1:65">
      <c r="A28" s="481" t="s">
        <v>7</v>
      </c>
      <c r="B28" s="455">
        <f t="shared" si="0"/>
        <v>5521066.6833463218</v>
      </c>
      <c r="C28" s="455">
        <f t="shared" si="1"/>
        <v>5820172.1689745374</v>
      </c>
      <c r="D28" s="455">
        <f t="shared" si="2"/>
        <v>6078773.0227368753</v>
      </c>
      <c r="E28" s="806"/>
      <c r="F28" s="481" t="s">
        <v>7</v>
      </c>
      <c r="G28" s="490">
        <f t="shared" si="3"/>
        <v>7.5499750698053342E-2</v>
      </c>
      <c r="H28" s="482"/>
      <c r="I28" s="490">
        <f t="shared" si="4"/>
        <v>7.9589972912805368E-2</v>
      </c>
      <c r="J28" s="192"/>
      <c r="K28" s="490">
        <f t="shared" si="5"/>
        <v>8.3126300421446614E-2</v>
      </c>
      <c r="L28" s="482"/>
      <c r="M28" s="482"/>
      <c r="N28" s="1076"/>
      <c r="O28" s="1076"/>
      <c r="R28" s="481" t="s">
        <v>7</v>
      </c>
      <c r="S28" s="455">
        <v>2732</v>
      </c>
      <c r="T28" s="455">
        <v>2093</v>
      </c>
      <c r="U28" s="455">
        <v>2409</v>
      </c>
      <c r="V28" s="1016">
        <v>2834.5123119521782</v>
      </c>
      <c r="W28" s="455">
        <v>3226</v>
      </c>
      <c r="X28" s="1016">
        <v>2391.4642701098965</v>
      </c>
      <c r="Y28" s="455">
        <v>3048</v>
      </c>
      <c r="Z28" s="1016">
        <v>2887.9431958174368</v>
      </c>
      <c r="AA28" s="1647">
        <v>3022</v>
      </c>
      <c r="AB28" s="455">
        <f>3*'What If Data'!C34+3*'What If Data'!T34</f>
        <v>0</v>
      </c>
      <c r="AD28" s="1149" t="s">
        <v>7</v>
      </c>
      <c r="AE28" s="1150">
        <v>1693</v>
      </c>
      <c r="AF28" s="1150">
        <v>2546</v>
      </c>
      <c r="AG28" s="1150">
        <v>3170</v>
      </c>
      <c r="AH28" s="1151">
        <v>3493.2690022812258</v>
      </c>
      <c r="AI28" s="1152"/>
      <c r="AJ28" s="1152"/>
      <c r="AK28" s="1152"/>
    </row>
    <row r="29" spans="1:65">
      <c r="A29" s="481" t="s">
        <v>9</v>
      </c>
      <c r="B29" s="455">
        <f t="shared" si="0"/>
        <v>6492859.8917151932</v>
      </c>
      <c r="C29" s="455">
        <f t="shared" si="1"/>
        <v>5835261.8770190831</v>
      </c>
      <c r="D29" s="455">
        <f t="shared" si="2"/>
        <v>5379003.2728010342</v>
      </c>
      <c r="E29" s="806"/>
      <c r="F29" s="481" t="s">
        <v>9</v>
      </c>
      <c r="G29" s="490">
        <f>(B51+C51+D51+B53)/(B$59+C$59+D$59)</f>
        <v>8.8788875638931883E-2</v>
      </c>
      <c r="H29" s="482"/>
      <c r="I29" s="490">
        <f>(G51+H51+I51+G53)/(G$59+H$59+I$59)</f>
        <v>7.9796322384893092E-2</v>
      </c>
      <c r="J29" s="192"/>
      <c r="K29" s="490">
        <f>(K51+L51+M51+K53)/(K$59+L$59+M$59)</f>
        <v>7.3557055075151798E-2</v>
      </c>
      <c r="L29" s="482"/>
      <c r="M29" s="482"/>
      <c r="N29" s="1076"/>
      <c r="O29" s="1076"/>
      <c r="R29" s="481" t="s">
        <v>9</v>
      </c>
      <c r="S29" s="455">
        <v>11867</v>
      </c>
      <c r="T29" s="455">
        <v>13315</v>
      </c>
      <c r="U29" s="455">
        <v>13288</v>
      </c>
      <c r="V29" s="1016">
        <v>11370.957630347148</v>
      </c>
      <c r="W29" s="455">
        <v>10814</v>
      </c>
      <c r="X29" s="1016">
        <v>9898.7898425948224</v>
      </c>
      <c r="Y29" s="455">
        <v>9294</v>
      </c>
      <c r="Z29" s="1016">
        <v>8497.1546537703744</v>
      </c>
      <c r="AA29" s="1647">
        <v>8098</v>
      </c>
      <c r="AB29" s="455">
        <f>3*'What If Data'!C35+3*'What If Data'!T35</f>
        <v>0</v>
      </c>
      <c r="AD29" s="1149" t="s">
        <v>9</v>
      </c>
      <c r="AE29" s="1150">
        <v>1903</v>
      </c>
      <c r="AF29" s="1150">
        <v>2544</v>
      </c>
      <c r="AG29" s="1150">
        <v>2706</v>
      </c>
      <c r="AH29" s="1151">
        <v>3445.9345309301316</v>
      </c>
      <c r="AI29" s="1152"/>
      <c r="AJ29" s="1152"/>
      <c r="AK29" s="1152"/>
    </row>
    <row r="30" spans="1:65">
      <c r="A30" s="483" t="s">
        <v>5</v>
      </c>
      <c r="B30" s="463">
        <f t="shared" si="0"/>
        <v>2777929.0022442644</v>
      </c>
      <c r="C30" s="463">
        <f t="shared" si="1"/>
        <v>2671431.6019756184</v>
      </c>
      <c r="D30" s="463">
        <f t="shared" si="2"/>
        <v>2583086.7916227984</v>
      </c>
      <c r="E30" s="806"/>
      <c r="F30" s="483" t="s">
        <v>5</v>
      </c>
      <c r="G30" s="492">
        <f t="shared" si="3"/>
        <v>3.7987758372665541E-2</v>
      </c>
      <c r="H30" s="484"/>
      <c r="I30" s="492">
        <f t="shared" si="4"/>
        <v>3.6531422553624106E-2</v>
      </c>
      <c r="J30" s="192"/>
      <c r="K30" s="492">
        <f t="shared" si="5"/>
        <v>3.53233206523694E-2</v>
      </c>
      <c r="L30" s="484"/>
      <c r="M30" s="484"/>
      <c r="N30" s="1076"/>
      <c r="O30" s="1076"/>
      <c r="R30" s="483" t="s">
        <v>5</v>
      </c>
      <c r="S30" s="463">
        <v>1030</v>
      </c>
      <c r="T30" s="463">
        <v>830</v>
      </c>
      <c r="U30" s="463">
        <v>1032</v>
      </c>
      <c r="V30" s="1019">
        <v>1194.7276877420013</v>
      </c>
      <c r="W30" s="463">
        <v>1194</v>
      </c>
      <c r="X30" s="1019">
        <v>1670.6529011308405</v>
      </c>
      <c r="Y30" s="463">
        <v>1568</v>
      </c>
      <c r="Z30" s="1019">
        <v>1885.7371971771324</v>
      </c>
      <c r="AA30" s="1650">
        <v>1531</v>
      </c>
      <c r="AB30" s="455">
        <f>3*'What If Data'!C36+3*'What If Data'!T36</f>
        <v>0</v>
      </c>
      <c r="AD30" s="1155" t="s">
        <v>5</v>
      </c>
      <c r="AE30" s="1150">
        <v>1481</v>
      </c>
      <c r="AF30" s="1150">
        <v>1726</v>
      </c>
      <c r="AG30" s="1150">
        <v>1789</v>
      </c>
      <c r="AH30" s="1150"/>
      <c r="AI30" s="1152"/>
      <c r="AJ30" s="1152"/>
      <c r="AK30" s="1152"/>
    </row>
    <row r="31" spans="1:65">
      <c r="A31" s="481"/>
      <c r="B31" s="472"/>
      <c r="C31" s="472"/>
      <c r="D31" s="472"/>
      <c r="F31" s="481"/>
      <c r="G31" s="485"/>
      <c r="H31" s="485"/>
      <c r="I31" s="482"/>
      <c r="J31" s="192"/>
      <c r="K31" s="482"/>
      <c r="L31" s="482"/>
      <c r="M31" s="482"/>
      <c r="N31" s="482"/>
      <c r="O31" s="482"/>
      <c r="R31" s="461"/>
      <c r="S31" s="454"/>
      <c r="T31" s="454"/>
      <c r="U31" s="454"/>
      <c r="V31" s="1017"/>
      <c r="W31" s="454"/>
      <c r="X31" s="1017"/>
      <c r="Y31" s="454"/>
      <c r="Z31" s="1017"/>
      <c r="AA31" s="1648"/>
      <c r="AB31" s="454"/>
      <c r="AD31" s="1149"/>
      <c r="AE31" s="1156"/>
      <c r="AF31" s="1156"/>
      <c r="AG31" s="1156"/>
      <c r="AH31" s="1150"/>
      <c r="AI31" s="1152"/>
      <c r="AJ31" s="1152"/>
      <c r="AK31" s="1152"/>
    </row>
    <row r="32" spans="1:65">
      <c r="A32" s="481" t="s">
        <v>541</v>
      </c>
      <c r="B32" s="455">
        <f>G32*D$11</f>
        <v>300862.13189934409</v>
      </c>
      <c r="C32" s="455">
        <f>I32*D$11</f>
        <v>296922.5269176127</v>
      </c>
      <c r="D32" s="455">
        <f>K32*D$11</f>
        <v>325790.38823052723</v>
      </c>
      <c r="E32" s="806"/>
      <c r="F32" s="481" t="s">
        <v>541</v>
      </c>
      <c r="G32" s="490">
        <f>(B54+C54+D54)/(B$59+C$59+D$59)</f>
        <v>4.1142440864557241E-3</v>
      </c>
      <c r="H32" s="485"/>
      <c r="I32" s="490">
        <f>(G54+H54+I54)/(G$59+H$59+I$59)</f>
        <v>4.0603705850059549E-3</v>
      </c>
      <c r="J32" s="192"/>
      <c r="K32" s="490">
        <f>(K54+L54+M54)/(K$59+L$59+M$59)</f>
        <v>4.4551342162595479E-3</v>
      </c>
      <c r="L32" s="482"/>
      <c r="M32" s="482"/>
      <c r="N32" s="1076"/>
      <c r="O32" s="1076"/>
      <c r="R32" s="481" t="s">
        <v>541</v>
      </c>
      <c r="S32" s="454">
        <v>0</v>
      </c>
      <c r="T32" s="454">
        <v>0</v>
      </c>
      <c r="U32" s="454">
        <v>0</v>
      </c>
      <c r="V32" s="1017"/>
      <c r="W32" s="454">
        <v>0</v>
      </c>
      <c r="X32" s="1017"/>
      <c r="Y32" s="454"/>
      <c r="Z32" s="1017">
        <v>0</v>
      </c>
      <c r="AA32" s="1648"/>
      <c r="AB32" s="454"/>
      <c r="AD32" s="1149" t="s">
        <v>541</v>
      </c>
      <c r="AE32" s="1156"/>
      <c r="AF32" s="1156"/>
      <c r="AG32" s="1156"/>
      <c r="AH32" s="1150"/>
      <c r="AI32" s="1152"/>
      <c r="AJ32" s="1152"/>
      <c r="AK32" s="1152"/>
    </row>
    <row r="33" spans="1:65">
      <c r="A33" s="481" t="s">
        <v>563</v>
      </c>
      <c r="B33" s="455">
        <f>G33*D$11</f>
        <v>55499.706840349107</v>
      </c>
      <c r="C33" s="455">
        <f>I33*D$11</f>
        <v>34543.978536697083</v>
      </c>
      <c r="D33" s="455">
        <f>K33*D$11</f>
        <v>39621.955964644352</v>
      </c>
      <c r="E33" s="806"/>
      <c r="F33" s="481" t="s">
        <v>563</v>
      </c>
      <c r="G33" s="490">
        <f>(B55+C55+D55)/(B$59+C$59+D$59)</f>
        <v>7.5895008529795771E-4</v>
      </c>
      <c r="H33" s="485"/>
      <c r="I33" s="490">
        <f>(G55+H55+I55)/(G$59+H$59+I$59)</f>
        <v>4.7238367460883255E-4</v>
      </c>
      <c r="J33" s="192"/>
      <c r="K33" s="490">
        <f>(K55+L55+M55)/(K$59+L$59+M$59)</f>
        <v>5.4182424684767218E-4</v>
      </c>
      <c r="L33" s="482"/>
      <c r="M33" s="482"/>
      <c r="N33" s="1076"/>
      <c r="O33" s="1076"/>
      <c r="R33" s="481" t="s">
        <v>563</v>
      </c>
      <c r="S33" s="454"/>
      <c r="T33" s="454"/>
      <c r="U33" s="454"/>
      <c r="V33" s="1017"/>
      <c r="W33" s="454">
        <v>0</v>
      </c>
      <c r="X33" s="1017"/>
      <c r="Y33" s="454"/>
      <c r="Z33" s="1017">
        <v>0</v>
      </c>
      <c r="AA33" s="1648"/>
      <c r="AB33" s="454"/>
      <c r="AD33" s="1149" t="s">
        <v>563</v>
      </c>
      <c r="AE33" s="1150">
        <v>27</v>
      </c>
      <c r="AF33" s="1150">
        <v>15</v>
      </c>
      <c r="AG33" s="1150">
        <v>0</v>
      </c>
      <c r="AH33" s="1154">
        <v>14</v>
      </c>
      <c r="AI33" s="1152"/>
      <c r="AJ33" s="1152"/>
      <c r="AK33" s="1152"/>
    </row>
    <row r="34" spans="1:65">
      <c r="A34" s="483" t="s">
        <v>543</v>
      </c>
      <c r="B34" s="463">
        <f>G34*D$11</f>
        <v>784164.75554801663</v>
      </c>
      <c r="C34" s="463">
        <f>I34*D$11</f>
        <v>853790.46762625093</v>
      </c>
      <c r="D34" s="463">
        <f>K34*D$11</f>
        <v>935720.56396635855</v>
      </c>
      <c r="E34" s="806"/>
      <c r="F34" s="483" t="s">
        <v>543</v>
      </c>
      <c r="G34" s="492">
        <f>(B56+C56+D56)/(B$59+C$59+D$59)</f>
        <v>1.0723334265941426E-2</v>
      </c>
      <c r="H34" s="486"/>
      <c r="I34" s="492">
        <f>(G56+H56+I56)/(G$59+H$59+I$59)</f>
        <v>1.167545533340425E-2</v>
      </c>
      <c r="J34" s="192"/>
      <c r="K34" s="492">
        <f>(K56+L56+M56)/(K$59+L$59+M$59)</f>
        <v>1.2795836992079755E-2</v>
      </c>
      <c r="L34" s="484"/>
      <c r="M34" s="484"/>
      <c r="N34" s="1076"/>
      <c r="O34" s="1076"/>
      <c r="R34" s="483" t="s">
        <v>543</v>
      </c>
      <c r="S34" s="464"/>
      <c r="T34" s="464"/>
      <c r="U34" s="464"/>
      <c r="V34" s="1020"/>
      <c r="W34" s="464">
        <v>0</v>
      </c>
      <c r="X34" s="1020"/>
      <c r="Y34" s="464"/>
      <c r="Z34" s="1020">
        <v>0</v>
      </c>
      <c r="AA34" s="1651"/>
      <c r="AB34" s="455">
        <f>3*'What If Data'!C40+3*'What If Data'!T40</f>
        <v>0</v>
      </c>
      <c r="AD34" s="1155" t="s">
        <v>543</v>
      </c>
      <c r="AE34" s="1156"/>
      <c r="AF34" s="1156"/>
      <c r="AG34" s="1156"/>
      <c r="AH34" s="1154">
        <v>0</v>
      </c>
      <c r="AI34" s="1152"/>
      <c r="AJ34" s="1152"/>
      <c r="AK34" s="1152"/>
    </row>
    <row r="35" spans="1:65">
      <c r="A35" s="481" t="s">
        <v>562</v>
      </c>
      <c r="B35" s="455">
        <f>G35*D$11</f>
        <v>1317500.566897895</v>
      </c>
      <c r="C35" s="455">
        <f>I35*D$11</f>
        <v>1287576.9064631651</v>
      </c>
      <c r="D35" s="455">
        <f>K35*D$11</f>
        <v>1273518.184502603</v>
      </c>
      <c r="E35" s="806"/>
      <c r="F35" s="481" t="s">
        <v>562</v>
      </c>
      <c r="G35" s="490">
        <f>(B57+C57+D57)/(B$59+C$59+D$59)</f>
        <v>1.8016620709432475E-2</v>
      </c>
      <c r="H35" s="485"/>
      <c r="I35" s="490">
        <f>(G57+H57+I57)/(G$59+H$59+I$59)</f>
        <v>1.7607419185094793E-2</v>
      </c>
      <c r="J35" s="192"/>
      <c r="K35" s="490">
        <f>(K57+L57+M57)/(K$59+L$59+M$59)</f>
        <v>1.7415168291556888E-2</v>
      </c>
      <c r="L35" s="482"/>
      <c r="M35" s="482"/>
      <c r="N35" s="1076"/>
      <c r="O35" s="1076"/>
      <c r="R35" s="481" t="s">
        <v>562</v>
      </c>
      <c r="S35" s="454"/>
      <c r="T35" s="454"/>
      <c r="U35" s="454"/>
      <c r="V35" s="1017"/>
      <c r="W35" s="454">
        <v>0</v>
      </c>
      <c r="X35" s="1017"/>
      <c r="Y35" s="454"/>
      <c r="Z35" s="1017">
        <v>0</v>
      </c>
      <c r="AA35" s="1648"/>
      <c r="AB35" s="454"/>
      <c r="AD35" s="1149" t="s">
        <v>562</v>
      </c>
      <c r="AE35" s="1150">
        <v>120</v>
      </c>
      <c r="AF35" s="1150">
        <v>88</v>
      </c>
      <c r="AG35" s="1150">
        <v>120</v>
      </c>
      <c r="AH35" s="1154">
        <v>109.33333333333333</v>
      </c>
      <c r="AI35" s="1152"/>
      <c r="AJ35" s="1152"/>
      <c r="AK35" s="1152"/>
    </row>
    <row r="36" spans="1:65">
      <c r="A36" s="487" t="s">
        <v>545</v>
      </c>
      <c r="B36" s="455">
        <f>G36*D$11</f>
        <v>240073.61695918525</v>
      </c>
      <c r="C36" s="455">
        <f>I36*D$11</f>
        <v>121466.40705733105</v>
      </c>
      <c r="D36" s="455">
        <f>K36*D$11</f>
        <v>143634.2346562871</v>
      </c>
      <c r="E36" s="806"/>
      <c r="F36" s="487" t="s">
        <v>545</v>
      </c>
      <c r="G36" s="490">
        <f>(B58+C58+D58)/(B$59+C$59+D$59)</f>
        <v>3.2829703514127024E-3</v>
      </c>
      <c r="H36" s="485"/>
      <c r="I36" s="490">
        <f>(G58+H58+I58)/(G$59+H$59+I$59)</f>
        <v>1.6610347197361514E-3</v>
      </c>
      <c r="J36" s="192"/>
      <c r="K36" s="490">
        <f>(K58+L58+M58)/(K$59+L$59+M$59)</f>
        <v>1.9641764047092802E-3</v>
      </c>
      <c r="L36" s="482"/>
      <c r="M36" s="482"/>
      <c r="N36" s="1076"/>
      <c r="O36" s="1076"/>
      <c r="R36" s="487" t="s">
        <v>545</v>
      </c>
      <c r="S36" s="454"/>
      <c r="T36" s="454"/>
      <c r="U36" s="454"/>
      <c r="V36" s="1017"/>
      <c r="W36" s="454">
        <v>0</v>
      </c>
      <c r="X36" s="1017"/>
      <c r="Y36" s="454"/>
      <c r="Z36" s="1017">
        <v>0</v>
      </c>
      <c r="AA36" s="1648"/>
      <c r="AB36" s="454"/>
      <c r="AD36" s="1157" t="s">
        <v>545</v>
      </c>
      <c r="AE36" s="1156">
        <v>0</v>
      </c>
      <c r="AF36" s="1156">
        <v>301</v>
      </c>
      <c r="AG36" s="1156">
        <v>879</v>
      </c>
      <c r="AH36" s="1154">
        <v>393.33333333333331</v>
      </c>
      <c r="AI36" s="1152"/>
      <c r="AJ36" s="1152"/>
      <c r="AK36" s="1152"/>
    </row>
    <row r="37" spans="1:65">
      <c r="A37" s="488"/>
      <c r="B37" s="467">
        <f>SUM(B19:B36)</f>
        <v>73126952.503813714</v>
      </c>
      <c r="C37" s="467">
        <f>SUM(C19:C36)</f>
        <v>73126952.503813654</v>
      </c>
      <c r="D37" s="467">
        <f>SUM(D19:D36)</f>
        <v>73126952.503813699</v>
      </c>
      <c r="E37" s="1073"/>
      <c r="F37" s="488"/>
      <c r="G37" s="491">
        <f>SUM(G19:G36)</f>
        <v>1</v>
      </c>
      <c r="H37" s="489"/>
      <c r="I37" s="491">
        <f>SUM(I19:I36)</f>
        <v>0.99999999999999956</v>
      </c>
      <c r="J37" s="192"/>
      <c r="K37" s="491">
        <f>SUM(K19:K36)</f>
        <v>1</v>
      </c>
      <c r="L37" s="489"/>
      <c r="M37" s="489"/>
      <c r="N37" s="1075"/>
      <c r="O37" s="1075"/>
      <c r="R37" s="466"/>
      <c r="S37" s="467">
        <v>92410</v>
      </c>
      <c r="T37" s="467">
        <v>91170</v>
      </c>
      <c r="U37" s="467">
        <v>90825</v>
      </c>
      <c r="V37" s="1021">
        <f>SUM(V19:V36)</f>
        <v>89622.880676143977</v>
      </c>
      <c r="W37" s="467">
        <v>89322</v>
      </c>
      <c r="X37" s="1021">
        <f>SUM(X19:X36)</f>
        <v>88874.5393803388</v>
      </c>
      <c r="Y37" s="467">
        <v>89786</v>
      </c>
      <c r="Z37" s="1021">
        <v>86113.00134450481</v>
      </c>
      <c r="AA37" s="467">
        <f>SUM(AA19:AA36)</f>
        <v>85874</v>
      </c>
      <c r="AB37" s="467"/>
      <c r="AD37" s="1158"/>
      <c r="AE37" s="1159">
        <v>26727</v>
      </c>
      <c r="AF37" s="1159">
        <v>29878</v>
      </c>
      <c r="AG37" s="1159">
        <v>34577</v>
      </c>
      <c r="AH37" s="1159">
        <v>39956.212770929182</v>
      </c>
      <c r="AI37" s="1152"/>
      <c r="AJ37" s="1152"/>
      <c r="AK37" s="1152"/>
    </row>
    <row r="38" spans="1:65">
      <c r="L38"/>
      <c r="M38"/>
      <c r="N38"/>
      <c r="O38"/>
      <c r="R38" s="454"/>
      <c r="S38" s="454"/>
      <c r="T38" s="454"/>
      <c r="U38" s="454"/>
      <c r="V38" s="1016"/>
      <c r="W38" s="454"/>
      <c r="X38" s="1016"/>
      <c r="Y38" s="455"/>
      <c r="Z38" s="455">
        <v>86431.385642230554</v>
      </c>
      <c r="AA38" s="455"/>
      <c r="AB38" s="455"/>
      <c r="AD38" s="454"/>
      <c r="AE38" s="454"/>
      <c r="AF38" s="454"/>
      <c r="AG38" s="454"/>
      <c r="AH38" s="454"/>
    </row>
    <row r="39" spans="1:65">
      <c r="A39" s="476" t="s">
        <v>559</v>
      </c>
      <c r="B39" s="476"/>
      <c r="C39" s="476"/>
      <c r="D39" s="476"/>
      <c r="F39" s="476" t="s">
        <v>559</v>
      </c>
      <c r="G39" s="476"/>
      <c r="H39" s="476"/>
      <c r="I39" s="476"/>
      <c r="J39" s="476"/>
      <c r="K39" s="476"/>
      <c r="L39" s="476"/>
      <c r="M39" s="476"/>
      <c r="N39" s="476"/>
      <c r="O39" s="476"/>
      <c r="R39" s="454"/>
      <c r="S39" s="453" t="s">
        <v>532</v>
      </c>
      <c r="T39" s="453" t="s">
        <v>533</v>
      </c>
      <c r="U39" s="453" t="s">
        <v>534</v>
      </c>
      <c r="V39" s="453" t="s">
        <v>1039</v>
      </c>
      <c r="W39" s="453" t="s">
        <v>1040</v>
      </c>
      <c r="X39" s="453" t="s">
        <v>1041</v>
      </c>
      <c r="Y39" s="453" t="s">
        <v>1042</v>
      </c>
      <c r="Z39" s="453" t="s">
        <v>1610</v>
      </c>
      <c r="AA39" s="453" t="s">
        <v>1749</v>
      </c>
      <c r="AB39" s="453" t="s">
        <v>1609</v>
      </c>
      <c r="AD39" s="570"/>
      <c r="AE39" s="453" t="s">
        <v>532</v>
      </c>
      <c r="AF39" s="453" t="s">
        <v>533</v>
      </c>
      <c r="AG39" s="453" t="s">
        <v>534</v>
      </c>
      <c r="AH39" s="453" t="s">
        <v>1039</v>
      </c>
      <c r="AI39" s="453" t="s">
        <v>1040</v>
      </c>
      <c r="AJ39" s="453" t="s">
        <v>1041</v>
      </c>
      <c r="AK39" s="453" t="s">
        <v>1042</v>
      </c>
      <c r="AL39" s="453" t="s">
        <v>1362</v>
      </c>
      <c r="AM39" s="453" t="s">
        <v>1749</v>
      </c>
    </row>
    <row r="40" spans="1:65" ht="38.25">
      <c r="A40" s="220"/>
      <c r="B40" s="477" t="s">
        <v>1367</v>
      </c>
      <c r="C40" s="477" t="s">
        <v>1368</v>
      </c>
      <c r="D40" s="477" t="s">
        <v>1369</v>
      </c>
      <c r="F40" s="220"/>
      <c r="G40" s="477" t="s">
        <v>1060</v>
      </c>
      <c r="H40" s="477" t="s">
        <v>1061</v>
      </c>
      <c r="I40" s="477" t="s">
        <v>1062</v>
      </c>
      <c r="J40" s="220"/>
      <c r="K40" s="477" t="s">
        <v>1363</v>
      </c>
      <c r="L40" s="477" t="s">
        <v>1364</v>
      </c>
      <c r="M40" s="477" t="s">
        <v>1365</v>
      </c>
      <c r="N40" s="480" t="s">
        <v>922</v>
      </c>
      <c r="O40" s="480" t="s">
        <v>923</v>
      </c>
      <c r="P40" s="480" t="s">
        <v>924</v>
      </c>
      <c r="R40" s="1528" t="s">
        <v>546</v>
      </c>
      <c r="S40" s="1147"/>
      <c r="T40" s="1147"/>
      <c r="U40" s="1147"/>
      <c r="V40" s="1147"/>
      <c r="W40" s="1147"/>
      <c r="X40" s="1147"/>
      <c r="Y40" s="1147"/>
      <c r="Z40" s="1147"/>
      <c r="AA40" s="1147"/>
      <c r="AB40" s="1147"/>
      <c r="AD40" s="663" t="s">
        <v>679</v>
      </c>
      <c r="AE40" s="217"/>
      <c r="AF40" s="217"/>
      <c r="AG40" s="217"/>
      <c r="AH40" s="217"/>
      <c r="AI40" s="217"/>
      <c r="AJ40" s="217"/>
      <c r="AK40" s="217"/>
      <c r="AL40" s="217"/>
    </row>
    <row r="41" spans="1:65" ht="16.5" thickBot="1">
      <c r="A41" s="481" t="s">
        <v>538</v>
      </c>
      <c r="B41" s="455">
        <f>IF(K$9="no",B64*N$3,B64*N41)</f>
        <v>34693.049999999996</v>
      </c>
      <c r="C41" s="455">
        <f>IF(K$9="no",C64*N$4,C64*J41)</f>
        <v>24048.998999999996</v>
      </c>
      <c r="D41" s="455">
        <f>IF(K$9="no",D64*N$5,D64*K41)</f>
        <v>8628.3389999999999</v>
      </c>
      <c r="F41" s="481" t="s">
        <v>538</v>
      </c>
      <c r="G41" s="455">
        <f>IF(K$9="no",G64*N$3,G64*N41)</f>
        <v>36228.54</v>
      </c>
      <c r="H41" s="455">
        <f>IF(K$9="no",H64*N$4,H64*O41)</f>
        <v>25040.573999999997</v>
      </c>
      <c r="I41" s="455">
        <f>IF(K$9="no",I64*N$5,I64*P41)</f>
        <v>7153.0590000000002</v>
      </c>
      <c r="K41" s="455">
        <f>IF(K$9="no",K64*N$3,K64*N41)</f>
        <v>38132.416948037542</v>
      </c>
      <c r="L41" s="455">
        <f t="shared" ref="L41:L47" si="6">IF(K$9="no",L64*N$4,L64*O41)</f>
        <v>24930.737999999998</v>
      </c>
      <c r="M41" s="455">
        <f t="shared" ref="M41:M47" si="7">IF(K$9="no",M64*N$5,M64*P41)</f>
        <v>6210.5190000000002</v>
      </c>
      <c r="N41" s="1076"/>
      <c r="O41" s="1076"/>
      <c r="P41" s="1077"/>
      <c r="R41" s="481" t="s">
        <v>538</v>
      </c>
      <c r="S41" s="455">
        <f>5196+AE41</f>
        <v>10538</v>
      </c>
      <c r="T41" s="455">
        <f>6209+AF41</f>
        <v>10585</v>
      </c>
      <c r="U41" s="455">
        <f>6058+AG41</f>
        <v>10396</v>
      </c>
      <c r="V41" s="1016">
        <f>AH41+6681.66666666667</f>
        <v>11118.66666666667</v>
      </c>
      <c r="W41" s="455">
        <f>6420+AI41</f>
        <v>10857</v>
      </c>
      <c r="X41" s="1527">
        <f>AJ41+6851</f>
        <v>11273</v>
      </c>
      <c r="Y41" s="455">
        <f>AK41+8787</f>
        <v>13704</v>
      </c>
      <c r="Z41" s="1016">
        <f>8780.9249586172+AL41</f>
        <v>13457.924958617201</v>
      </c>
      <c r="AA41" s="1647">
        <f>AM41+8457</f>
        <v>14341</v>
      </c>
      <c r="AB41" s="455">
        <f>3*'What If Data'!B25</f>
        <v>0</v>
      </c>
      <c r="AD41" s="481" t="s">
        <v>538</v>
      </c>
      <c r="AE41" s="664">
        <v>5342</v>
      </c>
      <c r="AF41" s="664">
        <v>4376</v>
      </c>
      <c r="AG41" s="664">
        <v>4338</v>
      </c>
      <c r="AH41" s="1274">
        <v>4437</v>
      </c>
      <c r="AI41" s="664">
        <v>4437</v>
      </c>
      <c r="AJ41" s="1274">
        <v>4422</v>
      </c>
      <c r="AK41" s="664">
        <v>4917</v>
      </c>
      <c r="AL41" s="1274">
        <f>AVERAGE(AI41,AK41)</f>
        <v>4677</v>
      </c>
      <c r="AM41" s="1269">
        <v>5884</v>
      </c>
    </row>
    <row r="42" spans="1:65">
      <c r="A42" s="481" t="s">
        <v>6</v>
      </c>
      <c r="B42" s="455">
        <f t="shared" ref="B42:B52" si="8">IF(K$9="no",B65*N$3,B65*N42)</f>
        <v>56937.914999999994</v>
      </c>
      <c r="C42" s="455">
        <f t="shared" ref="C42:C52" si="9">IF(K$9="no",C65*N$4,C65*J42)</f>
        <v>30363.551999999996</v>
      </c>
      <c r="D42" s="455">
        <f t="shared" ref="D42:D52" si="10">IF(K$9="no",D65*N$5,D65*K42)</f>
        <v>8198.0489999999991</v>
      </c>
      <c r="F42" s="481" t="s">
        <v>6</v>
      </c>
      <c r="G42" s="455">
        <f t="shared" ref="G42:G58" si="11">IF(K$9="no",G65*N$3,G65*N42)</f>
        <v>56775.764999999999</v>
      </c>
      <c r="H42" s="455">
        <f t="shared" ref="H42:H58" si="12">IF(K$9="no",H65*N$4,H65*O42)</f>
        <v>30619.835999999996</v>
      </c>
      <c r="I42" s="455">
        <f t="shared" ref="I42:I58" si="13">IF(K$9="no",I65*N$5,I65*P42)</f>
        <v>6847.7579999999998</v>
      </c>
      <c r="K42" s="455">
        <f t="shared" ref="K42:K47" si="14">IF(K$9="no",K65*N$3,K65*N42)</f>
        <v>60949.11726303272</v>
      </c>
      <c r="L42" s="455">
        <f>IF(K$9="no",L65*N$4,L65*O42)</f>
        <v>30292.361999999997</v>
      </c>
      <c r="M42" s="455">
        <f t="shared" si="7"/>
        <v>5460.585</v>
      </c>
      <c r="N42" s="1076"/>
      <c r="O42" s="1076"/>
      <c r="P42" s="1077"/>
      <c r="R42" s="481" t="s">
        <v>6</v>
      </c>
      <c r="S42" s="455">
        <v>20261</v>
      </c>
      <c r="T42" s="455">
        <v>23735</v>
      </c>
      <c r="U42" s="455">
        <v>23243</v>
      </c>
      <c r="V42" s="1016">
        <v>21882.248469234299</v>
      </c>
      <c r="W42" s="455">
        <v>22884</v>
      </c>
      <c r="X42" s="1016">
        <v>23687.736704368825</v>
      </c>
      <c r="Y42" s="455">
        <v>22948</v>
      </c>
      <c r="Z42" s="1016">
        <v>30809.598285435462</v>
      </c>
      <c r="AA42" s="1647">
        <v>30039</v>
      </c>
      <c r="AB42" s="455">
        <f>3*'What If Data'!B26</f>
        <v>0</v>
      </c>
      <c r="AD42" s="481" t="s">
        <v>6</v>
      </c>
      <c r="AE42" s="664"/>
      <c r="AF42" s="664"/>
      <c r="AG42" s="664"/>
      <c r="AH42" s="1274"/>
      <c r="AI42" s="664"/>
      <c r="AJ42" s="1274"/>
      <c r="AK42" s="664"/>
      <c r="AL42" s="1274"/>
    </row>
    <row r="43" spans="1:65">
      <c r="A43" s="481" t="s">
        <v>8</v>
      </c>
      <c r="B43" s="455">
        <f t="shared" si="8"/>
        <v>6665.7749999999996</v>
      </c>
      <c r="C43" s="455">
        <f t="shared" si="9"/>
        <v>8988.2459999999992</v>
      </c>
      <c r="D43" s="455">
        <f t="shared" si="10"/>
        <v>3085.7939999999999</v>
      </c>
      <c r="F43" s="481" t="s">
        <v>8</v>
      </c>
      <c r="G43" s="455">
        <f t="shared" si="11"/>
        <v>6591.0450000000001</v>
      </c>
      <c r="H43" s="455">
        <f t="shared" si="12"/>
        <v>9955.4129999999986</v>
      </c>
      <c r="I43" s="455">
        <f t="shared" si="13"/>
        <v>1883.0309999999999</v>
      </c>
      <c r="K43" s="455">
        <f t="shared" si="14"/>
        <v>6421.3615714285706</v>
      </c>
      <c r="L43" s="455">
        <f t="shared" si="6"/>
        <v>11460.572999999999</v>
      </c>
      <c r="M43" s="455">
        <f t="shared" si="7"/>
        <v>1946.55</v>
      </c>
      <c r="N43" s="1076"/>
      <c r="O43" s="1076"/>
      <c r="P43" s="1077"/>
      <c r="R43" s="481" t="s">
        <v>8</v>
      </c>
      <c r="S43" s="455">
        <v>3140</v>
      </c>
      <c r="T43" s="455">
        <v>3283</v>
      </c>
      <c r="U43" s="455">
        <v>3213</v>
      </c>
      <c r="V43" s="1016">
        <v>3066.9134686550397</v>
      </c>
      <c r="W43" s="455">
        <v>2875</v>
      </c>
      <c r="X43" s="1016">
        <v>3248.9790956237548</v>
      </c>
      <c r="Y43" s="455">
        <v>3150</v>
      </c>
      <c r="Z43" s="1016">
        <v>3119.2780368541316</v>
      </c>
      <c r="AA43" s="1647">
        <v>2970</v>
      </c>
      <c r="AB43" s="455">
        <f>3*'What If Data'!B27</f>
        <v>0</v>
      </c>
      <c r="AD43" s="481" t="s">
        <v>8</v>
      </c>
      <c r="AE43" s="664"/>
      <c r="AF43" s="664"/>
      <c r="AG43" s="664"/>
      <c r="AH43" s="1274"/>
      <c r="AI43" s="664"/>
      <c r="AJ43" s="1274"/>
      <c r="AK43" s="664"/>
      <c r="AL43" s="1274"/>
    </row>
    <row r="44" spans="1:65">
      <c r="A44" s="483" t="s">
        <v>2</v>
      </c>
      <c r="B44" s="455">
        <f t="shared" si="8"/>
        <v>8046.165</v>
      </c>
      <c r="C44" s="455">
        <f t="shared" si="9"/>
        <v>3682.5569999999998</v>
      </c>
      <c r="D44" s="455">
        <f t="shared" si="10"/>
        <v>4997.5109999999995</v>
      </c>
      <c r="F44" s="483" t="s">
        <v>2</v>
      </c>
      <c r="G44" s="463">
        <f t="shared" si="11"/>
        <v>8512.17</v>
      </c>
      <c r="H44" s="463">
        <f t="shared" si="12"/>
        <v>3668.3189999999995</v>
      </c>
      <c r="I44" s="463">
        <f t="shared" si="13"/>
        <v>4552.8779999999997</v>
      </c>
      <c r="K44" s="455">
        <f t="shared" si="14"/>
        <v>8356.0835567840968</v>
      </c>
      <c r="L44" s="455">
        <f t="shared" si="6"/>
        <v>3859.5149999999994</v>
      </c>
      <c r="M44" s="455">
        <f t="shared" si="7"/>
        <v>4298.8019999999997</v>
      </c>
      <c r="N44" s="1076"/>
      <c r="O44" s="1076"/>
      <c r="P44" s="1077"/>
      <c r="R44" s="483" t="s">
        <v>2</v>
      </c>
      <c r="S44" s="463">
        <v>324</v>
      </c>
      <c r="T44" s="463">
        <v>1330</v>
      </c>
      <c r="U44" s="463">
        <v>2228</v>
      </c>
      <c r="V44" s="1019">
        <v>3109</v>
      </c>
      <c r="W44" s="463">
        <f>3109</f>
        <v>3109</v>
      </c>
      <c r="X44" s="1019">
        <f>AJ44+2853.31077147016</f>
        <v>2913.31077147016</v>
      </c>
      <c r="Y44" s="463">
        <f>AK44+2945</f>
        <v>2945</v>
      </c>
      <c r="Z44" s="1019">
        <v>2631.3133458995208</v>
      </c>
      <c r="AA44" s="1650">
        <v>2494</v>
      </c>
      <c r="AB44" s="455">
        <f>3*'What If Data'!B28</f>
        <v>0</v>
      </c>
      <c r="AD44" s="483" t="s">
        <v>2</v>
      </c>
      <c r="AE44" s="665">
        <v>0</v>
      </c>
      <c r="AF44" s="665">
        <v>0</v>
      </c>
      <c r="AG44" s="665">
        <v>0</v>
      </c>
      <c r="AH44" s="1275"/>
      <c r="AI44" s="665">
        <v>180</v>
      </c>
      <c r="AJ44" s="1275">
        <v>60</v>
      </c>
      <c r="AK44" s="665">
        <v>0</v>
      </c>
      <c r="AL44" s="1274">
        <f>AVERAGE(AI44,AK44)</f>
        <v>90</v>
      </c>
      <c r="AM44" s="10">
        <v>0</v>
      </c>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row>
    <row r="45" spans="1:65">
      <c r="A45" s="481" t="s">
        <v>10</v>
      </c>
      <c r="B45" s="455">
        <f t="shared" si="8"/>
        <v>1727.25</v>
      </c>
      <c r="C45" s="455">
        <f t="shared" si="9"/>
        <v>159.66899999999998</v>
      </c>
      <c r="D45" s="455">
        <f t="shared" si="10"/>
        <v>702.80700000000002</v>
      </c>
      <c r="F45" s="481" t="s">
        <v>10</v>
      </c>
      <c r="G45" s="454">
        <f t="shared" si="11"/>
        <v>1637.7149999999999</v>
      </c>
      <c r="H45" s="454">
        <f t="shared" si="12"/>
        <v>134.244</v>
      </c>
      <c r="I45" s="454">
        <f t="shared" si="13"/>
        <v>657.72899999999993</v>
      </c>
      <c r="K45" s="455">
        <f t="shared" si="14"/>
        <v>1563.6899999999998</v>
      </c>
      <c r="L45" s="455">
        <f t="shared" si="6"/>
        <v>127.12499999999999</v>
      </c>
      <c r="M45" s="455">
        <f t="shared" si="7"/>
        <v>674.12099999999998</v>
      </c>
      <c r="N45" s="1076"/>
      <c r="O45" s="1083"/>
      <c r="P45" s="1084"/>
      <c r="R45" s="481" t="s">
        <v>10</v>
      </c>
      <c r="S45" s="454">
        <v>836</v>
      </c>
      <c r="T45" s="454">
        <v>853</v>
      </c>
      <c r="U45" s="454">
        <v>837</v>
      </c>
      <c r="V45" s="1016">
        <v>842.66666666666663</v>
      </c>
      <c r="W45" s="455">
        <v>756</v>
      </c>
      <c r="X45" s="1016">
        <v>816</v>
      </c>
      <c r="Y45" s="455">
        <v>728</v>
      </c>
      <c r="Z45" s="1016">
        <v>739.24977627434134</v>
      </c>
      <c r="AA45" s="1647">
        <v>731</v>
      </c>
      <c r="AB45" s="455">
        <f>3*'What If Data'!B29</f>
        <v>0</v>
      </c>
      <c r="AD45" s="481" t="s">
        <v>10</v>
      </c>
      <c r="AE45" s="666"/>
      <c r="AF45" s="666"/>
      <c r="AG45" s="666"/>
      <c r="AH45" s="1276"/>
      <c r="AI45" s="666"/>
      <c r="AJ45" s="1276"/>
      <c r="AK45" s="666"/>
      <c r="AL45" s="1276"/>
    </row>
    <row r="46" spans="1:65">
      <c r="A46" s="481" t="s">
        <v>4</v>
      </c>
      <c r="B46" s="455">
        <f t="shared" si="8"/>
        <v>298372.92</v>
      </c>
      <c r="C46" s="455">
        <f t="shared" si="9"/>
        <v>72323.954999999987</v>
      </c>
      <c r="D46" s="455">
        <f t="shared" si="10"/>
        <v>20940.78</v>
      </c>
      <c r="F46" s="481" t="s">
        <v>4</v>
      </c>
      <c r="G46" s="455">
        <f t="shared" si="11"/>
        <v>289292.51999999996</v>
      </c>
      <c r="H46" s="455">
        <f t="shared" si="12"/>
        <v>66714.18299999999</v>
      </c>
      <c r="I46" s="455">
        <f t="shared" si="13"/>
        <v>20272.806</v>
      </c>
      <c r="K46" s="455">
        <f t="shared" si="14"/>
        <v>277597.64647047606</v>
      </c>
      <c r="L46" s="455">
        <f t="shared" si="6"/>
        <v>66458.915999999997</v>
      </c>
      <c r="M46" s="455">
        <f t="shared" si="7"/>
        <v>20365.010999999999</v>
      </c>
      <c r="N46" s="1076"/>
      <c r="O46" s="1076"/>
      <c r="P46" s="1077"/>
      <c r="R46" s="481" t="s">
        <v>4</v>
      </c>
      <c r="S46" s="455">
        <f>110109+AE46</f>
        <v>104767</v>
      </c>
      <c r="T46" s="455">
        <f>115546+AF46</f>
        <v>111170</v>
      </c>
      <c r="U46" s="455">
        <f>114646+AG46</f>
        <v>110308</v>
      </c>
      <c r="V46" s="1016">
        <f>AH46+109613.675758228</f>
        <v>105176.675758228</v>
      </c>
      <c r="W46" s="455">
        <f>AI46+107819</f>
        <v>103202</v>
      </c>
      <c r="X46" s="1016">
        <f>AJ46+105715.542302691</f>
        <v>101233.542302691</v>
      </c>
      <c r="Y46" s="455">
        <f>AK46+103389</f>
        <v>98472</v>
      </c>
      <c r="Z46" s="1016">
        <f>100088.847881271+AL46</f>
        <v>95321.847881270995</v>
      </c>
      <c r="AA46" s="1647">
        <f>AM46+98852</f>
        <v>92968</v>
      </c>
      <c r="AB46" s="455">
        <f>3*'What If Data'!B30</f>
        <v>0</v>
      </c>
      <c r="AD46" s="481" t="s">
        <v>4</v>
      </c>
      <c r="AE46" s="664">
        <f>-AE41</f>
        <v>-5342</v>
      </c>
      <c r="AF46" s="664">
        <f>-AF41</f>
        <v>-4376</v>
      </c>
      <c r="AG46" s="664">
        <f>-AG41</f>
        <v>-4338</v>
      </c>
      <c r="AH46" s="1274">
        <f>-AH41</f>
        <v>-4437</v>
      </c>
      <c r="AI46" s="664">
        <f>-SUM(AI41:AI45)</f>
        <v>-4617</v>
      </c>
      <c r="AJ46" s="1274">
        <f>-SUM(AJ41:AJ45)</f>
        <v>-4482</v>
      </c>
      <c r="AK46" s="664">
        <f>-SUM(AK41:AK45)</f>
        <v>-4917</v>
      </c>
      <c r="AL46" s="1274">
        <f>-SUM(AL41:AL45)</f>
        <v>-4767</v>
      </c>
      <c r="AM46">
        <v>-5884</v>
      </c>
    </row>
    <row r="47" spans="1:65" s="10" customFormat="1">
      <c r="A47" s="481" t="s">
        <v>14</v>
      </c>
      <c r="B47" s="455">
        <f t="shared" si="8"/>
        <v>0</v>
      </c>
      <c r="C47" s="455">
        <f t="shared" si="9"/>
        <v>127.12499999999999</v>
      </c>
      <c r="D47" s="455">
        <f t="shared" si="10"/>
        <v>5319.2039999999997</v>
      </c>
      <c r="E47" s="46"/>
      <c r="F47" s="481" t="s">
        <v>14</v>
      </c>
      <c r="G47" s="454">
        <f t="shared" si="11"/>
        <v>0</v>
      </c>
      <c r="H47" s="454">
        <f t="shared" si="12"/>
        <v>88.478999999999985</v>
      </c>
      <c r="I47" s="454">
        <f t="shared" si="13"/>
        <v>5110.2060000000001</v>
      </c>
      <c r="J47"/>
      <c r="K47" s="455">
        <f t="shared" si="14"/>
        <v>0</v>
      </c>
      <c r="L47" s="455">
        <f t="shared" si="6"/>
        <v>58.985999999999997</v>
      </c>
      <c r="M47" s="455">
        <f t="shared" si="7"/>
        <v>5241.3419999999996</v>
      </c>
      <c r="N47" s="1076"/>
      <c r="O47" s="1076"/>
      <c r="P47" s="1077"/>
      <c r="Q47"/>
      <c r="R47" s="481" t="s">
        <v>14</v>
      </c>
      <c r="S47" s="454">
        <v>0</v>
      </c>
      <c r="T47" s="454">
        <v>0</v>
      </c>
      <c r="U47" s="454">
        <v>0</v>
      </c>
      <c r="V47" s="1017">
        <v>0</v>
      </c>
      <c r="W47" s="454">
        <v>0</v>
      </c>
      <c r="X47" s="1017">
        <v>0</v>
      </c>
      <c r="Y47" s="454">
        <v>0</v>
      </c>
      <c r="Z47" s="1017">
        <v>0</v>
      </c>
      <c r="AA47" s="1648">
        <v>0</v>
      </c>
      <c r="AB47" s="455">
        <f>3*'What If Data'!B31</f>
        <v>0</v>
      </c>
      <c r="AC47"/>
      <c r="AD47" s="481" t="s">
        <v>14</v>
      </c>
      <c r="AE47" s="454"/>
      <c r="AF47" s="454"/>
      <c r="AG47" s="454"/>
      <c r="AH47" s="454"/>
      <c r="AI47" s="454"/>
      <c r="AJ47" s="454"/>
      <c r="AK47" s="454"/>
      <c r="AL47" s="454"/>
      <c r="AM47"/>
      <c r="AN47"/>
      <c r="AO47"/>
    </row>
    <row r="48" spans="1:65">
      <c r="A48" s="483" t="s">
        <v>17</v>
      </c>
      <c r="B48" s="455">
        <f t="shared" si="8"/>
        <v>255069</v>
      </c>
      <c r="C48" s="455">
        <f t="shared" si="9"/>
        <v>70413.011999999988</v>
      </c>
      <c r="D48" s="455">
        <f t="shared" si="10"/>
        <v>16131.777</v>
      </c>
      <c r="F48" s="483" t="s">
        <v>17</v>
      </c>
      <c r="G48" s="463">
        <f t="shared" si="11"/>
        <v>252620.53499999997</v>
      </c>
      <c r="H48" s="463">
        <f t="shared" si="12"/>
        <v>69988.922999999995</v>
      </c>
      <c r="I48" s="463">
        <f t="shared" si="13"/>
        <v>16058.012999999999</v>
      </c>
      <c r="K48" s="455">
        <f>IF(K$9="no",K71*N$3,K71*N48)</f>
        <v>242516.42236004426</v>
      </c>
      <c r="L48" s="455">
        <f>IF(K$9="no",L71*N$4,L71*O48)</f>
        <v>66708.080999999991</v>
      </c>
      <c r="M48" s="455">
        <f>IF(K$9="no",M71*N$5,M71*P48)</f>
        <v>14724.114</v>
      </c>
      <c r="N48" s="1076"/>
      <c r="O48" s="1076"/>
      <c r="P48" s="1077"/>
      <c r="R48" s="483" t="s">
        <v>17</v>
      </c>
      <c r="S48" s="463">
        <v>87146</v>
      </c>
      <c r="T48" s="463">
        <v>87867</v>
      </c>
      <c r="U48" s="463">
        <v>93140</v>
      </c>
      <c r="V48" s="1019">
        <v>91755.614454183597</v>
      </c>
      <c r="W48" s="463">
        <v>89328</v>
      </c>
      <c r="X48" s="1019">
        <v>82090.193163103788</v>
      </c>
      <c r="Y48" s="463">
        <v>81955</v>
      </c>
      <c r="Z48" s="1019">
        <v>78532.640659645054</v>
      </c>
      <c r="AA48" s="1650">
        <v>77890</v>
      </c>
      <c r="AB48" s="455">
        <f>3*'What If Data'!B32</f>
        <v>0</v>
      </c>
      <c r="AD48" s="483" t="s">
        <v>17</v>
      </c>
      <c r="AE48" s="463"/>
      <c r="AF48" s="463"/>
      <c r="AG48" s="463"/>
      <c r="AH48" s="463"/>
      <c r="AI48" s="463"/>
      <c r="AJ48" s="463"/>
      <c r="AK48" s="463"/>
      <c r="AL48" s="463"/>
    </row>
    <row r="49" spans="1:65">
      <c r="A49" s="481" t="s">
        <v>324</v>
      </c>
      <c r="B49" s="455">
        <f t="shared" si="8"/>
        <v>195.98999999999998</v>
      </c>
      <c r="C49" s="455">
        <f t="shared" si="9"/>
        <v>10.169999999999998</v>
      </c>
      <c r="D49" s="455">
        <f t="shared" si="10"/>
        <v>2214.9690000000001</v>
      </c>
      <c r="F49" s="481" t="s">
        <v>324</v>
      </c>
      <c r="G49" s="454">
        <f t="shared" si="11"/>
        <v>177.66</v>
      </c>
      <c r="H49" s="454">
        <f t="shared" si="12"/>
        <v>0</v>
      </c>
      <c r="I49" s="454">
        <f t="shared" si="13"/>
        <v>3471.0059999999999</v>
      </c>
      <c r="K49" s="455">
        <f>IF(K$9="no",K72*N$3,K72*N49)</f>
        <v>177.66</v>
      </c>
      <c r="L49" s="455">
        <f>IF(K$9="no",L72*N$4,L72*O49)</f>
        <v>0</v>
      </c>
      <c r="M49" s="455">
        <f>IF(K$9="no",M72*N$5,M72*P49)</f>
        <v>4675.8180000000002</v>
      </c>
      <c r="N49" s="1076"/>
      <c r="O49" s="1083"/>
      <c r="P49" s="1084"/>
      <c r="R49" s="481" t="s">
        <v>324</v>
      </c>
      <c r="S49" s="454">
        <v>105</v>
      </c>
      <c r="T49" s="454">
        <v>98</v>
      </c>
      <c r="U49" s="454">
        <v>72</v>
      </c>
      <c r="V49" s="1016">
        <v>91.666666666666671</v>
      </c>
      <c r="W49" s="455">
        <v>108</v>
      </c>
      <c r="X49" s="1016">
        <v>92.666666666666671</v>
      </c>
      <c r="Y49" s="455">
        <v>72</v>
      </c>
      <c r="Z49" s="1017">
        <v>72</v>
      </c>
      <c r="AA49" s="1647">
        <v>72</v>
      </c>
      <c r="AB49" s="455">
        <f>3*'What If Data'!B33</f>
        <v>0</v>
      </c>
      <c r="AD49" s="481" t="s">
        <v>324</v>
      </c>
      <c r="AE49" s="454"/>
      <c r="AF49" s="454"/>
      <c r="AG49" s="454"/>
      <c r="AH49" s="454"/>
      <c r="AI49" s="454"/>
      <c r="AJ49" s="454"/>
      <c r="AK49" s="454"/>
      <c r="AL49" s="454"/>
    </row>
    <row r="50" spans="1:65" s="10" customFormat="1">
      <c r="A50" s="481" t="s">
        <v>7</v>
      </c>
      <c r="B50" s="455">
        <f t="shared" si="8"/>
        <v>74537.534999999989</v>
      </c>
      <c r="C50" s="455">
        <f t="shared" si="9"/>
        <v>12779.621999999999</v>
      </c>
      <c r="D50" s="455">
        <f t="shared" si="10"/>
        <v>6165.4409999999998</v>
      </c>
      <c r="E50" s="46"/>
      <c r="F50" s="481" t="s">
        <v>7</v>
      </c>
      <c r="G50" s="455">
        <f t="shared" si="11"/>
        <v>76773.794999999998</v>
      </c>
      <c r="H50" s="455">
        <f t="shared" si="12"/>
        <v>12560.966999999999</v>
      </c>
      <c r="I50" s="455">
        <f t="shared" si="13"/>
        <v>6351.9</v>
      </c>
      <c r="J50"/>
      <c r="K50" s="455">
        <f>IF(K$9="no",K73*N$3,K73*N50)</f>
        <v>77970.844953051288</v>
      </c>
      <c r="L50" s="455">
        <f>IF(K$9="no",L73*N$4,L73*O50)</f>
        <v>13133.537999999999</v>
      </c>
      <c r="M50" s="455">
        <f>IF(K$9="no",M73*N$5,M73*P50)</f>
        <v>6298.6260000000002</v>
      </c>
      <c r="N50" s="1076"/>
      <c r="O50" s="1076"/>
      <c r="P50" s="1077"/>
      <c r="Q50"/>
      <c r="R50" s="481" t="s">
        <v>7</v>
      </c>
      <c r="S50" s="455">
        <v>30320</v>
      </c>
      <c r="T50" s="455">
        <v>31938</v>
      </c>
      <c r="U50" s="455">
        <v>32605</v>
      </c>
      <c r="V50" s="1016">
        <v>33642.090636079411</v>
      </c>
      <c r="W50" s="455">
        <v>33456</v>
      </c>
      <c r="X50" s="1016">
        <v>33691.980177508711</v>
      </c>
      <c r="Y50" s="455">
        <v>34155</v>
      </c>
      <c r="Z50" s="1016">
        <v>33089.115291497154</v>
      </c>
      <c r="AA50" s="1647">
        <v>33824</v>
      </c>
      <c r="AB50" s="455">
        <f>3*'What If Data'!B34</f>
        <v>0</v>
      </c>
      <c r="AC50"/>
      <c r="AD50" s="481" t="s">
        <v>7</v>
      </c>
      <c r="AE50" s="455"/>
      <c r="AF50" s="455"/>
      <c r="AG50" s="455"/>
      <c r="AH50" s="455"/>
      <c r="AI50" s="455"/>
      <c r="AJ50" s="455"/>
      <c r="AK50" s="455"/>
      <c r="AL50" s="455"/>
      <c r="AM50"/>
      <c r="AN50"/>
      <c r="AO50"/>
      <c r="AP50"/>
      <c r="AQ50"/>
      <c r="AR50"/>
      <c r="AS50"/>
      <c r="AT50"/>
      <c r="AU50"/>
      <c r="AV50"/>
      <c r="AW50"/>
      <c r="AX50"/>
      <c r="AY50"/>
      <c r="AZ50"/>
      <c r="BA50"/>
      <c r="BB50"/>
      <c r="BC50"/>
      <c r="BD50"/>
      <c r="BE50"/>
      <c r="BF50"/>
      <c r="BG50"/>
      <c r="BH50"/>
      <c r="BI50"/>
      <c r="BJ50"/>
      <c r="BK50"/>
      <c r="BL50"/>
      <c r="BM50"/>
    </row>
    <row r="51" spans="1:65" ht="16.5" thickBot="1">
      <c r="A51" s="481" t="s">
        <v>9</v>
      </c>
      <c r="B51" s="455">
        <f t="shared" si="8"/>
        <v>59671.199999999997</v>
      </c>
      <c r="C51" s="455">
        <f t="shared" si="9"/>
        <v>21587.858999999997</v>
      </c>
      <c r="D51" s="455">
        <f t="shared" si="10"/>
        <v>5679.8279999999995</v>
      </c>
      <c r="F51" s="481" t="s">
        <v>9</v>
      </c>
      <c r="G51" s="455">
        <f t="shared" si="11"/>
        <v>55716.149999999994</v>
      </c>
      <c r="H51" s="455">
        <f t="shared" si="12"/>
        <v>13088.789999999999</v>
      </c>
      <c r="I51" s="455">
        <f t="shared" si="13"/>
        <v>3608.2889999999998</v>
      </c>
      <c r="K51" s="455">
        <f>IF(K$9="no",K74*N$3,K74*N51)</f>
        <v>50977.249030908119</v>
      </c>
      <c r="L51" s="455">
        <f>IF(K$9="no",L74*N$4,L74*O51)</f>
        <v>10879.865999999998</v>
      </c>
      <c r="M51" s="455">
        <f>IF(K$9="no",M74*N$5,M74*P51)</f>
        <v>2632.9649999999997</v>
      </c>
      <c r="N51" s="1076"/>
      <c r="O51" s="1076"/>
      <c r="P51" s="1077"/>
      <c r="R51" s="481" t="s">
        <v>9</v>
      </c>
      <c r="S51" s="455">
        <v>19618</v>
      </c>
      <c r="T51" s="455">
        <v>16058</v>
      </c>
      <c r="U51" s="455">
        <v>15714</v>
      </c>
      <c r="V51" s="1016">
        <v>15263.574532985584</v>
      </c>
      <c r="W51" s="455">
        <v>15451</v>
      </c>
      <c r="X51" s="1016">
        <v>15404.803751153133</v>
      </c>
      <c r="Y51" s="455">
        <v>14469</v>
      </c>
      <c r="Z51" s="1016">
        <v>14077.686488471199</v>
      </c>
      <c r="AA51" s="1647">
        <v>13783</v>
      </c>
      <c r="AB51" s="455">
        <f>3*'What If Data'!B35</f>
        <v>0</v>
      </c>
      <c r="AD51" s="481" t="s">
        <v>9</v>
      </c>
      <c r="AE51" s="455"/>
      <c r="AF51" s="455"/>
      <c r="AG51" s="455"/>
      <c r="AH51" s="455"/>
      <c r="AI51" s="455"/>
      <c r="AJ51" s="455"/>
      <c r="AK51" s="455"/>
      <c r="AL51" s="455"/>
    </row>
    <row r="52" spans="1:65" ht="16.5" thickBot="1">
      <c r="A52" s="483" t="s">
        <v>5</v>
      </c>
      <c r="B52" s="455">
        <f t="shared" si="8"/>
        <v>22696.064999999999</v>
      </c>
      <c r="C52" s="455">
        <f t="shared" si="9"/>
        <v>18516.518999999997</v>
      </c>
      <c r="D52" s="455">
        <f t="shared" si="10"/>
        <v>5823.2579999999998</v>
      </c>
      <c r="F52" s="483" t="s">
        <v>5</v>
      </c>
      <c r="G52" s="463">
        <f t="shared" si="11"/>
        <v>21711.18</v>
      </c>
      <c r="H52" s="463">
        <f t="shared" si="12"/>
        <v>16469.297999999999</v>
      </c>
      <c r="I52" s="463">
        <f t="shared" si="13"/>
        <v>5739.2489999999998</v>
      </c>
      <c r="K52" s="455">
        <f>IF(K$9="no",K75*N$3,K75*N52)</f>
        <v>20103.594724009876</v>
      </c>
      <c r="L52" s="455">
        <f>IF(K$9="no",L75*N$4,L75*O52)</f>
        <v>15092.279999999999</v>
      </c>
      <c r="M52" s="455">
        <f>IF(K$9="no",M75*N$5,M75*P52)</f>
        <v>6194.1269999999995</v>
      </c>
      <c r="N52" s="1076"/>
      <c r="O52" s="1076"/>
      <c r="P52" s="1077"/>
      <c r="R52" s="483" t="s">
        <v>5</v>
      </c>
      <c r="S52" s="463">
        <v>10065</v>
      </c>
      <c r="T52" s="463">
        <v>9295</v>
      </c>
      <c r="U52" s="463">
        <v>9908</v>
      </c>
      <c r="V52" s="1019">
        <v>9756</v>
      </c>
      <c r="W52" s="463">
        <v>9934</v>
      </c>
      <c r="X52" s="1022">
        <v>8598.5</v>
      </c>
      <c r="Y52" s="463">
        <v>7160</v>
      </c>
      <c r="Z52" s="1019">
        <v>7685.8159407866206</v>
      </c>
      <c r="AA52" s="1650">
        <v>6774</v>
      </c>
      <c r="AB52" s="455">
        <f>3*'What If Data'!B36</f>
        <v>0</v>
      </c>
      <c r="AD52" s="483" t="s">
        <v>5</v>
      </c>
      <c r="AE52" s="463"/>
      <c r="AF52" s="463"/>
      <c r="AG52" s="463"/>
      <c r="AH52" s="463"/>
      <c r="AI52" s="463"/>
      <c r="AJ52" s="463"/>
      <c r="AK52" s="463"/>
      <c r="AL52" s="463"/>
    </row>
    <row r="53" spans="1:65">
      <c r="A53" s="1330" t="s">
        <v>560</v>
      </c>
      <c r="B53" s="1331">
        <f>IF(D13="no",(T16+U16+W16)*$N3*N53,(T16+U16+W16)*$N3*B91)</f>
        <v>22998.09546</v>
      </c>
      <c r="C53" s="1332">
        <f>IF(F$9="no",C76*I$4,C76*J53)</f>
        <v>0</v>
      </c>
      <c r="D53" s="1332">
        <f>IF(F$9="no",D76*I$5,D76*K53)</f>
        <v>0</v>
      </c>
      <c r="F53" s="1330" t="s">
        <v>560</v>
      </c>
      <c r="G53" s="1331">
        <f>IF(D13="no",(Y16+U16+W16)*$N3*N53,(Y16+U16+W16)*$N3*C91)</f>
        <v>23521.515660000001</v>
      </c>
      <c r="H53" s="1332">
        <f t="shared" si="12"/>
        <v>0</v>
      </c>
      <c r="I53" s="1332">
        <f t="shared" si="13"/>
        <v>0</v>
      </c>
      <c r="K53" s="455">
        <f>IF($D13="no",(W16+Y16+AA16)*$N3*N53,(W16+Y16+AA16)*$N3*D91)</f>
        <v>21700.192574999997</v>
      </c>
      <c r="L53" s="1078"/>
      <c r="M53" s="1078"/>
      <c r="N53" s="1079">
        <f>IF(D85="yes",D93,1)</f>
        <v>0</v>
      </c>
      <c r="O53" s="482"/>
      <c r="R53" s="461"/>
      <c r="S53" s="454"/>
      <c r="T53" s="454"/>
      <c r="U53" s="454"/>
      <c r="V53" s="1017"/>
      <c r="W53" s="454"/>
      <c r="X53" s="1017"/>
      <c r="Y53" s="454"/>
      <c r="Z53" s="1017"/>
      <c r="AA53" s="1648"/>
      <c r="AB53" s="454"/>
    </row>
    <row r="54" spans="1:65">
      <c r="A54" s="481" t="s">
        <v>541</v>
      </c>
      <c r="B54" s="455">
        <f>IF(K$9="no",B77*N$3,B77*N54)</f>
        <v>2479.4849999999997</v>
      </c>
      <c r="C54" s="455">
        <f>IF(K$9="no",C77*N$4,C77*J54)</f>
        <v>2614.7069999999999</v>
      </c>
      <c r="D54" s="455">
        <f>IF(K$9="no",D77*N$5,D77*K54)</f>
        <v>0</v>
      </c>
      <c r="F54" s="481" t="s">
        <v>541</v>
      </c>
      <c r="G54" s="454">
        <f t="shared" si="11"/>
        <v>2300.415</v>
      </c>
      <c r="H54" s="454">
        <f t="shared" si="12"/>
        <v>2581.1459999999997</v>
      </c>
      <c r="I54" s="454">
        <f t="shared" si="13"/>
        <v>0</v>
      </c>
      <c r="K54" s="455">
        <f>IF(K$9="no",K77*N$3,K77*N54)</f>
        <v>2293.3649999999998</v>
      </c>
      <c r="L54" s="455">
        <f>IF(K$9="no",L77*N$4,L77*O54)</f>
        <v>2926.9259999999999</v>
      </c>
      <c r="M54" s="455">
        <f>IF(K$9="no",M77*N$5,M77*P54)</f>
        <v>0</v>
      </c>
      <c r="N54" s="1076"/>
      <c r="O54" s="1076"/>
      <c r="P54" s="1077"/>
      <c r="R54" s="481" t="s">
        <v>541</v>
      </c>
      <c r="S54" s="454">
        <v>1065</v>
      </c>
      <c r="T54" s="454">
        <v>1346</v>
      </c>
      <c r="U54" s="454">
        <v>1152</v>
      </c>
      <c r="V54" s="1016">
        <v>975.4634547707559</v>
      </c>
      <c r="W54" s="455">
        <v>1019</v>
      </c>
      <c r="X54" s="1016">
        <v>1041.9528398085379</v>
      </c>
      <c r="Y54" s="455">
        <v>1092</v>
      </c>
      <c r="Z54" s="1037">
        <v>1128.2361453122944</v>
      </c>
      <c r="AA54" s="1647">
        <v>1142</v>
      </c>
      <c r="AB54" s="455"/>
    </row>
    <row r="55" spans="1:65">
      <c r="A55" s="481" t="s">
        <v>563</v>
      </c>
      <c r="B55" s="455">
        <f>IF(K$9="no",B78*N$3,B78*N55)</f>
        <v>150.87</v>
      </c>
      <c r="C55" s="455">
        <f>IF(K$9="no",C78*N$4,C78*J55)</f>
        <v>696.64499999999998</v>
      </c>
      <c r="D55" s="455">
        <f>IF(K$9="no",D78*N$5,D78*K55)</f>
        <v>92.204999999999998</v>
      </c>
      <c r="F55" s="481" t="s">
        <v>563</v>
      </c>
      <c r="G55" s="454">
        <f t="shared" si="11"/>
        <v>178.36499999999998</v>
      </c>
      <c r="H55" s="454">
        <f t="shared" si="12"/>
        <v>383.40899999999999</v>
      </c>
      <c r="I55" s="454">
        <f t="shared" si="13"/>
        <v>6.1470000000000002</v>
      </c>
      <c r="K55" s="455">
        <f>IF(K$9="no",K78*N$3,K78*N55)</f>
        <v>201.63</v>
      </c>
      <c r="L55" s="455">
        <f>IF(K$9="no",L78*N$4,L78*O55)</f>
        <v>433.25103884228724</v>
      </c>
      <c r="M55" s="455">
        <f>IF(K$9="no",M78*N$5,M78*P55)</f>
        <v>0</v>
      </c>
      <c r="N55" s="1076"/>
      <c r="O55" s="1076"/>
      <c r="P55" s="1077"/>
      <c r="R55" s="481" t="s">
        <v>563</v>
      </c>
      <c r="S55" s="454">
        <v>314</v>
      </c>
      <c r="T55" s="454">
        <v>66</v>
      </c>
      <c r="U55" s="454">
        <v>72</v>
      </c>
      <c r="V55" s="1016">
        <v>150.66666666666666</v>
      </c>
      <c r="W55" s="455">
        <v>76</v>
      </c>
      <c r="X55" s="1016">
        <v>71.333333333333329</v>
      </c>
      <c r="Y55" s="455">
        <v>105</v>
      </c>
      <c r="Z55" s="1037">
        <v>105</v>
      </c>
      <c r="AA55" s="1647">
        <v>101</v>
      </c>
      <c r="AB55" s="455"/>
    </row>
    <row r="56" spans="1:65">
      <c r="A56" s="461" t="s">
        <v>543</v>
      </c>
      <c r="B56" s="455">
        <f>IF(K$9="no",B79*N$3,B79*N56)</f>
        <v>7368.66</v>
      </c>
      <c r="C56" s="455">
        <f>IF(K$9="no",C79*N$4,C79*J56)</f>
        <v>5765.3729999999996</v>
      </c>
      <c r="D56" s="455">
        <f>IF(K$9="no",D79*N$5,D79*K56)</f>
        <v>143.43</v>
      </c>
      <c r="F56" s="461" t="s">
        <v>543</v>
      </c>
      <c r="G56" s="536">
        <f t="shared" si="11"/>
        <v>7878.375</v>
      </c>
      <c r="H56" s="472">
        <f t="shared" si="12"/>
        <v>6096.9149999999991</v>
      </c>
      <c r="I56" s="472">
        <f t="shared" si="13"/>
        <v>61.47</v>
      </c>
      <c r="K56" s="455">
        <f>(IF(K$9="no",K79*N$3,K79*N56))</f>
        <v>8996.4544393573124</v>
      </c>
      <c r="L56" s="455">
        <f>(IF(K$9="no",L79*N$4,L79*O56))</f>
        <v>5947.8556027542136</v>
      </c>
      <c r="M56" s="455">
        <f>(IF(K$9="no",M79*N$5,M79*P56))</f>
        <v>49.176000000000002</v>
      </c>
      <c r="N56" s="1076"/>
      <c r="O56" s="1076"/>
      <c r="P56" s="1077"/>
      <c r="R56" s="483" t="s">
        <v>543</v>
      </c>
      <c r="S56" s="464">
        <v>3199</v>
      </c>
      <c r="T56" s="464">
        <v>3453</v>
      </c>
      <c r="U56" s="464">
        <v>3509</v>
      </c>
      <c r="V56" s="1019">
        <v>3832.1256966089832</v>
      </c>
      <c r="W56" s="463">
        <v>3490</v>
      </c>
      <c r="X56" s="1019">
        <v>4756.9276084202056</v>
      </c>
      <c r="Y56" s="463">
        <v>4176</v>
      </c>
      <c r="Z56" s="1038">
        <v>5094.9282827763309</v>
      </c>
      <c r="AA56" s="1650">
        <v>5150</v>
      </c>
      <c r="AB56" s="455">
        <f>3*'What If Data'!B40</f>
        <v>0</v>
      </c>
    </row>
    <row r="57" spans="1:65">
      <c r="A57" s="481" t="s">
        <v>562</v>
      </c>
      <c r="B57" s="455">
        <f>IF(K$9="no",B80*N$3,B80*N57)</f>
        <v>22226.535</v>
      </c>
      <c r="C57" s="455">
        <f>IF(K$9="no",C80*N$4,C80*J57)</f>
        <v>81.359999999999985</v>
      </c>
      <c r="D57" s="455">
        <f>IF(K$9="no",D80*N$5,D80*K57)</f>
        <v>0</v>
      </c>
      <c r="F57" s="481" t="s">
        <v>562</v>
      </c>
      <c r="G57" s="454">
        <f t="shared" si="11"/>
        <v>20949.78</v>
      </c>
      <c r="H57" s="454">
        <f t="shared" si="12"/>
        <v>218.65499999999997</v>
      </c>
      <c r="I57" s="454">
        <f t="shared" si="13"/>
        <v>0</v>
      </c>
      <c r="K57" s="455">
        <f>IF(K$9="no",K80*N$3,K80*N57)</f>
        <v>20050.224513015703</v>
      </c>
      <c r="L57" s="455">
        <f>IF(K$9="no",L80*N$4,L80*O57)</f>
        <v>355.95</v>
      </c>
      <c r="M57" s="455">
        <f>IF(K$9="no",M80*N$5,M80*P57)</f>
        <v>0</v>
      </c>
      <c r="N57" s="1076"/>
      <c r="O57" s="1076"/>
      <c r="P57" s="1077"/>
      <c r="R57" s="481" t="s">
        <v>562</v>
      </c>
      <c r="S57" s="454">
        <v>10095</v>
      </c>
      <c r="T57" s="454">
        <v>11687</v>
      </c>
      <c r="U57" s="454">
        <v>10638</v>
      </c>
      <c r="V57" s="1016">
        <v>8750.4829734998057</v>
      </c>
      <c r="W57" s="455">
        <v>9202</v>
      </c>
      <c r="X57" s="1016">
        <v>9923.5703395533183</v>
      </c>
      <c r="Y57" s="455">
        <v>9876</v>
      </c>
      <c r="Z57" s="1037">
        <v>9362.0347702350409</v>
      </c>
      <c r="AA57" s="1647">
        <v>9293</v>
      </c>
      <c r="AB57" s="455"/>
    </row>
    <row r="58" spans="1:65">
      <c r="A58" s="487" t="s">
        <v>545</v>
      </c>
      <c r="B58" s="455">
        <f>IF(K$9="no",B81*N$3,B81*N58)</f>
        <v>636.61500000000001</v>
      </c>
      <c r="C58" s="455">
        <f>IF(K$9="no",C81*N$4,C81*J58)</f>
        <v>3428.3069999999998</v>
      </c>
      <c r="D58" s="455">
        <f>IF(K$9="no",D81*N$5,D81*K58)</f>
        <v>0</v>
      </c>
      <c r="F58" s="487" t="s">
        <v>545</v>
      </c>
      <c r="G58" s="454">
        <f t="shared" si="11"/>
        <v>219.255</v>
      </c>
      <c r="H58" s="454">
        <f t="shared" si="12"/>
        <v>1777.7159999999999</v>
      </c>
      <c r="I58" s="454">
        <f t="shared" si="13"/>
        <v>0</v>
      </c>
      <c r="K58" s="455">
        <f>IF(K$9="no",K81*N$3,K81*N58)</f>
        <v>229.125</v>
      </c>
      <c r="L58" s="455">
        <f>IF(K$9="no",L81*N$4,L81*O58)</f>
        <v>2072.3931833343127</v>
      </c>
      <c r="M58" s="455">
        <f>IF(K$9="no",M81*N$5,M81*P58)</f>
        <v>0</v>
      </c>
      <c r="N58" s="1076"/>
      <c r="O58" s="1076"/>
      <c r="P58" s="1077"/>
      <c r="R58" s="487" t="s">
        <v>545</v>
      </c>
      <c r="S58" s="454">
        <v>1137</v>
      </c>
      <c r="T58" s="454">
        <v>716</v>
      </c>
      <c r="U58" s="454">
        <v>110</v>
      </c>
      <c r="V58" s="1016">
        <v>130</v>
      </c>
      <c r="W58" s="455">
        <v>77</v>
      </c>
      <c r="X58" s="1016">
        <v>77</v>
      </c>
      <c r="Y58" s="455">
        <v>124</v>
      </c>
      <c r="Z58" s="1017">
        <v>124</v>
      </c>
      <c r="AA58" s="1647">
        <v>8</v>
      </c>
      <c r="AB58" s="455"/>
    </row>
    <row r="59" spans="1:65">
      <c r="A59" s="466"/>
      <c r="B59" s="467">
        <f>SUM(B41:B58)</f>
        <v>874473.12545999989</v>
      </c>
      <c r="C59" s="467">
        <f>SUM(C41:C58)</f>
        <v>275587.67699999997</v>
      </c>
      <c r="D59" s="467">
        <f>SUM(D41:D58)</f>
        <v>88123.391999999993</v>
      </c>
      <c r="F59" s="466"/>
      <c r="G59" s="467">
        <f>SUM(G41:G58)</f>
        <v>861084.78066000016</v>
      </c>
      <c r="H59" s="467">
        <f>SUM(H41:H58)</f>
        <v>259386.867</v>
      </c>
      <c r="I59" s="467">
        <f>SUM(I41:I58)</f>
        <v>81773.540999999983</v>
      </c>
      <c r="K59" s="467">
        <f>SUM(K41:K58)</f>
        <v>838237.07840514556</v>
      </c>
      <c r="L59" s="467">
        <f>SUM(L41:L58)</f>
        <v>254738.35582493083</v>
      </c>
      <c r="M59" s="467">
        <f>SUM(M41:M58)</f>
        <v>78771.755999999994</v>
      </c>
      <c r="N59" s="458"/>
      <c r="O59" s="458"/>
      <c r="R59" s="466" t="s">
        <v>183</v>
      </c>
      <c r="S59" s="467">
        <v>302930</v>
      </c>
      <c r="T59" s="467">
        <v>313480</v>
      </c>
      <c r="U59" s="467">
        <v>317145</v>
      </c>
      <c r="V59" s="1021">
        <f>SUM(V41:V58)</f>
        <v>309543.85611091211</v>
      </c>
      <c r="W59" s="467">
        <v>306004</v>
      </c>
      <c r="X59" s="1021">
        <f>SUM(X41:X58)</f>
        <v>298921.49675370136</v>
      </c>
      <c r="Y59" s="467">
        <v>295131</v>
      </c>
      <c r="Z59" s="1021">
        <v>295037.50577576173</v>
      </c>
      <c r="AA59" s="1021">
        <f>SUM(AA41:AA58)</f>
        <v>291580</v>
      </c>
      <c r="AB59" s="467"/>
    </row>
    <row r="60" spans="1:65">
      <c r="B60" s="856">
        <f>B59/(B59+C59+D59)</f>
        <v>0.70625447277767694</v>
      </c>
      <c r="C60" s="856">
        <f>C59/(B59+C59+D59)</f>
        <v>0.22257405500171965</v>
      </c>
      <c r="D60" s="856">
        <f>D59/(B59+C59+D59)</f>
        <v>7.1171472220603327E-2</v>
      </c>
      <c r="G60" s="856">
        <f>G59/(G59+H59+I59)</f>
        <v>0.71623058988470478</v>
      </c>
      <c r="H60" s="856">
        <f>H59/(G59+H59+I59)</f>
        <v>0.21575205244872528</v>
      </c>
      <c r="I60" s="856">
        <f>I59/(G59+H59+I59)</f>
        <v>6.8017357666569855E-2</v>
      </c>
      <c r="K60" s="856">
        <f>K59/(K59+L59+M59)</f>
        <v>0.71537366199321117</v>
      </c>
      <c r="L60" s="856">
        <f>L59/(K59+L59+M59)</f>
        <v>0.21740044093889579</v>
      </c>
      <c r="M60" s="856">
        <f>M59/(K59+L59+M59)</f>
        <v>6.7225897067893031E-2</v>
      </c>
      <c r="N60"/>
      <c r="O60"/>
      <c r="R60" s="468"/>
      <c r="S60" s="455">
        <v>395340</v>
      </c>
      <c r="T60" s="455">
        <v>404650</v>
      </c>
      <c r="U60" s="455">
        <v>407970</v>
      </c>
      <c r="V60" s="1016"/>
      <c r="W60" s="455">
        <v>147817</v>
      </c>
      <c r="X60" s="1016"/>
      <c r="Y60" s="455"/>
      <c r="Z60" s="455">
        <v>295440.6698630749</v>
      </c>
      <c r="AA60" s="455"/>
      <c r="AB60" s="455"/>
    </row>
    <row r="61" spans="1:65">
      <c r="L61"/>
      <c r="M61"/>
      <c r="N61"/>
      <c r="O61"/>
      <c r="R61" s="454"/>
      <c r="S61" s="455">
        <v>395375</v>
      </c>
      <c r="T61" s="455">
        <v>404669</v>
      </c>
      <c r="U61" s="455">
        <v>408027</v>
      </c>
      <c r="V61" s="455"/>
      <c r="W61" s="455">
        <v>147829</v>
      </c>
      <c r="X61" s="455"/>
      <c r="Y61" s="455"/>
      <c r="Z61" s="455"/>
      <c r="AA61" s="455"/>
      <c r="AB61" s="455"/>
    </row>
    <row r="62" spans="1:65">
      <c r="A62" s="476" t="s">
        <v>557</v>
      </c>
      <c r="B62" s="476"/>
      <c r="C62" s="476"/>
      <c r="D62" s="476"/>
      <c r="F62" s="476" t="s">
        <v>557</v>
      </c>
      <c r="G62" s="476"/>
      <c r="H62" s="476"/>
      <c r="I62" s="476"/>
      <c r="J62" s="476"/>
      <c r="K62" s="476"/>
      <c r="L62" s="476"/>
      <c r="M62" s="476"/>
      <c r="N62" s="476"/>
      <c r="O62" s="476"/>
      <c r="R62" s="454"/>
      <c r="S62" s="454"/>
      <c r="T62" s="454"/>
      <c r="U62" s="454"/>
      <c r="V62" s="454"/>
      <c r="W62" s="454"/>
      <c r="X62" s="454"/>
      <c r="Y62" s="454"/>
      <c r="Z62" s="454"/>
      <c r="AA62" s="454"/>
      <c r="AB62" s="454"/>
    </row>
    <row r="63" spans="1:65" ht="25.5">
      <c r="A63" s="220"/>
      <c r="B63" s="477" t="s">
        <v>1367</v>
      </c>
      <c r="C63" s="477" t="s">
        <v>1368</v>
      </c>
      <c r="D63" s="477" t="s">
        <v>1758</v>
      </c>
      <c r="F63" s="220"/>
      <c r="G63" s="477" t="s">
        <v>1060</v>
      </c>
      <c r="H63" s="477" t="s">
        <v>1061</v>
      </c>
      <c r="I63" s="477" t="s">
        <v>1062</v>
      </c>
      <c r="J63" s="220"/>
      <c r="K63" s="477" t="s">
        <v>1363</v>
      </c>
      <c r="L63" s="477" t="s">
        <v>1366</v>
      </c>
      <c r="M63" s="477" t="s">
        <v>1365</v>
      </c>
      <c r="N63" s="477"/>
      <c r="O63" s="477"/>
      <c r="R63" s="1528" t="s">
        <v>547</v>
      </c>
      <c r="S63" s="1147"/>
      <c r="T63" s="1147"/>
      <c r="U63" s="1147"/>
      <c r="V63" s="1147"/>
      <c r="W63" s="1147"/>
      <c r="X63" s="1147"/>
      <c r="Y63" s="1147"/>
      <c r="Z63" s="1147"/>
      <c r="AA63" s="1147"/>
      <c r="AB63" s="1147"/>
      <c r="AD63" s="569" t="s">
        <v>604</v>
      </c>
      <c r="AE63" s="460"/>
      <c r="AF63" s="460"/>
      <c r="AG63" s="460"/>
      <c r="AH63" s="566"/>
      <c r="AI63" s="566"/>
      <c r="AJ63" s="566"/>
      <c r="AK63" s="566"/>
    </row>
    <row r="64" spans="1:65">
      <c r="A64" s="461" t="s">
        <v>538</v>
      </c>
      <c r="B64" s="455">
        <f>IF(K$7="no",T19+U19+W19+T41+U41+W41,0)</f>
        <v>49210</v>
      </c>
      <c r="C64" s="455">
        <f>IF(K$7="no",T85+U85+W85,0)</f>
        <v>23647</v>
      </c>
      <c r="D64" s="455">
        <f>IF(K$7="no",T134+U134+W134,0)</f>
        <v>4211</v>
      </c>
      <c r="F64" s="461" t="s">
        <v>538</v>
      </c>
      <c r="G64" s="455">
        <f>IF(K$7="no",U19+W19+Y19+U41+W41+Y41,0)</f>
        <v>51388</v>
      </c>
      <c r="H64" s="455">
        <f>IF(K$7="no",U85+W85+Y85,0)</f>
        <v>24622</v>
      </c>
      <c r="I64" s="455">
        <f>IF(K$7="no",U134+W134+Y134,0)</f>
        <v>3491</v>
      </c>
      <c r="K64" s="455">
        <f>IF(K$7="no",W19+Y19+Z19+W41+Y41+AA41+AB19+AB41,0)</f>
        <v>54088.534678067437</v>
      </c>
      <c r="L64" s="455">
        <f>IF(K$7="no",W85+Y85+AA85+AB85,0)</f>
        <v>24514</v>
      </c>
      <c r="M64" s="455">
        <f>IF(K$7="no",W134+Y134+AA134+AB134,0)</f>
        <v>3031</v>
      </c>
      <c r="N64" s="455"/>
      <c r="O64" s="1076"/>
      <c r="R64" s="461" t="s">
        <v>538</v>
      </c>
      <c r="S64" s="455">
        <v>17403</v>
      </c>
      <c r="T64" s="455">
        <v>19218</v>
      </c>
      <c r="U64" s="455">
        <v>18548</v>
      </c>
      <c r="V64" s="1016">
        <v>19562.171582015028</v>
      </c>
      <c r="W64" s="455">
        <v>18247</v>
      </c>
      <c r="X64" s="1016">
        <v>20066.226515046277</v>
      </c>
      <c r="Y64" s="455">
        <v>16844</v>
      </c>
      <c r="Z64" s="1016">
        <v>14507.233487586982</v>
      </c>
      <c r="AA64" s="1647">
        <v>14779</v>
      </c>
      <c r="AB64" s="455">
        <f>3*'What If Data'!E25</f>
        <v>0</v>
      </c>
      <c r="AD64" s="1149" t="s">
        <v>538</v>
      </c>
      <c r="AE64" s="1150">
        <v>5331</v>
      </c>
      <c r="AF64" s="1150">
        <v>6010</v>
      </c>
      <c r="AG64" s="1150">
        <v>7749</v>
      </c>
      <c r="AH64" s="1150">
        <v>9473.9818013255444</v>
      </c>
      <c r="AI64" s="1150"/>
      <c r="AJ64" s="1150"/>
      <c r="AK64" s="1150"/>
    </row>
    <row r="65" spans="1:37">
      <c r="A65" s="461" t="s">
        <v>6</v>
      </c>
      <c r="B65" s="455">
        <f t="shared" ref="B65:B75" si="15">IF(K$7="no",T20+U20+W20+T42+U42+W42,0)</f>
        <v>80763</v>
      </c>
      <c r="C65" s="455">
        <f t="shared" ref="C65:C75" si="16">IF(K$7="no",T86+U86+W86,0)</f>
        <v>29856</v>
      </c>
      <c r="D65" s="455">
        <f t="shared" ref="D65:D75" si="17">IF(K$7="no",T135+U135+W135,0)</f>
        <v>4001</v>
      </c>
      <c r="E65"/>
      <c r="F65" s="461" t="s">
        <v>6</v>
      </c>
      <c r="G65" s="455">
        <f t="shared" ref="G65:G75" si="18">IF(K$7="no",U20+W20+Y20+U42+W42+Y42,0)</f>
        <v>80533</v>
      </c>
      <c r="H65" s="455">
        <f t="shared" ref="H65:H75" si="19">IF(K$7="no",U86+W86+Y86,0)</f>
        <v>30108</v>
      </c>
      <c r="I65" s="455">
        <f t="shared" ref="I65:I75" si="20">IF(K$7="no",U135+W135+Y135,0)</f>
        <v>3342</v>
      </c>
      <c r="K65" s="455">
        <f t="shared" ref="K65:K74" si="21">IF(K$7="no",W20+Y20+Z20+W42+Y42+AA42+AB20+AB42,0)</f>
        <v>86452.648600046421</v>
      </c>
      <c r="L65" s="455">
        <f t="shared" ref="L65:L74" si="22">IF(K$7="no",W86+Y86+AA86+AB86,0)</f>
        <v>29786</v>
      </c>
      <c r="M65" s="455">
        <f t="shared" ref="M65:M75" si="23">IF(K$7="no",W135+Y135+AA135+AB135,0)</f>
        <v>2665</v>
      </c>
      <c r="N65" s="455"/>
      <c r="O65" s="1076"/>
      <c r="R65" s="461" t="s">
        <v>6</v>
      </c>
      <c r="S65" s="455">
        <v>39935</v>
      </c>
      <c r="T65" s="455">
        <v>40868</v>
      </c>
      <c r="U65" s="455">
        <v>38014</v>
      </c>
      <c r="V65" s="1016">
        <v>35990.111966232194</v>
      </c>
      <c r="W65" s="455">
        <v>36776</v>
      </c>
      <c r="X65" s="1016">
        <v>36864.049488457465</v>
      </c>
      <c r="Y65" s="455">
        <v>39992</v>
      </c>
      <c r="Z65" s="1016">
        <v>41900.983268854856</v>
      </c>
      <c r="AA65" s="1647">
        <v>41259</v>
      </c>
      <c r="AB65" s="455">
        <f>3*'What If Data'!E26</f>
        <v>0</v>
      </c>
      <c r="AD65" s="1149" t="s">
        <v>6</v>
      </c>
      <c r="AE65" s="1150">
        <v>3242</v>
      </c>
      <c r="AF65" s="1150">
        <v>3276</v>
      </c>
      <c r="AG65" s="1150">
        <v>3145</v>
      </c>
      <c r="AH65" s="1150">
        <v>3654.7791288254011</v>
      </c>
      <c r="AI65" s="1150"/>
      <c r="AJ65" s="1150"/>
      <c r="AK65" s="1150"/>
    </row>
    <row r="66" spans="1:37">
      <c r="A66" s="461" t="s">
        <v>8</v>
      </c>
      <c r="B66" s="455">
        <f t="shared" si="15"/>
        <v>9455</v>
      </c>
      <c r="C66" s="455">
        <f t="shared" si="16"/>
        <v>8838</v>
      </c>
      <c r="D66" s="455">
        <f t="shared" si="17"/>
        <v>1506</v>
      </c>
      <c r="E66"/>
      <c r="F66" s="461" t="s">
        <v>8</v>
      </c>
      <c r="G66" s="455">
        <f t="shared" si="18"/>
        <v>9349</v>
      </c>
      <c r="H66" s="455">
        <f t="shared" si="19"/>
        <v>9789</v>
      </c>
      <c r="I66" s="455">
        <f t="shared" si="20"/>
        <v>919</v>
      </c>
      <c r="K66" s="455">
        <f t="shared" si="21"/>
        <v>9108.3142857142848</v>
      </c>
      <c r="L66" s="455">
        <f t="shared" si="22"/>
        <v>11269</v>
      </c>
      <c r="M66" s="455">
        <f t="shared" si="23"/>
        <v>950</v>
      </c>
      <c r="N66" s="455"/>
      <c r="O66" s="1076"/>
      <c r="R66" s="461" t="s">
        <v>8</v>
      </c>
      <c r="S66" s="455">
        <v>227</v>
      </c>
      <c r="T66" s="455">
        <v>94</v>
      </c>
      <c r="U66" s="455">
        <v>141</v>
      </c>
      <c r="V66" s="1016">
        <v>154</v>
      </c>
      <c r="W66" s="455">
        <v>245</v>
      </c>
      <c r="X66" s="1016">
        <v>160</v>
      </c>
      <c r="Y66" s="455">
        <v>369</v>
      </c>
      <c r="Z66" s="1016">
        <v>538.16526019690582</v>
      </c>
      <c r="AA66" s="1647">
        <v>465</v>
      </c>
      <c r="AB66" s="455">
        <f>3*'What If Data'!E27</f>
        <v>0</v>
      </c>
      <c r="AD66" s="1149" t="s">
        <v>8</v>
      </c>
      <c r="AE66" s="1150">
        <v>3</v>
      </c>
      <c r="AF66" s="1150">
        <v>9</v>
      </c>
      <c r="AG66" s="1150">
        <v>0</v>
      </c>
      <c r="AH66" s="1150">
        <v>4</v>
      </c>
      <c r="AI66" s="1150"/>
      <c r="AJ66" s="1150"/>
      <c r="AK66" s="1150"/>
    </row>
    <row r="67" spans="1:37">
      <c r="A67" s="462" t="s">
        <v>2</v>
      </c>
      <c r="B67" s="455">
        <f t="shared" si="15"/>
        <v>11413</v>
      </c>
      <c r="C67" s="455">
        <f t="shared" si="16"/>
        <v>3621</v>
      </c>
      <c r="D67" s="455">
        <f t="shared" si="17"/>
        <v>2439</v>
      </c>
      <c r="E67"/>
      <c r="F67" s="462" t="s">
        <v>2</v>
      </c>
      <c r="G67" s="455">
        <f t="shared" si="18"/>
        <v>12074</v>
      </c>
      <c r="H67" s="455">
        <f t="shared" si="19"/>
        <v>3607</v>
      </c>
      <c r="I67" s="455">
        <f t="shared" si="20"/>
        <v>2222</v>
      </c>
      <c r="K67" s="455">
        <f t="shared" si="21"/>
        <v>11852.600789764678</v>
      </c>
      <c r="L67" s="455">
        <f t="shared" si="22"/>
        <v>3795</v>
      </c>
      <c r="M67" s="455">
        <f t="shared" si="23"/>
        <v>2098</v>
      </c>
      <c r="N67" s="463"/>
      <c r="O67" s="1076"/>
      <c r="R67" s="462" t="s">
        <v>2</v>
      </c>
      <c r="S67" s="463">
        <v>5328</v>
      </c>
      <c r="T67" s="463">
        <v>5857</v>
      </c>
      <c r="U67" s="463">
        <v>5271</v>
      </c>
      <c r="V67" s="1019">
        <v>3810.7121961561829</v>
      </c>
      <c r="W67" s="463">
        <v>4700</v>
      </c>
      <c r="X67" s="1019">
        <v>4995.6925975422027</v>
      </c>
      <c r="Y67" s="463">
        <v>5352</v>
      </c>
      <c r="Z67" s="1019">
        <v>5809.7690097476361</v>
      </c>
      <c r="AA67" s="1650">
        <v>5506</v>
      </c>
      <c r="AB67" s="455">
        <f>3*'What If Data'!E28</f>
        <v>0</v>
      </c>
      <c r="AD67" s="1149" t="s">
        <v>2</v>
      </c>
      <c r="AE67" s="1150">
        <v>330</v>
      </c>
      <c r="AF67" s="1150">
        <v>632</v>
      </c>
      <c r="AG67" s="1150">
        <v>612</v>
      </c>
      <c r="AH67" s="1150">
        <v>1203.112513018104</v>
      </c>
      <c r="AI67" s="1150"/>
      <c r="AJ67" s="1150"/>
      <c r="AK67" s="1150"/>
    </row>
    <row r="68" spans="1:37">
      <c r="A68" s="461" t="s">
        <v>10</v>
      </c>
      <c r="B68" s="455">
        <f t="shared" si="15"/>
        <v>2450</v>
      </c>
      <c r="C68" s="455">
        <f t="shared" si="16"/>
        <v>157</v>
      </c>
      <c r="D68" s="455">
        <f t="shared" si="17"/>
        <v>343</v>
      </c>
      <c r="E68"/>
      <c r="F68" s="461" t="s">
        <v>10</v>
      </c>
      <c r="G68" s="455">
        <f t="shared" si="18"/>
        <v>2323</v>
      </c>
      <c r="H68" s="455">
        <f t="shared" si="19"/>
        <v>132</v>
      </c>
      <c r="I68" s="455">
        <f t="shared" si="20"/>
        <v>321</v>
      </c>
      <c r="K68" s="455">
        <f t="shared" si="21"/>
        <v>2218</v>
      </c>
      <c r="L68" s="455">
        <f t="shared" si="22"/>
        <v>125</v>
      </c>
      <c r="M68" s="455">
        <f t="shared" si="23"/>
        <v>329</v>
      </c>
      <c r="N68" s="455"/>
      <c r="O68" s="1076"/>
      <c r="R68" s="461" t="s">
        <v>10</v>
      </c>
      <c r="S68" s="454">
        <v>0</v>
      </c>
      <c r="T68" s="454">
        <v>0</v>
      </c>
      <c r="U68" s="454">
        <v>0</v>
      </c>
      <c r="V68" s="1017">
        <v>0</v>
      </c>
      <c r="W68" s="454">
        <v>0</v>
      </c>
      <c r="X68" s="1017">
        <v>0</v>
      </c>
      <c r="Y68" s="454">
        <v>37</v>
      </c>
      <c r="Z68" s="1016">
        <v>0</v>
      </c>
      <c r="AA68" s="1648">
        <v>0</v>
      </c>
      <c r="AB68" s="455">
        <f>3*'What If Data'!E29</f>
        <v>0</v>
      </c>
      <c r="AD68" s="1149" t="s">
        <v>10</v>
      </c>
      <c r="AE68" s="1156">
        <v>0</v>
      </c>
      <c r="AF68" s="1156">
        <v>0</v>
      </c>
      <c r="AG68" s="1156">
        <v>0</v>
      </c>
      <c r="AH68" s="1156">
        <v>0</v>
      </c>
      <c r="AI68" s="1156"/>
      <c r="AJ68" s="1156"/>
      <c r="AK68" s="1156"/>
    </row>
    <row r="69" spans="1:37">
      <c r="A69" s="461" t="s">
        <v>4</v>
      </c>
      <c r="B69" s="455">
        <f t="shared" si="15"/>
        <v>423224</v>
      </c>
      <c r="C69" s="455">
        <f t="shared" si="16"/>
        <v>71115</v>
      </c>
      <c r="D69" s="455">
        <f t="shared" si="17"/>
        <v>10220</v>
      </c>
      <c r="E69"/>
      <c r="F69" s="461" t="s">
        <v>4</v>
      </c>
      <c r="G69" s="455">
        <f t="shared" si="18"/>
        <v>410344</v>
      </c>
      <c r="H69" s="455">
        <f t="shared" si="19"/>
        <v>65599</v>
      </c>
      <c r="I69" s="455">
        <f t="shared" si="20"/>
        <v>9894</v>
      </c>
      <c r="K69" s="455">
        <f t="shared" si="21"/>
        <v>393755.52690847672</v>
      </c>
      <c r="L69" s="455">
        <f t="shared" si="22"/>
        <v>65348</v>
      </c>
      <c r="M69" s="455">
        <f t="shared" si="23"/>
        <v>9939</v>
      </c>
      <c r="N69" s="455"/>
      <c r="O69" s="1076"/>
      <c r="R69" s="461" t="s">
        <v>4</v>
      </c>
      <c r="S69" s="455">
        <v>33970</v>
      </c>
      <c r="T69" s="455">
        <v>36004</v>
      </c>
      <c r="U69" s="455">
        <v>35327</v>
      </c>
      <c r="V69" s="1016">
        <v>36333.480107188807</v>
      </c>
      <c r="W69" s="455">
        <v>35964</v>
      </c>
      <c r="X69" s="1016">
        <v>36401.379723617691</v>
      </c>
      <c r="Y69" s="455">
        <v>36135</v>
      </c>
      <c r="Z69" s="1016">
        <v>36346.200574331138</v>
      </c>
      <c r="AA69" s="1647">
        <v>36092</v>
      </c>
      <c r="AB69" s="455">
        <f>3*'What If Data'!E30</f>
        <v>0</v>
      </c>
      <c r="AD69" s="1149" t="s">
        <v>4</v>
      </c>
      <c r="AE69" s="1150">
        <v>4136</v>
      </c>
      <c r="AF69" s="1150">
        <v>4791</v>
      </c>
      <c r="AG69" s="1150">
        <v>5478</v>
      </c>
      <c r="AH69" s="1150">
        <v>6049.3831788449843</v>
      </c>
      <c r="AI69" s="1150"/>
      <c r="AJ69" s="1150"/>
      <c r="AK69" s="1150"/>
    </row>
    <row r="70" spans="1:37">
      <c r="A70" s="461" t="s">
        <v>14</v>
      </c>
      <c r="B70" s="455">
        <f t="shared" si="15"/>
        <v>0</v>
      </c>
      <c r="C70" s="455">
        <f t="shared" si="16"/>
        <v>125</v>
      </c>
      <c r="D70" s="455">
        <f t="shared" si="17"/>
        <v>2596</v>
      </c>
      <c r="E70"/>
      <c r="F70" s="461" t="s">
        <v>14</v>
      </c>
      <c r="G70" s="455">
        <f t="shared" si="18"/>
        <v>0</v>
      </c>
      <c r="H70" s="455">
        <f t="shared" si="19"/>
        <v>87</v>
      </c>
      <c r="I70" s="455">
        <f t="shared" si="20"/>
        <v>2494</v>
      </c>
      <c r="K70" s="455">
        <f t="shared" si="21"/>
        <v>0</v>
      </c>
      <c r="L70" s="455">
        <f t="shared" si="22"/>
        <v>58</v>
      </c>
      <c r="M70" s="455">
        <f t="shared" si="23"/>
        <v>2558</v>
      </c>
      <c r="N70" s="455"/>
      <c r="O70" s="1076"/>
      <c r="R70" s="461" t="s">
        <v>14</v>
      </c>
      <c r="S70" s="454">
        <v>0</v>
      </c>
      <c r="T70" s="454">
        <v>0</v>
      </c>
      <c r="U70" s="454">
        <v>0</v>
      </c>
      <c r="V70" s="1017">
        <v>0</v>
      </c>
      <c r="W70" s="454">
        <v>0</v>
      </c>
      <c r="X70" s="1017">
        <v>0</v>
      </c>
      <c r="Y70" s="454">
        <v>0</v>
      </c>
      <c r="Z70" s="1016">
        <v>0</v>
      </c>
      <c r="AA70" s="1648">
        <v>0</v>
      </c>
      <c r="AB70" s="455">
        <f>3*'What If Data'!E31</f>
        <v>0</v>
      </c>
      <c r="AD70" s="1149" t="s">
        <v>14</v>
      </c>
      <c r="AE70" s="1156">
        <v>33</v>
      </c>
      <c r="AF70" s="1156">
        <v>70</v>
      </c>
      <c r="AG70" s="1156">
        <v>49</v>
      </c>
      <c r="AH70" s="1156">
        <v>50.666666666666664</v>
      </c>
      <c r="AI70" s="1156"/>
      <c r="AJ70" s="1156"/>
      <c r="AK70" s="1156"/>
    </row>
    <row r="71" spans="1:37">
      <c r="A71" s="462" t="s">
        <v>17</v>
      </c>
      <c r="B71" s="455">
        <f t="shared" si="15"/>
        <v>361800</v>
      </c>
      <c r="C71" s="455">
        <f t="shared" si="16"/>
        <v>69236</v>
      </c>
      <c r="D71" s="455">
        <f t="shared" si="17"/>
        <v>7873</v>
      </c>
      <c r="E71"/>
      <c r="F71" s="462" t="s">
        <v>17</v>
      </c>
      <c r="G71" s="455">
        <f t="shared" si="18"/>
        <v>358327</v>
      </c>
      <c r="H71" s="455">
        <f t="shared" si="19"/>
        <v>68819</v>
      </c>
      <c r="I71" s="455">
        <f t="shared" si="20"/>
        <v>7837</v>
      </c>
      <c r="K71" s="455">
        <f t="shared" si="21"/>
        <v>343994.92533339612</v>
      </c>
      <c r="L71" s="455">
        <f t="shared" si="22"/>
        <v>65593</v>
      </c>
      <c r="M71" s="455">
        <f t="shared" si="23"/>
        <v>7186</v>
      </c>
      <c r="N71" s="463"/>
      <c r="O71" s="1076"/>
      <c r="R71" s="462" t="s">
        <v>17</v>
      </c>
      <c r="S71" s="463">
        <v>40816</v>
      </c>
      <c r="T71" s="463">
        <v>39061</v>
      </c>
      <c r="U71" s="463">
        <v>40158</v>
      </c>
      <c r="V71" s="1019">
        <v>40113.126033273729</v>
      </c>
      <c r="W71" s="463">
        <v>38373</v>
      </c>
      <c r="X71" s="1019">
        <v>39406.527837184542</v>
      </c>
      <c r="Y71" s="463">
        <v>40014</v>
      </c>
      <c r="Z71" s="1019">
        <v>38663.265170959894</v>
      </c>
      <c r="AA71" s="1650">
        <v>38396</v>
      </c>
      <c r="AB71" s="455">
        <f>3*'What If Data'!E32</f>
        <v>0</v>
      </c>
      <c r="AD71" s="1149" t="s">
        <v>17</v>
      </c>
      <c r="AE71" s="1150">
        <v>14918</v>
      </c>
      <c r="AF71" s="1150">
        <v>16246</v>
      </c>
      <c r="AG71" s="1150">
        <v>17008</v>
      </c>
      <c r="AH71" s="1150">
        <v>17857.328348494684</v>
      </c>
      <c r="AI71" s="1150"/>
      <c r="AJ71" s="1150"/>
      <c r="AK71" s="1150"/>
    </row>
    <row r="72" spans="1:37">
      <c r="A72" s="461" t="s">
        <v>324</v>
      </c>
      <c r="B72" s="455">
        <f t="shared" si="15"/>
        <v>278</v>
      </c>
      <c r="C72" s="455">
        <f t="shared" si="16"/>
        <v>10</v>
      </c>
      <c r="D72" s="455">
        <f t="shared" si="17"/>
        <v>1081</v>
      </c>
      <c r="E72"/>
      <c r="F72" s="461" t="s">
        <v>324</v>
      </c>
      <c r="G72" s="455">
        <f t="shared" si="18"/>
        <v>252</v>
      </c>
      <c r="H72" s="455">
        <f t="shared" si="19"/>
        <v>0</v>
      </c>
      <c r="I72" s="455">
        <f t="shared" si="20"/>
        <v>1694</v>
      </c>
      <c r="K72" s="455">
        <f t="shared" si="21"/>
        <v>252</v>
      </c>
      <c r="L72" s="455">
        <f t="shared" si="22"/>
        <v>0</v>
      </c>
      <c r="M72" s="455">
        <f t="shared" si="23"/>
        <v>2282</v>
      </c>
      <c r="N72" s="455"/>
      <c r="O72" s="1076"/>
      <c r="R72" s="461" t="s">
        <v>324</v>
      </c>
      <c r="S72" s="454">
        <v>0</v>
      </c>
      <c r="T72" s="454">
        <v>0</v>
      </c>
      <c r="U72" s="454">
        <v>0</v>
      </c>
      <c r="V72" s="1017">
        <v>0</v>
      </c>
      <c r="W72" s="454">
        <v>0</v>
      </c>
      <c r="X72" s="1017">
        <v>0</v>
      </c>
      <c r="Y72" s="454">
        <v>0</v>
      </c>
      <c r="Z72" s="1016">
        <v>0</v>
      </c>
      <c r="AA72" s="1648">
        <v>0</v>
      </c>
      <c r="AB72" s="455">
        <f>3*'What If Data'!E33</f>
        <v>0</v>
      </c>
      <c r="AD72" s="1149" t="s">
        <v>324</v>
      </c>
      <c r="AE72" s="1156">
        <v>0</v>
      </c>
      <c r="AF72" s="1156">
        <v>0</v>
      </c>
      <c r="AG72" s="1156">
        <v>0</v>
      </c>
      <c r="AH72" s="1156">
        <v>0</v>
      </c>
      <c r="AI72" s="1156"/>
      <c r="AJ72" s="1156"/>
      <c r="AK72" s="1156"/>
    </row>
    <row r="73" spans="1:37">
      <c r="A73" s="461" t="s">
        <v>7</v>
      </c>
      <c r="B73" s="455">
        <f t="shared" si="15"/>
        <v>105727</v>
      </c>
      <c r="C73" s="455">
        <f t="shared" si="16"/>
        <v>12566</v>
      </c>
      <c r="D73" s="455">
        <f t="shared" si="17"/>
        <v>3009</v>
      </c>
      <c r="E73"/>
      <c r="F73" s="461" t="s">
        <v>7</v>
      </c>
      <c r="G73" s="455">
        <f t="shared" si="18"/>
        <v>108899</v>
      </c>
      <c r="H73" s="455">
        <f t="shared" si="19"/>
        <v>12351</v>
      </c>
      <c r="I73" s="455">
        <f t="shared" si="20"/>
        <v>3100</v>
      </c>
      <c r="K73" s="455">
        <f t="shared" si="21"/>
        <v>110596.94319581744</v>
      </c>
      <c r="L73" s="455">
        <f t="shared" si="22"/>
        <v>12914</v>
      </c>
      <c r="M73" s="455">
        <f>IF(K$7="no",W143+Y143+AA143+AB143,0)</f>
        <v>3074</v>
      </c>
      <c r="N73" s="455"/>
      <c r="O73" s="1076"/>
      <c r="R73" s="461" t="s">
        <v>7</v>
      </c>
      <c r="S73" s="455">
        <v>51009</v>
      </c>
      <c r="T73" s="455">
        <v>56576</v>
      </c>
      <c r="U73" s="455">
        <v>58986</v>
      </c>
      <c r="V73" s="1016">
        <v>62500.888078871525</v>
      </c>
      <c r="W73" s="455">
        <v>66785</v>
      </c>
      <c r="X73" s="1016">
        <v>71081.641620063718</v>
      </c>
      <c r="Y73" s="455">
        <v>74628</v>
      </c>
      <c r="Z73" s="1016">
        <v>76337.181215529505</v>
      </c>
      <c r="AA73" s="1647">
        <v>77414</v>
      </c>
      <c r="AB73" s="455">
        <f>3*'What If Data'!E34</f>
        <v>0</v>
      </c>
      <c r="AD73" s="1149" t="s">
        <v>7</v>
      </c>
      <c r="AE73" s="1150">
        <v>1017</v>
      </c>
      <c r="AF73" s="1150">
        <v>1829</v>
      </c>
      <c r="AG73" s="1150">
        <v>2376</v>
      </c>
      <c r="AH73" s="1150">
        <v>3062.8248775074621</v>
      </c>
      <c r="AI73" s="1150"/>
      <c r="AJ73" s="1150"/>
      <c r="AK73" s="1150"/>
    </row>
    <row r="74" spans="1:37">
      <c r="A74" s="461" t="s">
        <v>539</v>
      </c>
      <c r="B74" s="455">
        <f t="shared" si="15"/>
        <v>84640</v>
      </c>
      <c r="C74" s="455">
        <f t="shared" si="16"/>
        <v>21227</v>
      </c>
      <c r="D74" s="455">
        <f t="shared" si="17"/>
        <v>2772</v>
      </c>
      <c r="E74"/>
      <c r="F74" s="461" t="s">
        <v>539</v>
      </c>
      <c r="G74" s="455">
        <f t="shared" si="18"/>
        <v>79030</v>
      </c>
      <c r="H74" s="455">
        <f t="shared" si="19"/>
        <v>12870</v>
      </c>
      <c r="I74" s="455">
        <f t="shared" si="20"/>
        <v>1761</v>
      </c>
      <c r="K74" s="455">
        <f t="shared" si="21"/>
        <v>72308.154653770383</v>
      </c>
      <c r="L74" s="455">
        <f t="shared" si="22"/>
        <v>10698</v>
      </c>
      <c r="M74" s="455">
        <f t="shared" si="23"/>
        <v>1285</v>
      </c>
      <c r="N74" s="455"/>
      <c r="O74" s="1076"/>
      <c r="R74" s="461" t="s">
        <v>539</v>
      </c>
      <c r="S74" s="455">
        <v>15170</v>
      </c>
      <c r="T74" s="455">
        <v>24174</v>
      </c>
      <c r="U74" s="455">
        <v>31740</v>
      </c>
      <c r="V74" s="1016">
        <v>35472.265261317312</v>
      </c>
      <c r="W74" s="455">
        <v>32369</v>
      </c>
      <c r="X74" s="1016">
        <v>30991.696572212866</v>
      </c>
      <c r="Y74" s="455">
        <v>28905</v>
      </c>
      <c r="Z74" s="1016">
        <v>25507.489943894911</v>
      </c>
      <c r="AA74" s="1647">
        <v>25254</v>
      </c>
      <c r="AB74" s="455">
        <f>3*'What If Data'!E35</f>
        <v>0</v>
      </c>
      <c r="AD74" s="1149" t="s">
        <v>9</v>
      </c>
      <c r="AE74" s="1150">
        <v>2453</v>
      </c>
      <c r="AF74" s="1150">
        <v>3187</v>
      </c>
      <c r="AG74" s="1150">
        <v>4665</v>
      </c>
      <c r="AH74" s="1150">
        <v>6473.0914906455482</v>
      </c>
      <c r="AI74" s="1150"/>
      <c r="AJ74" s="1150"/>
      <c r="AK74" s="1150"/>
    </row>
    <row r="75" spans="1:37">
      <c r="A75" s="462" t="s">
        <v>540</v>
      </c>
      <c r="B75" s="455">
        <f t="shared" si="15"/>
        <v>32193</v>
      </c>
      <c r="C75" s="455">
        <f t="shared" si="16"/>
        <v>18207</v>
      </c>
      <c r="D75" s="455">
        <f t="shared" si="17"/>
        <v>2842</v>
      </c>
      <c r="E75"/>
      <c r="F75" s="462" t="s">
        <v>540</v>
      </c>
      <c r="G75" s="455">
        <f t="shared" si="18"/>
        <v>30796</v>
      </c>
      <c r="H75" s="455">
        <f t="shared" si="19"/>
        <v>16194</v>
      </c>
      <c r="I75" s="455">
        <f t="shared" si="20"/>
        <v>2801</v>
      </c>
      <c r="K75" s="455">
        <f>IF(K$7="no",W30+Y30+Z30+W52+Y52+AA52+AB30+AB52,0)</f>
        <v>28515.737197177132</v>
      </c>
      <c r="L75" s="455">
        <f>IF(K$7="no",W96+Y96+AA96+AB96,0)</f>
        <v>14840</v>
      </c>
      <c r="M75" s="455">
        <f t="shared" si="23"/>
        <v>3023</v>
      </c>
      <c r="N75" s="463"/>
      <c r="O75" s="1076"/>
      <c r="R75" s="462" t="s">
        <v>540</v>
      </c>
      <c r="S75" s="463">
        <v>4009</v>
      </c>
      <c r="T75" s="463">
        <v>3691</v>
      </c>
      <c r="U75" s="463">
        <v>2833</v>
      </c>
      <c r="V75" s="1019">
        <v>2571.9822138428108</v>
      </c>
      <c r="W75" s="463">
        <v>2891</v>
      </c>
      <c r="X75" s="1019">
        <v>2449.8586114414902</v>
      </c>
      <c r="Y75" s="463">
        <v>2690</v>
      </c>
      <c r="Z75" s="1019">
        <v>2830.860944897192</v>
      </c>
      <c r="AA75" s="1650">
        <v>3109</v>
      </c>
      <c r="AB75" s="455">
        <f>3*'What If Data'!E36</f>
        <v>0</v>
      </c>
      <c r="AD75" s="1149" t="s">
        <v>5</v>
      </c>
      <c r="AE75" s="1150">
        <v>1389</v>
      </c>
      <c r="AF75" s="1150">
        <v>1639</v>
      </c>
      <c r="AG75" s="1150">
        <v>1719</v>
      </c>
      <c r="AH75" s="1150">
        <v>2194.0716888817406</v>
      </c>
      <c r="AI75" s="1150"/>
      <c r="AJ75" s="1150"/>
      <c r="AK75" s="1150"/>
    </row>
    <row r="76" spans="1:37">
      <c r="A76" s="461"/>
      <c r="B76" s="455"/>
      <c r="C76" s="455"/>
      <c r="D76" s="455"/>
      <c r="E76"/>
      <c r="F76" s="461"/>
      <c r="G76" s="455">
        <f t="shared" ref="G76:G81" si="24">IF(K$7="no",U31+W31+Y31+U53+W53+Y53,0)</f>
        <v>0</v>
      </c>
      <c r="H76" s="455"/>
      <c r="I76" s="455"/>
      <c r="K76" s="455"/>
      <c r="L76" s="455"/>
      <c r="M76" s="455"/>
      <c r="N76" s="455"/>
      <c r="O76" s="482"/>
      <c r="R76" s="461"/>
      <c r="S76" s="454"/>
      <c r="T76" s="454"/>
      <c r="U76" s="454"/>
      <c r="V76" s="1017"/>
      <c r="W76" s="454"/>
      <c r="X76" s="1017"/>
      <c r="Y76" s="454"/>
      <c r="Z76" s="1017"/>
      <c r="AA76" s="1648"/>
      <c r="AB76" s="454"/>
      <c r="AD76" s="1149"/>
      <c r="AE76" s="1156"/>
      <c r="AF76" s="1156"/>
      <c r="AG76" s="1156"/>
      <c r="AH76" s="1156"/>
      <c r="AI76" s="1156"/>
      <c r="AJ76" s="1156"/>
      <c r="AK76" s="1156"/>
    </row>
    <row r="77" spans="1:37">
      <c r="A77" s="481" t="s">
        <v>541</v>
      </c>
      <c r="B77" s="455">
        <f>IF(K$7="no",T32+U32+W32+T54+U54+W54,0)</f>
        <v>3517</v>
      </c>
      <c r="C77" s="455">
        <f>IF(K$7="no",T98+U98+W98,0)</f>
        <v>2571</v>
      </c>
      <c r="D77" s="455">
        <f>IF(K$7="no",T147+U147+W147,0)</f>
        <v>0</v>
      </c>
      <c r="E77"/>
      <c r="F77" s="481" t="s">
        <v>541</v>
      </c>
      <c r="G77" s="455">
        <f t="shared" si="24"/>
        <v>3263</v>
      </c>
      <c r="H77" s="455">
        <f>IF(K$7="no",U98+W98+Y98,0)</f>
        <v>2538</v>
      </c>
      <c r="I77" s="455">
        <f>IF(K$7="no",U147+W147+Y147,0)</f>
        <v>0</v>
      </c>
      <c r="K77" s="455">
        <f>IF(K$7="no",W32+Y32+Z32+W54+Y54+AA54+AB32+AB54,0)</f>
        <v>3253</v>
      </c>
      <c r="L77" s="455">
        <f>IF(K$7="no",W98+Y98+AA98+AB98,0)</f>
        <v>2878</v>
      </c>
      <c r="M77" s="455">
        <f>IF(K$7="no",W147+Y147+AA147+AB147,0)</f>
        <v>0</v>
      </c>
      <c r="N77" s="455"/>
      <c r="O77" s="1076"/>
      <c r="R77" s="481" t="s">
        <v>541</v>
      </c>
      <c r="S77" s="454">
        <v>0</v>
      </c>
      <c r="T77" s="454">
        <v>0</v>
      </c>
      <c r="U77" s="454">
        <v>0</v>
      </c>
      <c r="V77" s="1017">
        <v>0</v>
      </c>
      <c r="W77" s="454">
        <v>0</v>
      </c>
      <c r="X77" s="1017">
        <v>0</v>
      </c>
      <c r="Y77" s="454"/>
      <c r="Z77" s="1017">
        <v>0</v>
      </c>
      <c r="AA77" s="1648"/>
      <c r="AB77" s="454"/>
      <c r="AD77" s="1149" t="s">
        <v>541</v>
      </c>
      <c r="AE77" s="1156"/>
      <c r="AF77" s="1156"/>
      <c r="AG77" s="1156"/>
      <c r="AH77" s="1156"/>
      <c r="AI77" s="1156"/>
      <c r="AJ77" s="1156"/>
      <c r="AK77" s="1156"/>
    </row>
    <row r="78" spans="1:37">
      <c r="A78" s="481" t="s">
        <v>563</v>
      </c>
      <c r="B78" s="455">
        <f>IF(K$7="no",T33+U33+W33+T55+U55+W55,0)</f>
        <v>214</v>
      </c>
      <c r="C78" s="455">
        <f>IF(K$7="no",T99+U99+W99,0)</f>
        <v>685</v>
      </c>
      <c r="D78" s="455">
        <f>IF(K$7="no",T148+U148+W148,0)</f>
        <v>45</v>
      </c>
      <c r="E78"/>
      <c r="F78" s="481" t="s">
        <v>563</v>
      </c>
      <c r="G78" s="455">
        <f t="shared" si="24"/>
        <v>253</v>
      </c>
      <c r="H78" s="455">
        <f>IF(K$7="no",U99+W99+Y99,0)</f>
        <v>377</v>
      </c>
      <c r="I78" s="455">
        <f>IF(K$7="no",U148+W148+Y148,0)</f>
        <v>3</v>
      </c>
      <c r="K78" s="455">
        <f>IF(K$7="no",W33+Y33+Z33+W55+Y55+Z55+AB33+AB55,0)</f>
        <v>286</v>
      </c>
      <c r="L78" s="455">
        <f>IF(K$7="no",W99+Y99+Z99+AB99,0)</f>
        <v>426.00888775052829</v>
      </c>
      <c r="M78" s="455">
        <f>IF(K$7="no",W148+Y148+Z148+AB148,0)</f>
        <v>0</v>
      </c>
      <c r="N78" s="455"/>
      <c r="O78" s="1076"/>
      <c r="R78" s="481" t="s">
        <v>563</v>
      </c>
      <c r="S78" s="454">
        <v>0</v>
      </c>
      <c r="T78" s="454">
        <v>0</v>
      </c>
      <c r="U78" s="454">
        <v>0</v>
      </c>
      <c r="V78" s="1017">
        <v>0</v>
      </c>
      <c r="W78" s="454">
        <v>0</v>
      </c>
      <c r="X78" s="1017">
        <v>0</v>
      </c>
      <c r="Y78" s="454"/>
      <c r="Z78" s="1017">
        <v>0</v>
      </c>
      <c r="AA78" s="1648"/>
      <c r="AB78" s="454"/>
      <c r="AD78" s="1149" t="s">
        <v>563</v>
      </c>
      <c r="AE78" s="1156">
        <v>70</v>
      </c>
      <c r="AF78" s="1156">
        <v>178</v>
      </c>
      <c r="AG78" s="1156">
        <v>39</v>
      </c>
      <c r="AH78" s="1156">
        <v>95.666666666666671</v>
      </c>
      <c r="AI78" s="1156"/>
      <c r="AJ78" s="1156"/>
      <c r="AK78" s="1156"/>
    </row>
    <row r="79" spans="1:37">
      <c r="A79" s="483" t="s">
        <v>543</v>
      </c>
      <c r="B79" s="455">
        <f>IF(K$7="no",T34+U34+W34+T56+U56+W56,0)</f>
        <v>10452</v>
      </c>
      <c r="C79" s="455">
        <f>IF(K$7="no",T100+U100+W100,0)</f>
        <v>5669</v>
      </c>
      <c r="D79" s="455">
        <f>IF(K$7="no",T149+U149+W149,0)</f>
        <v>70</v>
      </c>
      <c r="E79"/>
      <c r="F79" s="483" t="s">
        <v>543</v>
      </c>
      <c r="G79" s="455">
        <f t="shared" si="24"/>
        <v>11175</v>
      </c>
      <c r="H79" s="455">
        <f>IF(K$7="no",U100+W100+Y100,0)</f>
        <v>5995</v>
      </c>
      <c r="I79" s="455">
        <f>IF(K$7="no",U149+W149+Y149,0)</f>
        <v>30</v>
      </c>
      <c r="K79" s="455">
        <f>IF(K$7="no",W34+Y34+Z34+W56+Y56+Z56+AB34+AB56,0)</f>
        <v>12760.928282776331</v>
      </c>
      <c r="L79" s="455">
        <f>IF(K$7="no",W100+Y100+Z100+AB100,0)</f>
        <v>5848.4322544289225</v>
      </c>
      <c r="M79" s="455">
        <f>IF(K$7="no",W149+Y149+Z149+AB149,0)</f>
        <v>24</v>
      </c>
      <c r="N79" s="463"/>
      <c r="O79" s="1076"/>
      <c r="R79" s="483" t="s">
        <v>543</v>
      </c>
      <c r="S79" s="464">
        <v>0</v>
      </c>
      <c r="T79" s="464">
        <v>0</v>
      </c>
      <c r="U79" s="464">
        <v>0</v>
      </c>
      <c r="V79" s="1020">
        <v>0</v>
      </c>
      <c r="W79" s="464">
        <v>0</v>
      </c>
      <c r="X79" s="1020">
        <v>0</v>
      </c>
      <c r="Y79" s="464"/>
      <c r="Z79" s="1020">
        <v>0</v>
      </c>
      <c r="AA79" s="1651"/>
      <c r="AB79" s="455">
        <f>3*'What If Data'!E40</f>
        <v>0</v>
      </c>
      <c r="AD79" s="1155" t="s">
        <v>543</v>
      </c>
      <c r="AE79" s="1156"/>
      <c r="AF79" s="1156"/>
      <c r="AG79" s="1156"/>
      <c r="AH79" s="1156"/>
      <c r="AI79" s="1156"/>
      <c r="AJ79" s="1156"/>
      <c r="AK79" s="1156"/>
    </row>
    <row r="80" spans="1:37">
      <c r="A80" s="481" t="s">
        <v>562</v>
      </c>
      <c r="B80" s="455">
        <f>IF(K$7="no",T35+U35+W35+T57+U57+W57,0)</f>
        <v>31527</v>
      </c>
      <c r="C80" s="455">
        <f>IF(K$7="no",T101+U101+W101,0)</f>
        <v>80</v>
      </c>
      <c r="D80" s="455">
        <f>IF(K$7="no",T150+U150+W150,0)</f>
        <v>0</v>
      </c>
      <c r="E80"/>
      <c r="F80" s="481" t="s">
        <v>562</v>
      </c>
      <c r="G80" s="455">
        <f t="shared" si="24"/>
        <v>29716</v>
      </c>
      <c r="H80" s="455">
        <f>IF(K$7="no",U101+W101+Y101,0)</f>
        <v>215</v>
      </c>
      <c r="I80" s="455">
        <f>IF(K$7="no",U150+W150+Y150,0)</f>
        <v>0</v>
      </c>
      <c r="K80" s="455">
        <f>IF(K$7="no",W35+Y35+Z35+W57+Y57+Z57+AB35+AB57,0)</f>
        <v>28440.034770235041</v>
      </c>
      <c r="L80" s="455">
        <f>IF(K$7="no",W101+Y101+Z101+AB101,0)</f>
        <v>350</v>
      </c>
      <c r="M80" s="455">
        <f>IF(K$7="no",W150+Y150+Z150+AB150,0)</f>
        <v>0</v>
      </c>
      <c r="N80" s="455"/>
      <c r="O80" s="1076"/>
      <c r="R80" s="481" t="s">
        <v>562</v>
      </c>
      <c r="S80" s="454">
        <v>0</v>
      </c>
      <c r="T80" s="454">
        <v>0</v>
      </c>
      <c r="U80" s="454">
        <v>0</v>
      </c>
      <c r="V80" s="1017">
        <v>0</v>
      </c>
      <c r="W80" s="454">
        <v>0</v>
      </c>
      <c r="X80" s="1017">
        <v>0</v>
      </c>
      <c r="Y80" s="454"/>
      <c r="Z80" s="1017">
        <v>0</v>
      </c>
      <c r="AA80" s="1648"/>
      <c r="AB80" s="454"/>
      <c r="AD80" s="1149" t="s">
        <v>562</v>
      </c>
      <c r="AE80" s="1156"/>
      <c r="AF80" s="1156"/>
      <c r="AG80" s="1156"/>
      <c r="AH80" s="1156"/>
      <c r="AI80" s="1156"/>
      <c r="AJ80" s="1156"/>
      <c r="AK80" s="1156"/>
    </row>
    <row r="81" spans="1:39">
      <c r="A81" s="487" t="s">
        <v>545</v>
      </c>
      <c r="B81" s="455">
        <f>IF(K$7="no",T36+U36+W36+T58+U58+W58,0)</f>
        <v>903</v>
      </c>
      <c r="C81" s="455">
        <f>IF(K$7="no",T102+U102+W102,0)</f>
        <v>3371</v>
      </c>
      <c r="D81" s="455">
        <f>IF(K$7="no",T151+U151+W151,0)</f>
        <v>0</v>
      </c>
      <c r="E81"/>
      <c r="F81" s="487" t="s">
        <v>545</v>
      </c>
      <c r="G81" s="455">
        <f t="shared" si="24"/>
        <v>311</v>
      </c>
      <c r="H81" s="455">
        <f>IF(K$7="no",U102+W102+Y102,0)</f>
        <v>1748</v>
      </c>
      <c r="I81" s="455">
        <f>IF(K$7="no",U151+W151+Y151,0)</f>
        <v>0</v>
      </c>
      <c r="K81" s="455">
        <f>IF(K$7="no",W36+Y36+Z36+W58+Y58+Z58+AB36+AB58,0)</f>
        <v>325</v>
      </c>
      <c r="L81" s="455">
        <f>IF(K$7="no",W102+Y102+Z102+AB102,0)</f>
        <v>2037.7514093749387</v>
      </c>
      <c r="M81" s="455">
        <f>IF(K$7="no",W151+Y151+Z151+AB151,0)</f>
        <v>0</v>
      </c>
      <c r="N81" s="455"/>
      <c r="O81" s="1076"/>
      <c r="R81" s="487" t="s">
        <v>545</v>
      </c>
      <c r="S81" s="454">
        <v>0</v>
      </c>
      <c r="T81" s="454">
        <v>0</v>
      </c>
      <c r="U81" s="454">
        <v>0</v>
      </c>
      <c r="V81" s="1017">
        <v>0</v>
      </c>
      <c r="W81" s="454">
        <v>0</v>
      </c>
      <c r="X81" s="1017">
        <v>0</v>
      </c>
      <c r="Y81" s="454"/>
      <c r="Z81" s="1017">
        <v>0</v>
      </c>
      <c r="AA81" s="1648"/>
      <c r="AB81" s="454"/>
      <c r="AD81" s="1157" t="s">
        <v>545</v>
      </c>
      <c r="AE81" s="1156">
        <v>879</v>
      </c>
      <c r="AF81" s="1156">
        <v>1368</v>
      </c>
      <c r="AG81" s="1156">
        <v>3169</v>
      </c>
      <c r="AH81" s="1156">
        <v>4467.4991511364788</v>
      </c>
      <c r="AI81" s="1156"/>
      <c r="AJ81" s="1156"/>
      <c r="AK81" s="1156"/>
    </row>
    <row r="82" spans="1:39">
      <c r="A82" s="466"/>
      <c r="B82" s="467">
        <f>SUM(B64:B81)</f>
        <v>1207766</v>
      </c>
      <c r="C82" s="467">
        <f>SUM(C64:C81)</f>
        <v>270981</v>
      </c>
      <c r="D82" s="467">
        <f>SUM(D64:D81)</f>
        <v>43008</v>
      </c>
      <c r="E82"/>
      <c r="F82" s="466"/>
      <c r="G82" s="467">
        <f>SUM(G64:G81)</f>
        <v>1188033</v>
      </c>
      <c r="H82" s="467">
        <f>SUM(H64:H81)</f>
        <v>255051</v>
      </c>
      <c r="I82" s="467">
        <f>SUM(I64:I81)</f>
        <v>39909</v>
      </c>
      <c r="K82" s="467">
        <f>SUM(K64:K81)</f>
        <v>1158208.3486952418</v>
      </c>
      <c r="L82" s="467">
        <f>SUM(L64:L81)</f>
        <v>250480.19255155438</v>
      </c>
      <c r="M82" s="467">
        <f>SUM(M64:M81)</f>
        <v>38444</v>
      </c>
      <c r="N82" s="458"/>
      <c r="O82" s="458"/>
      <c r="R82" s="466" t="s">
        <v>183</v>
      </c>
      <c r="S82" s="467">
        <v>207867</v>
      </c>
      <c r="T82" s="467">
        <v>225543</v>
      </c>
      <c r="U82" s="467">
        <v>231018</v>
      </c>
      <c r="V82" s="1021">
        <f>SUM(V64:V81)</f>
        <v>236508.7374388976</v>
      </c>
      <c r="W82" s="467">
        <v>236350</v>
      </c>
      <c r="X82" s="1021">
        <f>SUM(X64:X81)</f>
        <v>242417.07296556627</v>
      </c>
      <c r="Y82" s="467">
        <v>244966</v>
      </c>
      <c r="Z82" s="1021">
        <v>243277.37210617555</v>
      </c>
      <c r="AA82" s="467">
        <f>SUM(AA64:AA75)</f>
        <v>242274</v>
      </c>
      <c r="AB82" s="467"/>
      <c r="AD82" s="1158"/>
      <c r="AE82" s="1159">
        <v>33801</v>
      </c>
      <c r="AF82" s="1159">
        <v>39235</v>
      </c>
      <c r="AG82" s="1159">
        <v>46009</v>
      </c>
      <c r="AH82" s="1159">
        <v>54586.405512013283</v>
      </c>
      <c r="AI82" s="1159"/>
      <c r="AJ82" s="1159"/>
      <c r="AK82" s="1159"/>
    </row>
    <row r="83" spans="1:39">
      <c r="B83" s="856">
        <f>B82/(B82+C82+D82)</f>
        <v>0.7936665231919724</v>
      </c>
      <c r="C83" s="856">
        <f>C82/(B82+C82+D82)</f>
        <v>0.17807137154141106</v>
      </c>
      <c r="D83" s="856">
        <f>D82/(B82+C82+D82)</f>
        <v>2.8262105266616506E-2</v>
      </c>
      <c r="E83"/>
      <c r="G83" s="856">
        <f>G82/(G82+H82+I82)</f>
        <v>0.80110492766992158</v>
      </c>
      <c r="H83" s="856">
        <f>H82/(G82+H82+I82)</f>
        <v>0.17198395407125994</v>
      </c>
      <c r="I83" s="856">
        <f>I82/(G82+H82+I82)</f>
        <v>2.6911118258818485E-2</v>
      </c>
      <c r="K83" s="856">
        <f>K82/(K82+L82+M82)</f>
        <v>0.80034711105132916</v>
      </c>
      <c r="L83" s="856">
        <f>L82/(K82+L82+M82)</f>
        <v>0.17308725041574274</v>
      </c>
      <c r="M83" s="856">
        <f>M82/(K82+L82+M82)</f>
        <v>2.6565638532928062E-2</v>
      </c>
      <c r="N83"/>
      <c r="O83"/>
      <c r="R83" s="454"/>
      <c r="S83" s="453" t="s">
        <v>532</v>
      </c>
      <c r="T83" s="453" t="s">
        <v>533</v>
      </c>
      <c r="U83" s="453" t="s">
        <v>534</v>
      </c>
      <c r="V83" s="453" t="s">
        <v>1039</v>
      </c>
      <c r="W83" s="453" t="s">
        <v>1040</v>
      </c>
      <c r="X83" s="453" t="s">
        <v>1041</v>
      </c>
      <c r="Y83" s="453" t="s">
        <v>1042</v>
      </c>
      <c r="Z83" s="453" t="s">
        <v>1610</v>
      </c>
      <c r="AA83" s="453" t="s">
        <v>1749</v>
      </c>
      <c r="AB83" s="453"/>
      <c r="AD83" s="570"/>
      <c r="AE83" s="453" t="s">
        <v>532</v>
      </c>
      <c r="AF83" s="453" t="s">
        <v>533</v>
      </c>
      <c r="AG83" s="453" t="s">
        <v>534</v>
      </c>
      <c r="AH83" s="453" t="s">
        <v>1039</v>
      </c>
      <c r="AI83" s="453" t="s">
        <v>1040</v>
      </c>
      <c r="AJ83" s="453" t="s">
        <v>1041</v>
      </c>
      <c r="AK83" s="453" t="s">
        <v>1042</v>
      </c>
      <c r="AL83" s="453" t="s">
        <v>1362</v>
      </c>
      <c r="AM83" s="453" t="s">
        <v>1749</v>
      </c>
    </row>
    <row r="84" spans="1:39">
      <c r="E84"/>
      <c r="F84" s="476" t="s">
        <v>1044</v>
      </c>
      <c r="G84" s="476"/>
      <c r="H84" s="476"/>
      <c r="I84" s="476"/>
      <c r="J84" s="476"/>
      <c r="K84" s="476"/>
      <c r="L84" s="476"/>
      <c r="M84" s="476"/>
      <c r="N84" s="476"/>
      <c r="O84" s="476"/>
      <c r="R84" s="1528" t="s">
        <v>548</v>
      </c>
      <c r="S84" s="1147"/>
      <c r="T84" s="1147"/>
      <c r="U84" s="1147"/>
      <c r="V84" s="1147"/>
      <c r="W84" s="1147"/>
      <c r="X84" s="1147"/>
      <c r="Y84" s="1147"/>
      <c r="Z84" s="1147"/>
      <c r="AA84" s="1147"/>
      <c r="AB84" s="1147"/>
      <c r="AD84" s="663" t="s">
        <v>832</v>
      </c>
      <c r="AE84" s="217"/>
      <c r="AF84" s="217"/>
      <c r="AG84" s="217"/>
      <c r="AH84" s="217"/>
      <c r="AI84" s="217"/>
      <c r="AJ84" s="217"/>
      <c r="AK84" s="217"/>
      <c r="AL84" s="217"/>
    </row>
    <row r="85" spans="1:39" ht="26.25" thickBot="1">
      <c r="B85" t="s">
        <v>1014</v>
      </c>
      <c r="D85" s="1337" t="str">
        <f>D13</f>
        <v>yes</v>
      </c>
      <c r="E85"/>
      <c r="F85" s="220"/>
      <c r="G85" s="477"/>
      <c r="H85" s="477"/>
      <c r="I85" s="477"/>
      <c r="J85" s="220"/>
      <c r="K85" s="477" t="s">
        <v>1363</v>
      </c>
      <c r="L85" s="477" t="s">
        <v>1366</v>
      </c>
      <c r="M85" s="477" t="s">
        <v>1365</v>
      </c>
      <c r="N85" s="477"/>
      <c r="O85" s="477"/>
      <c r="R85" s="461" t="s">
        <v>538</v>
      </c>
      <c r="S85" s="455">
        <f>4148+AE85</f>
        <v>6772</v>
      </c>
      <c r="T85" s="455">
        <f>4376+AF85</f>
        <v>7125</v>
      </c>
      <c r="U85" s="455">
        <f>5243+AG85</f>
        <v>7976</v>
      </c>
      <c r="V85" s="1016">
        <f>AH85+5862.99050296238</f>
        <v>8400.9905029623806</v>
      </c>
      <c r="W85" s="455">
        <f>AI85+6008</f>
        <v>8546</v>
      </c>
      <c r="X85" s="1016">
        <f>AJ85+6648.34936169462</f>
        <v>9110.3493616946198</v>
      </c>
      <c r="Y85" s="455">
        <f>AK85+5988</f>
        <v>8100</v>
      </c>
      <c r="Z85" s="1016">
        <f>AL85+5889.24785162992</f>
        <v>8214.2478516299198</v>
      </c>
      <c r="AA85" s="1647">
        <f>AM85+6305</f>
        <v>7868</v>
      </c>
      <c r="AB85" s="455">
        <f>3*'What If Data'!D25</f>
        <v>0</v>
      </c>
      <c r="AD85" s="481" t="s">
        <v>538</v>
      </c>
      <c r="AE85" s="664">
        <v>2624</v>
      </c>
      <c r="AF85" s="664">
        <v>2749</v>
      </c>
      <c r="AG85" s="664">
        <v>2733</v>
      </c>
      <c r="AH85" s="664">
        <v>2538</v>
      </c>
      <c r="AI85" s="664">
        <v>2538</v>
      </c>
      <c r="AJ85" s="1274">
        <v>2462</v>
      </c>
      <c r="AK85" s="664">
        <v>2112</v>
      </c>
      <c r="AL85" s="1274">
        <f>AVERAGE(AI85,AK85)</f>
        <v>2325</v>
      </c>
      <c r="AM85" s="1269">
        <v>1563</v>
      </c>
    </row>
    <row r="86" spans="1:39">
      <c r="A86" s="270"/>
      <c r="B86" s="399"/>
      <c r="C86" s="399"/>
      <c r="D86" s="1125"/>
      <c r="E86"/>
      <c r="F86" s="461" t="s">
        <v>538</v>
      </c>
      <c r="G86" s="455"/>
      <c r="H86" s="455"/>
      <c r="I86" s="455"/>
      <c r="K86" s="455">
        <f t="shared" ref="K86:M95" si="25">(K41/($K41+$L41+$M41))*$D19</f>
        <v>2379785.9011441106</v>
      </c>
      <c r="L86" s="455">
        <f t="shared" si="25"/>
        <v>1555889.2812476468</v>
      </c>
      <c r="M86" s="455">
        <f t="shared" si="25"/>
        <v>387589.00531082769</v>
      </c>
      <c r="N86" s="455"/>
      <c r="O86" s="1076"/>
      <c r="R86" s="461" t="s">
        <v>6</v>
      </c>
      <c r="S86" s="455">
        <v>12368</v>
      </c>
      <c r="T86" s="455">
        <v>9661</v>
      </c>
      <c r="U86" s="455">
        <v>10491</v>
      </c>
      <c r="V86" s="1016">
        <v>9253.2104597310026</v>
      </c>
      <c r="W86" s="455">
        <v>9704</v>
      </c>
      <c r="X86" s="1016">
        <v>9972.9871668452397</v>
      </c>
      <c r="Y86" s="455">
        <v>9913</v>
      </c>
      <c r="Z86" s="1016">
        <v>10074.02449785964</v>
      </c>
      <c r="AA86" s="1647">
        <v>10169</v>
      </c>
      <c r="AB86" s="455">
        <f>3*'What If Data'!D26</f>
        <v>0</v>
      </c>
      <c r="AD86" s="481" t="s">
        <v>6</v>
      </c>
      <c r="AE86" s="664"/>
      <c r="AF86" s="664"/>
      <c r="AG86" s="664"/>
      <c r="AH86" s="664"/>
      <c r="AI86" s="664"/>
      <c r="AJ86" s="1274"/>
      <c r="AK86" s="664"/>
      <c r="AL86" s="1274"/>
    </row>
    <row r="87" spans="1:39">
      <c r="A87" s="272" t="s">
        <v>926</v>
      </c>
      <c r="B87" s="1126">
        <f>B37/SUM(B59:D59)</f>
        <v>59.059833610383009</v>
      </c>
      <c r="C87" s="1126">
        <f>C37/SUM(G59:I59)</f>
        <v>60.825323481077575</v>
      </c>
      <c r="D87" s="1126">
        <f>D37/SUM(K59:M59)</f>
        <v>62.408472675283292</v>
      </c>
      <c r="E87"/>
      <c r="F87" s="461" t="s">
        <v>6</v>
      </c>
      <c r="G87" s="455"/>
      <c r="H87" s="455"/>
      <c r="I87" s="455"/>
      <c r="K87" s="455">
        <f t="shared" si="25"/>
        <v>3803741.3192926147</v>
      </c>
      <c r="L87" s="455">
        <f t="shared" si="25"/>
        <v>1890500.0461467898</v>
      </c>
      <c r="M87" s="455">
        <f t="shared" si="25"/>
        <v>340786.76976356184</v>
      </c>
      <c r="N87" s="455"/>
      <c r="O87" s="1076"/>
      <c r="R87" s="461" t="s">
        <v>8</v>
      </c>
      <c r="S87" s="455">
        <v>2892</v>
      </c>
      <c r="T87" s="455">
        <v>3338</v>
      </c>
      <c r="U87" s="455">
        <v>2512</v>
      </c>
      <c r="V87" s="1016">
        <v>3114.676095516757</v>
      </c>
      <c r="W87" s="455">
        <v>2988</v>
      </c>
      <c r="X87" s="1016">
        <v>4552.8258029139342</v>
      </c>
      <c r="Y87" s="455">
        <v>4289</v>
      </c>
      <c r="Z87" s="1016">
        <v>4378.4768250759116</v>
      </c>
      <c r="AA87" s="1647">
        <v>3992</v>
      </c>
      <c r="AB87" s="455">
        <f>3*'What If Data'!D27</f>
        <v>0</v>
      </c>
      <c r="AD87" s="481" t="s">
        <v>8</v>
      </c>
      <c r="AE87" s="664"/>
      <c r="AF87" s="664"/>
      <c r="AG87" s="664"/>
      <c r="AH87" s="664"/>
      <c r="AI87" s="664"/>
      <c r="AJ87" s="1274"/>
      <c r="AK87" s="664"/>
      <c r="AL87" s="1274"/>
    </row>
    <row r="88" spans="1:39">
      <c r="A88" s="272"/>
      <c r="B88" s="62"/>
      <c r="C88" s="62"/>
      <c r="D88" s="401"/>
      <c r="E88"/>
      <c r="F88" s="461" t="s">
        <v>8</v>
      </c>
      <c r="G88" s="455"/>
      <c r="H88" s="455"/>
      <c r="I88" s="455"/>
      <c r="K88" s="455">
        <f t="shared" si="25"/>
        <v>400747.36816861416</v>
      </c>
      <c r="L88" s="455">
        <f t="shared" si="25"/>
        <v>715236.85691358929</v>
      </c>
      <c r="M88" s="455">
        <f t="shared" si="25"/>
        <v>121481.21248607269</v>
      </c>
      <c r="N88" s="455"/>
      <c r="O88" s="1076"/>
      <c r="R88" s="462" t="s">
        <v>2</v>
      </c>
      <c r="S88" s="463">
        <f>1216+AE88</f>
        <v>1306</v>
      </c>
      <c r="T88" s="463">
        <f>1149+AF88</f>
        <v>1257</v>
      </c>
      <c r="U88" s="463">
        <f>1033+AG88</f>
        <v>1144</v>
      </c>
      <c r="V88" s="1019">
        <f>AH88+1134.33333333333</f>
        <v>1233.3333333333301</v>
      </c>
      <c r="W88" s="463">
        <f>AI88+1121</f>
        <v>1220</v>
      </c>
      <c r="X88" s="1019">
        <f>AJ88+1102.66666666667</f>
        <v>1208.6666666666699</v>
      </c>
      <c r="Y88" s="463">
        <f>AK88+1159</f>
        <v>1243</v>
      </c>
      <c r="Z88" s="1019">
        <f>1201.49664502057+AL88</f>
        <v>1292.99664502057</v>
      </c>
      <c r="AA88" s="1650">
        <v>1332</v>
      </c>
      <c r="AB88" s="455">
        <f>3*'What If Data'!D28</f>
        <v>0</v>
      </c>
      <c r="AD88" s="483" t="s">
        <v>2</v>
      </c>
      <c r="AE88" s="665">
        <v>90</v>
      </c>
      <c r="AF88" s="665">
        <v>108</v>
      </c>
      <c r="AG88" s="665">
        <v>111</v>
      </c>
      <c r="AH88" s="665">
        <v>99</v>
      </c>
      <c r="AI88" s="665">
        <v>99</v>
      </c>
      <c r="AJ88" s="1275">
        <v>106</v>
      </c>
      <c r="AK88" s="665">
        <v>84</v>
      </c>
      <c r="AL88" s="1274">
        <f>AVERAGE(AI88,AK88)</f>
        <v>91.5</v>
      </c>
      <c r="AM88" s="665">
        <v>0</v>
      </c>
    </row>
    <row r="89" spans="1:39">
      <c r="A89" s="272" t="s">
        <v>927</v>
      </c>
      <c r="B89" s="1529">
        <f>49*Y16</f>
        <v>787675</v>
      </c>
      <c r="C89" s="1529">
        <f>49*Z16</f>
        <v>705724.48822310707</v>
      </c>
      <c r="D89" s="1530">
        <f>49*AA16</f>
        <v>686392</v>
      </c>
      <c r="E89"/>
      <c r="F89" s="462" t="s">
        <v>2</v>
      </c>
      <c r="G89" s="463"/>
      <c r="H89" s="463"/>
      <c r="I89" s="463"/>
      <c r="K89" s="455">
        <f t="shared" si="25"/>
        <v>521490.4123259444</v>
      </c>
      <c r="L89" s="455">
        <f t="shared" si="25"/>
        <v>240866.43641734598</v>
      </c>
      <c r="M89" s="455">
        <f t="shared" si="25"/>
        <v>268281.66715345316</v>
      </c>
      <c r="N89" s="455"/>
      <c r="O89" s="1076"/>
      <c r="R89" s="461" t="s">
        <v>10</v>
      </c>
      <c r="S89" s="454">
        <v>41</v>
      </c>
      <c r="T89" s="454">
        <v>62</v>
      </c>
      <c r="U89" s="454">
        <v>42</v>
      </c>
      <c r="V89" s="1016">
        <v>49.333333333333336</v>
      </c>
      <c r="W89" s="455">
        <v>53</v>
      </c>
      <c r="X89" s="1016">
        <v>53.333333333333336</v>
      </c>
      <c r="Y89" s="455">
        <v>37</v>
      </c>
      <c r="Z89" s="1016">
        <v>50.098684210526322</v>
      </c>
      <c r="AA89" s="1647">
        <v>35</v>
      </c>
      <c r="AB89" s="455">
        <f>3*'What If Data'!D29</f>
        <v>0</v>
      </c>
      <c r="AD89" s="481" t="s">
        <v>10</v>
      </c>
      <c r="AE89" s="666"/>
      <c r="AF89" s="666"/>
      <c r="AG89" s="666"/>
      <c r="AH89" s="666"/>
      <c r="AI89" s="666"/>
      <c r="AJ89" s="1276"/>
      <c r="AK89" s="666"/>
      <c r="AL89" s="1276"/>
    </row>
    <row r="90" spans="1:39">
      <c r="A90" s="272" t="s">
        <v>928</v>
      </c>
      <c r="B90" s="1530">
        <f>B89/B87</f>
        <v>13336.898393522106</v>
      </c>
      <c r="C90" s="1530">
        <f>C89/C87</f>
        <v>11602.478175765955</v>
      </c>
      <c r="D90" s="1530">
        <f>D89/D87</f>
        <v>10998.378434469263</v>
      </c>
      <c r="E90"/>
      <c r="F90" s="461" t="s">
        <v>10</v>
      </c>
      <c r="G90" s="455"/>
      <c r="H90" s="455"/>
      <c r="I90" s="455"/>
      <c r="K90" s="455">
        <f t="shared" si="25"/>
        <v>97587.504637613718</v>
      </c>
      <c r="L90" s="455">
        <f t="shared" si="25"/>
        <v>7933.6770888453875</v>
      </c>
      <c r="M90" s="455">
        <f t="shared" si="25"/>
        <v>42070.862008334647</v>
      </c>
      <c r="N90" s="455"/>
      <c r="O90" s="1076"/>
      <c r="R90" s="461" t="s">
        <v>4</v>
      </c>
      <c r="S90" s="455">
        <f>30479+AE90</f>
        <v>27765</v>
      </c>
      <c r="T90" s="455">
        <f>30458+AF90</f>
        <v>27601</v>
      </c>
      <c r="U90" s="455">
        <f>24604+AG90</f>
        <v>21760</v>
      </c>
      <c r="V90" s="1016">
        <f>AH90+24266.0976944277</f>
        <v>21629.097694427699</v>
      </c>
      <c r="W90" s="455">
        <f>AI90+24391</f>
        <v>21754</v>
      </c>
      <c r="X90" s="1016">
        <f>AJ90+24279.3891725805</f>
        <v>21711.389172580501</v>
      </c>
      <c r="Y90" s="455">
        <f>AK90+24281</f>
        <v>22085</v>
      </c>
      <c r="Z90" s="1016">
        <f>23333.3331028256+AL90</f>
        <v>20916.8331028256</v>
      </c>
      <c r="AA90" s="1647">
        <f>AM90+23072</f>
        <v>21509</v>
      </c>
      <c r="AB90" s="455">
        <f>3*'What If Data'!D30</f>
        <v>0</v>
      </c>
      <c r="AD90" s="481" t="s">
        <v>4</v>
      </c>
      <c r="AE90" s="664">
        <f t="shared" ref="AE90:AJ90" si="26">-(AE85+AE88)</f>
        <v>-2714</v>
      </c>
      <c r="AF90" s="664">
        <f t="shared" si="26"/>
        <v>-2857</v>
      </c>
      <c r="AG90" s="664">
        <f t="shared" si="26"/>
        <v>-2844</v>
      </c>
      <c r="AH90" s="664">
        <f t="shared" si="26"/>
        <v>-2637</v>
      </c>
      <c r="AI90" s="664">
        <f t="shared" si="26"/>
        <v>-2637</v>
      </c>
      <c r="AJ90" s="1274">
        <f t="shared" si="26"/>
        <v>-2568</v>
      </c>
      <c r="AK90" s="664">
        <f>-(AK85+AK88)</f>
        <v>-2196</v>
      </c>
      <c r="AL90" s="1274">
        <f>-SUM(AL85:AL89)</f>
        <v>-2416.5</v>
      </c>
      <c r="AM90">
        <v>-1563</v>
      </c>
    </row>
    <row r="91" spans="1:39">
      <c r="A91" s="272" t="s">
        <v>929</v>
      </c>
      <c r="B91" s="1127">
        <v>0.622</v>
      </c>
      <c r="C91" s="1127">
        <v>0.65900000000000003</v>
      </c>
      <c r="D91" s="1127">
        <v>0.65500000000000003</v>
      </c>
      <c r="E91"/>
      <c r="F91" s="461" t="s">
        <v>4</v>
      </c>
      <c r="G91" s="455"/>
      <c r="H91" s="455"/>
      <c r="I91" s="455"/>
      <c r="K91" s="455">
        <f t="shared" si="25"/>
        <v>17324445.134475656</v>
      </c>
      <c r="L91" s="455">
        <f t="shared" si="25"/>
        <v>4147599.4432149478</v>
      </c>
      <c r="M91" s="455">
        <f t="shared" si="25"/>
        <v>1270949.2325253435</v>
      </c>
      <c r="N91" s="455"/>
      <c r="O91" s="1076"/>
      <c r="R91" s="461" t="s">
        <v>14</v>
      </c>
      <c r="S91" s="454">
        <v>60</v>
      </c>
      <c r="T91" s="454">
        <v>62</v>
      </c>
      <c r="U91" s="454">
        <v>33</v>
      </c>
      <c r="V91" s="1016">
        <v>52</v>
      </c>
      <c r="W91" s="455">
        <v>30</v>
      </c>
      <c r="X91" s="1016">
        <v>42</v>
      </c>
      <c r="Y91" s="455">
        <v>24</v>
      </c>
      <c r="Z91" s="1016">
        <v>0</v>
      </c>
      <c r="AA91" s="1647">
        <v>4</v>
      </c>
      <c r="AB91" s="455">
        <f>3*'What If Data'!D31</f>
        <v>0</v>
      </c>
      <c r="AD91" s="481" t="s">
        <v>14</v>
      </c>
      <c r="AE91" s="454"/>
      <c r="AF91" s="454"/>
      <c r="AG91" s="454"/>
      <c r="AH91" s="454"/>
      <c r="AI91" s="454"/>
      <c r="AJ91" s="454"/>
      <c r="AK91" s="454"/>
      <c r="AL91" s="454"/>
    </row>
    <row r="92" spans="1:39">
      <c r="A92" s="272"/>
      <c r="B92" s="62"/>
      <c r="C92" s="62"/>
      <c r="D92" s="401"/>
      <c r="E92"/>
      <c r="F92" s="461" t="s">
        <v>14</v>
      </c>
      <c r="G92" s="455"/>
      <c r="H92" s="455"/>
      <c r="I92" s="455"/>
      <c r="K92" s="455">
        <f t="shared" si="25"/>
        <v>0</v>
      </c>
      <c r="L92" s="455">
        <f t="shared" si="25"/>
        <v>3681.22616922426</v>
      </c>
      <c r="M92" s="455">
        <f t="shared" si="25"/>
        <v>327104.14898881468</v>
      </c>
      <c r="N92" s="455"/>
      <c r="O92" s="1076"/>
      <c r="R92" s="462" t="s">
        <v>17</v>
      </c>
      <c r="S92" s="463">
        <v>22630</v>
      </c>
      <c r="T92" s="463">
        <v>22763</v>
      </c>
      <c r="U92" s="463">
        <v>23560</v>
      </c>
      <c r="V92" s="1019">
        <v>23829.2593106514</v>
      </c>
      <c r="W92" s="463">
        <v>22913</v>
      </c>
      <c r="X92" s="1019">
        <v>21681.744252569246</v>
      </c>
      <c r="Y92" s="463">
        <v>22346</v>
      </c>
      <c r="Z92" s="1019">
        <v>19528.000248435084</v>
      </c>
      <c r="AA92" s="1650">
        <v>20334</v>
      </c>
      <c r="AB92" s="455">
        <f>3*'What If Data'!D32</f>
        <v>0</v>
      </c>
      <c r="AD92" s="483" t="s">
        <v>17</v>
      </c>
      <c r="AE92" s="463"/>
      <c r="AF92" s="463"/>
      <c r="AG92" s="463"/>
      <c r="AH92" s="463"/>
      <c r="AI92" s="463"/>
      <c r="AJ92" s="463"/>
      <c r="AK92" s="463"/>
      <c r="AL92" s="463"/>
    </row>
    <row r="93" spans="1:39">
      <c r="A93" s="272"/>
      <c r="B93" s="62"/>
      <c r="C93" s="62"/>
      <c r="D93" s="1129"/>
      <c r="E93"/>
      <c r="F93" s="462" t="s">
        <v>17</v>
      </c>
      <c r="G93" s="463"/>
      <c r="H93" s="463"/>
      <c r="I93" s="463"/>
      <c r="K93" s="455">
        <f t="shared" si="25"/>
        <v>15135079.518164285</v>
      </c>
      <c r="L93" s="455">
        <f t="shared" si="25"/>
        <v>4163149.4503090843</v>
      </c>
      <c r="M93" s="455">
        <f t="shared" si="25"/>
        <v>918909.46623675618</v>
      </c>
      <c r="N93" s="455"/>
      <c r="O93" s="1076"/>
      <c r="R93" s="461" t="s">
        <v>324</v>
      </c>
      <c r="S93" s="454">
        <v>2</v>
      </c>
      <c r="T93" s="454">
        <v>10</v>
      </c>
      <c r="U93" s="454">
        <v>0</v>
      </c>
      <c r="V93" s="1016">
        <v>4</v>
      </c>
      <c r="W93" s="455">
        <v>0</v>
      </c>
      <c r="X93" s="1016">
        <v>3.3333333333333335</v>
      </c>
      <c r="Y93" s="455">
        <v>0</v>
      </c>
      <c r="Z93" s="1016">
        <v>0</v>
      </c>
      <c r="AA93" s="1647">
        <v>0</v>
      </c>
      <c r="AB93" s="455">
        <f>3*'What If Data'!D33</f>
        <v>0</v>
      </c>
      <c r="AD93" s="481" t="s">
        <v>324</v>
      </c>
      <c r="AE93" s="454"/>
      <c r="AF93" s="454"/>
      <c r="AG93" s="454"/>
      <c r="AH93" s="454"/>
      <c r="AI93" s="454"/>
      <c r="AJ93" s="454"/>
      <c r="AK93" s="454"/>
      <c r="AL93" s="454"/>
    </row>
    <row r="94" spans="1:39">
      <c r="A94" s="272"/>
      <c r="B94" s="62"/>
      <c r="C94" s="62"/>
      <c r="D94" s="401"/>
      <c r="E94"/>
      <c r="F94" s="461" t="s">
        <v>324</v>
      </c>
      <c r="G94" s="455"/>
      <c r="H94" s="455"/>
      <c r="I94" s="455"/>
      <c r="K94" s="455">
        <f t="shared" si="25"/>
        <v>11087.489255490829</v>
      </c>
      <c r="L94" s="455">
        <f t="shared" si="25"/>
        <v>0</v>
      </c>
      <c r="M94" s="455">
        <f t="shared" si="25"/>
        <v>291810.65988759778</v>
      </c>
      <c r="N94" s="455"/>
      <c r="O94" s="1076"/>
      <c r="R94" s="461" t="s">
        <v>7</v>
      </c>
      <c r="S94" s="455">
        <v>3898</v>
      </c>
      <c r="T94" s="455">
        <v>4034</v>
      </c>
      <c r="U94" s="455">
        <v>4106</v>
      </c>
      <c r="V94" s="1016">
        <v>4361.5547937870779</v>
      </c>
      <c r="W94" s="455">
        <v>4426</v>
      </c>
      <c r="X94" s="1016">
        <v>4123.0842136588471</v>
      </c>
      <c r="Y94" s="455">
        <v>3819</v>
      </c>
      <c r="Z94" s="1016">
        <v>5508.7391366328302</v>
      </c>
      <c r="AA94" s="1647">
        <v>4669</v>
      </c>
      <c r="AB94" s="455">
        <f>3*'What If Data'!D34</f>
        <v>0</v>
      </c>
      <c r="AD94" s="481" t="s">
        <v>7</v>
      </c>
      <c r="AE94" s="455"/>
      <c r="AF94" s="455"/>
      <c r="AG94" s="455"/>
      <c r="AH94" s="455"/>
      <c r="AI94" s="455"/>
      <c r="AJ94" s="455"/>
      <c r="AK94" s="455"/>
      <c r="AL94" s="455"/>
    </row>
    <row r="95" spans="1:39">
      <c r="A95" s="272" t="s">
        <v>1015</v>
      </c>
      <c r="B95" s="530">
        <v>6974407.4926924435</v>
      </c>
      <c r="C95" s="530">
        <v>6273810.4181732563</v>
      </c>
      <c r="D95" s="1128">
        <v>6033724</v>
      </c>
      <c r="E95"/>
      <c r="F95" s="461" t="s">
        <v>7</v>
      </c>
      <c r="G95" s="455"/>
      <c r="H95" s="455"/>
      <c r="I95" s="455"/>
      <c r="K95" s="455">
        <f t="shared" si="25"/>
        <v>4866041.3467212515</v>
      </c>
      <c r="L95" s="455">
        <f t="shared" si="25"/>
        <v>819644.04740279471</v>
      </c>
      <c r="M95" s="455">
        <f t="shared" si="25"/>
        <v>393087.62861282891</v>
      </c>
      <c r="N95" s="455"/>
      <c r="O95" s="1076"/>
      <c r="R95" s="461" t="s">
        <v>539</v>
      </c>
      <c r="S95" s="455">
        <v>23832</v>
      </c>
      <c r="T95" s="455">
        <v>12227</v>
      </c>
      <c r="U95" s="455">
        <v>5027</v>
      </c>
      <c r="V95" s="1016">
        <v>3148.4724463699031</v>
      </c>
      <c r="W95" s="455">
        <v>3973</v>
      </c>
      <c r="X95" s="1016">
        <v>3397.9644472560872</v>
      </c>
      <c r="Y95" s="455">
        <v>3870</v>
      </c>
      <c r="Z95" s="1016">
        <v>2762.1066337704756</v>
      </c>
      <c r="AA95" s="1647">
        <v>2855</v>
      </c>
      <c r="AB95" s="455">
        <f>3*'What If Data'!D35</f>
        <v>0</v>
      </c>
      <c r="AD95" s="481" t="s">
        <v>9</v>
      </c>
      <c r="AE95" s="455"/>
      <c r="AF95" s="455"/>
      <c r="AG95" s="455"/>
      <c r="AH95" s="455"/>
      <c r="AI95" s="455"/>
      <c r="AJ95" s="455"/>
      <c r="AK95" s="455"/>
      <c r="AL95" s="455"/>
    </row>
    <row r="96" spans="1:39">
      <c r="A96" s="272" t="s">
        <v>1016</v>
      </c>
      <c r="B96" s="1128">
        <f>B95-B89</f>
        <v>6186732.4926924435</v>
      </c>
      <c r="C96" s="1128">
        <f>C95-C89</f>
        <v>5568085.9299501497</v>
      </c>
      <c r="D96" s="1128">
        <v>5379229</v>
      </c>
      <c r="E96"/>
      <c r="F96" s="461" t="s">
        <v>539</v>
      </c>
      <c r="G96" s="455"/>
      <c r="H96" s="455"/>
      <c r="I96" s="455"/>
      <c r="K96" s="455">
        <f>((K51+K53)/($K51+$L51+$M51+K53))*$D29</f>
        <v>4535688.128571813</v>
      </c>
      <c r="L96" s="455">
        <f>((L51+L53)/($K51+$L51+$M51+K53))*$D29</f>
        <v>678995.81997174362</v>
      </c>
      <c r="M96" s="455">
        <f>((M51+M53)/($K51+$L51+$M51+K53))*$D29</f>
        <v>164319.32425747727</v>
      </c>
      <c r="N96" s="455"/>
      <c r="O96" s="1076"/>
      <c r="R96" s="462" t="s">
        <v>540</v>
      </c>
      <c r="S96" s="463">
        <v>5673</v>
      </c>
      <c r="T96" s="463">
        <v>6583</v>
      </c>
      <c r="U96" s="463">
        <v>5768</v>
      </c>
      <c r="V96" s="1019">
        <v>5736.1357327063561</v>
      </c>
      <c r="W96" s="463">
        <v>5856</v>
      </c>
      <c r="X96" s="1019">
        <v>4788.2338673248914</v>
      </c>
      <c r="Y96" s="463">
        <v>4570</v>
      </c>
      <c r="Z96" s="1019">
        <v>4124.8019787557096</v>
      </c>
      <c r="AA96" s="1650">
        <v>4414</v>
      </c>
      <c r="AB96" s="455">
        <f>3*'What If Data'!D36</f>
        <v>0</v>
      </c>
      <c r="AD96" s="483" t="s">
        <v>5</v>
      </c>
      <c r="AE96" s="463"/>
      <c r="AF96" s="463"/>
      <c r="AG96" s="463"/>
      <c r="AH96" s="463"/>
      <c r="AI96" s="463"/>
      <c r="AJ96" s="463"/>
      <c r="AK96" s="463"/>
      <c r="AL96" s="463"/>
    </row>
    <row r="97" spans="1:37">
      <c r="A97" s="272" t="s">
        <v>602</v>
      </c>
      <c r="B97" s="62"/>
      <c r="C97" s="62"/>
      <c r="D97" s="1128">
        <f>D95-D96</f>
        <v>654495</v>
      </c>
      <c r="E97"/>
      <c r="F97" s="462" t="s">
        <v>540</v>
      </c>
      <c r="G97" s="463"/>
      <c r="H97" s="463"/>
      <c r="I97" s="463"/>
      <c r="K97" s="455">
        <f t="shared" ref="K97:M102" si="27">(K52/($K52+$L52+$M52))*$D30</f>
        <v>1254634.6420083395</v>
      </c>
      <c r="L97" s="455">
        <f t="shared" si="27"/>
        <v>941886.14398772444</v>
      </c>
      <c r="M97" s="455">
        <f t="shared" si="27"/>
        <v>386566.0056267344</v>
      </c>
      <c r="N97" s="455"/>
      <c r="O97" s="1076"/>
      <c r="R97" s="461"/>
      <c r="S97" s="454"/>
      <c r="T97" s="454"/>
      <c r="U97" s="454"/>
      <c r="V97" s="1017"/>
      <c r="W97" s="454"/>
      <c r="X97" s="1017"/>
      <c r="Y97" s="454"/>
      <c r="Z97" s="1017"/>
      <c r="AA97" s="1648"/>
      <c r="AB97" s="454"/>
    </row>
    <row r="98" spans="1:37">
      <c r="A98" s="272"/>
      <c r="B98" s="62"/>
      <c r="C98" s="62"/>
      <c r="D98" s="1128"/>
      <c r="E98"/>
      <c r="F98" s="461"/>
      <c r="G98" s="455"/>
      <c r="H98" s="455"/>
      <c r="I98" s="455"/>
      <c r="K98" s="455">
        <f t="shared" si="27"/>
        <v>0</v>
      </c>
      <c r="L98" s="455">
        <f t="shared" si="27"/>
        <v>0</v>
      </c>
      <c r="M98" s="455">
        <f t="shared" si="27"/>
        <v>0</v>
      </c>
      <c r="N98" s="455"/>
      <c r="O98" s="482"/>
      <c r="R98" s="481" t="s">
        <v>541</v>
      </c>
      <c r="S98" s="454">
        <v>1261</v>
      </c>
      <c r="T98" s="454">
        <v>901</v>
      </c>
      <c r="U98" s="454">
        <v>818</v>
      </c>
      <c r="V98" s="1016">
        <v>993.33333333333337</v>
      </c>
      <c r="W98" s="455">
        <v>852</v>
      </c>
      <c r="X98" s="1016">
        <v>857</v>
      </c>
      <c r="Y98" s="455">
        <v>868</v>
      </c>
      <c r="Z98" s="1016">
        <v>1188.2361245021982</v>
      </c>
      <c r="AA98" s="1647">
        <v>1158</v>
      </c>
      <c r="AB98" s="455"/>
    </row>
    <row r="99" spans="1:37">
      <c r="A99" s="272"/>
      <c r="B99" s="62"/>
      <c r="C99" s="62"/>
      <c r="D99" s="1128"/>
      <c r="E99"/>
      <c r="F99" s="481" t="s">
        <v>541</v>
      </c>
      <c r="G99" s="455"/>
      <c r="H99" s="455"/>
      <c r="I99" s="455"/>
      <c r="K99" s="455">
        <f t="shared" si="27"/>
        <v>143125.40693695104</v>
      </c>
      <c r="L99" s="455">
        <f t="shared" si="27"/>
        <v>182664.98129357622</v>
      </c>
      <c r="M99" s="455">
        <f t="shared" si="27"/>
        <v>0</v>
      </c>
      <c r="N99" s="455"/>
      <c r="O99" s="1076"/>
      <c r="R99" s="481" t="s">
        <v>563</v>
      </c>
      <c r="S99" s="454">
        <v>847</v>
      </c>
      <c r="T99" s="454">
        <v>423</v>
      </c>
      <c r="U99" s="454">
        <v>53</v>
      </c>
      <c r="V99" s="1016">
        <v>441</v>
      </c>
      <c r="W99" s="455">
        <v>209</v>
      </c>
      <c r="X99" s="1016">
        <v>228.33333333333334</v>
      </c>
      <c r="Y99" s="455">
        <v>115</v>
      </c>
      <c r="Z99" s="1016">
        <v>102.00888775052826</v>
      </c>
      <c r="AA99" s="1647">
        <v>84</v>
      </c>
      <c r="AB99" s="455"/>
    </row>
    <row r="100" spans="1:37">
      <c r="A100" s="272"/>
      <c r="B100" s="62"/>
      <c r="C100" s="62"/>
      <c r="D100" s="1128">
        <f>SUM(T16,U16,W16)</f>
        <v>52446</v>
      </c>
      <c r="E100"/>
      <c r="F100" s="481" t="s">
        <v>563</v>
      </c>
      <c r="G100" s="455"/>
      <c r="H100" s="455"/>
      <c r="I100" s="455"/>
      <c r="K100" s="455">
        <f t="shared" si="27"/>
        <v>12583.42034551737</v>
      </c>
      <c r="L100" s="455">
        <f t="shared" si="27"/>
        <v>27038.535619126982</v>
      </c>
      <c r="M100" s="455">
        <f t="shared" si="27"/>
        <v>0</v>
      </c>
      <c r="N100" s="455"/>
      <c r="O100" s="1076"/>
      <c r="R100" s="483" t="s">
        <v>543</v>
      </c>
      <c r="S100" s="464">
        <v>1380</v>
      </c>
      <c r="T100" s="464">
        <v>1742</v>
      </c>
      <c r="U100" s="464">
        <v>1988</v>
      </c>
      <c r="V100" s="1019">
        <v>1729.8107855809276</v>
      </c>
      <c r="W100" s="463">
        <v>1939</v>
      </c>
      <c r="X100" s="1019">
        <v>2134.6332347868929</v>
      </c>
      <c r="Y100" s="463">
        <v>2068</v>
      </c>
      <c r="Z100" s="1019">
        <v>1841.4322544289228</v>
      </c>
      <c r="AA100" s="1650">
        <v>2255</v>
      </c>
      <c r="AB100" s="455">
        <f>3*'What If Data'!D40</f>
        <v>0</v>
      </c>
    </row>
    <row r="101" spans="1:37" ht="16.5" thickBot="1">
      <c r="A101" s="404"/>
      <c r="B101" s="405"/>
      <c r="C101" s="405"/>
      <c r="D101" s="406">
        <f>D100*0.705</f>
        <v>36974.43</v>
      </c>
      <c r="E101"/>
      <c r="F101" s="483" t="s">
        <v>543</v>
      </c>
      <c r="G101" s="463"/>
      <c r="H101" s="463"/>
      <c r="I101" s="463"/>
      <c r="K101" s="455">
        <f t="shared" si="27"/>
        <v>561454.9810530619</v>
      </c>
      <c r="L101" s="455">
        <f t="shared" si="27"/>
        <v>371196.5838610169</v>
      </c>
      <c r="M101" s="455">
        <f t="shared" si="27"/>
        <v>3068.9990522797311</v>
      </c>
      <c r="N101" s="455"/>
      <c r="O101" s="1076"/>
      <c r="R101" s="481" t="s">
        <v>562</v>
      </c>
      <c r="S101" s="454"/>
      <c r="T101" s="454"/>
      <c r="U101" s="454"/>
      <c r="V101" s="1017"/>
      <c r="W101" s="454">
        <v>80</v>
      </c>
      <c r="X101" s="1017"/>
      <c r="Y101" s="454">
        <v>135</v>
      </c>
      <c r="Z101" s="1017">
        <v>135</v>
      </c>
      <c r="AA101" s="1648">
        <v>179</v>
      </c>
      <c r="AB101" s="454"/>
    </row>
    <row r="102" spans="1:37">
      <c r="E102"/>
      <c r="F102" s="481" t="s">
        <v>562</v>
      </c>
      <c r="G102" s="455"/>
      <c r="H102" s="455"/>
      <c r="I102" s="455"/>
      <c r="K102" s="455">
        <f t="shared" si="27"/>
        <v>1251303.888653836</v>
      </c>
      <c r="L102" s="455">
        <f t="shared" si="27"/>
        <v>22214.295848767091</v>
      </c>
      <c r="M102" s="455">
        <f t="shared" si="27"/>
        <v>0</v>
      </c>
      <c r="N102" s="455"/>
      <c r="O102" s="1076"/>
      <c r="R102" s="487" t="s">
        <v>545</v>
      </c>
      <c r="S102" s="454">
        <v>3278</v>
      </c>
      <c r="T102" s="454">
        <v>2416</v>
      </c>
      <c r="U102" s="454">
        <v>463</v>
      </c>
      <c r="V102" s="1016">
        <v>1433.5</v>
      </c>
      <c r="W102" s="455">
        <v>492</v>
      </c>
      <c r="X102" s="1016">
        <v>471.5</v>
      </c>
      <c r="Y102" s="455">
        <v>793</v>
      </c>
      <c r="Z102" s="1016">
        <v>752.75140937493882</v>
      </c>
      <c r="AA102" s="1647">
        <v>622</v>
      </c>
      <c r="AB102" s="455"/>
    </row>
    <row r="103" spans="1:37">
      <c r="E103"/>
      <c r="F103" s="487" t="s">
        <v>545</v>
      </c>
      <c r="G103" s="455"/>
      <c r="H103" s="455"/>
      <c r="I103" s="455"/>
      <c r="K103" s="455">
        <f t="shared" ref="K103:M104" si="28">(K58/($K58+$L58+$M58))*$D36</f>
        <v>14299.341301724286</v>
      </c>
      <c r="L103" s="455">
        <f t="shared" si="28"/>
        <v>129334.89335456281</v>
      </c>
      <c r="M103" s="455">
        <f t="shared" si="28"/>
        <v>0</v>
      </c>
      <c r="N103" s="455"/>
      <c r="O103" s="1076"/>
      <c r="R103" s="466" t="s">
        <v>183</v>
      </c>
      <c r="S103" s="467">
        <v>114005</v>
      </c>
      <c r="T103" s="467">
        <v>100205</v>
      </c>
      <c r="U103" s="467">
        <v>85741</v>
      </c>
      <c r="V103" s="1021">
        <f>SUM(V85:V102)</f>
        <v>85409.707821733493</v>
      </c>
      <c r="W103" s="467">
        <v>85035</v>
      </c>
      <c r="X103" s="1021">
        <f>SUM(X85:X102)</f>
        <v>84337.378186296919</v>
      </c>
      <c r="Y103" s="467">
        <v>84275</v>
      </c>
      <c r="Z103" s="1021">
        <v>80714.128424163689</v>
      </c>
      <c r="AA103" s="458">
        <f>SUM(AA85:AA102)</f>
        <v>81479</v>
      </c>
      <c r="AB103" s="458"/>
    </row>
    <row r="104" spans="1:37">
      <c r="E104"/>
      <c r="F104" s="466"/>
      <c r="G104" s="467"/>
      <c r="H104" s="467"/>
      <c r="I104" s="467"/>
      <c r="K104" s="455">
        <f t="shared" si="28"/>
        <v>52313095.803056829</v>
      </c>
      <c r="L104" s="455">
        <f t="shared" si="28"/>
        <v>15897831.718846789</v>
      </c>
      <c r="M104" s="455">
        <f t="shared" si="28"/>
        <v>4916024.9819100825</v>
      </c>
      <c r="N104" s="458"/>
      <c r="O104" s="458"/>
      <c r="R104" s="470" t="s">
        <v>549</v>
      </c>
      <c r="S104" s="455">
        <v>321872</v>
      </c>
      <c r="T104" s="455">
        <v>325748</v>
      </c>
      <c r="U104" s="455">
        <v>316759</v>
      </c>
      <c r="V104" s="1016">
        <v>85409.707821733507</v>
      </c>
      <c r="W104" s="455">
        <v>107800</v>
      </c>
      <c r="X104" s="1016">
        <v>84337.378186296904</v>
      </c>
      <c r="Y104" s="455"/>
      <c r="Z104" s="455">
        <v>80869.754280272857</v>
      </c>
      <c r="AA104" s="455"/>
      <c r="AB104" s="455"/>
    </row>
    <row r="105" spans="1:37">
      <c r="E105"/>
      <c r="L105"/>
      <c r="M105"/>
      <c r="N105"/>
      <c r="O105"/>
      <c r="R105" s="468" t="s">
        <v>550</v>
      </c>
      <c r="S105" s="455">
        <v>321769</v>
      </c>
      <c r="T105" s="455">
        <v>325591</v>
      </c>
      <c r="U105" s="455">
        <v>316656</v>
      </c>
      <c r="V105" s="455"/>
      <c r="W105" s="455"/>
      <c r="X105" s="455"/>
      <c r="Y105" s="455"/>
      <c r="Z105" s="455"/>
      <c r="AA105" s="455"/>
      <c r="AB105" s="455"/>
    </row>
    <row r="106" spans="1:37">
      <c r="E106"/>
      <c r="L106"/>
      <c r="M106"/>
      <c r="N106"/>
      <c r="O106"/>
      <c r="R106" s="454"/>
      <c r="S106" s="455"/>
      <c r="T106" s="454"/>
      <c r="U106" s="454"/>
      <c r="V106" s="454"/>
      <c r="W106" s="454"/>
      <c r="X106" s="454"/>
      <c r="Y106" s="454"/>
      <c r="Z106" s="454"/>
      <c r="AA106" s="454"/>
      <c r="AB106" s="454"/>
    </row>
    <row r="107" spans="1:37">
      <c r="E107"/>
      <c r="F107" s="476" t="s">
        <v>1043</v>
      </c>
      <c r="G107" s="476"/>
      <c r="H107" s="476"/>
      <c r="I107" s="476"/>
      <c r="J107" s="476"/>
      <c r="K107" s="476"/>
      <c r="L107" s="476"/>
      <c r="M107" s="476"/>
      <c r="N107" s="476"/>
      <c r="O107" s="476"/>
      <c r="R107" s="459" t="s">
        <v>551</v>
      </c>
      <c r="S107" s="471">
        <v>1696</v>
      </c>
      <c r="T107" s="471">
        <v>1815</v>
      </c>
      <c r="U107" s="471">
        <v>1944</v>
      </c>
      <c r="V107" s="471"/>
      <c r="W107" s="471">
        <v>1744</v>
      </c>
      <c r="X107" s="471"/>
      <c r="Y107" s="471">
        <v>2079</v>
      </c>
      <c r="Z107" s="1280">
        <v>2375.6773174386035</v>
      </c>
      <c r="AA107" s="1652">
        <v>2253</v>
      </c>
      <c r="AB107" s="471"/>
    </row>
    <row r="108" spans="1:37" ht="25.5">
      <c r="E108"/>
      <c r="F108" s="220"/>
      <c r="G108" s="477"/>
      <c r="H108" s="477"/>
      <c r="I108" s="477"/>
      <c r="J108" s="220"/>
      <c r="K108" s="477" t="s">
        <v>1363</v>
      </c>
      <c r="L108" s="477" t="s">
        <v>1366</v>
      </c>
      <c r="M108" s="477" t="s">
        <v>1365</v>
      </c>
      <c r="N108" s="477"/>
      <c r="O108" s="477"/>
      <c r="R108" s="454"/>
      <c r="S108" s="455"/>
      <c r="T108" s="454"/>
      <c r="U108" s="454"/>
      <c r="V108" s="454"/>
      <c r="W108" s="454"/>
      <c r="X108" s="454"/>
      <c r="Y108" s="454"/>
      <c r="Z108" s="454"/>
      <c r="AA108" s="454"/>
      <c r="AB108" s="454"/>
    </row>
    <row r="109" spans="1:37">
      <c r="E109"/>
      <c r="F109" s="461" t="s">
        <v>538</v>
      </c>
      <c r="G109" s="455"/>
      <c r="H109" s="455"/>
      <c r="I109" s="455"/>
      <c r="K109" s="870">
        <f t="shared" ref="K109:M120" si="29">K86/(K64/3)</f>
        <v>131.99391970822418</v>
      </c>
      <c r="L109" s="870">
        <f t="shared" si="29"/>
        <v>190.40825013228934</v>
      </c>
      <c r="M109" s="870">
        <f t="shared" si="29"/>
        <v>383.62488153496633</v>
      </c>
      <c r="N109" s="455"/>
      <c r="O109" s="1076"/>
      <c r="R109" s="472"/>
      <c r="S109" s="454"/>
      <c r="T109" s="454"/>
      <c r="U109" s="454"/>
      <c r="V109" s="454"/>
      <c r="W109" s="454"/>
      <c r="X109" s="454"/>
      <c r="Y109" s="454"/>
      <c r="Z109" s="454"/>
      <c r="AA109" s="454"/>
      <c r="AB109" s="454"/>
    </row>
    <row r="110" spans="1:37">
      <c r="E110"/>
      <c r="F110" s="461" t="s">
        <v>6</v>
      </c>
      <c r="G110" s="455"/>
      <c r="H110" s="455"/>
      <c r="I110" s="455"/>
      <c r="K110" s="870">
        <f t="shared" si="29"/>
        <v>131.99391970822415</v>
      </c>
      <c r="L110" s="870">
        <f t="shared" si="29"/>
        <v>190.40825013228931</v>
      </c>
      <c r="M110" s="870">
        <f t="shared" si="29"/>
        <v>383.62488153496639</v>
      </c>
      <c r="N110" s="455"/>
      <c r="O110" s="1076"/>
      <c r="R110" s="459" t="s">
        <v>552</v>
      </c>
      <c r="S110" s="460"/>
      <c r="T110" s="460"/>
      <c r="U110" s="460"/>
      <c r="V110" s="460"/>
      <c r="W110" s="460"/>
      <c r="X110" s="460"/>
      <c r="Y110" s="460"/>
      <c r="Z110" s="460"/>
      <c r="AA110" s="460"/>
      <c r="AB110" s="460"/>
      <c r="AD110" s="569" t="s">
        <v>605</v>
      </c>
      <c r="AE110" s="460"/>
      <c r="AF110" s="460"/>
      <c r="AG110" s="460"/>
      <c r="AH110" s="460"/>
      <c r="AI110" s="460"/>
      <c r="AJ110" s="460"/>
      <c r="AK110" s="460"/>
    </row>
    <row r="111" spans="1:37">
      <c r="E111"/>
      <c r="F111" s="461" t="s">
        <v>8</v>
      </c>
      <c r="G111" s="455"/>
      <c r="H111" s="455"/>
      <c r="I111" s="455"/>
      <c r="K111" s="870">
        <f t="shared" si="29"/>
        <v>131.99391970822415</v>
      </c>
      <c r="L111" s="870">
        <f t="shared" si="29"/>
        <v>190.40825013228928</v>
      </c>
      <c r="M111" s="870">
        <f t="shared" si="29"/>
        <v>383.62488153496639</v>
      </c>
      <c r="N111" s="455"/>
      <c r="O111" s="1076"/>
      <c r="R111" s="461" t="s">
        <v>538</v>
      </c>
      <c r="S111" s="455">
        <v>10140</v>
      </c>
      <c r="T111" s="455">
        <v>10529</v>
      </c>
      <c r="U111" s="455">
        <v>10242</v>
      </c>
      <c r="V111" s="1016">
        <v>10344.466824389705</v>
      </c>
      <c r="W111" s="455">
        <v>10473</v>
      </c>
      <c r="X111" s="1016">
        <v>9957.5079822274984</v>
      </c>
      <c r="Y111" s="455">
        <v>9516</v>
      </c>
      <c r="Z111" s="1016">
        <v>9577.705638680125</v>
      </c>
      <c r="AA111" s="1647">
        <v>9634</v>
      </c>
      <c r="AB111" s="455">
        <f>3*'What If Data'!G25</f>
        <v>0</v>
      </c>
      <c r="AD111" s="1149" t="s">
        <v>538</v>
      </c>
      <c r="AE111" s="1150">
        <v>155</v>
      </c>
      <c r="AF111" s="1150">
        <v>143</v>
      </c>
      <c r="AG111" s="1150">
        <v>366</v>
      </c>
      <c r="AH111" s="1150">
        <v>221.33333333333334</v>
      </c>
      <c r="AI111" s="1150"/>
      <c r="AJ111" s="1150"/>
      <c r="AK111" s="1150"/>
    </row>
    <row r="112" spans="1:37">
      <c r="E112"/>
      <c r="F112" s="462" t="s">
        <v>2</v>
      </c>
      <c r="G112" s="463"/>
      <c r="H112" s="463"/>
      <c r="I112" s="463"/>
      <c r="K112" s="870">
        <f t="shared" si="29"/>
        <v>131.99391970822415</v>
      </c>
      <c r="L112" s="870">
        <f t="shared" si="29"/>
        <v>190.40825013228931</v>
      </c>
      <c r="M112" s="870">
        <f t="shared" si="29"/>
        <v>383.62488153496639</v>
      </c>
      <c r="N112" s="463"/>
      <c r="O112" s="1076"/>
      <c r="R112" s="461" t="s">
        <v>6</v>
      </c>
      <c r="S112" s="455">
        <v>4877</v>
      </c>
      <c r="T112" s="455">
        <v>5185</v>
      </c>
      <c r="U112" s="455">
        <v>4977</v>
      </c>
      <c r="V112" s="1016">
        <v>5514.528697405688</v>
      </c>
      <c r="W112" s="455">
        <v>4925</v>
      </c>
      <c r="X112" s="1016">
        <v>4302.5617085434405</v>
      </c>
      <c r="Y112" s="455">
        <v>4308</v>
      </c>
      <c r="Z112" s="1016">
        <v>2936.4891453844584</v>
      </c>
      <c r="AA112" s="1647">
        <v>3096</v>
      </c>
      <c r="AB112" s="455">
        <f>3*'What If Data'!G26</f>
        <v>0</v>
      </c>
      <c r="AD112" s="1149" t="s">
        <v>6</v>
      </c>
      <c r="AE112" s="1150">
        <v>86</v>
      </c>
      <c r="AF112" s="1150">
        <v>157</v>
      </c>
      <c r="AG112" s="1150">
        <v>224</v>
      </c>
      <c r="AH112" s="1150">
        <v>155.66666666666666</v>
      </c>
      <c r="AI112" s="1150"/>
      <c r="AJ112" s="1150"/>
      <c r="AK112" s="1150"/>
    </row>
    <row r="113" spans="5:37">
      <c r="E113"/>
      <c r="F113" s="461" t="s">
        <v>10</v>
      </c>
      <c r="G113" s="455"/>
      <c r="H113" s="455"/>
      <c r="I113" s="455"/>
      <c r="K113" s="870">
        <f t="shared" si="29"/>
        <v>131.99391970822413</v>
      </c>
      <c r="L113" s="870">
        <f t="shared" si="29"/>
        <v>190.40825013228931</v>
      </c>
      <c r="M113" s="870">
        <f t="shared" si="29"/>
        <v>383.62488153496639</v>
      </c>
      <c r="N113" s="455"/>
      <c r="O113" s="1076"/>
      <c r="R113" s="461" t="s">
        <v>8</v>
      </c>
      <c r="S113" s="455">
        <v>2278</v>
      </c>
      <c r="T113" s="455">
        <v>2154</v>
      </c>
      <c r="U113" s="455">
        <v>2527</v>
      </c>
      <c r="V113" s="1016">
        <v>2093.7092945609229</v>
      </c>
      <c r="W113" s="455">
        <v>1334</v>
      </c>
      <c r="X113" s="1016">
        <v>997.18775696334865</v>
      </c>
      <c r="Y113" s="455">
        <v>1204</v>
      </c>
      <c r="Z113" s="1016">
        <v>1146.438957568841</v>
      </c>
      <c r="AA113" s="1647">
        <v>1133</v>
      </c>
      <c r="AB113" s="455">
        <f>3*'What If Data'!G27</f>
        <v>0</v>
      </c>
      <c r="AD113" s="1149" t="s">
        <v>8</v>
      </c>
      <c r="AE113" s="1153">
        <v>676</v>
      </c>
      <c r="AF113" s="1153">
        <v>290</v>
      </c>
      <c r="AG113" s="1153">
        <v>253</v>
      </c>
      <c r="AH113" s="1153">
        <v>406.33333333333331</v>
      </c>
      <c r="AI113" s="1153"/>
      <c r="AJ113" s="1153"/>
      <c r="AK113" s="1153"/>
    </row>
    <row r="114" spans="5:37">
      <c r="E114"/>
      <c r="F114" s="461" t="s">
        <v>4</v>
      </c>
      <c r="G114" s="455"/>
      <c r="H114" s="455"/>
      <c r="I114" s="455"/>
      <c r="K114" s="870">
        <f t="shared" si="29"/>
        <v>131.99391970822415</v>
      </c>
      <c r="L114" s="870">
        <f t="shared" si="29"/>
        <v>190.40825013228931</v>
      </c>
      <c r="M114" s="870">
        <f>M91/(M69/3)</f>
        <v>383.62488153496633</v>
      </c>
      <c r="N114" s="455"/>
      <c r="O114" s="1076"/>
      <c r="R114" s="462" t="s">
        <v>2</v>
      </c>
      <c r="S114" s="463">
        <v>3439</v>
      </c>
      <c r="T114" s="463">
        <v>3557</v>
      </c>
      <c r="U114" s="463">
        <v>3487</v>
      </c>
      <c r="V114" s="1019">
        <v>3625.0142409058562</v>
      </c>
      <c r="W114" s="463">
        <v>3601</v>
      </c>
      <c r="X114" s="1019">
        <v>3744.4568584736589</v>
      </c>
      <c r="Y114" s="463">
        <v>3535</v>
      </c>
      <c r="Z114" s="1019">
        <v>3165.4521577961127</v>
      </c>
      <c r="AA114" s="1650">
        <v>3227</v>
      </c>
      <c r="AB114" s="455">
        <f>3*'What If Data'!G28</f>
        <v>0</v>
      </c>
      <c r="AD114" s="1155" t="s">
        <v>2</v>
      </c>
      <c r="AE114" s="1150">
        <v>58</v>
      </c>
      <c r="AF114" s="1150">
        <v>121</v>
      </c>
      <c r="AG114" s="1150">
        <v>81</v>
      </c>
      <c r="AH114" s="1150">
        <v>86.666666666666671</v>
      </c>
      <c r="AI114" s="1150"/>
      <c r="AJ114" s="1150"/>
      <c r="AK114" s="1150"/>
    </row>
    <row r="115" spans="5:37">
      <c r="E115"/>
      <c r="F115" s="461" t="s">
        <v>14</v>
      </c>
      <c r="G115" s="455"/>
      <c r="H115" s="455"/>
      <c r="I115" s="455"/>
      <c r="K115" s="870"/>
      <c r="L115" s="870">
        <f t="shared" si="29"/>
        <v>190.40825013228931</v>
      </c>
      <c r="M115" s="870">
        <f t="shared" si="29"/>
        <v>383.62488153496639</v>
      </c>
      <c r="N115" s="455"/>
      <c r="O115" s="1076"/>
      <c r="R115" s="461" t="s">
        <v>10</v>
      </c>
      <c r="S115" s="454">
        <v>17207</v>
      </c>
      <c r="T115" s="454">
        <v>17325</v>
      </c>
      <c r="U115" s="454">
        <v>17451</v>
      </c>
      <c r="V115" s="1016">
        <v>17845.995248567433</v>
      </c>
      <c r="W115" s="455">
        <v>18055</v>
      </c>
      <c r="X115" s="1016">
        <v>17853.472759230837</v>
      </c>
      <c r="Y115" s="455">
        <v>17335</v>
      </c>
      <c r="Z115" s="1016">
        <v>18732.760866336273</v>
      </c>
      <c r="AA115" s="1647">
        <v>18373</v>
      </c>
      <c r="AB115" s="455">
        <f>3*'What If Data'!G29</f>
        <v>0</v>
      </c>
      <c r="AD115" s="1149" t="s">
        <v>10</v>
      </c>
      <c r="AE115" s="1150">
        <v>0</v>
      </c>
      <c r="AF115" s="1150">
        <v>0</v>
      </c>
      <c r="AG115" s="1150">
        <v>0</v>
      </c>
      <c r="AH115" s="1150">
        <v>0</v>
      </c>
      <c r="AI115" s="1150"/>
      <c r="AJ115" s="1150"/>
      <c r="AK115" s="1150"/>
    </row>
    <row r="116" spans="5:37">
      <c r="E116"/>
      <c r="F116" s="462" t="s">
        <v>17</v>
      </c>
      <c r="G116" s="463"/>
      <c r="H116" s="463"/>
      <c r="I116" s="463"/>
      <c r="K116" s="870">
        <f t="shared" si="29"/>
        <v>131.99391970822415</v>
      </c>
      <c r="L116" s="870">
        <f t="shared" si="29"/>
        <v>190.40825013228931</v>
      </c>
      <c r="M116" s="870">
        <f t="shared" si="29"/>
        <v>383.62488153496639</v>
      </c>
      <c r="N116" s="463"/>
      <c r="O116" s="1076"/>
      <c r="R116" s="461" t="s">
        <v>4</v>
      </c>
      <c r="S116" s="455">
        <v>14255</v>
      </c>
      <c r="T116" s="455">
        <v>15644</v>
      </c>
      <c r="U116" s="455">
        <v>15445</v>
      </c>
      <c r="V116" s="1016">
        <v>15448.223373752335</v>
      </c>
      <c r="W116" s="455">
        <v>15453</v>
      </c>
      <c r="X116" s="1016">
        <v>15623.43872284797</v>
      </c>
      <c r="Y116" s="455">
        <v>15670</v>
      </c>
      <c r="Z116" s="1016">
        <v>15133.345683130936</v>
      </c>
      <c r="AA116" s="1647">
        <v>14955</v>
      </c>
      <c r="AB116" s="455">
        <f>3*'What If Data'!G30</f>
        <v>0</v>
      </c>
      <c r="AD116" s="1149" t="s">
        <v>4</v>
      </c>
      <c r="AE116" s="1150">
        <v>69</v>
      </c>
      <c r="AF116" s="1150">
        <v>53</v>
      </c>
      <c r="AG116" s="1150">
        <v>102</v>
      </c>
      <c r="AH116" s="1150">
        <v>74.666666666666671</v>
      </c>
      <c r="AI116" s="1150"/>
      <c r="AJ116" s="1150"/>
      <c r="AK116" s="1150"/>
    </row>
    <row r="117" spans="5:37">
      <c r="E117"/>
      <c r="F117" s="461" t="s">
        <v>324</v>
      </c>
      <c r="G117" s="455"/>
      <c r="H117" s="455"/>
      <c r="I117" s="455"/>
      <c r="K117" s="870">
        <f t="shared" si="29"/>
        <v>131.99391970822415</v>
      </c>
      <c r="L117" s="870"/>
      <c r="M117" s="870">
        <f t="shared" si="29"/>
        <v>383.62488153496645</v>
      </c>
      <c r="N117" s="455"/>
      <c r="O117" s="1076"/>
      <c r="R117" s="461" t="s">
        <v>14</v>
      </c>
      <c r="S117" s="454">
        <v>3423</v>
      </c>
      <c r="T117" s="454">
        <v>3103</v>
      </c>
      <c r="U117" s="454">
        <v>2840</v>
      </c>
      <c r="V117" s="1016">
        <v>2673.0791819181709</v>
      </c>
      <c r="W117" s="455">
        <v>2759</v>
      </c>
      <c r="X117" s="1016">
        <v>2851.0643479076107</v>
      </c>
      <c r="Y117" s="455">
        <v>2752</v>
      </c>
      <c r="Z117" s="1016">
        <v>2810.1831119941248</v>
      </c>
      <c r="AA117" s="1647">
        <v>2767</v>
      </c>
      <c r="AB117" s="455">
        <f>3*'What If Data'!G31</f>
        <v>0</v>
      </c>
      <c r="AD117" s="1149" t="s">
        <v>14</v>
      </c>
      <c r="AE117" s="1156">
        <v>38</v>
      </c>
      <c r="AF117" s="1156">
        <v>63</v>
      </c>
      <c r="AG117" s="1156">
        <v>86</v>
      </c>
      <c r="AH117" s="1156">
        <v>62.333333333333336</v>
      </c>
      <c r="AI117" s="1156"/>
      <c r="AJ117" s="1156"/>
      <c r="AK117" s="1156"/>
    </row>
    <row r="118" spans="5:37">
      <c r="E118"/>
      <c r="F118" s="461" t="s">
        <v>7</v>
      </c>
      <c r="G118" s="455"/>
      <c r="H118" s="455"/>
      <c r="I118" s="455"/>
      <c r="K118" s="870">
        <f t="shared" si="29"/>
        <v>131.99391970822415</v>
      </c>
      <c r="L118" s="870">
        <f t="shared" si="29"/>
        <v>190.40825013228928</v>
      </c>
      <c r="M118" s="870">
        <f t="shared" si="29"/>
        <v>383.62488153496639</v>
      </c>
      <c r="N118" s="455"/>
      <c r="O118" s="1076"/>
      <c r="R118" s="462" t="s">
        <v>17</v>
      </c>
      <c r="S118" s="463">
        <v>6475</v>
      </c>
      <c r="T118" s="463">
        <v>6996</v>
      </c>
      <c r="U118" s="463">
        <v>7185</v>
      </c>
      <c r="V118" s="1019">
        <v>7356.4176796996189</v>
      </c>
      <c r="W118" s="463">
        <v>7256</v>
      </c>
      <c r="X118" s="1019">
        <v>7530.6869459943118</v>
      </c>
      <c r="Y118" s="463">
        <v>7269</v>
      </c>
      <c r="Z118" s="1019">
        <v>8223.5101264361238</v>
      </c>
      <c r="AA118" s="1650">
        <v>8320</v>
      </c>
      <c r="AB118" s="455">
        <f>3*'What If Data'!G32</f>
        <v>0</v>
      </c>
      <c r="AC118">
        <f>Z118/U118</f>
        <v>1.1445386397266699</v>
      </c>
      <c r="AD118" s="1155" t="s">
        <v>17</v>
      </c>
      <c r="AE118" s="1150">
        <v>182</v>
      </c>
      <c r="AF118" s="1150">
        <v>190</v>
      </c>
      <c r="AG118" s="1150">
        <v>139</v>
      </c>
      <c r="AH118" s="1150">
        <v>170.33333333333334</v>
      </c>
      <c r="AI118" s="1150"/>
      <c r="AJ118" s="1150"/>
      <c r="AK118" s="1150"/>
    </row>
    <row r="119" spans="5:37">
      <c r="E119"/>
      <c r="F119" s="461" t="s">
        <v>539</v>
      </c>
      <c r="G119" s="455"/>
      <c r="H119" s="455"/>
      <c r="I119" s="455"/>
      <c r="K119" s="870">
        <f t="shared" si="29"/>
        <v>188.18160207336894</v>
      </c>
      <c r="L119" s="870">
        <f t="shared" si="29"/>
        <v>190.40825013228928</v>
      </c>
      <c r="M119" s="870">
        <f t="shared" si="29"/>
        <v>383.62488153496639</v>
      </c>
      <c r="N119" s="455"/>
      <c r="O119" s="1076"/>
      <c r="R119" s="461" t="s">
        <v>324</v>
      </c>
      <c r="S119" s="454">
        <v>12462</v>
      </c>
      <c r="T119" s="454">
        <v>12570</v>
      </c>
      <c r="U119" s="454">
        <v>12503</v>
      </c>
      <c r="V119" s="1016">
        <v>12058.023910455411</v>
      </c>
      <c r="W119" s="455">
        <v>12153</v>
      </c>
      <c r="X119" s="1016">
        <v>11863.76035178995</v>
      </c>
      <c r="Y119" s="455">
        <v>11793</v>
      </c>
      <c r="Z119" s="1016">
        <v>12964.963628471911</v>
      </c>
      <c r="AA119" s="1647">
        <v>13052</v>
      </c>
      <c r="AB119" s="455">
        <f>3*'What If Data'!G33</f>
        <v>0</v>
      </c>
      <c r="AD119" s="1149" t="s">
        <v>324</v>
      </c>
      <c r="AE119" s="1156">
        <v>0</v>
      </c>
      <c r="AF119" s="1156">
        <v>0</v>
      </c>
      <c r="AG119" s="1156">
        <v>0</v>
      </c>
      <c r="AH119" s="1156">
        <v>0</v>
      </c>
      <c r="AI119" s="1156"/>
      <c r="AJ119" s="1156"/>
      <c r="AK119" s="1156"/>
    </row>
    <row r="120" spans="5:37">
      <c r="E120"/>
      <c r="F120" s="462" t="s">
        <v>540</v>
      </c>
      <c r="G120" s="463"/>
      <c r="H120" s="463"/>
      <c r="I120" s="463"/>
      <c r="K120" s="870">
        <f t="shared" si="29"/>
        <v>131.99391970822413</v>
      </c>
      <c r="L120" s="870">
        <f t="shared" si="29"/>
        <v>190.40825013228928</v>
      </c>
      <c r="M120" s="870">
        <f t="shared" si="29"/>
        <v>383.62488153496633</v>
      </c>
      <c r="N120" s="463"/>
      <c r="O120" s="1076"/>
      <c r="R120" s="461" t="s">
        <v>7</v>
      </c>
      <c r="S120" s="455">
        <v>25998</v>
      </c>
      <c r="T120" s="455">
        <v>26492</v>
      </c>
      <c r="U120" s="455">
        <v>30508</v>
      </c>
      <c r="V120" s="1016">
        <v>34612.534601942141</v>
      </c>
      <c r="W120" s="455">
        <v>34151</v>
      </c>
      <c r="X120" s="1016">
        <v>36510.307645246452</v>
      </c>
      <c r="Y120" s="455">
        <v>34839</v>
      </c>
      <c r="Z120" s="1016">
        <v>32805.068225020994</v>
      </c>
      <c r="AA120" s="1647">
        <v>33066</v>
      </c>
      <c r="AB120" s="455">
        <f>3*'What If Data'!G34</f>
        <v>0</v>
      </c>
      <c r="AD120" s="1149" t="s">
        <v>7</v>
      </c>
      <c r="AE120" s="1150">
        <v>26</v>
      </c>
      <c r="AF120" s="1150">
        <v>74</v>
      </c>
      <c r="AG120" s="1150">
        <v>135</v>
      </c>
      <c r="AH120" s="1150">
        <v>78.333333333333329</v>
      </c>
      <c r="AI120" s="1150"/>
      <c r="AJ120" s="1150"/>
      <c r="AK120" s="1150"/>
    </row>
    <row r="121" spans="5:37">
      <c r="E121"/>
      <c r="F121" s="461"/>
      <c r="G121" s="455"/>
      <c r="H121" s="455"/>
      <c r="I121" s="455"/>
      <c r="K121" s="870"/>
      <c r="L121" s="1170"/>
      <c r="M121" s="1170"/>
      <c r="N121" s="455"/>
      <c r="O121" s="482"/>
      <c r="R121" s="461" t="s">
        <v>539</v>
      </c>
      <c r="S121" s="455">
        <v>5241</v>
      </c>
      <c r="T121" s="455">
        <v>6119</v>
      </c>
      <c r="U121" s="455">
        <v>6495</v>
      </c>
      <c r="V121" s="1016">
        <v>5986.8195435853067</v>
      </c>
      <c r="W121" s="455">
        <v>6028</v>
      </c>
      <c r="X121" s="1016">
        <v>6869.5655994026465</v>
      </c>
      <c r="Y121" s="455">
        <v>6795</v>
      </c>
      <c r="Z121" s="1016">
        <v>8051.6555012720246</v>
      </c>
      <c r="AA121" s="1647">
        <v>8170</v>
      </c>
      <c r="AB121" s="455">
        <f>3*'What If Data'!G35</f>
        <v>0</v>
      </c>
      <c r="AD121" s="1149" t="s">
        <v>9</v>
      </c>
      <c r="AE121" s="1150">
        <v>103</v>
      </c>
      <c r="AF121" s="1150">
        <v>127</v>
      </c>
      <c r="AG121" s="1150">
        <v>77</v>
      </c>
      <c r="AH121" s="1150">
        <v>102.33333333333333</v>
      </c>
      <c r="AI121" s="1150"/>
      <c r="AJ121" s="1150"/>
      <c r="AK121" s="1150"/>
    </row>
    <row r="122" spans="5:37">
      <c r="E122"/>
      <c r="F122" s="481" t="s">
        <v>541</v>
      </c>
      <c r="G122" s="455"/>
      <c r="H122" s="455"/>
      <c r="I122" s="455"/>
      <c r="K122" s="870">
        <f t="shared" ref="K122:L126" si="30">K99/(K77/3)</f>
        <v>131.99391970822415</v>
      </c>
      <c r="L122" s="870">
        <f t="shared" si="30"/>
        <v>190.40825013228931</v>
      </c>
      <c r="M122" s="870"/>
      <c r="N122" s="455"/>
      <c r="O122" s="1076"/>
      <c r="R122" s="462" t="s">
        <v>540</v>
      </c>
      <c r="S122" s="463">
        <v>5184</v>
      </c>
      <c r="T122" s="463">
        <v>5422</v>
      </c>
      <c r="U122" s="463">
        <v>4487</v>
      </c>
      <c r="V122" s="1019">
        <v>4581.7386609035511</v>
      </c>
      <c r="W122" s="463">
        <v>4367</v>
      </c>
      <c r="X122" s="1019">
        <v>4079.726626950323</v>
      </c>
      <c r="Y122" s="463">
        <v>4172</v>
      </c>
      <c r="Z122" s="1019">
        <v>4276.2032667534631</v>
      </c>
      <c r="AA122" s="1650">
        <v>4288</v>
      </c>
      <c r="AB122" s="455">
        <f>3*'What If Data'!G36</f>
        <v>0</v>
      </c>
      <c r="AD122" s="1155" t="s">
        <v>5</v>
      </c>
      <c r="AE122" s="1150">
        <v>132</v>
      </c>
      <c r="AF122" s="1150">
        <v>114</v>
      </c>
      <c r="AG122" s="1150">
        <v>105</v>
      </c>
      <c r="AH122" s="1150">
        <v>117</v>
      </c>
      <c r="AI122" s="1150"/>
      <c r="AJ122" s="1150"/>
      <c r="AK122" s="1150"/>
    </row>
    <row r="123" spans="5:37">
      <c r="E123"/>
      <c r="F123" s="481" t="s">
        <v>563</v>
      </c>
      <c r="G123" s="455"/>
      <c r="H123" s="455"/>
      <c r="I123" s="455"/>
      <c r="K123" s="870">
        <f t="shared" si="30"/>
        <v>131.99391970822415</v>
      </c>
      <c r="L123" s="870">
        <f t="shared" si="30"/>
        <v>190.40825013228931</v>
      </c>
      <c r="M123" s="870"/>
      <c r="N123" s="455"/>
      <c r="O123" s="1076"/>
      <c r="R123" s="461"/>
      <c r="S123" s="454"/>
      <c r="T123" s="454"/>
      <c r="U123" s="454"/>
      <c r="V123" s="1017"/>
      <c r="W123" s="454"/>
      <c r="X123" s="1017"/>
      <c r="Y123" s="454"/>
      <c r="Z123" s="1017"/>
      <c r="AA123" s="1017"/>
      <c r="AB123" s="454"/>
      <c r="AD123" s="1149"/>
      <c r="AE123" s="1156"/>
      <c r="AF123" s="1156"/>
      <c r="AG123" s="1156"/>
      <c r="AH123" s="1156"/>
      <c r="AI123" s="1156"/>
      <c r="AJ123" s="1156"/>
      <c r="AK123" s="1156"/>
    </row>
    <row r="124" spans="5:37">
      <c r="E124"/>
      <c r="F124" s="483" t="s">
        <v>543</v>
      </c>
      <c r="G124" s="463"/>
      <c r="H124" s="463"/>
      <c r="I124" s="463"/>
      <c r="K124" s="870">
        <f t="shared" si="30"/>
        <v>131.99391970822415</v>
      </c>
      <c r="L124" s="870">
        <f t="shared" si="30"/>
        <v>190.40825013228928</v>
      </c>
      <c r="M124" s="870">
        <f>M101/(M79/3)</f>
        <v>383.62488153496639</v>
      </c>
      <c r="N124" s="463"/>
      <c r="O124" s="1076"/>
      <c r="R124" s="481" t="s">
        <v>541</v>
      </c>
      <c r="S124" s="454"/>
      <c r="T124" s="454"/>
      <c r="U124" s="454"/>
      <c r="V124" s="1017">
        <v>0</v>
      </c>
      <c r="W124" s="454">
        <v>0</v>
      </c>
      <c r="X124" s="1017">
        <v>0</v>
      </c>
      <c r="Y124" s="454"/>
      <c r="Z124" s="1017">
        <v>0</v>
      </c>
      <c r="AA124" s="1017"/>
      <c r="AB124" s="454"/>
      <c r="AD124" s="1149" t="s">
        <v>541</v>
      </c>
      <c r="AE124" s="1156"/>
      <c r="AF124" s="1156"/>
      <c r="AG124" s="1156"/>
      <c r="AH124" s="1156"/>
      <c r="AI124" s="1156"/>
      <c r="AJ124" s="1156"/>
      <c r="AK124" s="1156"/>
    </row>
    <row r="125" spans="5:37">
      <c r="E125"/>
      <c r="F125" s="481" t="s">
        <v>562</v>
      </c>
      <c r="G125" s="455"/>
      <c r="H125" s="455"/>
      <c r="I125" s="455"/>
      <c r="K125" s="870">
        <f t="shared" si="30"/>
        <v>131.99391970822418</v>
      </c>
      <c r="L125" s="870">
        <f t="shared" si="30"/>
        <v>190.40825013228934</v>
      </c>
      <c r="M125" s="870"/>
      <c r="N125" s="455"/>
      <c r="O125" s="1076"/>
      <c r="R125" s="481" t="s">
        <v>563</v>
      </c>
      <c r="S125" s="454">
        <v>0</v>
      </c>
      <c r="T125" s="454">
        <v>0</v>
      </c>
      <c r="U125" s="454">
        <v>0</v>
      </c>
      <c r="V125" s="1017">
        <v>0</v>
      </c>
      <c r="W125" s="454">
        <v>0</v>
      </c>
      <c r="X125" s="1017">
        <v>0</v>
      </c>
      <c r="Y125" s="454"/>
      <c r="Z125" s="1017">
        <v>0</v>
      </c>
      <c r="AA125" s="1017"/>
      <c r="AB125" s="454"/>
      <c r="AD125" s="1149" t="s">
        <v>563</v>
      </c>
      <c r="AE125" s="1150">
        <v>20</v>
      </c>
      <c r="AF125" s="1150">
        <v>18</v>
      </c>
      <c r="AG125" s="1150">
        <v>6</v>
      </c>
      <c r="AH125" s="1150">
        <v>14.666666666666666</v>
      </c>
      <c r="AI125" s="1150"/>
      <c r="AJ125" s="1150"/>
      <c r="AK125" s="1150"/>
    </row>
    <row r="126" spans="5:37">
      <c r="E126"/>
      <c r="F126" s="487" t="s">
        <v>545</v>
      </c>
      <c r="G126" s="455"/>
      <c r="H126" s="455"/>
      <c r="I126" s="455"/>
      <c r="K126" s="870">
        <f t="shared" si="30"/>
        <v>131.99391970822418</v>
      </c>
      <c r="L126" s="870">
        <f t="shared" si="30"/>
        <v>190.40825013228934</v>
      </c>
      <c r="M126" s="870"/>
      <c r="N126" s="455"/>
      <c r="O126" s="1076"/>
      <c r="R126" s="483" t="s">
        <v>543</v>
      </c>
      <c r="S126" s="464"/>
      <c r="T126" s="464"/>
      <c r="U126" s="464"/>
      <c r="V126" s="1020">
        <v>0</v>
      </c>
      <c r="W126" s="464">
        <v>0</v>
      </c>
      <c r="X126" s="1020">
        <v>0</v>
      </c>
      <c r="Y126" s="464"/>
      <c r="Z126" s="1020">
        <v>0</v>
      </c>
      <c r="AA126" s="1020"/>
      <c r="AB126" s="455">
        <f>3*'What If Data'!G40</f>
        <v>0</v>
      </c>
      <c r="AD126" s="1155" t="s">
        <v>543</v>
      </c>
      <c r="AE126" s="1156"/>
      <c r="AF126" s="1156"/>
      <c r="AG126" s="1156"/>
      <c r="AH126" s="1156"/>
      <c r="AI126" s="1156"/>
      <c r="AJ126" s="1156"/>
      <c r="AK126" s="1156"/>
    </row>
    <row r="127" spans="5:37">
      <c r="E127"/>
      <c r="F127" s="466"/>
      <c r="G127" s="467"/>
      <c r="H127" s="467"/>
      <c r="I127" s="467"/>
      <c r="K127" s="1170">
        <f>K104/(K82/3)</f>
        <v>135.50177529454655</v>
      </c>
      <c r="L127" s="467"/>
      <c r="M127" s="467"/>
      <c r="N127" s="458"/>
      <c r="O127" s="458"/>
      <c r="R127" s="481" t="s">
        <v>562</v>
      </c>
      <c r="S127" s="454"/>
      <c r="T127" s="454"/>
      <c r="U127" s="454"/>
      <c r="V127" s="1017">
        <v>0</v>
      </c>
      <c r="W127" s="454">
        <v>0</v>
      </c>
      <c r="X127" s="1017">
        <v>0</v>
      </c>
      <c r="Y127" s="454"/>
      <c r="Z127" s="1017">
        <v>0</v>
      </c>
      <c r="AA127" s="1017"/>
      <c r="AB127" s="454"/>
      <c r="AD127" s="1149" t="s">
        <v>562</v>
      </c>
      <c r="AE127" s="1150"/>
      <c r="AF127" s="1150"/>
      <c r="AG127" s="1150"/>
      <c r="AH127" s="1150"/>
      <c r="AI127" s="1150"/>
      <c r="AJ127" s="1150"/>
      <c r="AK127" s="1150"/>
    </row>
    <row r="128" spans="5:37">
      <c r="E128"/>
      <c r="L128"/>
      <c r="M128"/>
      <c r="N128"/>
      <c r="O128"/>
      <c r="R128" s="487" t="s">
        <v>545</v>
      </c>
      <c r="S128" s="454"/>
      <c r="T128" s="454"/>
      <c r="U128" s="454"/>
      <c r="V128" s="1017">
        <v>0</v>
      </c>
      <c r="W128" s="454">
        <v>0</v>
      </c>
      <c r="X128" s="1017">
        <v>0</v>
      </c>
      <c r="Y128" s="454"/>
      <c r="Z128" s="1017">
        <v>0</v>
      </c>
      <c r="AA128" s="1017"/>
      <c r="AB128" s="454"/>
      <c r="AD128" s="1157" t="s">
        <v>545</v>
      </c>
      <c r="AE128" s="1156">
        <v>12</v>
      </c>
      <c r="AF128" s="1156">
        <v>0</v>
      </c>
      <c r="AG128" s="1156">
        <v>0</v>
      </c>
      <c r="AH128" s="1156">
        <v>4</v>
      </c>
      <c r="AI128" s="1156"/>
      <c r="AJ128" s="1156"/>
      <c r="AK128" s="1156"/>
    </row>
    <row r="129" spans="5:39">
      <c r="E129"/>
      <c r="L129"/>
      <c r="M129"/>
      <c r="N129"/>
      <c r="O129"/>
      <c r="R129" s="466" t="s">
        <v>183</v>
      </c>
      <c r="S129" s="467">
        <v>110979</v>
      </c>
      <c r="T129" s="467">
        <v>115096</v>
      </c>
      <c r="U129" s="467">
        <v>118147</v>
      </c>
      <c r="V129" s="1021">
        <f>SUM(V111:V128)</f>
        <v>122140.55125808614</v>
      </c>
      <c r="W129" s="467">
        <v>120555</v>
      </c>
      <c r="X129" s="1021">
        <f>SUM(X111:X128)</f>
        <v>122183.73730557805</v>
      </c>
      <c r="Y129" s="467">
        <v>119188</v>
      </c>
      <c r="Z129" s="1021">
        <v>120305.17565751678</v>
      </c>
      <c r="AA129" s="467">
        <f>SUM(AA111:AA122)</f>
        <v>120081</v>
      </c>
      <c r="AB129" s="458"/>
      <c r="AD129" s="1160"/>
      <c r="AE129" s="1161">
        <v>1557</v>
      </c>
      <c r="AF129" s="1161">
        <v>1350</v>
      </c>
      <c r="AG129" s="1161">
        <v>1574</v>
      </c>
      <c r="AH129" s="1161">
        <v>1493.6666666666665</v>
      </c>
      <c r="AI129" s="1161"/>
      <c r="AJ129" s="1161"/>
      <c r="AK129" s="1161"/>
    </row>
    <row r="130" spans="5:39">
      <c r="E130"/>
      <c r="L130"/>
      <c r="M130"/>
      <c r="N130"/>
      <c r="O130"/>
      <c r="R130" s="154"/>
      <c r="S130" s="454"/>
      <c r="T130" s="454"/>
      <c r="U130" s="454"/>
      <c r="V130" s="1016"/>
      <c r="W130" s="454"/>
      <c r="X130" s="1016"/>
      <c r="Y130" s="455"/>
      <c r="Z130" s="455">
        <v>119823.77630884539</v>
      </c>
      <c r="AA130" s="455"/>
      <c r="AB130" s="455"/>
    </row>
    <row r="131" spans="5:39">
      <c r="E131"/>
      <c r="L131"/>
      <c r="M131"/>
      <c r="N131"/>
      <c r="O131"/>
      <c r="R131" s="154"/>
      <c r="S131" s="454"/>
      <c r="T131" s="454"/>
      <c r="U131" s="454"/>
      <c r="V131" s="454"/>
      <c r="W131" s="454"/>
      <c r="X131" s="454"/>
      <c r="Y131" s="454"/>
      <c r="Z131" s="454"/>
      <c r="AA131" s="454"/>
      <c r="AB131" s="454"/>
    </row>
    <row r="132" spans="5:39">
      <c r="E132"/>
      <c r="L132"/>
      <c r="M132"/>
      <c r="N132"/>
      <c r="O132"/>
      <c r="R132" s="154"/>
      <c r="S132" s="453" t="s">
        <v>532</v>
      </c>
      <c r="T132" s="453" t="s">
        <v>533</v>
      </c>
      <c r="U132" s="453" t="s">
        <v>534</v>
      </c>
      <c r="V132" s="453" t="s">
        <v>1039</v>
      </c>
      <c r="W132" s="453" t="s">
        <v>1040</v>
      </c>
      <c r="X132" s="453" t="s">
        <v>1041</v>
      </c>
      <c r="Y132" s="453" t="s">
        <v>1042</v>
      </c>
      <c r="Z132" s="453" t="s">
        <v>1610</v>
      </c>
      <c r="AA132" s="453" t="s">
        <v>1749</v>
      </c>
      <c r="AB132" s="453"/>
      <c r="AD132" s="570"/>
      <c r="AE132" s="453" t="s">
        <v>532</v>
      </c>
      <c r="AF132" s="453" t="s">
        <v>533</v>
      </c>
      <c r="AG132" s="453" t="s">
        <v>534</v>
      </c>
      <c r="AH132" s="453" t="s">
        <v>1039</v>
      </c>
      <c r="AI132" s="453" t="s">
        <v>1040</v>
      </c>
      <c r="AJ132" s="453" t="s">
        <v>1041</v>
      </c>
      <c r="AK132" s="453" t="s">
        <v>1042</v>
      </c>
      <c r="AL132" s="453" t="s">
        <v>1362</v>
      </c>
      <c r="AM132" s="453" t="s">
        <v>1749</v>
      </c>
    </row>
    <row r="133" spans="5:39">
      <c r="E133"/>
      <c r="L133"/>
      <c r="M133"/>
      <c r="N133"/>
      <c r="O133"/>
      <c r="R133" s="459" t="s">
        <v>553</v>
      </c>
      <c r="S133" s="460"/>
      <c r="T133" s="460"/>
      <c r="U133" s="460"/>
      <c r="V133" s="460"/>
      <c r="W133" s="460"/>
      <c r="X133" s="460"/>
      <c r="Y133" s="460"/>
      <c r="Z133" s="460"/>
      <c r="AA133" s="460"/>
      <c r="AB133" s="460"/>
      <c r="AD133" s="663" t="s">
        <v>876</v>
      </c>
      <c r="AE133" s="217"/>
      <c r="AF133" s="217"/>
      <c r="AG133" s="217"/>
      <c r="AH133" s="217"/>
      <c r="AI133" s="217"/>
      <c r="AJ133" s="217"/>
      <c r="AK133" s="217"/>
      <c r="AL133" s="217"/>
    </row>
    <row r="134" spans="5:39">
      <c r="E134"/>
      <c r="L134"/>
      <c r="M134"/>
      <c r="N134"/>
      <c r="O134"/>
      <c r="R134" s="461" t="s">
        <v>538</v>
      </c>
      <c r="S134" s="455">
        <v>2113</v>
      </c>
      <c r="T134" s="455">
        <v>1857</v>
      </c>
      <c r="U134" s="455">
        <f>AG134+1253</f>
        <v>1256</v>
      </c>
      <c r="V134" s="1016">
        <f>AH134+1168.33242482772</f>
        <v>1168.3324248277199</v>
      </c>
      <c r="W134" s="455">
        <f>AI134+1098</f>
        <v>1098</v>
      </c>
      <c r="X134" s="1016">
        <f>AJ134+946.91303798055</f>
        <v>976.91303798055003</v>
      </c>
      <c r="Y134" s="455">
        <f>AK134+1134</f>
        <v>1137</v>
      </c>
      <c r="Z134" s="1016">
        <f>869.035509539922+AL134</f>
        <v>870.53550953992203</v>
      </c>
      <c r="AA134" s="1647">
        <f>AM134+793</f>
        <v>796</v>
      </c>
      <c r="AB134" s="455">
        <f>3*'What If Data'!F25</f>
        <v>0</v>
      </c>
      <c r="AD134" s="481" t="s">
        <v>538</v>
      </c>
      <c r="AE134" s="664">
        <v>0</v>
      </c>
      <c r="AF134" s="664">
        <v>88</v>
      </c>
      <c r="AG134" s="664">
        <v>3</v>
      </c>
      <c r="AH134" s="664">
        <v>0</v>
      </c>
      <c r="AI134" s="664">
        <v>0</v>
      </c>
      <c r="AJ134" s="1274">
        <v>30</v>
      </c>
      <c r="AK134" s="664">
        <v>3</v>
      </c>
      <c r="AL134" s="1274">
        <f>AVERAGE(AI134,AK134)</f>
        <v>1.5</v>
      </c>
      <c r="AM134" s="1269">
        <v>3</v>
      </c>
    </row>
    <row r="135" spans="5:39">
      <c r="E135"/>
      <c r="L135"/>
      <c r="M135"/>
      <c r="N135"/>
      <c r="O135"/>
      <c r="R135" s="461" t="s">
        <v>6</v>
      </c>
      <c r="S135" s="455">
        <v>1124</v>
      </c>
      <c r="T135" s="455">
        <v>1591</v>
      </c>
      <c r="U135" s="455">
        <v>1429</v>
      </c>
      <c r="V135" s="1016">
        <v>1167.6504854368932</v>
      </c>
      <c r="W135" s="455">
        <v>981</v>
      </c>
      <c r="X135" s="1016">
        <v>1134.5677796933128</v>
      </c>
      <c r="Y135" s="455">
        <v>932</v>
      </c>
      <c r="Z135" s="1016">
        <v>578.88928940411654</v>
      </c>
      <c r="AA135" s="1647">
        <v>752</v>
      </c>
      <c r="AB135" s="455">
        <f>3*'What If Data'!F26</f>
        <v>0</v>
      </c>
      <c r="AD135" s="481" t="s">
        <v>6</v>
      </c>
      <c r="AE135" s="664"/>
      <c r="AF135" s="664"/>
      <c r="AG135" s="664"/>
      <c r="AH135" s="664"/>
      <c r="AI135" s="664"/>
      <c r="AJ135" s="1274"/>
      <c r="AK135" s="664"/>
      <c r="AL135" s="1274"/>
    </row>
    <row r="136" spans="5:39">
      <c r="E136"/>
      <c r="L136"/>
      <c r="M136"/>
      <c r="N136"/>
      <c r="O136"/>
      <c r="R136" s="461" t="s">
        <v>8</v>
      </c>
      <c r="S136" s="455">
        <v>1474</v>
      </c>
      <c r="T136" s="455">
        <v>950</v>
      </c>
      <c r="U136" s="455">
        <v>226</v>
      </c>
      <c r="V136" s="1016">
        <v>312.32388282439433</v>
      </c>
      <c r="W136" s="455">
        <v>330</v>
      </c>
      <c r="X136" s="1016">
        <v>328.59492077576891</v>
      </c>
      <c r="Y136" s="455">
        <v>363</v>
      </c>
      <c r="Z136" s="1016">
        <v>175.94010253191044</v>
      </c>
      <c r="AA136" s="1647">
        <v>257</v>
      </c>
      <c r="AB136" s="455">
        <f>3*'What If Data'!F27</f>
        <v>0</v>
      </c>
      <c r="AD136" s="481" t="s">
        <v>8</v>
      </c>
      <c r="AE136" s="664"/>
      <c r="AF136" s="664"/>
      <c r="AG136" s="664"/>
      <c r="AH136" s="664"/>
      <c r="AI136" s="664"/>
      <c r="AJ136" s="1274"/>
      <c r="AK136" s="664"/>
      <c r="AL136" s="1274"/>
    </row>
    <row r="137" spans="5:39">
      <c r="E137"/>
      <c r="L137"/>
      <c r="M137"/>
      <c r="N137"/>
      <c r="O137"/>
      <c r="R137" s="462" t="s">
        <v>2</v>
      </c>
      <c r="S137" s="463">
        <v>794</v>
      </c>
      <c r="T137" s="463">
        <v>857</v>
      </c>
      <c r="U137" s="463">
        <f>AG137+849</f>
        <v>855</v>
      </c>
      <c r="V137" s="1019">
        <v>833.33333333333337</v>
      </c>
      <c r="W137" s="463">
        <v>727</v>
      </c>
      <c r="X137" s="1019">
        <f>AJ137+811</f>
        <v>816</v>
      </c>
      <c r="Y137" s="463">
        <f>AK137+625</f>
        <v>640</v>
      </c>
      <c r="Z137" s="1019">
        <f>735.94219999313+AL137</f>
        <v>743.44219999312998</v>
      </c>
      <c r="AA137" s="1650">
        <v>731</v>
      </c>
      <c r="AB137" s="455">
        <f>3*'What If Data'!F28</f>
        <v>0</v>
      </c>
      <c r="AD137" s="483" t="s">
        <v>2</v>
      </c>
      <c r="AE137" s="665">
        <v>0</v>
      </c>
      <c r="AF137" s="665">
        <v>9</v>
      </c>
      <c r="AG137" s="665">
        <v>6</v>
      </c>
      <c r="AH137" s="665">
        <v>0</v>
      </c>
      <c r="AI137" s="665">
        <v>0</v>
      </c>
      <c r="AJ137" s="1275">
        <v>5</v>
      </c>
      <c r="AK137" s="665">
        <v>15</v>
      </c>
      <c r="AL137" s="1274">
        <f>AVERAGE(AI137,AK137)</f>
        <v>7.5</v>
      </c>
      <c r="AM137" s="665">
        <v>0</v>
      </c>
    </row>
    <row r="138" spans="5:39">
      <c r="E138"/>
      <c r="L138"/>
      <c r="M138"/>
      <c r="N138"/>
      <c r="O138"/>
      <c r="R138" s="461" t="s">
        <v>10</v>
      </c>
      <c r="S138" s="454">
        <v>90</v>
      </c>
      <c r="T138" s="454">
        <v>134</v>
      </c>
      <c r="U138" s="454">
        <v>71</v>
      </c>
      <c r="V138" s="1016">
        <v>132.66666666666666</v>
      </c>
      <c r="W138" s="455">
        <v>138</v>
      </c>
      <c r="X138" s="1016">
        <v>148.66666666666666</v>
      </c>
      <c r="Y138" s="455">
        <v>112</v>
      </c>
      <c r="Z138" s="1016">
        <v>70.365414614121519</v>
      </c>
      <c r="AA138" s="1647">
        <v>79</v>
      </c>
      <c r="AB138" s="455">
        <f>3*'What If Data'!F29</f>
        <v>0</v>
      </c>
      <c r="AD138" s="481" t="s">
        <v>10</v>
      </c>
      <c r="AE138" s="666"/>
      <c r="AF138" s="666"/>
      <c r="AG138" s="666"/>
      <c r="AH138" s="666"/>
      <c r="AI138" s="666"/>
      <c r="AJ138" s="1276"/>
      <c r="AK138" s="666"/>
      <c r="AL138" s="1276"/>
    </row>
    <row r="139" spans="5:39">
      <c r="E139"/>
      <c r="L139"/>
      <c r="M139"/>
      <c r="N139"/>
      <c r="O139"/>
      <c r="R139" s="461" t="s">
        <v>4</v>
      </c>
      <c r="S139" s="455">
        <v>3577</v>
      </c>
      <c r="T139" s="455">
        <v>3653</v>
      </c>
      <c r="U139" s="455">
        <f>3368+AG139</f>
        <v>3359</v>
      </c>
      <c r="V139" s="1016">
        <v>3230.1482966851427</v>
      </c>
      <c r="W139" s="455">
        <v>3208</v>
      </c>
      <c r="X139" s="1016">
        <f>AJ139+3241.09076390863</f>
        <v>3206.0907639086299</v>
      </c>
      <c r="Y139" s="455">
        <f>AK139+3345</f>
        <v>3327</v>
      </c>
      <c r="Z139" s="1016">
        <f>3497.5375728994+AL139</f>
        <v>3488.5375728993999</v>
      </c>
      <c r="AA139" s="1647">
        <f>AM139+3407</f>
        <v>3404</v>
      </c>
      <c r="AB139" s="455">
        <f>3*'What If Data'!F30</f>
        <v>0</v>
      </c>
      <c r="AD139" s="481" t="s">
        <v>4</v>
      </c>
      <c r="AE139" s="664">
        <f t="shared" ref="AE139:AJ139" si="31">-(AE134+AE137)</f>
        <v>0</v>
      </c>
      <c r="AF139" s="664">
        <f t="shared" si="31"/>
        <v>-97</v>
      </c>
      <c r="AG139" s="664">
        <f t="shared" si="31"/>
        <v>-9</v>
      </c>
      <c r="AH139" s="664">
        <f t="shared" si="31"/>
        <v>0</v>
      </c>
      <c r="AI139" s="664">
        <f t="shared" si="31"/>
        <v>0</v>
      </c>
      <c r="AJ139" s="1274">
        <f t="shared" si="31"/>
        <v>-35</v>
      </c>
      <c r="AK139" s="664">
        <f>-(AK134+AK137)</f>
        <v>-18</v>
      </c>
      <c r="AL139" s="1274">
        <f>-SUM(AL134:AL138)</f>
        <v>-9</v>
      </c>
      <c r="AM139">
        <v>-3</v>
      </c>
    </row>
    <row r="140" spans="5:39">
      <c r="E140"/>
      <c r="L140"/>
      <c r="M140"/>
      <c r="N140"/>
      <c r="O140"/>
      <c r="R140" s="461" t="s">
        <v>14</v>
      </c>
      <c r="S140" s="454">
        <v>719</v>
      </c>
      <c r="T140" s="454">
        <v>828</v>
      </c>
      <c r="U140" s="454">
        <v>865</v>
      </c>
      <c r="V140" s="1016">
        <v>804</v>
      </c>
      <c r="W140" s="455">
        <v>903</v>
      </c>
      <c r="X140" s="1016">
        <v>865.33333333333337</v>
      </c>
      <c r="Y140" s="455">
        <v>726</v>
      </c>
      <c r="Z140" s="1016">
        <v>914.05274037731658</v>
      </c>
      <c r="AA140" s="1647">
        <v>929</v>
      </c>
      <c r="AB140" s="455">
        <f>3*'What If Data'!F31</f>
        <v>0</v>
      </c>
      <c r="AD140" s="481" t="s">
        <v>14</v>
      </c>
      <c r="AE140" s="454"/>
      <c r="AF140" s="454"/>
      <c r="AG140" s="454"/>
      <c r="AH140" s="454"/>
      <c r="AI140" s="454"/>
      <c r="AJ140" s="454"/>
      <c r="AK140" s="454"/>
      <c r="AL140" s="454"/>
    </row>
    <row r="141" spans="5:39">
      <c r="E141"/>
      <c r="L141"/>
      <c r="M141"/>
      <c r="N141"/>
      <c r="O141"/>
      <c r="R141" s="462" t="s">
        <v>17</v>
      </c>
      <c r="S141" s="463">
        <v>3008</v>
      </c>
      <c r="T141" s="463">
        <v>2698</v>
      </c>
      <c r="U141" s="463">
        <v>2468</v>
      </c>
      <c r="V141" s="1019">
        <v>2259.5575624531689</v>
      </c>
      <c r="W141" s="463">
        <v>2707</v>
      </c>
      <c r="X141" s="1019">
        <v>2552.7590449615655</v>
      </c>
      <c r="Y141" s="463">
        <v>2662</v>
      </c>
      <c r="Z141" s="1019">
        <v>1787.0814296774631</v>
      </c>
      <c r="AA141" s="1650">
        <v>1817</v>
      </c>
      <c r="AB141" s="455">
        <f>3*'What If Data'!F32</f>
        <v>0</v>
      </c>
      <c r="AC141">
        <f>Z141/U141</f>
        <v>0.72410106550950692</v>
      </c>
      <c r="AD141" s="483" t="s">
        <v>17</v>
      </c>
      <c r="AE141" s="463"/>
      <c r="AF141" s="463"/>
      <c r="AG141" s="463"/>
      <c r="AH141" s="463"/>
      <c r="AI141" s="463"/>
      <c r="AJ141" s="463"/>
      <c r="AK141" s="463"/>
      <c r="AL141" s="463"/>
    </row>
    <row r="142" spans="5:39">
      <c r="E142"/>
      <c r="L142"/>
      <c r="M142"/>
      <c r="N142"/>
      <c r="O142"/>
      <c r="R142" s="461" t="s">
        <v>324</v>
      </c>
      <c r="S142" s="454">
        <v>88</v>
      </c>
      <c r="T142" s="454">
        <v>102</v>
      </c>
      <c r="U142" s="454">
        <v>273</v>
      </c>
      <c r="V142" s="1016">
        <v>790.85454545454547</v>
      </c>
      <c r="W142" s="455">
        <v>706</v>
      </c>
      <c r="X142" s="1016">
        <v>1150.2447943118334</v>
      </c>
      <c r="Y142" s="455">
        <v>715</v>
      </c>
      <c r="Z142" s="1016">
        <v>890.707060101764</v>
      </c>
      <c r="AA142" s="1647">
        <v>861</v>
      </c>
      <c r="AB142" s="455">
        <f>3*'What If Data'!F33</f>
        <v>0</v>
      </c>
      <c r="AD142" s="481" t="s">
        <v>324</v>
      </c>
      <c r="AE142" s="454"/>
      <c r="AF142" s="454"/>
      <c r="AG142" s="454"/>
      <c r="AH142" s="454"/>
      <c r="AI142" s="454"/>
      <c r="AJ142" s="454"/>
      <c r="AK142" s="454"/>
      <c r="AL142" s="454"/>
    </row>
    <row r="143" spans="5:39">
      <c r="E143"/>
      <c r="L143"/>
      <c r="M143"/>
      <c r="N143"/>
      <c r="O143"/>
      <c r="R143" s="461" t="s">
        <v>7</v>
      </c>
      <c r="S143" s="455">
        <v>1300</v>
      </c>
      <c r="T143" s="455">
        <v>959</v>
      </c>
      <c r="U143" s="455">
        <v>1121</v>
      </c>
      <c r="V143" s="1016">
        <v>840.51094812186898</v>
      </c>
      <c r="W143" s="455">
        <v>929</v>
      </c>
      <c r="X143" s="1016">
        <v>1022.0835451841616</v>
      </c>
      <c r="Y143" s="455">
        <v>1050</v>
      </c>
      <c r="Z143" s="1016">
        <v>1216.0362572751412</v>
      </c>
      <c r="AA143" s="1647">
        <v>1095</v>
      </c>
      <c r="AB143" s="455">
        <f>3*'What If Data'!F34</f>
        <v>0</v>
      </c>
      <c r="AD143" s="481" t="s">
        <v>7</v>
      </c>
      <c r="AE143" s="455"/>
      <c r="AF143" s="455"/>
      <c r="AG143" s="455"/>
      <c r="AH143" s="455"/>
      <c r="AI143" s="455"/>
      <c r="AJ143" s="455"/>
      <c r="AK143" s="455"/>
      <c r="AL143" s="455"/>
    </row>
    <row r="144" spans="5:39">
      <c r="E144"/>
      <c r="L144"/>
      <c r="M144"/>
      <c r="N144"/>
      <c r="O144"/>
      <c r="R144" s="461" t="s">
        <v>539</v>
      </c>
      <c r="S144" s="455">
        <v>1896</v>
      </c>
      <c r="T144" s="455">
        <v>1348</v>
      </c>
      <c r="U144" s="455">
        <v>921</v>
      </c>
      <c r="V144" s="1016">
        <v>574.45635300372146</v>
      </c>
      <c r="W144" s="455">
        <v>503</v>
      </c>
      <c r="X144" s="1016">
        <v>278.57048151417081</v>
      </c>
      <c r="Y144" s="455">
        <v>337</v>
      </c>
      <c r="Z144" s="1016">
        <v>470.6845561858994</v>
      </c>
      <c r="AA144" s="1647">
        <v>445</v>
      </c>
      <c r="AB144" s="455">
        <f>3*'What If Data'!F35</f>
        <v>0</v>
      </c>
      <c r="AD144" s="481" t="s">
        <v>9</v>
      </c>
      <c r="AE144" s="455"/>
      <c r="AF144" s="455"/>
      <c r="AG144" s="455"/>
      <c r="AH144" s="455"/>
      <c r="AI144" s="455"/>
      <c r="AJ144" s="455"/>
      <c r="AK144" s="455"/>
      <c r="AL144" s="455"/>
    </row>
    <row r="145" spans="5:38">
      <c r="E145"/>
      <c r="L145"/>
      <c r="M145"/>
      <c r="N145"/>
      <c r="O145"/>
      <c r="R145" s="462" t="s">
        <v>540</v>
      </c>
      <c r="S145" s="463">
        <v>1170</v>
      </c>
      <c r="T145" s="463">
        <v>1004</v>
      </c>
      <c r="U145" s="463">
        <v>901</v>
      </c>
      <c r="V145" s="1019">
        <v>911.24473294087989</v>
      </c>
      <c r="W145" s="463">
        <v>937</v>
      </c>
      <c r="X145" s="1019">
        <v>881.53077596787534</v>
      </c>
      <c r="Y145" s="463">
        <v>963</v>
      </c>
      <c r="Z145" s="1019">
        <v>1092.6948134480049</v>
      </c>
      <c r="AA145" s="1650">
        <v>1123</v>
      </c>
      <c r="AB145" s="455">
        <f>3*'What If Data'!F36</f>
        <v>0</v>
      </c>
      <c r="AD145" s="483" t="s">
        <v>5</v>
      </c>
      <c r="AE145" s="463"/>
      <c r="AF145" s="463"/>
      <c r="AG145" s="463"/>
      <c r="AH145" s="463"/>
      <c r="AI145" s="463"/>
      <c r="AJ145" s="463"/>
      <c r="AK145" s="463"/>
      <c r="AL145" s="463"/>
    </row>
    <row r="146" spans="5:38">
      <c r="E146"/>
      <c r="L146"/>
      <c r="M146"/>
      <c r="N146"/>
      <c r="O146"/>
      <c r="R146" s="461"/>
      <c r="S146" s="454"/>
      <c r="T146" s="454"/>
      <c r="U146" s="454"/>
      <c r="V146" s="1017"/>
      <c r="W146" s="454"/>
      <c r="X146" s="1017"/>
      <c r="Y146" s="454"/>
      <c r="Z146" s="1017"/>
      <c r="AA146" s="1648"/>
      <c r="AB146" s="454"/>
    </row>
    <row r="147" spans="5:38">
      <c r="E147"/>
      <c r="L147"/>
      <c r="M147"/>
      <c r="N147"/>
      <c r="O147"/>
      <c r="R147" s="481" t="s">
        <v>541</v>
      </c>
      <c r="S147" s="454"/>
      <c r="T147" s="454"/>
      <c r="U147" s="454"/>
      <c r="V147" s="1017">
        <v>0</v>
      </c>
      <c r="W147" s="454"/>
      <c r="X147" s="1017">
        <v>0</v>
      </c>
      <c r="Y147" s="454"/>
      <c r="Z147" s="1017">
        <v>0</v>
      </c>
      <c r="AA147" s="1648"/>
      <c r="AB147" s="454"/>
    </row>
    <row r="148" spans="5:38">
      <c r="E148"/>
      <c r="L148"/>
      <c r="M148"/>
      <c r="N148"/>
      <c r="O148"/>
      <c r="R148" s="481" t="s">
        <v>563</v>
      </c>
      <c r="S148" s="454">
        <v>150</v>
      </c>
      <c r="T148" s="454">
        <v>42</v>
      </c>
      <c r="U148" s="454">
        <v>3</v>
      </c>
      <c r="V148" s="1017">
        <v>3</v>
      </c>
      <c r="W148" s="455">
        <v>0</v>
      </c>
      <c r="X148" s="1017">
        <v>0</v>
      </c>
      <c r="Y148" s="454"/>
      <c r="Z148" s="1017">
        <v>0</v>
      </c>
      <c r="AA148" s="1648"/>
      <c r="AB148" s="454"/>
    </row>
    <row r="149" spans="5:38">
      <c r="E149"/>
      <c r="L149"/>
      <c r="M149"/>
      <c r="N149"/>
      <c r="O149"/>
      <c r="R149" s="483" t="s">
        <v>543</v>
      </c>
      <c r="S149" s="464">
        <v>64</v>
      </c>
      <c r="T149" s="464">
        <v>40</v>
      </c>
      <c r="U149" s="464">
        <v>18</v>
      </c>
      <c r="V149" s="1020">
        <v>18</v>
      </c>
      <c r="W149" s="463">
        <v>12</v>
      </c>
      <c r="X149" s="1020">
        <v>12</v>
      </c>
      <c r="Y149" s="464">
        <v>0</v>
      </c>
      <c r="Z149" s="1019">
        <v>12</v>
      </c>
      <c r="AA149" s="1651">
        <v>7</v>
      </c>
      <c r="AB149" s="455">
        <f>3*'What If Data'!F40</f>
        <v>0</v>
      </c>
    </row>
    <row r="150" spans="5:38">
      <c r="E150"/>
      <c r="L150"/>
      <c r="M150"/>
      <c r="N150"/>
      <c r="O150"/>
      <c r="R150" s="481" t="s">
        <v>562</v>
      </c>
      <c r="S150" s="454"/>
      <c r="T150" s="454"/>
      <c r="U150" s="454"/>
      <c r="V150" s="1017">
        <v>0</v>
      </c>
      <c r="W150" s="454"/>
      <c r="X150" s="1017">
        <v>0</v>
      </c>
      <c r="Y150" s="454"/>
      <c r="Z150" s="1017">
        <v>0</v>
      </c>
      <c r="AA150" s="1648"/>
      <c r="AB150" s="454"/>
    </row>
    <row r="151" spans="5:38">
      <c r="E151"/>
      <c r="L151"/>
      <c r="M151"/>
      <c r="N151"/>
      <c r="O151"/>
      <c r="R151" s="487" t="s">
        <v>545</v>
      </c>
      <c r="S151" s="454"/>
      <c r="T151" s="454"/>
      <c r="U151" s="454"/>
      <c r="V151" s="1017">
        <v>0</v>
      </c>
      <c r="W151" s="454"/>
      <c r="X151" s="1017">
        <v>0</v>
      </c>
      <c r="Y151" s="454"/>
      <c r="Z151" s="1017">
        <v>0</v>
      </c>
      <c r="AA151" s="1648"/>
      <c r="AB151" s="454"/>
    </row>
    <row r="152" spans="5:38">
      <c r="E152"/>
      <c r="L152"/>
      <c r="M152"/>
      <c r="N152"/>
      <c r="O152"/>
      <c r="R152" s="466" t="s">
        <v>183</v>
      </c>
      <c r="S152" s="467">
        <v>17567</v>
      </c>
      <c r="T152" s="467">
        <v>16063</v>
      </c>
      <c r="U152" s="467">
        <v>13766</v>
      </c>
      <c r="V152" s="1021">
        <f>SUM(V134:V151)</f>
        <v>13046.079231748336</v>
      </c>
      <c r="W152" s="467">
        <v>13179</v>
      </c>
      <c r="X152" s="1021">
        <f>SUM(X134:X151)</f>
        <v>13373.355144297868</v>
      </c>
      <c r="Y152" s="467">
        <v>12964</v>
      </c>
      <c r="Z152" s="1021">
        <v>12427.803444377558</v>
      </c>
      <c r="AA152" s="467">
        <f>SUM(AA134:AA151)</f>
        <v>12296</v>
      </c>
      <c r="AB152" s="458"/>
    </row>
    <row r="153" spans="5:38">
      <c r="E153"/>
      <c r="L153"/>
      <c r="M153"/>
      <c r="N153"/>
      <c r="O153"/>
      <c r="R153" s="470" t="s">
        <v>554</v>
      </c>
      <c r="S153" s="455">
        <v>128546</v>
      </c>
      <c r="T153" s="455">
        <v>131159</v>
      </c>
      <c r="U153" s="455">
        <v>131913</v>
      </c>
      <c r="V153" s="1016"/>
      <c r="W153" s="455"/>
      <c r="X153" s="1016"/>
      <c r="Y153" s="455"/>
      <c r="Z153" s="455">
        <v>12310.966946048189</v>
      </c>
      <c r="AA153" s="455"/>
      <c r="AB153" s="455"/>
    </row>
    <row r="154" spans="5:38">
      <c r="P154" s="46"/>
      <c r="Q154" s="46"/>
      <c r="R154" s="468" t="s">
        <v>550</v>
      </c>
      <c r="S154" s="455">
        <v>128546</v>
      </c>
      <c r="T154" s="455">
        <v>131175</v>
      </c>
      <c r="U154" s="455">
        <v>131913</v>
      </c>
      <c r="V154" s="455"/>
      <c r="W154" s="455"/>
      <c r="Y154" s="389"/>
      <c r="Z154" s="389"/>
      <c r="AA154" s="389"/>
      <c r="AB154" s="389"/>
    </row>
    <row r="155" spans="5:38">
      <c r="Y155" s="389"/>
      <c r="Z155" s="389"/>
      <c r="AA155" s="389"/>
      <c r="AB155" s="389"/>
    </row>
    <row r="156" spans="5:38">
      <c r="Y156" s="389"/>
      <c r="Z156" s="389"/>
      <c r="AA156" s="389"/>
      <c r="AB156" s="389"/>
    </row>
    <row r="157" spans="5:38">
      <c r="Y157" s="389"/>
      <c r="Z157" s="389"/>
      <c r="AA157" s="389"/>
      <c r="AB157" s="389"/>
    </row>
    <row r="158" spans="5:38">
      <c r="Y158" s="389"/>
      <c r="Z158" s="389"/>
      <c r="AA158" s="389"/>
      <c r="AB158" s="389"/>
    </row>
    <row r="159" spans="5:38">
      <c r="Y159" s="389"/>
      <c r="Z159" s="389"/>
      <c r="AA159" s="389"/>
      <c r="AB159" s="389"/>
    </row>
    <row r="160" spans="5:38">
      <c r="Y160" s="389"/>
      <c r="Z160" s="389"/>
      <c r="AA160" s="389"/>
      <c r="AB160" s="389"/>
    </row>
    <row r="161" spans="25:28">
      <c r="Y161" s="389"/>
      <c r="Z161" s="389"/>
      <c r="AA161" s="389"/>
      <c r="AB161" s="389"/>
    </row>
    <row r="162" spans="25:28">
      <c r="Y162" s="389"/>
      <c r="Z162" s="389"/>
      <c r="AA162" s="389"/>
      <c r="AB162" s="389"/>
    </row>
    <row r="163" spans="25:28">
      <c r="Y163" s="389"/>
      <c r="Z163" s="389"/>
      <c r="AA163" s="389"/>
      <c r="AB163" s="389"/>
    </row>
    <row r="164" spans="25:28">
      <c r="Y164" s="389"/>
      <c r="Z164" s="389"/>
      <c r="AA164" s="389"/>
      <c r="AB164" s="389"/>
    </row>
    <row r="165" spans="25:28">
      <c r="Y165" s="389"/>
      <c r="Z165" s="389"/>
      <c r="AA165" s="389"/>
      <c r="AB165" s="389"/>
    </row>
    <row r="166" spans="25:28">
      <c r="Y166" s="389"/>
      <c r="Z166" s="389"/>
      <c r="AA166" s="389"/>
      <c r="AB166" s="389"/>
    </row>
    <row r="167" spans="25:28">
      <c r="Y167" s="389"/>
      <c r="Z167" s="389"/>
      <c r="AA167" s="389"/>
      <c r="AB167" s="389"/>
    </row>
    <row r="168" spans="25:28">
      <c r="Y168" s="389"/>
      <c r="Z168" s="389"/>
      <c r="AA168" s="389"/>
      <c r="AB168" s="389"/>
    </row>
    <row r="169" spans="25:28">
      <c r="Y169" s="389"/>
      <c r="Z169" s="389"/>
      <c r="AA169" s="389"/>
      <c r="AB169" s="389"/>
    </row>
    <row r="170" spans="25:28">
      <c r="Y170" s="389"/>
      <c r="Z170" s="389"/>
      <c r="AA170" s="389"/>
      <c r="AB170" s="389"/>
    </row>
    <row r="171" spans="25:28">
      <c r="Y171" s="389"/>
      <c r="Z171" s="389"/>
      <c r="AA171" s="389"/>
      <c r="AB171" s="389"/>
    </row>
    <row r="172" spans="25:28">
      <c r="Y172" s="389"/>
      <c r="Z172" s="389"/>
      <c r="AA172" s="389"/>
      <c r="AB172" s="389"/>
    </row>
    <row r="173" spans="25:28">
      <c r="Y173" s="389"/>
      <c r="Z173" s="389"/>
      <c r="AA173" s="389"/>
      <c r="AB173" s="389"/>
    </row>
    <row r="174" spans="25:28">
      <c r="Y174" s="389"/>
      <c r="Z174" s="389"/>
      <c r="AA174" s="389"/>
      <c r="AB174" s="389"/>
    </row>
    <row r="175" spans="25:28">
      <c r="Y175" s="389"/>
      <c r="Z175" s="389"/>
      <c r="AA175" s="389"/>
      <c r="AB175" s="389"/>
    </row>
    <row r="176" spans="25:28">
      <c r="Y176" s="389"/>
      <c r="Z176" s="389"/>
      <c r="AA176" s="389"/>
      <c r="AB176" s="389"/>
    </row>
    <row r="177" spans="25:28">
      <c r="Y177" s="389"/>
      <c r="Z177" s="389"/>
      <c r="AA177" s="389"/>
      <c r="AB177" s="389"/>
    </row>
    <row r="178" spans="25:28">
      <c r="Y178" s="389"/>
      <c r="Z178" s="389"/>
      <c r="AA178" s="389"/>
      <c r="AB178" s="389"/>
    </row>
    <row r="179" spans="25:28">
      <c r="Y179" s="389"/>
      <c r="Z179" s="389"/>
      <c r="AA179" s="389"/>
      <c r="AB179" s="389"/>
    </row>
    <row r="180" spans="25:28">
      <c r="Y180" s="389"/>
      <c r="Z180" s="389"/>
      <c r="AA180" s="389"/>
      <c r="AB180" s="389"/>
    </row>
    <row r="181" spans="25:28">
      <c r="Y181" s="389"/>
      <c r="Z181" s="389"/>
      <c r="AA181" s="389"/>
      <c r="AB181" s="389"/>
    </row>
    <row r="182" spans="25:28">
      <c r="Y182" s="389"/>
      <c r="Z182" s="389"/>
      <c r="AA182" s="389"/>
      <c r="AB182" s="389"/>
    </row>
    <row r="183" spans="25:28">
      <c r="Y183" s="389"/>
      <c r="Z183" s="389"/>
      <c r="AA183" s="389"/>
      <c r="AB183" s="389"/>
    </row>
    <row r="184" spans="25:28">
      <c r="Y184" s="389"/>
      <c r="Z184" s="389"/>
      <c r="AA184" s="389"/>
      <c r="AB184" s="389"/>
    </row>
    <row r="185" spans="25:28">
      <c r="Y185" s="389"/>
      <c r="Z185" s="389"/>
      <c r="AA185" s="389"/>
      <c r="AB185" s="389"/>
    </row>
    <row r="186" spans="25:28">
      <c r="Y186" s="389"/>
      <c r="Z186" s="389"/>
      <c r="AA186" s="389"/>
      <c r="AB186" s="389"/>
    </row>
    <row r="187" spans="25:28">
      <c r="Y187" s="389"/>
      <c r="Z187" s="389"/>
      <c r="AA187" s="389"/>
      <c r="AB187" s="389"/>
    </row>
    <row r="188" spans="25:28">
      <c r="Y188" s="389"/>
      <c r="Z188" s="389"/>
      <c r="AA188" s="389"/>
      <c r="AB188" s="389"/>
    </row>
    <row r="189" spans="25:28">
      <c r="Y189" s="389"/>
      <c r="Z189" s="389"/>
      <c r="AA189" s="389"/>
      <c r="AB189" s="389"/>
    </row>
    <row r="190" spans="25:28">
      <c r="Y190" s="389"/>
      <c r="Z190" s="389"/>
      <c r="AA190" s="389"/>
      <c r="AB190" s="389"/>
    </row>
    <row r="191" spans="25:28">
      <c r="Y191" s="389"/>
      <c r="Z191" s="389"/>
      <c r="AA191" s="389"/>
      <c r="AB191" s="389"/>
    </row>
    <row r="192" spans="25:28">
      <c r="Y192" s="389"/>
      <c r="Z192" s="389"/>
      <c r="AA192" s="389"/>
      <c r="AB192" s="389"/>
    </row>
    <row r="193" spans="25:28">
      <c r="Y193" s="389"/>
      <c r="Z193" s="389"/>
      <c r="AA193" s="389"/>
      <c r="AB193" s="389"/>
    </row>
    <row r="194" spans="25:28">
      <c r="Y194" s="389"/>
      <c r="Z194" s="389"/>
      <c r="AA194" s="389"/>
      <c r="AB194" s="389"/>
    </row>
    <row r="195" spans="25:28">
      <c r="Y195" s="389"/>
      <c r="Z195" s="389"/>
      <c r="AA195" s="389"/>
      <c r="AB195" s="389"/>
    </row>
    <row r="196" spans="25:28">
      <c r="Y196" s="389"/>
      <c r="Z196" s="389"/>
      <c r="AA196" s="389"/>
      <c r="AB196" s="389"/>
    </row>
    <row r="197" spans="25:28">
      <c r="Y197" s="389"/>
      <c r="Z197" s="389"/>
      <c r="AA197" s="389"/>
      <c r="AB197" s="389"/>
    </row>
    <row r="198" spans="25:28">
      <c r="Y198" s="389"/>
      <c r="Z198" s="389"/>
      <c r="AA198" s="389"/>
      <c r="AB198" s="389"/>
    </row>
    <row r="199" spans="25:28">
      <c r="Y199" s="389"/>
      <c r="Z199" s="389"/>
      <c r="AA199" s="389"/>
      <c r="AB199" s="389"/>
    </row>
    <row r="200" spans="25:28">
      <c r="Y200" s="389"/>
      <c r="Z200" s="389"/>
      <c r="AA200" s="389"/>
      <c r="AB200" s="389"/>
    </row>
    <row r="201" spans="25:28">
      <c r="Y201" s="389"/>
      <c r="Z201" s="389"/>
      <c r="AA201" s="389"/>
      <c r="AB201" s="389"/>
    </row>
    <row r="202" spans="25:28">
      <c r="Y202" s="389"/>
      <c r="Z202" s="389"/>
      <c r="AA202" s="389"/>
      <c r="AB202" s="389"/>
    </row>
    <row r="203" spans="25:28">
      <c r="Y203" s="389"/>
      <c r="Z203" s="389"/>
      <c r="AA203" s="389"/>
      <c r="AB203" s="389"/>
    </row>
    <row r="204" spans="25:28">
      <c r="Y204" s="389"/>
      <c r="Z204" s="389"/>
      <c r="AA204" s="389"/>
      <c r="AB204" s="389"/>
    </row>
    <row r="205" spans="25:28">
      <c r="Y205" s="389"/>
      <c r="Z205" s="389"/>
      <c r="AA205" s="389"/>
      <c r="AB205" s="389"/>
    </row>
    <row r="206" spans="25:28">
      <c r="Y206" s="389"/>
      <c r="Z206" s="389"/>
      <c r="AA206" s="389"/>
      <c r="AB206" s="389"/>
    </row>
    <row r="207" spans="25:28">
      <c r="Y207" s="389"/>
      <c r="Z207" s="389"/>
      <c r="AA207" s="389"/>
      <c r="AB207" s="389"/>
    </row>
    <row r="208" spans="25:28">
      <c r="Y208" s="389"/>
      <c r="Z208" s="389"/>
      <c r="AA208" s="389"/>
      <c r="AB208" s="389"/>
    </row>
    <row r="209" spans="25:28">
      <c r="Y209" s="389"/>
      <c r="Z209" s="389"/>
      <c r="AA209" s="389"/>
      <c r="AB209" s="389"/>
    </row>
    <row r="210" spans="25:28">
      <c r="Y210" s="389"/>
      <c r="Z210" s="389"/>
      <c r="AA210" s="389"/>
      <c r="AB210" s="389"/>
    </row>
    <row r="211" spans="25:28">
      <c r="Y211" s="389"/>
      <c r="Z211" s="389"/>
      <c r="AA211" s="389"/>
      <c r="AB211" s="389"/>
    </row>
  </sheetData>
  <mergeCells count="1">
    <mergeCell ref="D4:D6"/>
  </mergeCells>
  <dataValidations disablePrompts="1" count="2">
    <dataValidation type="decimal" allowBlank="1" showInputMessage="1" showErrorMessage="1" error="Must be 15% to 40%" prompt="Must be 15% to 40%" sqref="D4:E6">
      <formula1>0.15</formula1>
      <formula2>0.4</formula2>
    </dataValidation>
    <dataValidation type="decimal" allowBlank="1" showInputMessage="1" showErrorMessage="1" error="Must be 0% to 5%" prompt="Between 0% and 5%" sqref="D7:E7">
      <formula1>0</formula1>
      <formula2>0.05</formula2>
    </dataValidation>
  </dataValidation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72"/>
  <sheetViews>
    <sheetView topLeftCell="L1" workbookViewId="0">
      <selection activeCell="D51" sqref="D51"/>
    </sheetView>
  </sheetViews>
  <sheetFormatPr defaultColWidth="10.875" defaultRowHeight="15.75"/>
  <cols>
    <col min="1" max="1" width="28.375" style="278" customWidth="1"/>
    <col min="2" max="2" width="28.5" style="278" customWidth="1"/>
    <col min="3" max="3" width="19.375" style="278" customWidth="1"/>
    <col min="4" max="4" width="17.375" style="278" customWidth="1"/>
    <col min="5" max="5" width="14" style="278" customWidth="1"/>
    <col min="6" max="6" width="15.5" style="278" customWidth="1"/>
    <col min="7" max="7" width="13.375" style="278" customWidth="1"/>
    <col min="8" max="8" width="13.125" style="278" customWidth="1"/>
    <col min="9" max="9" width="11.375" style="278" customWidth="1"/>
    <col min="10" max="10" width="12" style="278" bestFit="1" customWidth="1"/>
    <col min="11" max="26" width="10.875" style="278"/>
    <col min="27" max="27" width="36.625" style="278" customWidth="1"/>
    <col min="28" max="28" width="13" style="278" customWidth="1"/>
    <col min="29" max="29" width="12.375" style="278" customWidth="1"/>
    <col min="30" max="30" width="13.875" style="278" customWidth="1"/>
    <col min="31" max="31" width="10.875" style="278"/>
    <col min="32" max="32" width="32.5" style="278" customWidth="1"/>
    <col min="33" max="33" width="14.375" style="278" customWidth="1"/>
    <col min="34" max="34" width="12" style="278" customWidth="1"/>
    <col min="35" max="35" width="11.375" style="278" bestFit="1" customWidth="1"/>
    <col min="36" max="36" width="11.5" style="278" bestFit="1" customWidth="1"/>
    <col min="37" max="16384" width="10.875" style="278"/>
  </cols>
  <sheetData>
    <row r="1" spans="1:37" ht="18.75">
      <c r="A1" s="899" t="s">
        <v>1560</v>
      </c>
      <c r="B1" s="277"/>
      <c r="D1" s="279" t="s">
        <v>180</v>
      </c>
      <c r="E1" s="280">
        <f>'Step 6a Service-Support Detail'!F56</f>
        <v>128817255.34579739</v>
      </c>
      <c r="F1"/>
      <c r="G1" s="304"/>
      <c r="H1" s="304"/>
      <c r="K1"/>
      <c r="L1"/>
      <c r="M1"/>
      <c r="N1"/>
      <c r="O1"/>
      <c r="P1"/>
      <c r="Q1"/>
      <c r="R1"/>
      <c r="S1"/>
      <c r="T1"/>
      <c r="AA1" s="175" t="s">
        <v>62</v>
      </c>
      <c r="AB1"/>
      <c r="AC1"/>
      <c r="AD1"/>
      <c r="AE1"/>
      <c r="AF1"/>
    </row>
    <row r="2" spans="1:37">
      <c r="A2" s="884"/>
      <c r="D2" s="279" t="s">
        <v>301</v>
      </c>
      <c r="E2" s="281">
        <f>'Step 2 Productivity Split'!C29</f>
        <v>0</v>
      </c>
      <c r="F2" s="282"/>
      <c r="K2"/>
      <c r="L2"/>
      <c r="M2"/>
      <c r="N2"/>
      <c r="O2"/>
      <c r="P2"/>
      <c r="Q2"/>
      <c r="R2"/>
      <c r="S2"/>
      <c r="T2"/>
      <c r="AA2" s="175" t="s">
        <v>1522</v>
      </c>
      <c r="AB2"/>
      <c r="AC2"/>
      <c r="AD2"/>
      <c r="AE2"/>
      <c r="AF2"/>
    </row>
    <row r="3" spans="1:37" ht="32.1" customHeight="1">
      <c r="A3" s="1760"/>
      <c r="B3" s="1760"/>
      <c r="C3" s="1760"/>
      <c r="D3" s="1760"/>
      <c r="E3" s="1760"/>
      <c r="F3" s="1760"/>
      <c r="K3"/>
      <c r="L3"/>
      <c r="M3"/>
      <c r="N3"/>
      <c r="O3"/>
      <c r="P3"/>
      <c r="Q3"/>
      <c r="R3"/>
      <c r="S3"/>
      <c r="T3"/>
      <c r="AA3" s="175"/>
      <c r="AB3"/>
      <c r="AC3"/>
      <c r="AD3"/>
      <c r="AE3"/>
      <c r="AF3"/>
    </row>
    <row r="4" spans="1:37">
      <c r="A4" s="1428" t="s">
        <v>1574</v>
      </c>
      <c r="B4" s="282"/>
      <c r="C4" s="282"/>
      <c r="D4" s="282"/>
      <c r="E4" s="282"/>
      <c r="F4" s="282"/>
      <c r="K4"/>
      <c r="L4"/>
      <c r="M4"/>
      <c r="N4"/>
      <c r="O4"/>
      <c r="P4"/>
      <c r="Q4"/>
      <c r="R4"/>
      <c r="S4"/>
      <c r="T4"/>
      <c r="AA4" s="176"/>
      <c r="AB4"/>
      <c r="AC4"/>
      <c r="AD4"/>
      <c r="AE4"/>
      <c r="AF4"/>
    </row>
    <row r="5" spans="1:37" ht="39">
      <c r="A5" s="282"/>
      <c r="B5" s="290"/>
      <c r="C5" s="282"/>
      <c r="D5" s="282"/>
      <c r="E5" s="291"/>
      <c r="F5"/>
      <c r="G5"/>
      <c r="K5"/>
      <c r="L5"/>
      <c r="M5"/>
      <c r="N5"/>
      <c r="O5"/>
      <c r="P5"/>
      <c r="Q5"/>
      <c r="R5"/>
      <c r="S5"/>
      <c r="T5"/>
      <c r="W5"/>
      <c r="AA5" s="278" t="s">
        <v>673</v>
      </c>
      <c r="AB5" s="527" t="s">
        <v>1523</v>
      </c>
      <c r="AC5" s="527" t="s">
        <v>1524</v>
      </c>
      <c r="AD5" s="527" t="s">
        <v>1567</v>
      </c>
      <c r="AE5"/>
      <c r="AF5" s="673" t="s">
        <v>69</v>
      </c>
      <c r="AG5" s="527" t="s">
        <v>1523</v>
      </c>
      <c r="AH5" s="527" t="s">
        <v>1524</v>
      </c>
      <c r="AI5" s="527" t="s">
        <v>1525</v>
      </c>
      <c r="AJ5" s="282"/>
      <c r="AK5" s="282"/>
    </row>
    <row r="6" spans="1:37" ht="18.75">
      <c r="A6" s="314" t="s">
        <v>316</v>
      </c>
      <c r="D6" s="282"/>
      <c r="E6" s="293"/>
      <c r="F6"/>
      <c r="G6"/>
      <c r="W6"/>
      <c r="AE6"/>
      <c r="AF6" s="177" t="s">
        <v>479</v>
      </c>
      <c r="AG6" s="44">
        <f>'Step 7 Final Adjustments'!Q6</f>
        <v>0</v>
      </c>
      <c r="AH6" s="1765">
        <f>'Step 7 Final Adjustments'!S6:S12</f>
        <v>55820357</v>
      </c>
      <c r="AI6" s="1765">
        <f>SUM(AG6:AG12)-AH6</f>
        <v>-732974.76327759027</v>
      </c>
      <c r="AK6" s="282"/>
    </row>
    <row r="7" spans="1:37">
      <c r="D7" s="282"/>
      <c r="E7" s="294"/>
      <c r="F7"/>
      <c r="G7"/>
      <c r="W7"/>
      <c r="AA7" s="179" t="s">
        <v>73</v>
      </c>
      <c r="AB7" s="381">
        <f t="shared" ref="AB7:AB17" si="0">AG16</f>
        <v>24306595.958287429</v>
      </c>
      <c r="AC7" s="381">
        <f t="shared" ref="AC7:AC17" si="1">AH16</f>
        <v>24815559</v>
      </c>
      <c r="AD7" s="381">
        <f>AB7-AC7</f>
        <v>-508963.04171257094</v>
      </c>
      <c r="AE7"/>
      <c r="AF7" s="177" t="s">
        <v>478</v>
      </c>
      <c r="AG7" s="44">
        <f>'Step 7 Final Adjustments'!Q7</f>
        <v>7259180</v>
      </c>
      <c r="AH7" s="1766"/>
      <c r="AI7" s="1766"/>
      <c r="AK7" s="282"/>
    </row>
    <row r="8" spans="1:37">
      <c r="E8" s="294"/>
      <c r="F8"/>
      <c r="G8"/>
      <c r="W8"/>
      <c r="AA8" s="54" t="s">
        <v>74</v>
      </c>
      <c r="AB8" s="382">
        <f t="shared" si="0"/>
        <v>21766302.898492426</v>
      </c>
      <c r="AC8" s="382">
        <f t="shared" si="1"/>
        <v>20462422</v>
      </c>
      <c r="AD8" s="382">
        <f>AB8-AC8</f>
        <v>1303880.8984924257</v>
      </c>
      <c r="AE8"/>
      <c r="AF8" s="177" t="s">
        <v>735</v>
      </c>
      <c r="AG8" s="44">
        <f>'Step 7 Final Adjustments'!Q8</f>
        <v>-10639942.763277592</v>
      </c>
      <c r="AH8" s="1766"/>
      <c r="AI8" s="1766"/>
      <c r="AJ8" s="674"/>
      <c r="AK8" s="1395"/>
    </row>
    <row r="9" spans="1:37">
      <c r="A9" s="296" t="s">
        <v>311</v>
      </c>
      <c r="B9" s="296"/>
      <c r="C9" s="297">
        <f>E36</f>
        <v>0</v>
      </c>
      <c r="D9" s="282"/>
      <c r="E9" s="282"/>
      <c r="F9"/>
      <c r="G9"/>
      <c r="W9"/>
      <c r="AA9" s="178" t="s">
        <v>75</v>
      </c>
      <c r="AB9" s="382">
        <f t="shared" si="0"/>
        <v>67801102.237237439</v>
      </c>
      <c r="AC9" s="382">
        <f t="shared" si="1"/>
        <v>64222079</v>
      </c>
      <c r="AD9" s="382">
        <f>AB9-AC9</f>
        <v>3579023.2372374386</v>
      </c>
      <c r="AE9"/>
      <c r="AF9" s="177" t="s">
        <v>753</v>
      </c>
      <c r="AG9" s="44">
        <f>'Step 7 Final Adjustments'!Q9</f>
        <v>10000000</v>
      </c>
      <c r="AH9" s="1766"/>
      <c r="AI9" s="1766"/>
      <c r="AK9" s="282"/>
    </row>
    <row r="10" spans="1:37">
      <c r="A10" s="296" t="s">
        <v>312</v>
      </c>
      <c r="B10" s="296"/>
      <c r="C10" s="297">
        <f>'Pools, Rates, Reference'!B26-'Dashboard-Academic Allocation'!C48</f>
        <v>-8219450.1274278611</v>
      </c>
      <c r="D10" s="282"/>
      <c r="F10" s="292"/>
      <c r="G10"/>
      <c r="W10"/>
      <c r="AA10" s="179" t="s">
        <v>76</v>
      </c>
      <c r="AB10" s="381">
        <f t="shared" si="0"/>
        <v>9534064.2899717987</v>
      </c>
      <c r="AC10" s="381">
        <f t="shared" si="1"/>
        <v>9355600</v>
      </c>
      <c r="AD10" s="381">
        <f>AB10-AC10</f>
        <v>178464.28997179866</v>
      </c>
      <c r="AE10"/>
      <c r="AF10" s="177" t="s">
        <v>480</v>
      </c>
      <c r="AG10" s="44">
        <f>'Step 7 Final Adjustments'!Q10</f>
        <v>18178922</v>
      </c>
      <c r="AH10" s="1766"/>
      <c r="AI10" s="1766"/>
      <c r="AK10" s="282"/>
    </row>
    <row r="11" spans="1:37">
      <c r="F11" s="292"/>
      <c r="G11"/>
      <c r="W11"/>
      <c r="AA11" s="54" t="s">
        <v>77</v>
      </c>
      <c r="AB11" s="382">
        <f t="shared" si="0"/>
        <v>19700561.800000001</v>
      </c>
      <c r="AC11" s="382">
        <f t="shared" si="1"/>
        <v>20440194</v>
      </c>
      <c r="AD11" s="382">
        <f t="shared" ref="AD11:AD23" si="2">AB11-AC11</f>
        <v>-739632.19999999925</v>
      </c>
      <c r="AE11"/>
      <c r="AF11" s="177" t="s">
        <v>481</v>
      </c>
      <c r="AG11" s="44">
        <f>'Step 7 Final Adjustments'!Q11</f>
        <v>4150000</v>
      </c>
      <c r="AH11" s="1766"/>
      <c r="AI11" s="1766"/>
      <c r="AK11" s="282"/>
    </row>
    <row r="12" spans="1:37" ht="33" customHeight="1" thickBot="1">
      <c r="A12" s="298"/>
      <c r="B12" s="298" t="s">
        <v>255</v>
      </c>
      <c r="C12" s="807" t="s">
        <v>746</v>
      </c>
      <c r="D12" s="807" t="s">
        <v>265</v>
      </c>
      <c r="E12" s="299" t="s">
        <v>266</v>
      </c>
      <c r="F12" s="282"/>
      <c r="G12"/>
      <c r="W12"/>
      <c r="AA12" s="178" t="s">
        <v>78</v>
      </c>
      <c r="AB12" s="382">
        <f t="shared" si="0"/>
        <v>5513657.0242793197</v>
      </c>
      <c r="AC12" s="382">
        <f t="shared" si="1"/>
        <v>4830008</v>
      </c>
      <c r="AD12" s="382">
        <f t="shared" si="2"/>
        <v>683649.02427931968</v>
      </c>
      <c r="AE12"/>
      <c r="AF12" s="177" t="s">
        <v>482</v>
      </c>
      <c r="AG12" s="44">
        <f>'Step 7 Final Adjustments'!Q12</f>
        <v>26139223</v>
      </c>
      <c r="AH12" s="44"/>
      <c r="AI12" s="384"/>
      <c r="AK12" s="282"/>
    </row>
    <row r="13" spans="1:37" ht="16.5" thickTop="1">
      <c r="A13" s="300" t="s">
        <v>69</v>
      </c>
      <c r="B13" s="282"/>
      <c r="C13" s="282"/>
      <c r="D13" s="282"/>
      <c r="E13" s="282"/>
      <c r="F13" s="295"/>
      <c r="G13"/>
      <c r="W13"/>
      <c r="AA13" s="179" t="s">
        <v>79</v>
      </c>
      <c r="AB13" s="381">
        <f t="shared" si="0"/>
        <v>44794677.217382081</v>
      </c>
      <c r="AC13" s="381">
        <f t="shared" si="1"/>
        <v>45922830</v>
      </c>
      <c r="AD13" s="381">
        <f t="shared" si="2"/>
        <v>-1128152.7826179191</v>
      </c>
      <c r="AE13"/>
      <c r="AF13" s="168"/>
      <c r="AG13" s="48"/>
      <c r="AH13" s="48"/>
      <c r="AI13" s="48"/>
      <c r="AK13" s="282"/>
    </row>
    <row r="14" spans="1:37">
      <c r="A14" s="178" t="s">
        <v>84</v>
      </c>
      <c r="B14" s="178" t="s">
        <v>257</v>
      </c>
      <c r="C14" s="301"/>
      <c r="D14" s="808"/>
      <c r="E14" s="301"/>
      <c r="F14" s="282"/>
      <c r="G14"/>
      <c r="W14"/>
      <c r="AA14" s="178" t="s">
        <v>80</v>
      </c>
      <c r="AB14" s="382">
        <f t="shared" si="0"/>
        <v>18959086.782090027</v>
      </c>
      <c r="AC14" s="382">
        <f t="shared" si="1"/>
        <v>14831995</v>
      </c>
      <c r="AD14" s="382">
        <f t="shared" si="2"/>
        <v>4127091.7820900269</v>
      </c>
      <c r="AE14"/>
      <c r="AF14" s="51" t="s">
        <v>72</v>
      </c>
      <c r="AG14" s="34"/>
      <c r="AH14" s="34"/>
      <c r="AI14" s="34"/>
      <c r="AK14" s="282"/>
    </row>
    <row r="15" spans="1:37">
      <c r="A15" s="368" t="s">
        <v>461</v>
      </c>
      <c r="B15" s="368" t="s">
        <v>745</v>
      </c>
      <c r="C15" s="302"/>
      <c r="D15" s="809"/>
      <c r="E15" s="302"/>
      <c r="G15"/>
      <c r="W15"/>
      <c r="AA15" s="178" t="s">
        <v>81</v>
      </c>
      <c r="AB15" s="383">
        <f t="shared" si="0"/>
        <v>12713781.83332295</v>
      </c>
      <c r="AC15" s="383">
        <f t="shared" si="1"/>
        <v>12737398</v>
      </c>
      <c r="AD15" s="383">
        <f t="shared" si="2"/>
        <v>-23616.166677050292</v>
      </c>
      <c r="AE15"/>
      <c r="AF15" s="1382" t="s">
        <v>1514</v>
      </c>
      <c r="AG15" s="382">
        <f>'Step 7 Final Adjustments'!Q15</f>
        <v>2000000</v>
      </c>
      <c r="AH15" s="382">
        <f>'Summary FY18 to FY19 Change'!D16</f>
        <v>0</v>
      </c>
      <c r="AI15" s="382">
        <f>AG15-AH15</f>
        <v>2000000</v>
      </c>
      <c r="AK15" s="282"/>
    </row>
    <row r="16" spans="1:37">
      <c r="A16" s="178" t="s">
        <v>89</v>
      </c>
      <c r="B16" s="178" t="s">
        <v>517</v>
      </c>
      <c r="C16" s="301"/>
      <c r="D16" s="808"/>
      <c r="E16" s="301"/>
      <c r="G16"/>
      <c r="W16"/>
      <c r="AA16" s="179" t="s">
        <v>82</v>
      </c>
      <c r="AB16" s="381">
        <f t="shared" si="0"/>
        <v>44437127.901171856</v>
      </c>
      <c r="AC16" s="381">
        <f t="shared" si="1"/>
        <v>42113801</v>
      </c>
      <c r="AD16" s="381">
        <f t="shared" si="2"/>
        <v>2323326.9011718556</v>
      </c>
      <c r="AE16"/>
      <c r="AF16" s="179" t="s">
        <v>73</v>
      </c>
      <c r="AG16" s="381">
        <f>'Step 7 Final Adjustments'!Q16</f>
        <v>24306595.958287429</v>
      </c>
      <c r="AH16" s="381">
        <f>'Summary FY18 to FY19 Change'!D17</f>
        <v>24815559</v>
      </c>
      <c r="AI16" s="381">
        <f>AG16-AH16</f>
        <v>-508963.04171257094</v>
      </c>
      <c r="AK16" s="282"/>
    </row>
    <row r="17" spans="1:37">
      <c r="A17" s="179" t="s">
        <v>93</v>
      </c>
      <c r="B17" s="179" t="s">
        <v>744</v>
      </c>
      <c r="C17" s="302"/>
      <c r="D17" s="809"/>
      <c r="E17" s="302"/>
      <c r="G17"/>
      <c r="W17"/>
      <c r="AA17" s="178" t="s">
        <v>83</v>
      </c>
      <c r="AB17" s="383">
        <f t="shared" si="0"/>
        <v>26449266.98000063</v>
      </c>
      <c r="AC17" s="383">
        <f t="shared" si="1"/>
        <v>24909417</v>
      </c>
      <c r="AD17" s="383">
        <f t="shared" si="2"/>
        <v>1539849.98000063</v>
      </c>
      <c r="AE17"/>
      <c r="AF17" s="54" t="s">
        <v>74</v>
      </c>
      <c r="AG17" s="382">
        <f>'Step 7 Final Adjustments'!Q17</f>
        <v>21766302.898492426</v>
      </c>
      <c r="AH17" s="382">
        <f>'Summary FY18 to FY19 Change'!D18</f>
        <v>20462422</v>
      </c>
      <c r="AI17" s="382">
        <f t="shared" ref="AI17:AI34" si="3">AG17-AH17</f>
        <v>1303880.8984924257</v>
      </c>
      <c r="AK17" s="282"/>
    </row>
    <row r="18" spans="1:37">
      <c r="A18" s="178" t="s">
        <v>94</v>
      </c>
      <c r="B18" s="178" t="s">
        <v>247</v>
      </c>
      <c r="C18" s="301"/>
      <c r="D18" s="808"/>
      <c r="E18" s="301"/>
      <c r="G18"/>
      <c r="W18"/>
      <c r="AA18" s="178" t="s">
        <v>85</v>
      </c>
      <c r="AB18" s="382">
        <f>AG28</f>
        <v>3042934.2942578932</v>
      </c>
      <c r="AC18" s="382">
        <f>AH28</f>
        <v>2839964</v>
      </c>
      <c r="AD18" s="382">
        <f t="shared" si="2"/>
        <v>202970.29425789323</v>
      </c>
      <c r="AE18"/>
      <c r="AF18" s="178" t="s">
        <v>75</v>
      </c>
      <c r="AG18" s="382">
        <f>'Step 7 Final Adjustments'!Q18</f>
        <v>67801102.237237439</v>
      </c>
      <c r="AH18" s="382">
        <f>'Summary FY18 to FY19 Change'!D19</f>
        <v>64222079</v>
      </c>
      <c r="AI18" s="382">
        <f t="shared" si="3"/>
        <v>3579023.2372374386</v>
      </c>
      <c r="AK18" s="282"/>
    </row>
    <row r="19" spans="1:37">
      <c r="A19" s="54" t="s">
        <v>95</v>
      </c>
      <c r="B19" s="54" t="s">
        <v>744</v>
      </c>
      <c r="C19" s="301"/>
      <c r="D19" s="808"/>
      <c r="E19" s="301"/>
      <c r="G19"/>
      <c r="W19"/>
      <c r="AA19" s="179" t="s">
        <v>462</v>
      </c>
      <c r="AB19" s="381">
        <f>AG32</f>
        <v>974528.97029279219</v>
      </c>
      <c r="AC19" s="381">
        <f>AH32</f>
        <v>838394</v>
      </c>
      <c r="AD19" s="381">
        <f t="shared" si="2"/>
        <v>136134.97029279219</v>
      </c>
      <c r="AE19"/>
      <c r="AF19" s="179" t="s">
        <v>76</v>
      </c>
      <c r="AG19" s="381">
        <f>'Step 7 Final Adjustments'!Q19</f>
        <v>9534064.2899717987</v>
      </c>
      <c r="AH19" s="381">
        <f>'Summary FY18 to FY19 Change'!D20</f>
        <v>9355600</v>
      </c>
      <c r="AI19" s="381">
        <f t="shared" si="3"/>
        <v>178464.28997179866</v>
      </c>
      <c r="AK19" s="282"/>
    </row>
    <row r="20" spans="1:37">
      <c r="A20" s="179" t="s">
        <v>96</v>
      </c>
      <c r="B20" s="179" t="s">
        <v>744</v>
      </c>
      <c r="C20" s="302"/>
      <c r="D20" s="809"/>
      <c r="E20" s="302"/>
      <c r="G20"/>
      <c r="W20"/>
      <c r="AA20" s="54" t="s">
        <v>90</v>
      </c>
      <c r="AB20" s="55">
        <f>AG34</f>
        <v>11507822.71382935</v>
      </c>
      <c r="AC20" s="55">
        <f>AH34</f>
        <v>11354044</v>
      </c>
      <c r="AD20" s="55">
        <f t="shared" si="2"/>
        <v>153778.71382934973</v>
      </c>
      <c r="AE20"/>
      <c r="AF20" s="54" t="s">
        <v>77</v>
      </c>
      <c r="AG20" s="382">
        <f>'Step 7 Final Adjustments'!Q20</f>
        <v>19700561.800000001</v>
      </c>
      <c r="AH20" s="382">
        <f>'Summary FY18 to FY19 Change'!D21</f>
        <v>20440194</v>
      </c>
      <c r="AI20" s="382">
        <f t="shared" si="3"/>
        <v>-739632.19999999925</v>
      </c>
      <c r="AK20" s="282"/>
    </row>
    <row r="21" spans="1:37">
      <c r="A21" s="178" t="s">
        <v>97</v>
      </c>
      <c r="B21" s="178" t="s">
        <v>518</v>
      </c>
      <c r="C21" s="301"/>
      <c r="D21" s="808"/>
      <c r="E21" s="301"/>
      <c r="G21"/>
      <c r="W21"/>
      <c r="AA21" s="178" t="s">
        <v>87</v>
      </c>
      <c r="AB21" s="48">
        <f>AG29</f>
        <v>20222090</v>
      </c>
      <c r="AC21" s="48">
        <f>AH29</f>
        <v>18786975</v>
      </c>
      <c r="AD21" s="48">
        <f t="shared" si="2"/>
        <v>1435115</v>
      </c>
      <c r="AE21"/>
      <c r="AF21" s="178" t="s">
        <v>78</v>
      </c>
      <c r="AG21" s="382">
        <f>'Step 7 Final Adjustments'!Q21</f>
        <v>5513657.0242793197</v>
      </c>
      <c r="AH21" s="382">
        <f>'Summary FY18 to FY19 Change'!D22</f>
        <v>4830008</v>
      </c>
      <c r="AI21" s="382">
        <f t="shared" si="3"/>
        <v>683649.02427931968</v>
      </c>
      <c r="AK21" s="282"/>
    </row>
    <row r="22" spans="1:37">
      <c r="A22" s="367" t="s">
        <v>483</v>
      </c>
      <c r="B22" s="367" t="s">
        <v>518</v>
      </c>
      <c r="C22" s="301"/>
      <c r="D22" s="808"/>
      <c r="E22" s="301"/>
      <c r="G22"/>
      <c r="W22"/>
      <c r="AA22" s="368" t="s">
        <v>88</v>
      </c>
      <c r="AB22" s="228">
        <f>AG30</f>
        <v>3440000</v>
      </c>
      <c r="AC22" s="228">
        <f>AH30</f>
        <v>3296000</v>
      </c>
      <c r="AD22" s="228">
        <f t="shared" si="2"/>
        <v>144000</v>
      </c>
      <c r="AE22"/>
      <c r="AF22" s="179" t="s">
        <v>79</v>
      </c>
      <c r="AG22" s="381">
        <f>'Step 7 Final Adjustments'!Q22</f>
        <v>44794677.217382081</v>
      </c>
      <c r="AH22" s="381">
        <f>'Summary FY18 to FY19 Change'!D23</f>
        <v>45922830</v>
      </c>
      <c r="AI22" s="381">
        <f t="shared" si="3"/>
        <v>-1128152.7826179191</v>
      </c>
      <c r="AK22" s="282"/>
    </row>
    <row r="23" spans="1:37">
      <c r="A23" s="178" t="s">
        <v>98</v>
      </c>
      <c r="B23" s="178" t="s">
        <v>251</v>
      </c>
      <c r="C23" s="301"/>
      <c r="D23" s="808"/>
      <c r="E23" s="301"/>
      <c r="G23"/>
      <c r="W23"/>
      <c r="AA23" s="371"/>
      <c r="AB23" s="371"/>
      <c r="AC23" s="371"/>
      <c r="AD23" s="371">
        <f t="shared" si="2"/>
        <v>0</v>
      </c>
      <c r="AE23"/>
      <c r="AF23" s="178" t="s">
        <v>80</v>
      </c>
      <c r="AG23" s="382">
        <f>'Step 7 Final Adjustments'!Q23</f>
        <v>18959086.782090027</v>
      </c>
      <c r="AH23" s="382">
        <f>'Summary FY18 to FY19 Change'!D24</f>
        <v>14831995</v>
      </c>
      <c r="AI23" s="382">
        <f t="shared" si="3"/>
        <v>4127091.7820900269</v>
      </c>
      <c r="AK23" s="282"/>
    </row>
    <row r="24" spans="1:37">
      <c r="A24" s="179" t="s">
        <v>99</v>
      </c>
      <c r="B24" s="179" t="s">
        <v>247</v>
      </c>
      <c r="C24" s="302"/>
      <c r="D24" s="809"/>
      <c r="E24" s="302"/>
      <c r="G24"/>
      <c r="W24"/>
      <c r="AA24" s="178"/>
      <c r="AB24" s="46"/>
      <c r="AC24" s="46"/>
      <c r="AD24" s="46"/>
      <c r="AE24"/>
      <c r="AF24" s="178" t="s">
        <v>81</v>
      </c>
      <c r="AG24" s="383">
        <f>'Step 7 Final Adjustments'!Q24</f>
        <v>12713781.83332295</v>
      </c>
      <c r="AH24" s="383">
        <f>'Summary FY18 to FY19 Change'!D25</f>
        <v>12737398</v>
      </c>
      <c r="AI24" s="383">
        <f t="shared" si="3"/>
        <v>-23616.166677050292</v>
      </c>
      <c r="AK24" s="282"/>
    </row>
    <row r="25" spans="1:37">
      <c r="A25" s="178" t="s">
        <v>484</v>
      </c>
      <c r="B25" s="178" t="s">
        <v>248</v>
      </c>
      <c r="C25" s="301"/>
      <c r="D25" s="808"/>
      <c r="E25" s="301"/>
      <c r="W25"/>
      <c r="AE25"/>
      <c r="AF25" s="179" t="s">
        <v>82</v>
      </c>
      <c r="AG25" s="381">
        <f>'Step 7 Final Adjustments'!Q25</f>
        <v>44437127.901171856</v>
      </c>
      <c r="AH25" s="381">
        <f>'Summary FY18 to FY19 Change'!D26</f>
        <v>42113801</v>
      </c>
      <c r="AI25" s="381">
        <f t="shared" si="3"/>
        <v>2323326.9011718556</v>
      </c>
      <c r="AK25" s="282"/>
    </row>
    <row r="26" spans="1:37">
      <c r="A26" s="54" t="s">
        <v>86</v>
      </c>
      <c r="B26" s="54" t="s">
        <v>682</v>
      </c>
      <c r="C26" s="301"/>
      <c r="D26" s="808"/>
      <c r="E26" s="301"/>
      <c r="G26" s="317"/>
      <c r="W26"/>
      <c r="AE26"/>
      <c r="AF26" s="178" t="s">
        <v>83</v>
      </c>
      <c r="AG26" s="383">
        <f>'Step 7 Final Adjustments'!Q26</f>
        <v>26449266.98000063</v>
      </c>
      <c r="AH26" s="383">
        <f>'Summary FY18 to FY19 Change'!D27</f>
        <v>24909417</v>
      </c>
      <c r="AI26" s="383">
        <f t="shared" si="3"/>
        <v>1539849.98000063</v>
      </c>
      <c r="AK26" s="282"/>
    </row>
    <row r="27" spans="1:37">
      <c r="A27" s="368" t="s">
        <v>100</v>
      </c>
      <c r="B27" s="368" t="s">
        <v>268</v>
      </c>
      <c r="C27" s="302"/>
      <c r="D27" s="809"/>
      <c r="E27" s="302"/>
      <c r="W27"/>
      <c r="AE27"/>
      <c r="AF27" s="178" t="s">
        <v>84</v>
      </c>
      <c r="AG27" s="382">
        <f>'Step 7 Final Adjustments'!Q27</f>
        <v>0</v>
      </c>
      <c r="AH27" s="382">
        <f>'Summary FY18 to FY19 Change'!D28</f>
        <v>543366</v>
      </c>
      <c r="AI27" s="382">
        <f t="shared" si="3"/>
        <v>-543366</v>
      </c>
      <c r="AK27" s="282"/>
    </row>
    <row r="28" spans="1:37">
      <c r="A28" s="178" t="s">
        <v>101</v>
      </c>
      <c r="B28" s="178" t="s">
        <v>518</v>
      </c>
      <c r="C28" s="301"/>
      <c r="D28" s="808"/>
      <c r="E28" s="301"/>
      <c r="W28"/>
      <c r="AE28"/>
      <c r="AF28" s="179" t="s">
        <v>85</v>
      </c>
      <c r="AG28" s="381">
        <f>'Step 7 Final Adjustments'!Q28</f>
        <v>3042934.2942578932</v>
      </c>
      <c r="AH28" s="381">
        <f>'Summary FY18 to FY19 Change'!D29</f>
        <v>2839964</v>
      </c>
      <c r="AI28" s="381">
        <f t="shared" si="3"/>
        <v>202970.29425789323</v>
      </c>
      <c r="AK28" s="282"/>
    </row>
    <row r="29" spans="1:37">
      <c r="A29" s="178" t="s">
        <v>743</v>
      </c>
      <c r="B29" s="178" t="s">
        <v>502</v>
      </c>
      <c r="C29" s="301"/>
      <c r="D29" s="808"/>
      <c r="E29" s="301"/>
      <c r="G29" s="317"/>
      <c r="W29"/>
      <c r="AE29"/>
      <c r="AF29" s="54" t="s">
        <v>87</v>
      </c>
      <c r="AG29" s="55">
        <f>'Step 7 Final Adjustments'!Q29</f>
        <v>20222090</v>
      </c>
      <c r="AH29" s="55">
        <f>'Summary FY18 to FY19 Change'!D30</f>
        <v>18786975</v>
      </c>
      <c r="AI29" s="55">
        <f t="shared" si="3"/>
        <v>1435115</v>
      </c>
      <c r="AJ29" s="282"/>
      <c r="AK29" s="282"/>
    </row>
    <row r="30" spans="1:37">
      <c r="A30" s="368" t="s">
        <v>103</v>
      </c>
      <c r="B30" s="368" t="s">
        <v>502</v>
      </c>
      <c r="C30" s="302"/>
      <c r="D30" s="809"/>
      <c r="E30" s="302"/>
      <c r="G30" s="318"/>
      <c r="W30"/>
      <c r="AE30"/>
      <c r="AF30" s="178" t="s">
        <v>88</v>
      </c>
      <c r="AG30" s="48">
        <f>'Step 7 Final Adjustments'!Q30</f>
        <v>3440000</v>
      </c>
      <c r="AH30" s="48">
        <f>'Summary FY18 to FY19 Change'!D31</f>
        <v>3296000</v>
      </c>
      <c r="AI30" s="48">
        <f t="shared" si="3"/>
        <v>144000</v>
      </c>
    </row>
    <row r="31" spans="1:37">
      <c r="A31" s="178" t="s">
        <v>104</v>
      </c>
      <c r="B31" s="178" t="s">
        <v>497</v>
      </c>
      <c r="C31" s="301"/>
      <c r="D31" s="808"/>
      <c r="E31" s="301"/>
      <c r="G31" s="318"/>
      <c r="W31"/>
      <c r="AE31"/>
      <c r="AF31" s="368" t="s">
        <v>461</v>
      </c>
      <c r="AG31" s="228">
        <f>'Step 7 Final Adjustments'!Q31</f>
        <v>832979</v>
      </c>
      <c r="AH31" s="228">
        <f>'Summary FY18 to FY19 Change'!D32</f>
        <v>4706010</v>
      </c>
      <c r="AI31" s="228">
        <f t="shared" si="3"/>
        <v>-3873031</v>
      </c>
    </row>
    <row r="32" spans="1:37">
      <c r="A32" s="178" t="s">
        <v>459</v>
      </c>
      <c r="B32" s="178" t="s">
        <v>247</v>
      </c>
      <c r="C32" s="301"/>
      <c r="D32" s="808"/>
      <c r="E32" s="301"/>
      <c r="G32" s="318"/>
      <c r="I32" s="284"/>
      <c r="W32"/>
      <c r="AA32" s="900" t="s">
        <v>84</v>
      </c>
      <c r="AB32" s="901">
        <f>AG27</f>
        <v>0</v>
      </c>
      <c r="AC32" s="901">
        <f>AH27</f>
        <v>543366</v>
      </c>
      <c r="AD32" s="901">
        <f t="shared" ref="AD32:AD53" si="4">AB32-AC32</f>
        <v>-543366</v>
      </c>
      <c r="AE32"/>
      <c r="AF32" s="367" t="s">
        <v>462</v>
      </c>
      <c r="AG32" s="55">
        <f>'Step 7 Final Adjustments'!Q32</f>
        <v>974528.97029279219</v>
      </c>
      <c r="AH32" s="55">
        <f>'Summary FY18 to FY19 Change'!D33</f>
        <v>838394</v>
      </c>
      <c r="AI32" s="55">
        <f t="shared" si="3"/>
        <v>136134.97029279219</v>
      </c>
    </row>
    <row r="33" spans="1:35">
      <c r="A33" s="386" t="s">
        <v>485</v>
      </c>
      <c r="B33" s="386" t="s">
        <v>497</v>
      </c>
      <c r="C33" s="302"/>
      <c r="D33" s="809"/>
      <c r="E33" s="302"/>
      <c r="W33"/>
      <c r="AA33" s="368" t="s">
        <v>461</v>
      </c>
      <c r="AB33" s="229">
        <f>AG31</f>
        <v>832979</v>
      </c>
      <c r="AC33" s="229">
        <f>AH31</f>
        <v>4706010</v>
      </c>
      <c r="AD33" s="229">
        <f t="shared" si="4"/>
        <v>-3873031</v>
      </c>
      <c r="AE33"/>
      <c r="AF33" s="178" t="s">
        <v>89</v>
      </c>
      <c r="AG33" s="48">
        <f>'Step 7 Final Adjustments'!Q33</f>
        <v>15220117</v>
      </c>
      <c r="AH33" s="48">
        <f>'Summary FY18 to FY19 Change'!D34</f>
        <v>14579961</v>
      </c>
      <c r="AI33" s="48">
        <f t="shared" si="3"/>
        <v>640156</v>
      </c>
    </row>
    <row r="34" spans="1:35" ht="16.5" thickBot="1">
      <c r="A34" s="810" t="s">
        <v>105</v>
      </c>
      <c r="B34" s="810" t="s">
        <v>497</v>
      </c>
      <c r="C34" s="303"/>
      <c r="D34" s="811"/>
      <c r="E34" s="303"/>
      <c r="G34" s="319"/>
      <c r="I34" s="285"/>
      <c r="W34"/>
      <c r="AA34" s="178" t="s">
        <v>89</v>
      </c>
      <c r="AB34" s="55">
        <f>AG33</f>
        <v>15220117</v>
      </c>
      <c r="AC34" s="55">
        <f>AH33</f>
        <v>14579961</v>
      </c>
      <c r="AD34" s="55">
        <f t="shared" si="4"/>
        <v>640156</v>
      </c>
      <c r="AE34"/>
      <c r="AF34" s="368" t="s">
        <v>90</v>
      </c>
      <c r="AG34" s="384">
        <f>'Step 7 Final Adjustments'!Q34</f>
        <v>11507822.71382935</v>
      </c>
      <c r="AH34" s="384">
        <f>'Summary FY18 to FY19 Change'!D35</f>
        <v>11354044</v>
      </c>
      <c r="AI34" s="384">
        <f t="shared" si="3"/>
        <v>153778.71382934973</v>
      </c>
    </row>
    <row r="35" spans="1:35" ht="16.5" thickTop="1">
      <c r="E35" s="301"/>
      <c r="G35" s="319"/>
      <c r="I35" s="285"/>
      <c r="W35"/>
      <c r="AA35" s="179" t="s">
        <v>93</v>
      </c>
      <c r="AB35" s="381">
        <f>AG39</f>
        <v>9171367.5362330936</v>
      </c>
      <c r="AC35" s="381">
        <f>AH39</f>
        <v>8383602</v>
      </c>
      <c r="AD35" s="381">
        <f t="shared" si="4"/>
        <v>787765.53623309359</v>
      </c>
      <c r="AE35"/>
      <c r="AF35" s="371" t="s">
        <v>91</v>
      </c>
      <c r="AG35" s="372">
        <f>SUM(AG15:AG34)</f>
        <v>353216696.90061599</v>
      </c>
      <c r="AH35" s="372">
        <f>SUM(AH16:AH34)</f>
        <v>341586017</v>
      </c>
      <c r="AI35" s="372">
        <f>SUM(AI16:AI34)</f>
        <v>9630679.9006159902</v>
      </c>
    </row>
    <row r="36" spans="1:35">
      <c r="E36" s="301">
        <f>SUM(E14:E34)</f>
        <v>0</v>
      </c>
      <c r="G36" s="319"/>
      <c r="I36" s="285"/>
      <c r="W36"/>
      <c r="AA36" s="179" t="s">
        <v>344</v>
      </c>
      <c r="AB36" s="381">
        <f t="shared" ref="AB36:AB53" si="5">AG40</f>
        <v>7340700</v>
      </c>
      <c r="AC36" s="381">
        <f t="shared" ref="AC36:AC53" si="6">AH40</f>
        <v>5500000</v>
      </c>
      <c r="AD36" s="381"/>
      <c r="AE36"/>
      <c r="AF36" s="178"/>
      <c r="AG36" s="46"/>
      <c r="AH36" s="46"/>
      <c r="AI36" s="46"/>
    </row>
    <row r="37" spans="1:35">
      <c r="I37" s="285"/>
      <c r="W37"/>
      <c r="AA37" s="178" t="s">
        <v>94</v>
      </c>
      <c r="AB37" s="383">
        <f t="shared" si="5"/>
        <v>4197208</v>
      </c>
      <c r="AC37" s="383">
        <f t="shared" si="6"/>
        <v>4019773</v>
      </c>
      <c r="AD37" s="383">
        <f t="shared" si="4"/>
        <v>177435</v>
      </c>
      <c r="AE37"/>
      <c r="AF37" s="168"/>
      <c r="AG37"/>
      <c r="AH37"/>
      <c r="AI37"/>
    </row>
    <row r="38" spans="1:35">
      <c r="E38" s="278" t="s">
        <v>843</v>
      </c>
      <c r="G38" s="320"/>
      <c r="I38" s="285"/>
      <c r="W38"/>
      <c r="AA38" s="54" t="s">
        <v>95</v>
      </c>
      <c r="AB38" s="383">
        <f t="shared" si="5"/>
        <v>1555540</v>
      </c>
      <c r="AC38" s="383">
        <f t="shared" si="6"/>
        <v>1435806</v>
      </c>
      <c r="AD38" s="383">
        <f t="shared" si="4"/>
        <v>119734</v>
      </c>
      <c r="AE38"/>
      <c r="AF38" s="54" t="s">
        <v>92</v>
      </c>
      <c r="AG38" s="55"/>
      <c r="AH38" s="55"/>
      <c r="AI38" s="55"/>
    </row>
    <row r="39" spans="1:35">
      <c r="I39" s="285"/>
      <c r="W39"/>
      <c r="AA39" s="179" t="s">
        <v>96</v>
      </c>
      <c r="AB39" s="381">
        <f t="shared" si="5"/>
        <v>3013719</v>
      </c>
      <c r="AC39" s="381">
        <f t="shared" si="6"/>
        <v>2953610</v>
      </c>
      <c r="AD39" s="381">
        <f t="shared" si="4"/>
        <v>60109</v>
      </c>
      <c r="AE39"/>
      <c r="AF39" s="179" t="s">
        <v>93</v>
      </c>
      <c r="AG39" s="381">
        <f>'Step 7 Final Adjustments'!Q39</f>
        <v>9171367.5362330936</v>
      </c>
      <c r="AH39" s="381">
        <f>'Summary FY18 to FY19 Change'!D40</f>
        <v>8383602</v>
      </c>
      <c r="AI39" s="381">
        <f>AG39-AH39</f>
        <v>787765.53623309359</v>
      </c>
    </row>
    <row r="40" spans="1:35">
      <c r="G40" s="288"/>
      <c r="I40" s="285"/>
      <c r="J40" s="288"/>
      <c r="W40"/>
      <c r="AA40" s="178" t="s">
        <v>97</v>
      </c>
      <c r="AB40" s="383">
        <f t="shared" si="5"/>
        <v>10531320</v>
      </c>
      <c r="AC40" s="383">
        <f t="shared" si="6"/>
        <v>9724870</v>
      </c>
      <c r="AD40" s="383">
        <f t="shared" si="4"/>
        <v>806450</v>
      </c>
      <c r="AE40"/>
      <c r="AF40" s="1424" t="s">
        <v>344</v>
      </c>
      <c r="AG40" s="381">
        <f>'Step 7 Final Adjustments'!Q40</f>
        <v>7340700</v>
      </c>
      <c r="AH40" s="381">
        <f>'Summary FY18 to FY19 Change'!D41</f>
        <v>5500000</v>
      </c>
      <c r="AI40" s="381"/>
    </row>
    <row r="41" spans="1:35">
      <c r="G41" s="288"/>
      <c r="W41"/>
      <c r="AA41" s="367" t="s">
        <v>483</v>
      </c>
      <c r="AB41" s="383">
        <f t="shared" si="5"/>
        <v>7001064</v>
      </c>
      <c r="AC41" s="383">
        <f t="shared" si="6"/>
        <v>5000049</v>
      </c>
      <c r="AD41" s="383">
        <f t="shared" si="4"/>
        <v>2001015</v>
      </c>
      <c r="AE41"/>
      <c r="AF41" s="178" t="s">
        <v>94</v>
      </c>
      <c r="AG41" s="383">
        <f>'Step 7 Final Adjustments'!Q41</f>
        <v>4197208</v>
      </c>
      <c r="AH41" s="383">
        <f>'Summary FY18 to FY19 Change'!D42</f>
        <v>4019773</v>
      </c>
      <c r="AI41" s="383">
        <f t="shared" ref="AI41:AI57" si="7">AG41-AH41</f>
        <v>177435</v>
      </c>
    </row>
    <row r="42" spans="1:35">
      <c r="W42"/>
      <c r="AA42" s="178" t="s">
        <v>98</v>
      </c>
      <c r="AB42" s="383">
        <f t="shared" si="5"/>
        <v>1930650</v>
      </c>
      <c r="AC42" s="383">
        <f t="shared" si="6"/>
        <v>3643184</v>
      </c>
      <c r="AD42" s="383">
        <f t="shared" si="4"/>
        <v>-1712534</v>
      </c>
      <c r="AE42"/>
      <c r="AF42" s="54" t="s">
        <v>95</v>
      </c>
      <c r="AG42" s="383">
        <f>'Step 7 Final Adjustments'!Q42</f>
        <v>1555540</v>
      </c>
      <c r="AH42" s="383">
        <f>'Summary FY18 to FY19 Change'!D43</f>
        <v>1435806</v>
      </c>
      <c r="AI42" s="383">
        <f t="shared" si="7"/>
        <v>119734</v>
      </c>
    </row>
    <row r="43" spans="1:35">
      <c r="W43"/>
      <c r="AA43" s="179" t="s">
        <v>99</v>
      </c>
      <c r="AB43" s="381">
        <f t="shared" si="5"/>
        <v>24224945</v>
      </c>
      <c r="AC43" s="381">
        <f t="shared" si="6"/>
        <v>19774660</v>
      </c>
      <c r="AD43" s="381">
        <f t="shared" si="4"/>
        <v>4450285</v>
      </c>
      <c r="AE43"/>
      <c r="AF43" s="179" t="s">
        <v>96</v>
      </c>
      <c r="AG43" s="381">
        <f>'Step 7 Final Adjustments'!Q43</f>
        <v>3013719</v>
      </c>
      <c r="AH43" s="381">
        <f>'Summary FY18 to FY19 Change'!D44</f>
        <v>2953610</v>
      </c>
      <c r="AI43" s="381">
        <f t="shared" si="7"/>
        <v>60109</v>
      </c>
    </row>
    <row r="44" spans="1:35" ht="15" customHeight="1">
      <c r="W44"/>
      <c r="AA44" s="178" t="s">
        <v>484</v>
      </c>
      <c r="AB44" s="383">
        <f t="shared" si="5"/>
        <v>5052176</v>
      </c>
      <c r="AC44" s="383">
        <f t="shared" si="6"/>
        <v>4501875</v>
      </c>
      <c r="AD44" s="383">
        <f t="shared" si="4"/>
        <v>550301</v>
      </c>
      <c r="AE44"/>
      <c r="AF44" s="178" t="s">
        <v>97</v>
      </c>
      <c r="AG44" s="383">
        <f>'Step 7 Final Adjustments'!Q44</f>
        <v>10531320</v>
      </c>
      <c r="AH44" s="383">
        <f>'Summary FY18 to FY19 Change'!D45</f>
        <v>9724870</v>
      </c>
      <c r="AI44" s="383">
        <f t="shared" si="7"/>
        <v>806450</v>
      </c>
    </row>
    <row r="45" spans="1:35">
      <c r="W45"/>
      <c r="AA45" s="54" t="s">
        <v>86</v>
      </c>
      <c r="AB45" s="382">
        <f t="shared" si="5"/>
        <v>1559284</v>
      </c>
      <c r="AC45" s="382">
        <f t="shared" si="6"/>
        <v>1522413</v>
      </c>
      <c r="AD45" s="382">
        <f t="shared" si="4"/>
        <v>36871</v>
      </c>
      <c r="AE45"/>
      <c r="AF45" s="367" t="s">
        <v>483</v>
      </c>
      <c r="AG45" s="383">
        <f>'Step 7 Final Adjustments'!Q45</f>
        <v>7001064</v>
      </c>
      <c r="AH45" s="383">
        <f>'Summary FY18 to FY19 Change'!D46</f>
        <v>5000049</v>
      </c>
      <c r="AI45" s="383">
        <f t="shared" si="7"/>
        <v>2001015</v>
      </c>
    </row>
    <row r="46" spans="1:35">
      <c r="W46"/>
      <c r="AA46" s="368" t="s">
        <v>100</v>
      </c>
      <c r="AB46" s="381">
        <f t="shared" si="5"/>
        <v>7933343</v>
      </c>
      <c r="AC46" s="381">
        <f t="shared" si="6"/>
        <v>7580439</v>
      </c>
      <c r="AD46" s="381">
        <f t="shared" si="4"/>
        <v>352904</v>
      </c>
      <c r="AE46"/>
      <c r="AF46" s="178" t="s">
        <v>98</v>
      </c>
      <c r="AG46" s="383">
        <f>'Step 7 Final Adjustments'!Q46</f>
        <v>1930650</v>
      </c>
      <c r="AH46" s="383">
        <f>'Summary FY18 to FY19 Change'!D47</f>
        <v>3643184</v>
      </c>
      <c r="AI46" s="383">
        <f t="shared" si="7"/>
        <v>-1712534</v>
      </c>
    </row>
    <row r="47" spans="1:35">
      <c r="W47"/>
      <c r="AA47" s="178" t="s">
        <v>101</v>
      </c>
      <c r="AB47" s="382">
        <f t="shared" si="5"/>
        <v>13106471.275</v>
      </c>
      <c r="AC47" s="382">
        <f t="shared" si="6"/>
        <v>7705927</v>
      </c>
      <c r="AD47" s="382">
        <f t="shared" si="4"/>
        <v>5400544.2750000004</v>
      </c>
      <c r="AE47"/>
      <c r="AF47" s="179" t="s">
        <v>99</v>
      </c>
      <c r="AG47" s="381">
        <f>'Step 7 Final Adjustments'!Q47</f>
        <v>24224945</v>
      </c>
      <c r="AH47" s="381">
        <f>'Summary FY18 to FY19 Change'!D48</f>
        <v>19774660</v>
      </c>
      <c r="AI47" s="381">
        <f t="shared" si="7"/>
        <v>4450285</v>
      </c>
    </row>
    <row r="48" spans="1:35">
      <c r="W48"/>
      <c r="AA48" s="178" t="s">
        <v>743</v>
      </c>
      <c r="AB48" s="383">
        <f t="shared" si="5"/>
        <v>12171097</v>
      </c>
      <c r="AC48" s="383">
        <f t="shared" si="6"/>
        <v>12025835</v>
      </c>
      <c r="AD48" s="383">
        <f t="shared" si="4"/>
        <v>145262</v>
      </c>
      <c r="AE48"/>
      <c r="AF48" s="178" t="s">
        <v>484</v>
      </c>
      <c r="AG48" s="383">
        <f>'Step 7 Final Adjustments'!Q48</f>
        <v>5052176</v>
      </c>
      <c r="AH48" s="383">
        <f>'Summary FY18 to FY19 Change'!D49</f>
        <v>4501875</v>
      </c>
      <c r="AI48" s="383">
        <f t="shared" si="7"/>
        <v>550301</v>
      </c>
    </row>
    <row r="49" spans="23:35">
      <c r="W49"/>
      <c r="AA49" s="368" t="s">
        <v>103</v>
      </c>
      <c r="AB49" s="381">
        <f t="shared" si="5"/>
        <v>26772193</v>
      </c>
      <c r="AC49" s="381">
        <f t="shared" si="6"/>
        <v>25520328</v>
      </c>
      <c r="AD49" s="381">
        <f t="shared" si="4"/>
        <v>1251865</v>
      </c>
      <c r="AE49"/>
      <c r="AF49" s="54" t="s">
        <v>86</v>
      </c>
      <c r="AG49" s="382">
        <f>'Step 7 Final Adjustments'!Q49</f>
        <v>1559284</v>
      </c>
      <c r="AH49" s="382">
        <f>'Summary FY18 to FY19 Change'!D50</f>
        <v>1522413</v>
      </c>
      <c r="AI49" s="382">
        <f t="shared" si="7"/>
        <v>36871</v>
      </c>
    </row>
    <row r="50" spans="23:35">
      <c r="W50"/>
      <c r="AA50" s="178" t="s">
        <v>104</v>
      </c>
      <c r="AB50" s="382">
        <f t="shared" si="5"/>
        <v>19057926</v>
      </c>
      <c r="AC50" s="382">
        <f t="shared" si="6"/>
        <v>17684064</v>
      </c>
      <c r="AD50" s="382">
        <f t="shared" si="4"/>
        <v>1373862</v>
      </c>
      <c r="AE50"/>
      <c r="AF50" s="368" t="s">
        <v>100</v>
      </c>
      <c r="AG50" s="381">
        <f>'Step 7 Final Adjustments'!Q50</f>
        <v>7933343</v>
      </c>
      <c r="AH50" s="381">
        <f>'Summary FY18 to FY19 Change'!D51</f>
        <v>7580439</v>
      </c>
      <c r="AI50" s="381">
        <f t="shared" si="7"/>
        <v>352904</v>
      </c>
    </row>
    <row r="51" spans="23:35">
      <c r="W51"/>
      <c r="AA51" s="178" t="s">
        <v>459</v>
      </c>
      <c r="AB51" s="382">
        <f t="shared" si="5"/>
        <v>3842928</v>
      </c>
      <c r="AC51" s="382">
        <f t="shared" si="6"/>
        <v>3700133</v>
      </c>
      <c r="AD51" s="382">
        <f t="shared" si="4"/>
        <v>142795</v>
      </c>
      <c r="AE51"/>
      <c r="AF51" s="178" t="s">
        <v>101</v>
      </c>
      <c r="AG51" s="382">
        <f>'Step 7 Final Adjustments'!Q51</f>
        <v>13106471.275</v>
      </c>
      <c r="AH51" s="382">
        <f>'Summary FY18 to FY19 Change'!D52</f>
        <v>7705927</v>
      </c>
      <c r="AI51" s="382">
        <f t="shared" si="7"/>
        <v>5400544.2750000004</v>
      </c>
    </row>
    <row r="52" spans="23:35">
      <c r="W52"/>
      <c r="AA52" s="386" t="s">
        <v>485</v>
      </c>
      <c r="AB52" s="381">
        <f t="shared" si="5"/>
        <v>2435948</v>
      </c>
      <c r="AC52" s="381">
        <f t="shared" si="6"/>
        <v>2369903</v>
      </c>
      <c r="AD52" s="381">
        <f t="shared" si="4"/>
        <v>66045</v>
      </c>
      <c r="AE52"/>
      <c r="AF52" s="178" t="s">
        <v>102</v>
      </c>
      <c r="AG52" s="383">
        <f>'Step 7 Final Adjustments'!Q52</f>
        <v>12171097</v>
      </c>
      <c r="AH52" s="383">
        <f>'Summary FY18 to FY19 Change'!D53</f>
        <v>12025835</v>
      </c>
      <c r="AI52" s="383">
        <f t="shared" si="7"/>
        <v>145262</v>
      </c>
    </row>
    <row r="53" spans="23:35">
      <c r="W53"/>
      <c r="AA53" s="902" t="s">
        <v>105</v>
      </c>
      <c r="AB53" s="392">
        <f t="shared" si="5"/>
        <v>12406376</v>
      </c>
      <c r="AC53" s="392">
        <f t="shared" si="6"/>
        <v>12372914</v>
      </c>
      <c r="AD53" s="392">
        <f t="shared" si="4"/>
        <v>33462</v>
      </c>
      <c r="AE53"/>
      <c r="AF53" s="368" t="s">
        <v>103</v>
      </c>
      <c r="AG53" s="381">
        <f>'Step 7 Final Adjustments'!Q53</f>
        <v>26772193</v>
      </c>
      <c r="AH53" s="381">
        <f>'Summary FY18 to FY19 Change'!D54</f>
        <v>25520328</v>
      </c>
      <c r="AI53" s="381">
        <f t="shared" si="7"/>
        <v>1251865</v>
      </c>
    </row>
    <row r="54" spans="23:35">
      <c r="W54"/>
      <c r="AE54"/>
      <c r="AF54" s="178" t="s">
        <v>104</v>
      </c>
      <c r="AG54" s="382">
        <f>'Step 7 Final Adjustments'!Q54</f>
        <v>19057926</v>
      </c>
      <c r="AH54" s="382">
        <f>'Summary FY18 to FY19 Change'!D55</f>
        <v>17684064</v>
      </c>
      <c r="AI54" s="382">
        <f t="shared" si="7"/>
        <v>1373862</v>
      </c>
    </row>
    <row r="55" spans="23:35">
      <c r="W55"/>
      <c r="AE55"/>
      <c r="AF55" s="178" t="s">
        <v>459</v>
      </c>
      <c r="AG55" s="382">
        <f>'Step 7 Final Adjustments'!Q55</f>
        <v>3842928</v>
      </c>
      <c r="AH55" s="382">
        <f>'Summary FY18 to FY19 Change'!D56</f>
        <v>3700133</v>
      </c>
      <c r="AI55" s="382">
        <f t="shared" si="7"/>
        <v>142795</v>
      </c>
    </row>
    <row r="56" spans="23:35">
      <c r="W56"/>
      <c r="AA56" s="178" t="s">
        <v>734</v>
      </c>
      <c r="AB56" s="674">
        <f>AG6+AG7</f>
        <v>7259180</v>
      </c>
      <c r="AE56"/>
      <c r="AF56" s="386" t="s">
        <v>485</v>
      </c>
      <c r="AG56" s="381">
        <f>'Step 7 Final Adjustments'!Q56</f>
        <v>2435948</v>
      </c>
      <c r="AH56" s="381">
        <f>'Summary FY18 to FY19 Change'!D57</f>
        <v>2369903</v>
      </c>
      <c r="AI56" s="381">
        <f t="shared" si="7"/>
        <v>66045</v>
      </c>
    </row>
    <row r="57" spans="23:35">
      <c r="W57"/>
      <c r="AA57" s="178" t="s">
        <v>733</v>
      </c>
      <c r="AB57" s="674">
        <f>AG8+AG9+AG10</f>
        <v>17538979.23672241</v>
      </c>
      <c r="AF57" s="178" t="s">
        <v>105</v>
      </c>
      <c r="AG57" s="382">
        <f>'Step 7 Final Adjustments'!Q57</f>
        <v>12406376</v>
      </c>
      <c r="AH57" s="382">
        <f>'Summary FY18 to FY19 Change'!D58</f>
        <v>12372914</v>
      </c>
      <c r="AI57" s="382">
        <f t="shared" si="7"/>
        <v>33462</v>
      </c>
    </row>
    <row r="58" spans="23:35">
      <c r="W58"/>
      <c r="AA58" s="178" t="s">
        <v>264</v>
      </c>
      <c r="AB58" s="674">
        <f>AG11</f>
        <v>4150000</v>
      </c>
      <c r="AF58" s="375" t="s">
        <v>106</v>
      </c>
      <c r="AG58" s="376">
        <f>SUM(AG39:AG57)</f>
        <v>173304255.8112331</v>
      </c>
      <c r="AH58" s="376">
        <f>SUM(AH39:AH57)</f>
        <v>155419385</v>
      </c>
      <c r="AI58" s="376">
        <f>SUM(AI39:AI57)</f>
        <v>16044170.811233094</v>
      </c>
    </row>
    <row r="59" spans="23:35" ht="16.5" thickBot="1">
      <c r="AF59" s="377" t="s">
        <v>107</v>
      </c>
      <c r="AG59" s="378">
        <f>SUM(AG6:AG12)+AG35+AG58</f>
        <v>581608334.94857144</v>
      </c>
      <c r="AH59" s="378">
        <f>SUM(AH6:AH10)+AH35+AH58</f>
        <v>552825759</v>
      </c>
      <c r="AI59" s="378"/>
    </row>
    <row r="60" spans="23:35" ht="16.5" thickTop="1">
      <c r="AB60" s="674">
        <f>SUM(AB7:AB58)</f>
        <v>553469111.94857144</v>
      </c>
      <c r="AG60"/>
      <c r="AH60"/>
    </row>
    <row r="61" spans="23:35">
      <c r="AF61" s="278" t="s">
        <v>680</v>
      </c>
      <c r="AG61" t="str">
        <f>IF(AG59='Step 0 FY18 Revenue'!L59,"Yes", "NO!!!")</f>
        <v>Yes</v>
      </c>
      <c r="AH61"/>
    </row>
    <row r="62" spans="23:35">
      <c r="AD62" s="674"/>
      <c r="AE62" s="282"/>
      <c r="AG62"/>
      <c r="AH62"/>
    </row>
    <row r="63" spans="23:35">
      <c r="AD63" s="674"/>
      <c r="AE63" s="282"/>
      <c r="AG63"/>
      <c r="AH63"/>
    </row>
    <row r="64" spans="23:35">
      <c r="AE64" s="282"/>
      <c r="AG64"/>
      <c r="AH64"/>
    </row>
    <row r="65" spans="31:40">
      <c r="AE65" s="282"/>
    </row>
    <row r="66" spans="31:40">
      <c r="AE66" s="282"/>
      <c r="AJ66" s="282"/>
      <c r="AK66" s="282"/>
      <c r="AL66" s="282"/>
      <c r="AM66" s="282"/>
      <c r="AN66" s="282"/>
    </row>
    <row r="67" spans="31:40">
      <c r="AE67" s="282"/>
      <c r="AJ67" s="282"/>
      <c r="AK67" s="282"/>
      <c r="AL67" s="282"/>
      <c r="AM67" s="282"/>
      <c r="AN67" s="282"/>
    </row>
    <row r="68" spans="31:40">
      <c r="AE68" s="282"/>
      <c r="AJ68" s="282"/>
      <c r="AK68" s="282"/>
      <c r="AL68" s="282"/>
      <c r="AM68" s="282"/>
      <c r="AN68" s="282"/>
    </row>
    <row r="69" spans="31:40">
      <c r="AE69" s="282"/>
      <c r="AF69" s="282"/>
      <c r="AG69" s="282"/>
      <c r="AH69" s="282"/>
      <c r="AI69" s="282"/>
      <c r="AJ69" s="282"/>
      <c r="AK69" s="282"/>
      <c r="AL69" s="282"/>
      <c r="AM69" s="282"/>
      <c r="AN69" s="282"/>
    </row>
    <row r="70" spans="31:40">
      <c r="AF70" s="282"/>
      <c r="AG70" s="282"/>
      <c r="AH70" s="282"/>
      <c r="AI70" s="282"/>
    </row>
    <row r="71" spans="31:40">
      <c r="AF71" s="282"/>
      <c r="AG71" s="282"/>
      <c r="AH71" s="282"/>
      <c r="AI71" s="282"/>
    </row>
    <row r="72" spans="31:40">
      <c r="AF72" s="282"/>
      <c r="AG72" s="282"/>
      <c r="AH72" s="282"/>
      <c r="AI72" s="282"/>
    </row>
  </sheetData>
  <mergeCells count="3">
    <mergeCell ref="AH6:AH11"/>
    <mergeCell ref="AI6:AI11"/>
    <mergeCell ref="A3:F3"/>
  </mergeCells>
  <pageMargins left="0.75" right="0.75" top="1" bottom="1" header="0.5" footer="0.5"/>
  <pageSetup orientation="portrait" horizontalDpi="4294967292" verticalDpi="429496729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2"/>
  <sheetViews>
    <sheetView workbookViewId="0">
      <selection activeCell="T12" sqref="T12:T28"/>
    </sheetView>
  </sheetViews>
  <sheetFormatPr defaultColWidth="11" defaultRowHeight="15.75"/>
  <cols>
    <col min="1" max="1" width="21.5" customWidth="1"/>
    <col min="8" max="8" width="12.125" customWidth="1"/>
  </cols>
  <sheetData>
    <row r="1" spans="1:22">
      <c r="A1" s="10" t="s">
        <v>567</v>
      </c>
      <c r="G1" s="1" t="s">
        <v>833</v>
      </c>
      <c r="N1" s="1023"/>
      <c r="O1" s="1023"/>
      <c r="P1" s="1023"/>
    </row>
    <row r="2" spans="1:22">
      <c r="G2" s="1" t="s">
        <v>834</v>
      </c>
    </row>
    <row r="4" spans="1:22" ht="16.5" thickBot="1"/>
    <row r="5" spans="1:22" ht="16.5" thickBot="1">
      <c r="A5" s="497" t="s">
        <v>564</v>
      </c>
      <c r="B5" s="498"/>
      <c r="C5" s="938">
        <f>'Dashboard-Academic Allocation'!D23</f>
        <v>812521.69448681897</v>
      </c>
    </row>
    <row r="8" spans="1:22">
      <c r="P8" t="s">
        <v>1348</v>
      </c>
      <c r="Q8">
        <v>18</v>
      </c>
    </row>
    <row r="10" spans="1:22" ht="19.5">
      <c r="A10" t="s">
        <v>835</v>
      </c>
      <c r="J10" s="1531"/>
      <c r="K10" s="1532" t="s">
        <v>532</v>
      </c>
      <c r="L10" s="1532" t="s">
        <v>533</v>
      </c>
      <c r="M10" s="1532" t="s">
        <v>534</v>
      </c>
      <c r="N10" s="1532" t="s">
        <v>566</v>
      </c>
      <c r="O10" s="1533" t="s">
        <v>877</v>
      </c>
      <c r="P10" s="1533" t="s">
        <v>875</v>
      </c>
      <c r="Q10" s="1533" t="s">
        <v>1034</v>
      </c>
      <c r="R10" s="1533" t="s">
        <v>1312</v>
      </c>
      <c r="S10" s="1533" t="s">
        <v>1750</v>
      </c>
      <c r="T10" s="220"/>
      <c r="U10" s="1533" t="s">
        <v>1284</v>
      </c>
    </row>
    <row r="11" spans="1:22" ht="26.25">
      <c r="A11" s="479"/>
      <c r="B11" s="480" t="s">
        <v>1372</v>
      </c>
      <c r="C11" s="480" t="s">
        <v>1373</v>
      </c>
      <c r="D11" s="480" t="s">
        <v>1374</v>
      </c>
      <c r="F11" s="480" t="s">
        <v>1376</v>
      </c>
      <c r="G11" s="480" t="s">
        <v>1754</v>
      </c>
      <c r="H11" s="480" t="s">
        <v>1377</v>
      </c>
      <c r="J11" s="976" t="s">
        <v>565</v>
      </c>
      <c r="K11" s="1534"/>
      <c r="L11" s="1534"/>
      <c r="M11" s="1534"/>
      <c r="N11" s="1534"/>
      <c r="O11" s="1534"/>
      <c r="P11" s="1534"/>
      <c r="Q11" s="1534"/>
      <c r="R11" s="1534"/>
      <c r="S11" s="1534"/>
      <c r="T11" s="1535" t="s">
        <v>836</v>
      </c>
      <c r="U11" s="1535"/>
    </row>
    <row r="12" spans="1:22">
      <c r="A12" s="481" t="s">
        <v>538</v>
      </c>
      <c r="B12" s="455">
        <f>F12*C$5</f>
        <v>8228.4465470033228</v>
      </c>
      <c r="C12" s="455">
        <f t="shared" ref="C12:C23" si="0">G12*C$5</f>
        <v>7567.5520137606845</v>
      </c>
      <c r="D12" s="455">
        <f t="shared" ref="D12:D23" si="1">H12*C$5</f>
        <v>7697.9172982291966</v>
      </c>
      <c r="F12" s="507">
        <f>SUM(L12,M12,O12)/SUM(L$31,M$31,O$31)</f>
        <v>1.0127048425704291E-2</v>
      </c>
      <c r="G12" s="507">
        <f>SUM(M12,O12,Q12)/SUM(M$31,O$31,Q$31)</f>
        <v>9.3136614875745302E-3</v>
      </c>
      <c r="H12" s="507">
        <f>(Q12+S12+O12+U12)/(Q$31+S$31+O$31+U$31)</f>
        <v>9.4741067844239264E-3</v>
      </c>
      <c r="J12" s="481" t="s">
        <v>538</v>
      </c>
      <c r="K12" s="502">
        <v>87</v>
      </c>
      <c r="L12" s="502">
        <v>71</v>
      </c>
      <c r="M12" s="502">
        <v>61</v>
      </c>
      <c r="N12" s="1016">
        <f>AVERAGE(L12:M12)</f>
        <v>66</v>
      </c>
      <c r="O12" s="455">
        <v>88</v>
      </c>
      <c r="P12" s="1016">
        <f>(M12+O12)/2</f>
        <v>74.5</v>
      </c>
      <c r="Q12" s="455">
        <v>65</v>
      </c>
      <c r="R12" s="1274">
        <v>84</v>
      </c>
      <c r="S12" s="455">
        <v>83</v>
      </c>
      <c r="T12" s="504"/>
      <c r="U12" s="504">
        <f>3*'What If Data'!T25</f>
        <v>0</v>
      </c>
      <c r="V12" s="475"/>
    </row>
    <row r="13" spans="1:22">
      <c r="A13" s="481" t="s">
        <v>6</v>
      </c>
      <c r="B13" s="455">
        <f t="shared" ref="B13:B29" si="2">F13*C$5</f>
        <v>19299.447355698703</v>
      </c>
      <c r="C13" s="455">
        <f t="shared" si="0"/>
        <v>27547.303825792402</v>
      </c>
      <c r="D13" s="455">
        <f t="shared" si="1"/>
        <v>62985.925012205837</v>
      </c>
      <c r="F13" s="507">
        <f t="shared" ref="F13:F29" si="3">SUM(L13,M13,O13)/SUM(L$31,M$31,O$31)</f>
        <v>2.3752531762106427E-2</v>
      </c>
      <c r="G13" s="507">
        <f t="shared" ref="G13:G29" si="4">SUM(M13,O13,Q13)/SUM(M$31,O$31,Q$31)</f>
        <v>3.3903468686077382E-2</v>
      </c>
      <c r="H13" s="507">
        <f t="shared" ref="H13:H23" si="5">(Q13+S13+O13+U13)/(Q$31+S$31+O$31+U$31)</f>
        <v>7.7519068647129666E-2</v>
      </c>
      <c r="J13" s="481" t="s">
        <v>6</v>
      </c>
      <c r="K13" s="502">
        <v>212</v>
      </c>
      <c r="L13" s="502">
        <v>176</v>
      </c>
      <c r="M13" s="502">
        <v>208</v>
      </c>
      <c r="N13" s="1016">
        <f t="shared" ref="N13:N23" si="6">AVERAGE(L13:M13)</f>
        <v>192</v>
      </c>
      <c r="O13" s="455">
        <v>132</v>
      </c>
      <c r="P13" s="1016">
        <f t="shared" ref="P13:P23" si="7">(M13+O13)/2</f>
        <v>170</v>
      </c>
      <c r="Q13" s="455">
        <v>439</v>
      </c>
      <c r="R13" s="1274">
        <v>1060</v>
      </c>
      <c r="S13" s="455">
        <v>1360</v>
      </c>
      <c r="T13" s="504"/>
      <c r="U13" s="504">
        <f>3*'What If Data'!T26</f>
        <v>0</v>
      </c>
    </row>
    <row r="14" spans="1:22">
      <c r="A14" s="481" t="s">
        <v>8</v>
      </c>
      <c r="B14" s="455">
        <f t="shared" si="2"/>
        <v>299.21623807284806</v>
      </c>
      <c r="C14" s="455">
        <f t="shared" si="0"/>
        <v>0</v>
      </c>
      <c r="D14" s="455">
        <f t="shared" si="1"/>
        <v>0</v>
      </c>
      <c r="F14" s="507">
        <f t="shared" si="3"/>
        <v>3.6825630638924689E-4</v>
      </c>
      <c r="G14" s="507">
        <f t="shared" si="4"/>
        <v>0</v>
      </c>
      <c r="H14" s="507">
        <f t="shared" si="5"/>
        <v>0</v>
      </c>
      <c r="J14" s="481" t="s">
        <v>8</v>
      </c>
      <c r="K14" s="502">
        <v>8</v>
      </c>
      <c r="L14" s="502">
        <v>8</v>
      </c>
      <c r="M14" s="502">
        <v>0</v>
      </c>
      <c r="N14" s="1016">
        <f t="shared" si="6"/>
        <v>4</v>
      </c>
      <c r="O14" s="455">
        <v>0</v>
      </c>
      <c r="P14" s="1016">
        <f t="shared" si="7"/>
        <v>0</v>
      </c>
      <c r="Q14" s="455">
        <v>0</v>
      </c>
      <c r="R14" s="1274">
        <f t="shared" ref="R14:R20" si="8">Q14</f>
        <v>0</v>
      </c>
      <c r="S14" s="455"/>
      <c r="T14" s="504"/>
      <c r="U14" s="504">
        <f>3*'What If Data'!T27</f>
        <v>0</v>
      </c>
    </row>
    <row r="15" spans="1:22">
      <c r="A15" s="483" t="s">
        <v>2</v>
      </c>
      <c r="B15" s="463">
        <f t="shared" si="2"/>
        <v>2019.7096069917245</v>
      </c>
      <c r="C15" s="463">
        <f t="shared" si="0"/>
        <v>1060.8717776300027</v>
      </c>
      <c r="D15" s="463">
        <f t="shared" si="1"/>
        <v>1369.9683327357043</v>
      </c>
      <c r="F15" s="509">
        <f t="shared" si="3"/>
        <v>2.4857300681274167E-3</v>
      </c>
      <c r="G15" s="509">
        <f t="shared" si="4"/>
        <v>1.3056534795665231E-3</v>
      </c>
      <c r="H15" s="507">
        <f t="shared" si="5"/>
        <v>1.6860698514652749E-3</v>
      </c>
      <c r="J15" s="483" t="s">
        <v>2</v>
      </c>
      <c r="K15" s="502">
        <v>33</v>
      </c>
      <c r="L15" s="502">
        <v>33</v>
      </c>
      <c r="M15" s="502">
        <v>0</v>
      </c>
      <c r="N15" s="1016">
        <f t="shared" si="6"/>
        <v>16.5</v>
      </c>
      <c r="O15" s="455">
        <v>21</v>
      </c>
      <c r="P15" s="1016">
        <f t="shared" si="7"/>
        <v>10.5</v>
      </c>
      <c r="Q15" s="455">
        <v>9</v>
      </c>
      <c r="R15" s="1274">
        <v>12</v>
      </c>
      <c r="S15" s="455">
        <v>12</v>
      </c>
      <c r="T15" s="504"/>
      <c r="U15" s="504">
        <f>3*'What If Data'!T28</f>
        <v>0</v>
      </c>
    </row>
    <row r="16" spans="1:22">
      <c r="A16" s="481" t="s">
        <v>10</v>
      </c>
      <c r="B16" s="455">
        <f t="shared" si="2"/>
        <v>0</v>
      </c>
      <c r="C16" s="455">
        <f t="shared" si="0"/>
        <v>0</v>
      </c>
      <c r="D16" s="455">
        <f t="shared" si="1"/>
        <v>0</v>
      </c>
      <c r="F16" s="507">
        <f t="shared" si="3"/>
        <v>0</v>
      </c>
      <c r="G16" s="507">
        <f t="shared" si="4"/>
        <v>0</v>
      </c>
      <c r="H16" s="507">
        <f t="shared" si="5"/>
        <v>0</v>
      </c>
      <c r="J16" s="481" t="s">
        <v>10</v>
      </c>
      <c r="K16" s="501">
        <v>0</v>
      </c>
      <c r="L16" s="501">
        <v>0</v>
      </c>
      <c r="M16" s="501">
        <v>0</v>
      </c>
      <c r="N16" s="1017">
        <f t="shared" si="6"/>
        <v>0</v>
      </c>
      <c r="O16" s="454">
        <v>0</v>
      </c>
      <c r="P16" s="1017">
        <f t="shared" si="7"/>
        <v>0</v>
      </c>
      <c r="Q16" s="454">
        <v>0</v>
      </c>
      <c r="R16" s="1274">
        <f t="shared" si="8"/>
        <v>0</v>
      </c>
      <c r="S16" s="455"/>
      <c r="T16" s="504"/>
      <c r="U16" s="504">
        <f>3*'What If Data'!T29</f>
        <v>0</v>
      </c>
    </row>
    <row r="17" spans="1:21">
      <c r="A17" s="481" t="s">
        <v>4</v>
      </c>
      <c r="B17" s="455">
        <f t="shared" si="2"/>
        <v>291698.4300912678</v>
      </c>
      <c r="C17" s="455">
        <f t="shared" si="0"/>
        <v>286965.81584891572</v>
      </c>
      <c r="D17" s="455">
        <f t="shared" si="1"/>
        <v>270797.07377075759</v>
      </c>
      <c r="F17" s="507">
        <f t="shared" si="3"/>
        <v>0.35900386669121709</v>
      </c>
      <c r="G17" s="507">
        <f t="shared" si="4"/>
        <v>0.35317926622274448</v>
      </c>
      <c r="H17" s="507">
        <f t="shared" si="5"/>
        <v>0.33327980730630269</v>
      </c>
      <c r="J17" s="481" t="s">
        <v>4</v>
      </c>
      <c r="K17" s="502">
        <v>2376</v>
      </c>
      <c r="L17" s="502">
        <v>2524</v>
      </c>
      <c r="M17" s="502">
        <v>2639</v>
      </c>
      <c r="N17" s="1016">
        <f t="shared" si="6"/>
        <v>2581.5</v>
      </c>
      <c r="O17" s="455">
        <v>2636</v>
      </c>
      <c r="P17" s="1016">
        <f t="shared" si="7"/>
        <v>2637.5</v>
      </c>
      <c r="Q17" s="455">
        <v>2840</v>
      </c>
      <c r="R17" s="1274">
        <v>2761</v>
      </c>
      <c r="S17" s="455">
        <v>2826</v>
      </c>
      <c r="T17" s="504"/>
      <c r="U17" s="504">
        <f>3*'What If Data'!T30</f>
        <v>0</v>
      </c>
    </row>
    <row r="18" spans="1:21">
      <c r="A18" s="481" t="s">
        <v>14</v>
      </c>
      <c r="B18" s="455">
        <f t="shared" si="2"/>
        <v>0</v>
      </c>
      <c r="C18" s="455">
        <f t="shared" si="0"/>
        <v>0</v>
      </c>
      <c r="D18" s="455">
        <f t="shared" si="1"/>
        <v>0</v>
      </c>
      <c r="F18" s="507">
        <f t="shared" si="3"/>
        <v>0</v>
      </c>
      <c r="G18" s="507">
        <f t="shared" si="4"/>
        <v>0</v>
      </c>
      <c r="H18" s="507">
        <f t="shared" si="5"/>
        <v>0</v>
      </c>
      <c r="J18" s="481" t="s">
        <v>14</v>
      </c>
      <c r="K18" s="501">
        <v>0</v>
      </c>
      <c r="L18" s="501">
        <v>0</v>
      </c>
      <c r="M18" s="501">
        <v>0</v>
      </c>
      <c r="N18" s="1017">
        <f t="shared" si="6"/>
        <v>0</v>
      </c>
      <c r="O18" s="454">
        <v>0</v>
      </c>
      <c r="P18" s="1017">
        <f t="shared" si="7"/>
        <v>0</v>
      </c>
      <c r="Q18" s="454">
        <v>0</v>
      </c>
      <c r="R18" s="1274">
        <f t="shared" si="8"/>
        <v>0</v>
      </c>
      <c r="S18" s="455"/>
      <c r="T18" s="504"/>
      <c r="U18" s="504">
        <f>3*'What If Data'!T31</f>
        <v>0</v>
      </c>
    </row>
    <row r="19" spans="1:21">
      <c r="A19" s="483" t="s">
        <v>17</v>
      </c>
      <c r="B19" s="463">
        <f t="shared" si="2"/>
        <v>138125.69590037849</v>
      </c>
      <c r="C19" s="463">
        <f t="shared" si="0"/>
        <v>132856.50895186397</v>
      </c>
      <c r="D19" s="463">
        <f t="shared" si="1"/>
        <v>126558.97930986984</v>
      </c>
      <c r="F19" s="509">
        <f t="shared" si="3"/>
        <v>0.16999631743693611</v>
      </c>
      <c r="G19" s="509">
        <f t="shared" si="4"/>
        <v>0.1635113374243809</v>
      </c>
      <c r="H19" s="507">
        <f t="shared" si="5"/>
        <v>0.15576073865917303</v>
      </c>
      <c r="J19" s="483" t="s">
        <v>17</v>
      </c>
      <c r="K19" s="502">
        <v>1082</v>
      </c>
      <c r="L19" s="502">
        <v>1284</v>
      </c>
      <c r="M19" s="502">
        <v>1216</v>
      </c>
      <c r="N19" s="1016">
        <f t="shared" si="6"/>
        <v>1250</v>
      </c>
      <c r="O19" s="455">
        <v>1193</v>
      </c>
      <c r="P19" s="1016">
        <f t="shared" si="7"/>
        <v>1204.5</v>
      </c>
      <c r="Q19" s="455">
        <v>1348</v>
      </c>
      <c r="R19" s="1274">
        <v>1570</v>
      </c>
      <c r="S19" s="455">
        <v>1339</v>
      </c>
      <c r="T19" s="504"/>
      <c r="U19" s="504">
        <f>3*'What If Data'!T32</f>
        <v>0</v>
      </c>
    </row>
    <row r="20" spans="1:21">
      <c r="A20" s="481" t="s">
        <v>324</v>
      </c>
      <c r="B20" s="455">
        <f t="shared" si="2"/>
        <v>0</v>
      </c>
      <c r="C20" s="455">
        <f t="shared" si="0"/>
        <v>0</v>
      </c>
      <c r="D20" s="455">
        <f t="shared" si="1"/>
        <v>0</v>
      </c>
      <c r="F20" s="507">
        <f t="shared" si="3"/>
        <v>0</v>
      </c>
      <c r="G20" s="507">
        <f t="shared" si="4"/>
        <v>0</v>
      </c>
      <c r="H20" s="507">
        <f t="shared" si="5"/>
        <v>0</v>
      </c>
      <c r="J20" s="481" t="s">
        <v>324</v>
      </c>
      <c r="K20" s="501">
        <v>0</v>
      </c>
      <c r="L20" s="501">
        <v>0</v>
      </c>
      <c r="M20" s="501">
        <v>0</v>
      </c>
      <c r="N20" s="1017">
        <f t="shared" si="6"/>
        <v>0</v>
      </c>
      <c r="O20" s="454">
        <v>0</v>
      </c>
      <c r="P20" s="1017">
        <f t="shared" si="7"/>
        <v>0</v>
      </c>
      <c r="Q20" s="454">
        <v>0</v>
      </c>
      <c r="R20" s="1274">
        <f t="shared" si="8"/>
        <v>0</v>
      </c>
      <c r="S20" s="455"/>
      <c r="T20" s="504"/>
      <c r="U20" s="504">
        <f>3*'What If Data'!T33</f>
        <v>0</v>
      </c>
    </row>
    <row r="21" spans="1:21">
      <c r="A21" s="481" t="s">
        <v>7</v>
      </c>
      <c r="B21" s="455">
        <f t="shared" si="2"/>
        <v>116843.94096744717</v>
      </c>
      <c r="C21" s="455">
        <f t="shared" si="0"/>
        <v>124935.33301222663</v>
      </c>
      <c r="D21" s="455">
        <f t="shared" si="1"/>
        <v>118958.91689255035</v>
      </c>
      <c r="F21" s="507">
        <f t="shared" si="3"/>
        <v>0.14380408764500091</v>
      </c>
      <c r="G21" s="507">
        <f t="shared" si="4"/>
        <v>0.15376245811028419</v>
      </c>
      <c r="H21" s="507">
        <f t="shared" si="5"/>
        <v>0.14640706543556806</v>
      </c>
      <c r="J21" s="481" t="s">
        <v>7</v>
      </c>
      <c r="K21" s="502">
        <v>736</v>
      </c>
      <c r="L21" s="502">
        <v>923</v>
      </c>
      <c r="M21" s="502">
        <v>1108</v>
      </c>
      <c r="N21" s="1016">
        <f t="shared" si="6"/>
        <v>1015.5</v>
      </c>
      <c r="O21" s="455">
        <v>1093</v>
      </c>
      <c r="P21" s="1016">
        <f t="shared" si="7"/>
        <v>1100.5</v>
      </c>
      <c r="Q21" s="455">
        <v>1332</v>
      </c>
      <c r="R21" s="1274">
        <v>1264</v>
      </c>
      <c r="S21" s="455">
        <v>1222</v>
      </c>
      <c r="T21" s="504"/>
      <c r="U21" s="504">
        <f>3*'What If Data'!T34</f>
        <v>0</v>
      </c>
    </row>
    <row r="22" spans="1:21">
      <c r="A22" s="481" t="s">
        <v>9</v>
      </c>
      <c r="B22" s="455">
        <f t="shared" si="2"/>
        <v>13240.318534723529</v>
      </c>
      <c r="C22" s="455">
        <f t="shared" si="0"/>
        <v>11775.676731693029</v>
      </c>
      <c r="D22" s="455">
        <f t="shared" si="1"/>
        <v>9883.3429718790103</v>
      </c>
      <c r="F22" s="507">
        <f t="shared" si="3"/>
        <v>1.6295341557724177E-2</v>
      </c>
      <c r="G22" s="507">
        <f t="shared" si="4"/>
        <v>1.4492753623188406E-2</v>
      </c>
      <c r="H22" s="507">
        <f t="shared" si="5"/>
        <v>1.2163789642713769E-2</v>
      </c>
      <c r="J22" s="481" t="s">
        <v>9</v>
      </c>
      <c r="K22" s="502">
        <v>51</v>
      </c>
      <c r="L22" s="502">
        <v>102</v>
      </c>
      <c r="M22" s="502">
        <v>120</v>
      </c>
      <c r="N22" s="1016">
        <f t="shared" si="6"/>
        <v>111</v>
      </c>
      <c r="O22" s="455">
        <v>132</v>
      </c>
      <c r="P22" s="1016">
        <f t="shared" si="7"/>
        <v>126</v>
      </c>
      <c r="Q22" s="455">
        <v>81</v>
      </c>
      <c r="R22" s="1274">
        <v>90</v>
      </c>
      <c r="S22" s="455">
        <v>90</v>
      </c>
      <c r="T22" s="504"/>
      <c r="U22" s="504">
        <f>3*'What If Data'!T35</f>
        <v>0</v>
      </c>
    </row>
    <row r="23" spans="1:21">
      <c r="A23" s="483" t="s">
        <v>5</v>
      </c>
      <c r="B23" s="463">
        <f t="shared" si="2"/>
        <v>8864.2810529081235</v>
      </c>
      <c r="C23" s="463">
        <f t="shared" si="0"/>
        <v>7744.3639766990182</v>
      </c>
      <c r="D23" s="463">
        <f t="shared" si="1"/>
        <v>7795.7721791388894</v>
      </c>
      <c r="F23" s="509">
        <f t="shared" si="3"/>
        <v>1.0909593076781439E-2</v>
      </c>
      <c r="G23" s="509">
        <f t="shared" si="4"/>
        <v>9.5312704008356178E-3</v>
      </c>
      <c r="H23" s="507">
        <f t="shared" si="5"/>
        <v>9.5945403452428746E-3</v>
      </c>
      <c r="J23" s="483" t="s">
        <v>5</v>
      </c>
      <c r="K23" s="502">
        <v>62</v>
      </c>
      <c r="L23" s="502">
        <v>78</v>
      </c>
      <c r="M23" s="502">
        <v>93</v>
      </c>
      <c r="N23" s="1016">
        <f t="shared" si="6"/>
        <v>85.5</v>
      </c>
      <c r="O23" s="455">
        <v>66</v>
      </c>
      <c r="P23" s="1016">
        <f t="shared" si="7"/>
        <v>79.5</v>
      </c>
      <c r="Q23" s="455">
        <v>60</v>
      </c>
      <c r="R23" s="1274">
        <v>160</v>
      </c>
      <c r="S23" s="455">
        <v>113</v>
      </c>
      <c r="T23" s="504"/>
      <c r="U23" s="504">
        <f>3*'What If Data'!T36</f>
        <v>0</v>
      </c>
    </row>
    <row r="24" spans="1:21">
      <c r="A24" s="481"/>
      <c r="B24" s="472"/>
      <c r="C24" s="472"/>
      <c r="D24" s="472"/>
      <c r="F24" s="507"/>
      <c r="G24" s="507"/>
      <c r="H24" s="507"/>
      <c r="J24" s="461"/>
      <c r="K24" s="501"/>
      <c r="L24" s="501"/>
      <c r="M24" s="501"/>
      <c r="N24" s="1017"/>
      <c r="O24" s="454"/>
      <c r="P24" s="1017"/>
      <c r="Q24" s="454"/>
      <c r="R24" s="1276"/>
      <c r="S24" s="454"/>
    </row>
    <row r="25" spans="1:21">
      <c r="A25" s="481" t="s">
        <v>541</v>
      </c>
      <c r="B25" s="455">
        <f t="shared" si="2"/>
        <v>0</v>
      </c>
      <c r="C25" s="455">
        <f>G25*C$5</f>
        <v>0</v>
      </c>
      <c r="D25" s="455">
        <f>H25*C$5</f>
        <v>0</v>
      </c>
      <c r="F25" s="507">
        <f t="shared" si="3"/>
        <v>0</v>
      </c>
      <c r="G25" s="507">
        <f t="shared" si="4"/>
        <v>0</v>
      </c>
      <c r="H25" s="507">
        <f t="shared" ref="H25:H29" si="9">(Q25+S25+O25+U25)/(Q$31+S$31+O$31+U$31)</f>
        <v>0</v>
      </c>
      <c r="J25" s="481" t="s">
        <v>541</v>
      </c>
      <c r="K25" s="501"/>
      <c r="L25" s="501"/>
      <c r="M25" s="501"/>
      <c r="N25" s="1017"/>
      <c r="O25" s="454"/>
      <c r="P25" s="1017"/>
      <c r="Q25" s="454"/>
      <c r="R25" s="1276"/>
      <c r="S25" s="454"/>
    </row>
    <row r="26" spans="1:21">
      <c r="A26" s="481" t="s">
        <v>563</v>
      </c>
      <c r="B26" s="455">
        <f t="shared" si="2"/>
        <v>0</v>
      </c>
      <c r="C26" s="455">
        <f>G26*C$5</f>
        <v>0</v>
      </c>
      <c r="D26" s="455">
        <f>H26*C$5</f>
        <v>0</v>
      </c>
      <c r="F26" s="507">
        <f t="shared" si="3"/>
        <v>0</v>
      </c>
      <c r="G26" s="507">
        <f t="shared" si="4"/>
        <v>0</v>
      </c>
      <c r="H26" s="507">
        <f t="shared" si="9"/>
        <v>0</v>
      </c>
      <c r="J26" s="481" t="s">
        <v>563</v>
      </c>
      <c r="K26" s="501"/>
      <c r="L26" s="501"/>
      <c r="M26" s="501"/>
      <c r="N26" s="1017"/>
      <c r="O26" s="454"/>
      <c r="P26" s="1017"/>
      <c r="Q26" s="454"/>
      <c r="R26" s="1276"/>
      <c r="S26" s="454"/>
    </row>
    <row r="27" spans="1:21">
      <c r="A27" s="483" t="s">
        <v>543</v>
      </c>
      <c r="B27" s="463">
        <f t="shared" si="2"/>
        <v>206571.41035954253</v>
      </c>
      <c r="C27" s="463">
        <f>G27*C$5</f>
        <v>204288.54197895082</v>
      </c>
      <c r="D27" s="463">
        <f>H27*C$5</f>
        <v>198971.59118304279</v>
      </c>
      <c r="F27" s="509">
        <f t="shared" si="3"/>
        <v>0.25423494752347636</v>
      </c>
      <c r="G27" s="509">
        <f t="shared" si="4"/>
        <v>0.2514253383818601</v>
      </c>
      <c r="H27" s="507">
        <f t="shared" si="9"/>
        <v>0.2448815736651947</v>
      </c>
      <c r="J27" s="483" t="s">
        <v>543</v>
      </c>
      <c r="K27" s="502">
        <v>1696</v>
      </c>
      <c r="L27" s="502">
        <v>1825</v>
      </c>
      <c r="M27" s="502">
        <v>1954</v>
      </c>
      <c r="N27" s="1016">
        <f>AVERAGE(L27:M27)</f>
        <v>1889.5</v>
      </c>
      <c r="O27" s="455">
        <v>1744</v>
      </c>
      <c r="P27" s="1016">
        <f>(M27+O27)/2</f>
        <v>1849</v>
      </c>
      <c r="Q27" s="455">
        <v>2079</v>
      </c>
      <c r="R27" s="1274">
        <v>2414</v>
      </c>
      <c r="S27" s="455">
        <v>2277</v>
      </c>
      <c r="T27" s="504"/>
      <c r="U27" s="504">
        <f>3*'What If Data'!T40</f>
        <v>0</v>
      </c>
    </row>
    <row r="28" spans="1:21">
      <c r="A28" s="481" t="s">
        <v>562</v>
      </c>
      <c r="B28" s="455">
        <f t="shared" si="2"/>
        <v>7330.7978327847786</v>
      </c>
      <c r="C28" s="455">
        <f>G28*C$5</f>
        <v>7779.7263692866863</v>
      </c>
      <c r="D28" s="455">
        <f>H28*C$5</f>
        <v>7502.20753640981</v>
      </c>
      <c r="F28" s="507">
        <f t="shared" si="3"/>
        <v>9.0222795065365499E-3</v>
      </c>
      <c r="G28" s="507">
        <f t="shared" si="4"/>
        <v>9.5747921834878364E-3</v>
      </c>
      <c r="H28" s="507">
        <f t="shared" si="9"/>
        <v>9.2332396627860299E-3</v>
      </c>
      <c r="J28" s="481" t="s">
        <v>562</v>
      </c>
      <c r="K28" s="501">
        <v>0</v>
      </c>
      <c r="L28" s="501">
        <v>46</v>
      </c>
      <c r="M28" s="501">
        <v>70</v>
      </c>
      <c r="N28" s="1017">
        <f>AVERAGE(L28:M28)</f>
        <v>58</v>
      </c>
      <c r="O28" s="454">
        <v>80</v>
      </c>
      <c r="P28" s="1017">
        <f>(M28+O28)/2</f>
        <v>75</v>
      </c>
      <c r="Q28" s="454">
        <v>70</v>
      </c>
      <c r="R28" s="1274">
        <v>80</v>
      </c>
      <c r="S28" s="455">
        <v>80</v>
      </c>
      <c r="T28" s="504"/>
      <c r="U28" s="504"/>
    </row>
    <row r="29" spans="1:21" ht="16.5" thickBot="1">
      <c r="A29" s="487" t="s">
        <v>545</v>
      </c>
      <c r="B29" s="455">
        <f t="shared" si="2"/>
        <v>0</v>
      </c>
      <c r="C29" s="455">
        <f>G29*C$5</f>
        <v>0</v>
      </c>
      <c r="D29" s="455">
        <f>H29*C$5</f>
        <v>0</v>
      </c>
      <c r="F29" s="507">
        <f t="shared" si="3"/>
        <v>0</v>
      </c>
      <c r="G29" s="507">
        <f t="shared" si="4"/>
        <v>0</v>
      </c>
      <c r="H29" s="507">
        <f t="shared" si="9"/>
        <v>0</v>
      </c>
      <c r="J29" s="505" t="s">
        <v>545</v>
      </c>
      <c r="K29" s="506"/>
      <c r="L29" s="506"/>
      <c r="M29" s="506"/>
      <c r="N29" s="506"/>
      <c r="O29" s="506"/>
      <c r="P29" s="506"/>
      <c r="Q29" s="506"/>
      <c r="R29" s="1294"/>
      <c r="S29" s="1294"/>
      <c r="T29" s="363"/>
      <c r="U29" s="363"/>
    </row>
    <row r="30" spans="1:21" ht="16.5" thickTop="1">
      <c r="A30" s="488"/>
      <c r="B30" s="467">
        <f>SUM(B12:B29)</f>
        <v>812521.69448681909</v>
      </c>
      <c r="C30" s="467">
        <f>SUM(C12:C29)</f>
        <v>812521.69448681897</v>
      </c>
      <c r="D30" s="467">
        <f>SUM(D12:D29)</f>
        <v>812521.69448681897</v>
      </c>
      <c r="F30" s="508">
        <f>SUM(F12:F29)</f>
        <v>1</v>
      </c>
      <c r="G30" s="508">
        <f>SUM(G12:G29)</f>
        <v>0.99999999999999989</v>
      </c>
      <c r="H30" s="508">
        <f>SUM(H12:H29)</f>
        <v>1</v>
      </c>
      <c r="J30" s="503"/>
      <c r="K30" s="501"/>
      <c r="L30" s="501"/>
      <c r="M30" s="501"/>
      <c r="N30" s="501"/>
      <c r="O30" s="501"/>
      <c r="P30" s="501"/>
      <c r="Q30" s="501"/>
      <c r="R30" s="1276"/>
      <c r="S30" s="1276"/>
    </row>
    <row r="31" spans="1:21">
      <c r="J31" s="503" t="s">
        <v>183</v>
      </c>
      <c r="K31" s="502">
        <f t="shared" ref="K31:S31" si="10">SUM(K12:K28)</f>
        <v>6343</v>
      </c>
      <c r="L31" s="502">
        <f t="shared" si="10"/>
        <v>7070</v>
      </c>
      <c r="M31" s="502">
        <f t="shared" si="10"/>
        <v>7469</v>
      </c>
      <c r="N31" s="502">
        <f t="shared" si="10"/>
        <v>7269.5</v>
      </c>
      <c r="O31" s="502">
        <f t="shared" si="10"/>
        <v>7185</v>
      </c>
      <c r="P31" s="502">
        <f t="shared" si="10"/>
        <v>7327</v>
      </c>
      <c r="Q31" s="502">
        <f t="shared" si="10"/>
        <v>8323</v>
      </c>
      <c r="R31" s="1274">
        <f t="shared" si="10"/>
        <v>9495</v>
      </c>
      <c r="S31" s="502">
        <f t="shared" si="10"/>
        <v>9402</v>
      </c>
      <c r="U31" s="502">
        <f>SUM(U12:U28)</f>
        <v>0</v>
      </c>
    </row>
    <row r="32" spans="1:21">
      <c r="J32" s="503" t="s">
        <v>550</v>
      </c>
      <c r="K32" s="502">
        <v>6339</v>
      </c>
      <c r="L32" s="502">
        <v>7060</v>
      </c>
      <c r="M32" s="502">
        <v>7459</v>
      </c>
      <c r="N32" s="502">
        <v>2749</v>
      </c>
      <c r="O32" s="502"/>
      <c r="P32" s="502"/>
      <c r="Q32" s="502"/>
      <c r="R32" s="502"/>
      <c r="S32" s="502"/>
    </row>
  </sheetData>
  <pageMargins left="0.75" right="0.75" top="1" bottom="1" header="0.5" footer="0.5"/>
  <pageSetup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112"/>
  <sheetViews>
    <sheetView topLeftCell="J28" workbookViewId="0">
      <selection activeCell="M58" sqref="M58"/>
    </sheetView>
  </sheetViews>
  <sheetFormatPr defaultColWidth="11" defaultRowHeight="15.75"/>
  <cols>
    <col min="1" max="1" width="18.5" customWidth="1"/>
    <col min="2" max="4" width="11.625" customWidth="1"/>
    <col min="5" max="5" width="10.125" style="46" customWidth="1"/>
    <col min="6" max="6" width="19.875" customWidth="1"/>
    <col min="7" max="7" width="12.625" customWidth="1"/>
    <col min="8" max="8" width="12.125" customWidth="1"/>
    <col min="9" max="9" width="12.625" customWidth="1"/>
    <col min="11" max="11" width="11.875" customWidth="1"/>
    <col min="12" max="12" width="12" style="46" customWidth="1"/>
    <col min="13" max="13" width="11.875" style="46" customWidth="1"/>
    <col min="14" max="14" width="5.625" customWidth="1"/>
    <col min="15" max="15" width="10.5" style="46" customWidth="1"/>
    <col min="16" max="16" width="11" style="46" customWidth="1"/>
    <col min="17" max="17" width="21.875" customWidth="1"/>
    <col min="29" max="29" width="22" customWidth="1"/>
    <col min="30" max="30" width="10.875" customWidth="1"/>
    <col min="31" max="31" width="10" customWidth="1"/>
    <col min="32" max="32" width="9.375" customWidth="1"/>
    <col min="35" max="35" width="13.125" customWidth="1"/>
    <col min="39" max="39" width="11.875" bestFit="1" customWidth="1"/>
  </cols>
  <sheetData>
    <row r="1" spans="1:32">
      <c r="A1" s="10" t="s">
        <v>586</v>
      </c>
      <c r="G1" s="1" t="s">
        <v>839</v>
      </c>
    </row>
    <row r="2" spans="1:32" ht="16.5" thickBot="1">
      <c r="A2" s="10"/>
      <c r="G2" s="1" t="s">
        <v>840</v>
      </c>
      <c r="L2"/>
      <c r="M2"/>
      <c r="O2"/>
      <c r="AE2" s="46"/>
    </row>
    <row r="3" spans="1:32" ht="16.5" thickBot="1">
      <c r="A3" s="438" t="s">
        <v>298</v>
      </c>
      <c r="B3" s="439" t="s">
        <v>255</v>
      </c>
      <c r="C3" s="439"/>
      <c r="D3" s="440" t="s">
        <v>299</v>
      </c>
      <c r="E3" s="510"/>
      <c r="F3" s="154"/>
      <c r="G3" s="154"/>
      <c r="L3"/>
      <c r="M3"/>
      <c r="O3"/>
      <c r="P3" s="441"/>
      <c r="AE3" s="46"/>
    </row>
    <row r="4" spans="1:32">
      <c r="A4" s="442" t="s">
        <v>258</v>
      </c>
      <c r="B4" s="443" t="s">
        <v>569</v>
      </c>
      <c r="C4" s="443"/>
      <c r="D4" s="959">
        <f>'Dashboard-Academic Allocation'!C24</f>
        <v>0.15</v>
      </c>
      <c r="E4" s="945">
        <f>D4/(D4+D5)</f>
        <v>0.6</v>
      </c>
      <c r="F4" s="154"/>
      <c r="G4" s="154"/>
      <c r="L4"/>
      <c r="M4"/>
      <c r="O4"/>
      <c r="P4" s="155"/>
      <c r="AE4" s="46"/>
    </row>
    <row r="5" spans="1:32" ht="16.5" thickBot="1">
      <c r="A5" s="511"/>
      <c r="B5" s="512" t="s">
        <v>570</v>
      </c>
      <c r="C5" s="512"/>
      <c r="D5" s="960">
        <f>'Dashboard-Academic Allocation'!C25</f>
        <v>0.1</v>
      </c>
      <c r="E5" s="947">
        <f>1-E4</f>
        <v>0.4</v>
      </c>
      <c r="F5" s="154"/>
      <c r="G5" s="154"/>
      <c r="L5"/>
      <c r="M5"/>
      <c r="O5"/>
      <c r="P5" s="154"/>
    </row>
    <row r="6" spans="1:32">
      <c r="L6"/>
      <c r="M6"/>
      <c r="O6"/>
      <c r="P6"/>
    </row>
    <row r="7" spans="1:32">
      <c r="F7" s="10"/>
      <c r="L7"/>
      <c r="M7"/>
      <c r="O7"/>
      <c r="P7"/>
      <c r="Q7" s="10"/>
    </row>
    <row r="8" spans="1:32" ht="16.5" thickBot="1">
      <c r="L8"/>
      <c r="M8"/>
      <c r="O8"/>
      <c r="P8"/>
      <c r="U8" s="474"/>
      <c r="V8" s="474"/>
      <c r="W8" s="474"/>
      <c r="X8" s="474"/>
      <c r="Y8" s="474"/>
      <c r="Z8" s="474"/>
      <c r="AA8" s="474"/>
    </row>
    <row r="9" spans="1:32" ht="16.5" thickBot="1">
      <c r="A9" s="497" t="s">
        <v>568</v>
      </c>
      <c r="B9" s="498"/>
      <c r="C9" s="498"/>
      <c r="D9" s="938">
        <f>'Dashboard-Academic Allocation'!D24+'Dashboard-Academic Allocation'!D25</f>
        <v>40626084.724340945</v>
      </c>
      <c r="O9"/>
      <c r="P9"/>
      <c r="Q9" s="452"/>
    </row>
    <row r="10" spans="1:32" ht="16.5" thickBot="1">
      <c r="O10"/>
      <c r="P10"/>
      <c r="Q10" s="454"/>
      <c r="R10" s="154"/>
      <c r="S10" s="154"/>
      <c r="T10" s="154"/>
      <c r="U10" s="154"/>
      <c r="V10" s="154"/>
      <c r="W10" s="154"/>
      <c r="X10" s="154"/>
      <c r="Y10" s="154"/>
      <c r="Z10" s="154"/>
      <c r="AA10" s="154"/>
    </row>
    <row r="11" spans="1:32" ht="16.5" thickBot="1">
      <c r="O11"/>
      <c r="P11"/>
      <c r="Q11" s="454"/>
      <c r="R11" s="455"/>
      <c r="S11" s="455"/>
      <c r="T11" s="455"/>
      <c r="U11" s="456"/>
      <c r="V11" s="456"/>
      <c r="W11" s="456"/>
      <c r="X11" s="456"/>
      <c r="Y11" s="456"/>
      <c r="Z11" s="456"/>
      <c r="AA11" s="456"/>
      <c r="AC11" s="948" t="s">
        <v>807</v>
      </c>
      <c r="AD11" s="813" t="s">
        <v>527</v>
      </c>
    </row>
    <row r="12" spans="1:32">
      <c r="O12"/>
      <c r="P12"/>
      <c r="Q12" s="454"/>
      <c r="R12" s="454"/>
      <c r="S12" s="454"/>
      <c r="T12" s="454"/>
      <c r="U12" s="454"/>
      <c r="V12" s="454"/>
      <c r="W12" s="454"/>
      <c r="X12" s="454"/>
      <c r="Y12" s="454"/>
      <c r="Z12" s="454"/>
      <c r="AA12" s="454"/>
    </row>
    <row r="13" spans="1:32">
      <c r="O13"/>
      <c r="P13"/>
      <c r="Q13" s="457"/>
      <c r="R13" s="455"/>
      <c r="S13" s="455"/>
      <c r="T13" s="455"/>
      <c r="U13" s="458"/>
      <c r="V13" s="458"/>
      <c r="W13" s="458"/>
      <c r="X13" s="458"/>
      <c r="Y13" s="458"/>
      <c r="Z13" s="458"/>
      <c r="AA13" s="458"/>
    </row>
    <row r="14" spans="1:32" ht="51.75">
      <c r="O14" s="395" t="s">
        <v>577</v>
      </c>
      <c r="P14"/>
      <c r="AC14" s="526" t="s">
        <v>578</v>
      </c>
      <c r="AD14" s="527" t="s">
        <v>579</v>
      </c>
      <c r="AE14" s="527" t="s">
        <v>805</v>
      </c>
      <c r="AF14" s="527" t="s">
        <v>806</v>
      </c>
    </row>
    <row r="15" spans="1:32">
      <c r="A15" s="478" t="s">
        <v>584</v>
      </c>
      <c r="B15" s="217"/>
      <c r="C15" s="217"/>
      <c r="D15" s="217"/>
      <c r="F15" s="478" t="s">
        <v>581</v>
      </c>
      <c r="G15" s="478"/>
      <c r="H15" s="478"/>
      <c r="I15" s="478"/>
      <c r="J15" s="478"/>
      <c r="K15" s="478"/>
      <c r="L15" s="478"/>
      <c r="M15" s="478"/>
      <c r="O15"/>
      <c r="P15"/>
      <c r="Q15" s="569" t="s">
        <v>547</v>
      </c>
      <c r="R15" s="460"/>
      <c r="S15" s="460"/>
      <c r="T15" s="460"/>
      <c r="U15" s="460"/>
      <c r="V15" s="460"/>
      <c r="W15" s="460"/>
      <c r="X15" s="460"/>
      <c r="Y15" s="460"/>
      <c r="Z15" s="460"/>
      <c r="AA15" s="460"/>
      <c r="AC15" s="154"/>
      <c r="AD15" s="154"/>
      <c r="AE15" s="154"/>
      <c r="AF15" s="154"/>
    </row>
    <row r="16" spans="1:32" ht="38.25">
      <c r="A16" s="479"/>
      <c r="B16" s="480" t="s">
        <v>847</v>
      </c>
      <c r="C16" s="480" t="s">
        <v>942</v>
      </c>
      <c r="D16" s="480" t="s">
        <v>1374</v>
      </c>
      <c r="E16" s="496"/>
      <c r="F16" s="479"/>
      <c r="G16" s="480" t="s">
        <v>1383</v>
      </c>
      <c r="H16" s="480" t="s">
        <v>1384</v>
      </c>
      <c r="I16" s="480" t="s">
        <v>1385</v>
      </c>
      <c r="J16" s="479"/>
      <c r="K16" s="480" t="s">
        <v>1387</v>
      </c>
      <c r="L16" s="480" t="s">
        <v>1388</v>
      </c>
      <c r="M16" s="480" t="s">
        <v>1315</v>
      </c>
      <c r="P16"/>
      <c r="Q16" s="973"/>
      <c r="R16" s="477" t="s">
        <v>532</v>
      </c>
      <c r="S16" s="477" t="s">
        <v>533</v>
      </c>
      <c r="T16" s="477" t="s">
        <v>534</v>
      </c>
      <c r="U16" s="477" t="s">
        <v>555</v>
      </c>
      <c r="V16" s="477" t="s">
        <v>879</v>
      </c>
      <c r="W16" s="477" t="s">
        <v>875</v>
      </c>
      <c r="X16" s="477" t="s">
        <v>1034</v>
      </c>
      <c r="Y16" s="477" t="s">
        <v>1345</v>
      </c>
      <c r="Z16" s="477" t="s">
        <v>1750</v>
      </c>
      <c r="AA16" s="477" t="s">
        <v>1257</v>
      </c>
    </row>
    <row r="17" spans="1:46">
      <c r="A17" s="481" t="s">
        <v>538</v>
      </c>
      <c r="B17" s="455">
        <f>B42*D$9</f>
        <v>4758981.1138407718</v>
      </c>
      <c r="C17" s="455">
        <f>C42*D$9</f>
        <v>4433457.294218854</v>
      </c>
      <c r="D17" s="455">
        <f>D42*D$9</f>
        <v>4062828.4382634559</v>
      </c>
      <c r="E17" s="455"/>
      <c r="F17" s="481" t="s">
        <v>538</v>
      </c>
      <c r="G17" s="543">
        <f>K17/K$35</f>
        <v>9.8521884410571026E-2</v>
      </c>
      <c r="H17" s="543">
        <f>L17/L$35</f>
        <v>9.1513109057462322E-2</v>
      </c>
      <c r="I17" s="543">
        <f>M17/M$35</f>
        <v>8.325843903584014E-2</v>
      </c>
      <c r="J17" s="192"/>
      <c r="K17" s="455">
        <f>O17*(S17+T17+V17)</f>
        <v>77379.621673600544</v>
      </c>
      <c r="L17" s="455">
        <f>O17*(T17+V17+X17)</f>
        <v>74100.039757739447</v>
      </c>
      <c r="M17" s="455">
        <f>O17*(X17+Z17+V17+AA17)</f>
        <v>68893.32356528769</v>
      </c>
      <c r="O17" s="949">
        <f>AF17</f>
        <v>1.3814582627890051</v>
      </c>
      <c r="P17"/>
      <c r="Q17" s="481" t="s">
        <v>538</v>
      </c>
      <c r="R17" s="455">
        <v>17403</v>
      </c>
      <c r="S17" s="455">
        <v>19218</v>
      </c>
      <c r="T17" s="455">
        <v>18548</v>
      </c>
      <c r="U17" s="1016">
        <v>19562.171582015028</v>
      </c>
      <c r="V17" s="455">
        <v>18247</v>
      </c>
      <c r="W17" s="1016">
        <v>20066.226515046277</v>
      </c>
      <c r="X17" s="455">
        <v>16844</v>
      </c>
      <c r="Y17" s="1016">
        <v>14507.233487586982</v>
      </c>
      <c r="Z17" s="1647">
        <v>14779</v>
      </c>
      <c r="AA17" s="455">
        <f>3*'What If Data'!E25</f>
        <v>0</v>
      </c>
      <c r="AC17" s="481" t="s">
        <v>538</v>
      </c>
      <c r="AD17" s="1024">
        <v>1.3814582627890051</v>
      </c>
      <c r="AE17" s="870">
        <v>1</v>
      </c>
      <c r="AF17" s="870">
        <f>IF(AD$11="yes",AD17,AE17)</f>
        <v>1.3814582627890051</v>
      </c>
    </row>
    <row r="18" spans="1:46">
      <c r="A18" s="481" t="s">
        <v>6</v>
      </c>
      <c r="B18" s="455">
        <f t="shared" ref="B18:B28" si="0">B43*D$9</f>
        <v>5350504.6232129745</v>
      </c>
      <c r="C18" s="455">
        <f t="shared" ref="C18:C34" si="1">C43*D$9</f>
        <v>4926773.486351137</v>
      </c>
      <c r="D18" s="455">
        <f t="shared" ref="D18:D34" si="2">D43*D$9</f>
        <v>5008750.544583492</v>
      </c>
      <c r="E18" s="455"/>
      <c r="F18" s="481" t="s">
        <v>6</v>
      </c>
      <c r="G18" s="543">
        <f t="shared" ref="G18:H28" si="3">K18/K$35</f>
        <v>0.13552175534354169</v>
      </c>
      <c r="H18" s="543">
        <f>L18/L$35</f>
        <v>0.13045655004647772</v>
      </c>
      <c r="I18" s="543">
        <f t="shared" ref="I18:I28" si="4">M18/M$35</f>
        <v>0.13126825994232649</v>
      </c>
      <c r="J18" s="192"/>
      <c r="K18" s="455">
        <f t="shared" ref="K18:K28" si="5">O18*(S18+T18+V18)</f>
        <v>106439.52071932085</v>
      </c>
      <c r="L18" s="455">
        <f t="shared" ref="L18:L28" si="6">O18*(T18+V18+X18)</f>
        <v>105633.34198416959</v>
      </c>
      <c r="M18" s="455">
        <f t="shared" ref="M18:M28" si="7">O18*(X18+Z18+V18+AA18)</f>
        <v>108619.70042659636</v>
      </c>
      <c r="O18" s="949">
        <f t="shared" ref="O18:O34" si="8">AF18</f>
        <v>0.92029535976171861</v>
      </c>
      <c r="P18"/>
      <c r="Q18" s="481" t="s">
        <v>6</v>
      </c>
      <c r="R18" s="455">
        <v>39935</v>
      </c>
      <c r="S18" s="455">
        <v>40868</v>
      </c>
      <c r="T18" s="455">
        <v>38014</v>
      </c>
      <c r="U18" s="1016">
        <v>35990.111966232194</v>
      </c>
      <c r="V18" s="455">
        <v>36776</v>
      </c>
      <c r="W18" s="1016">
        <v>36864.049488457465</v>
      </c>
      <c r="X18" s="455">
        <v>39992</v>
      </c>
      <c r="Y18" s="1016">
        <v>41900.983268854856</v>
      </c>
      <c r="Z18" s="1647">
        <v>41259</v>
      </c>
      <c r="AA18" s="455">
        <f>3*'What If Data'!E26</f>
        <v>0</v>
      </c>
      <c r="AC18" s="481" t="s">
        <v>6</v>
      </c>
      <c r="AD18" s="1025">
        <v>0.92029535976171861</v>
      </c>
      <c r="AE18" s="870">
        <v>1</v>
      </c>
      <c r="AF18" s="870">
        <f t="shared" ref="AF18:AF28" si="9">IF(AD$11="yes",AD18,AE18)</f>
        <v>0.92029535976171861</v>
      </c>
      <c r="AN18" s="10"/>
      <c r="AO18" s="10"/>
      <c r="AP18" s="10"/>
      <c r="AQ18" s="10"/>
      <c r="AR18" s="10"/>
      <c r="AS18" s="10"/>
      <c r="AT18" s="10"/>
    </row>
    <row r="19" spans="1:46">
      <c r="A19" s="481" t="s">
        <v>8</v>
      </c>
      <c r="B19" s="455">
        <f t="shared" si="0"/>
        <v>286429.534772749</v>
      </c>
      <c r="C19" s="455">
        <f t="shared" si="1"/>
        <v>221400.49460211492</v>
      </c>
      <c r="D19" s="455">
        <f t="shared" si="2"/>
        <v>246651.00639659457</v>
      </c>
      <c r="E19" s="455"/>
      <c r="F19" s="481" t="s">
        <v>8</v>
      </c>
      <c r="G19" s="543">
        <f t="shared" si="3"/>
        <v>5.7290767825742971E-4</v>
      </c>
      <c r="H19" s="543">
        <f t="shared" si="3"/>
        <v>8.7407584448383441E-4</v>
      </c>
      <c r="I19" s="543">
        <f t="shared" si="4"/>
        <v>1.2223902294771561E-3</v>
      </c>
      <c r="J19" s="192"/>
      <c r="K19" s="455">
        <f t="shared" si="5"/>
        <v>449.96479373778794</v>
      </c>
      <c r="L19" s="455">
        <f t="shared" si="6"/>
        <v>707.75712348339562</v>
      </c>
      <c r="M19" s="455">
        <f t="shared" si="7"/>
        <v>1011.4833592564025</v>
      </c>
      <c r="O19" s="949">
        <f t="shared" si="8"/>
        <v>0.93742665362039157</v>
      </c>
      <c r="P19"/>
      <c r="Q19" s="481" t="s">
        <v>8</v>
      </c>
      <c r="R19" s="455">
        <v>227</v>
      </c>
      <c r="S19" s="455">
        <v>94</v>
      </c>
      <c r="T19" s="455">
        <v>141</v>
      </c>
      <c r="U19" s="1016">
        <v>154</v>
      </c>
      <c r="V19" s="455">
        <v>245</v>
      </c>
      <c r="W19" s="1016">
        <v>160</v>
      </c>
      <c r="X19" s="455">
        <v>369</v>
      </c>
      <c r="Y19" s="1016">
        <v>538.16526019690582</v>
      </c>
      <c r="Z19" s="1647">
        <v>465</v>
      </c>
      <c r="AA19" s="455">
        <f>3*'What If Data'!E27</f>
        <v>0</v>
      </c>
      <c r="AC19" s="481" t="s">
        <v>8</v>
      </c>
      <c r="AD19" s="1025">
        <v>0.93742665362039157</v>
      </c>
      <c r="AE19" s="870">
        <v>1</v>
      </c>
      <c r="AF19" s="870">
        <f t="shared" si="9"/>
        <v>0.93742665362039157</v>
      </c>
    </row>
    <row r="20" spans="1:46">
      <c r="A20" s="483" t="s">
        <v>2</v>
      </c>
      <c r="B20" s="463">
        <f t="shared" si="0"/>
        <v>1416001.7454324567</v>
      </c>
      <c r="C20" s="463">
        <f t="shared" si="1"/>
        <v>1249127.8050971606</v>
      </c>
      <c r="D20" s="463">
        <f t="shared" si="2"/>
        <v>1216033.8803664767</v>
      </c>
      <c r="E20" s="463"/>
      <c r="F20" s="483" t="s">
        <v>2</v>
      </c>
      <c r="G20" s="544">
        <f t="shared" si="3"/>
        <v>2.7891266772422478E-2</v>
      </c>
      <c r="H20" s="544">
        <f t="shared" si="3"/>
        <v>2.6190558581966117E-2</v>
      </c>
      <c r="I20" s="544">
        <f t="shared" si="4"/>
        <v>2.6022018721686579E-2</v>
      </c>
      <c r="J20" s="192"/>
      <c r="K20" s="455">
        <f t="shared" si="5"/>
        <v>21905.951999999997</v>
      </c>
      <c r="L20" s="455">
        <f t="shared" si="6"/>
        <v>21207.031999999999</v>
      </c>
      <c r="M20" s="455">
        <f t="shared" si="7"/>
        <v>21532.271999999997</v>
      </c>
      <c r="O20" s="949">
        <f t="shared" si="8"/>
        <v>1.3839999999999999</v>
      </c>
      <c r="P20"/>
      <c r="Q20" s="483" t="s">
        <v>2</v>
      </c>
      <c r="R20" s="463">
        <v>5328</v>
      </c>
      <c r="S20" s="463">
        <v>5857</v>
      </c>
      <c r="T20" s="463">
        <v>5271</v>
      </c>
      <c r="U20" s="1019">
        <v>3810.7121961561829</v>
      </c>
      <c r="V20" s="463">
        <v>4700</v>
      </c>
      <c r="W20" s="1019">
        <v>4995.6925975422027</v>
      </c>
      <c r="X20" s="463">
        <v>5352</v>
      </c>
      <c r="Y20" s="1019">
        <v>5809.7690097476361</v>
      </c>
      <c r="Z20" s="1650">
        <v>5506</v>
      </c>
      <c r="AA20" s="455">
        <f>3*'What If Data'!E28</f>
        <v>0</v>
      </c>
      <c r="AC20" s="483" t="s">
        <v>2</v>
      </c>
      <c r="AD20" s="1026">
        <v>1.3839999999999999</v>
      </c>
      <c r="AE20" s="871">
        <v>1</v>
      </c>
      <c r="AF20" s="871">
        <f t="shared" si="9"/>
        <v>1.3839999999999999</v>
      </c>
    </row>
    <row r="21" spans="1:46" s="10" customFormat="1">
      <c r="A21" s="481" t="s">
        <v>10</v>
      </c>
      <c r="B21" s="454">
        <f t="shared" si="0"/>
        <v>0</v>
      </c>
      <c r="C21" s="454">
        <f t="shared" si="1"/>
        <v>0</v>
      </c>
      <c r="D21" s="454">
        <f t="shared" si="2"/>
        <v>0</v>
      </c>
      <c r="E21" s="454"/>
      <c r="F21" s="481" t="s">
        <v>10</v>
      </c>
      <c r="G21" s="543">
        <f t="shared" si="3"/>
        <v>0</v>
      </c>
      <c r="H21" s="543">
        <f t="shared" si="3"/>
        <v>0</v>
      </c>
      <c r="I21" s="543">
        <f t="shared" si="4"/>
        <v>0</v>
      </c>
      <c r="J21" s="192"/>
      <c r="K21" s="455">
        <f t="shared" si="5"/>
        <v>0</v>
      </c>
      <c r="L21" s="455">
        <f t="shared" si="6"/>
        <v>0</v>
      </c>
      <c r="M21" s="455">
        <f t="shared" si="7"/>
        <v>0</v>
      </c>
      <c r="N21"/>
      <c r="O21" s="949">
        <f t="shared" si="8"/>
        <v>0</v>
      </c>
      <c r="P21"/>
      <c r="Q21" s="481" t="s">
        <v>10</v>
      </c>
      <c r="R21" s="454">
        <v>0</v>
      </c>
      <c r="S21" s="454">
        <v>0</v>
      </c>
      <c r="T21" s="454">
        <v>0</v>
      </c>
      <c r="U21" s="1017">
        <v>0</v>
      </c>
      <c r="V21" s="454">
        <v>0</v>
      </c>
      <c r="W21" s="1017">
        <v>0</v>
      </c>
      <c r="X21" s="454">
        <v>37</v>
      </c>
      <c r="Y21" s="1016">
        <v>0</v>
      </c>
      <c r="Z21" s="1648">
        <v>0</v>
      </c>
      <c r="AA21" s="455">
        <f>3*'What If Data'!E29</f>
        <v>0</v>
      </c>
      <c r="AB21"/>
      <c r="AC21" s="481" t="s">
        <v>10</v>
      </c>
      <c r="AD21" s="1025"/>
      <c r="AE21" s="870">
        <v>1</v>
      </c>
      <c r="AF21" s="870">
        <f t="shared" si="9"/>
        <v>0</v>
      </c>
      <c r="AG21"/>
      <c r="AH21"/>
      <c r="AI21"/>
      <c r="AJ21"/>
      <c r="AK21"/>
      <c r="AL21"/>
      <c r="AM21"/>
      <c r="AN21"/>
      <c r="AO21"/>
      <c r="AP21"/>
      <c r="AQ21"/>
      <c r="AR21"/>
      <c r="AS21"/>
      <c r="AT21"/>
    </row>
    <row r="22" spans="1:46">
      <c r="A22" s="481" t="s">
        <v>4</v>
      </c>
      <c r="B22" s="455">
        <f t="shared" si="0"/>
        <v>5372594.4576931829</v>
      </c>
      <c r="C22" s="455">
        <f t="shared" si="1"/>
        <v>5279706.6812265879</v>
      </c>
      <c r="D22" s="455">
        <f t="shared" si="2"/>
        <v>5193991.1331941113</v>
      </c>
      <c r="E22" s="455"/>
      <c r="F22" s="481" t="s">
        <v>4</v>
      </c>
      <c r="G22" s="543">
        <f t="shared" si="3"/>
        <v>0.15576426620203726</v>
      </c>
      <c r="H22" s="543">
        <f t="shared" si="3"/>
        <v>0.15127129189306684</v>
      </c>
      <c r="I22" s="543">
        <f t="shared" si="4"/>
        <v>0.14908175758155912</v>
      </c>
      <c r="J22" s="192"/>
      <c r="K22" s="455">
        <f t="shared" si="5"/>
        <v>122338.09839396867</v>
      </c>
      <c r="L22" s="455">
        <f t="shared" si="6"/>
        <v>122487.46500834594</v>
      </c>
      <c r="M22" s="455">
        <f t="shared" si="7"/>
        <v>123359.72042818271</v>
      </c>
      <c r="O22" s="949">
        <f t="shared" si="8"/>
        <v>1.1402031631853178</v>
      </c>
      <c r="P22"/>
      <c r="Q22" s="481" t="s">
        <v>4</v>
      </c>
      <c r="R22" s="455">
        <v>33970</v>
      </c>
      <c r="S22" s="455">
        <v>36004</v>
      </c>
      <c r="T22" s="455">
        <v>35327</v>
      </c>
      <c r="U22" s="1016">
        <v>36333.480107188807</v>
      </c>
      <c r="V22" s="455">
        <v>35964</v>
      </c>
      <c r="W22" s="1016">
        <v>36401.379723617691</v>
      </c>
      <c r="X22" s="455">
        <v>36135</v>
      </c>
      <c r="Y22" s="1016">
        <v>36346.200574331138</v>
      </c>
      <c r="Z22" s="1647">
        <v>36092</v>
      </c>
      <c r="AA22" s="455">
        <f>3*'What If Data'!E30</f>
        <v>0</v>
      </c>
      <c r="AC22" s="481" t="s">
        <v>4</v>
      </c>
      <c r="AD22" s="1025">
        <v>1.1402031631853178</v>
      </c>
      <c r="AE22" s="870">
        <v>1</v>
      </c>
      <c r="AF22" s="870">
        <f t="shared" si="9"/>
        <v>1.1402031631853178</v>
      </c>
    </row>
    <row r="23" spans="1:46">
      <c r="A23" s="481" t="s">
        <v>14</v>
      </c>
      <c r="B23" s="454">
        <f t="shared" si="0"/>
        <v>0</v>
      </c>
      <c r="C23" s="454">
        <f t="shared" si="1"/>
        <v>0</v>
      </c>
      <c r="D23" s="454">
        <f t="shared" si="2"/>
        <v>0</v>
      </c>
      <c r="E23" s="454"/>
      <c r="F23" s="481" t="s">
        <v>14</v>
      </c>
      <c r="G23" s="543">
        <f t="shared" si="3"/>
        <v>0</v>
      </c>
      <c r="H23" s="543">
        <f t="shared" si="3"/>
        <v>0</v>
      </c>
      <c r="I23" s="543">
        <f t="shared" si="4"/>
        <v>0</v>
      </c>
      <c r="J23" s="192"/>
      <c r="K23" s="455">
        <f t="shared" si="5"/>
        <v>0</v>
      </c>
      <c r="L23" s="455">
        <f t="shared" si="6"/>
        <v>0</v>
      </c>
      <c r="M23" s="455">
        <f t="shared" si="7"/>
        <v>0</v>
      </c>
      <c r="O23" s="949">
        <f t="shared" si="8"/>
        <v>0</v>
      </c>
      <c r="P23"/>
      <c r="Q23" s="481" t="s">
        <v>14</v>
      </c>
      <c r="R23" s="454">
        <v>0</v>
      </c>
      <c r="S23" s="454">
        <v>0</v>
      </c>
      <c r="T23" s="454">
        <v>0</v>
      </c>
      <c r="U23" s="1017">
        <v>0</v>
      </c>
      <c r="V23" s="454">
        <v>0</v>
      </c>
      <c r="W23" s="1017">
        <v>0</v>
      </c>
      <c r="X23" s="454">
        <v>0</v>
      </c>
      <c r="Y23" s="1016">
        <v>0</v>
      </c>
      <c r="Z23" s="1648">
        <v>0</v>
      </c>
      <c r="AA23" s="455">
        <f>3*'What If Data'!E31</f>
        <v>0</v>
      </c>
      <c r="AC23" s="481" t="s">
        <v>14</v>
      </c>
      <c r="AD23" s="1025"/>
      <c r="AE23" s="870">
        <v>1</v>
      </c>
      <c r="AF23" s="870">
        <f t="shared" si="9"/>
        <v>0</v>
      </c>
    </row>
    <row r="24" spans="1:46">
      <c r="A24" s="483" t="s">
        <v>17</v>
      </c>
      <c r="B24" s="463">
        <f t="shared" si="0"/>
        <v>6489699.1886103079</v>
      </c>
      <c r="C24" s="463">
        <f t="shared" si="1"/>
        <v>6325975.7485942813</v>
      </c>
      <c r="D24" s="463">
        <f t="shared" si="2"/>
        <v>6143677.3678060807</v>
      </c>
      <c r="E24" s="463"/>
      <c r="F24" s="483" t="s">
        <v>17</v>
      </c>
      <c r="G24" s="544">
        <f t="shared" si="3"/>
        <v>0.14464691112928516</v>
      </c>
      <c r="H24" s="544">
        <f t="shared" si="3"/>
        <v>0.14144037183977365</v>
      </c>
      <c r="I24" s="544">
        <f t="shared" si="4"/>
        <v>0.13635028007358369</v>
      </c>
      <c r="J24" s="192"/>
      <c r="K24" s="455">
        <f t="shared" si="5"/>
        <v>113606.46750112373</v>
      </c>
      <c r="L24" s="455">
        <f t="shared" si="6"/>
        <v>114527.16757875291</v>
      </c>
      <c r="M24" s="455">
        <f>O24*(X24+Z24+V24+AA24)</f>
        <v>112824.88684760639</v>
      </c>
      <c r="O24" s="949">
        <f t="shared" si="8"/>
        <v>0.9661071118879152</v>
      </c>
      <c r="P24"/>
      <c r="Q24" s="483" t="s">
        <v>17</v>
      </c>
      <c r="R24" s="463">
        <v>40816</v>
      </c>
      <c r="S24" s="463">
        <v>39061</v>
      </c>
      <c r="T24" s="463">
        <v>40158</v>
      </c>
      <c r="U24" s="1019">
        <v>40113.126033273729</v>
      </c>
      <c r="V24" s="463">
        <v>38373</v>
      </c>
      <c r="W24" s="1019">
        <v>39406.527837184542</v>
      </c>
      <c r="X24" s="463">
        <v>40014</v>
      </c>
      <c r="Y24" s="1019">
        <v>38663.265170959894</v>
      </c>
      <c r="Z24" s="1650">
        <v>38396</v>
      </c>
      <c r="AA24" s="455">
        <f>3*'What If Data'!E32</f>
        <v>0</v>
      </c>
      <c r="AC24" s="483" t="s">
        <v>17</v>
      </c>
      <c r="AD24" s="1025">
        <v>0.9661071118879152</v>
      </c>
      <c r="AE24" s="871">
        <v>1</v>
      </c>
      <c r="AF24" s="871">
        <f t="shared" si="9"/>
        <v>0.9661071118879152</v>
      </c>
    </row>
    <row r="25" spans="1:46">
      <c r="A25" s="481" t="s">
        <v>324</v>
      </c>
      <c r="B25" s="454">
        <f t="shared" si="0"/>
        <v>0</v>
      </c>
      <c r="C25" s="454">
        <f t="shared" si="1"/>
        <v>0</v>
      </c>
      <c r="D25" s="454">
        <f t="shared" si="2"/>
        <v>0</v>
      </c>
      <c r="E25" s="454"/>
      <c r="F25" s="481" t="s">
        <v>324</v>
      </c>
      <c r="G25" s="543">
        <f t="shared" si="3"/>
        <v>0</v>
      </c>
      <c r="H25" s="543">
        <f t="shared" si="3"/>
        <v>0</v>
      </c>
      <c r="I25" s="543">
        <f t="shared" si="4"/>
        <v>0</v>
      </c>
      <c r="J25" s="192"/>
      <c r="K25" s="455">
        <f t="shared" si="5"/>
        <v>0</v>
      </c>
      <c r="L25" s="455">
        <f t="shared" si="6"/>
        <v>0</v>
      </c>
      <c r="M25" s="455">
        <f t="shared" si="7"/>
        <v>0</v>
      </c>
      <c r="O25" s="949">
        <f t="shared" si="8"/>
        <v>0</v>
      </c>
      <c r="P25"/>
      <c r="Q25" s="481" t="s">
        <v>324</v>
      </c>
      <c r="R25" s="454">
        <v>0</v>
      </c>
      <c r="S25" s="454">
        <v>0</v>
      </c>
      <c r="T25" s="454">
        <v>0</v>
      </c>
      <c r="U25" s="1017">
        <v>0</v>
      </c>
      <c r="V25" s="454">
        <v>0</v>
      </c>
      <c r="W25" s="1017">
        <v>0</v>
      </c>
      <c r="X25" s="454">
        <v>0</v>
      </c>
      <c r="Y25" s="1016">
        <v>0</v>
      </c>
      <c r="Z25" s="1648">
        <v>0</v>
      </c>
      <c r="AA25" s="455">
        <f>3*'What If Data'!E33</f>
        <v>0</v>
      </c>
      <c r="AC25" s="481" t="s">
        <v>324</v>
      </c>
      <c r="AD25" s="1025"/>
      <c r="AE25" s="870">
        <v>1</v>
      </c>
      <c r="AF25" s="870">
        <f t="shared" si="9"/>
        <v>0</v>
      </c>
    </row>
    <row r="26" spans="1:46">
      <c r="A26" s="481" t="s">
        <v>7</v>
      </c>
      <c r="B26" s="455">
        <f t="shared" si="0"/>
        <v>10475961.390309213</v>
      </c>
      <c r="C26" s="455">
        <f t="shared" si="1"/>
        <v>11905468.997019639</v>
      </c>
      <c r="D26" s="455">
        <f t="shared" si="2"/>
        <v>12887618.959108954</v>
      </c>
      <c r="E26" s="455"/>
      <c r="F26" s="481" t="s">
        <v>7</v>
      </c>
      <c r="G26" s="543">
        <f t="shared" si="3"/>
        <v>0.32132226574114997</v>
      </c>
      <c r="H26" s="543">
        <f t="shared" si="3"/>
        <v>0.34252833970289287</v>
      </c>
      <c r="I26" s="543">
        <f t="shared" si="4"/>
        <v>0.36600593204849652</v>
      </c>
      <c r="J26" s="192"/>
      <c r="K26" s="455">
        <f t="shared" si="5"/>
        <v>252368.24799999999</v>
      </c>
      <c r="L26" s="455">
        <f t="shared" si="6"/>
        <v>277352.21599999996</v>
      </c>
      <c r="M26" s="455">
        <f>O26*(X26+Z26+V26+AA26)</f>
        <v>302856.56799999997</v>
      </c>
      <c r="O26" s="949">
        <f t="shared" si="8"/>
        <v>1.3839999999999999</v>
      </c>
      <c r="P26"/>
      <c r="Q26" s="481" t="s">
        <v>7</v>
      </c>
      <c r="R26" s="455">
        <v>51009</v>
      </c>
      <c r="S26" s="455">
        <v>56576</v>
      </c>
      <c r="T26" s="455">
        <v>58986</v>
      </c>
      <c r="U26" s="1016">
        <v>62500.888078871525</v>
      </c>
      <c r="V26" s="455">
        <v>66785</v>
      </c>
      <c r="W26" s="1016">
        <v>71081.641620063718</v>
      </c>
      <c r="X26" s="455">
        <v>74628</v>
      </c>
      <c r="Y26" s="1016">
        <v>76337.181215529505</v>
      </c>
      <c r="Z26" s="1647">
        <v>77414</v>
      </c>
      <c r="AA26" s="455">
        <f>3*'What If Data'!E34</f>
        <v>0</v>
      </c>
      <c r="AC26" s="481" t="s">
        <v>7</v>
      </c>
      <c r="AD26" s="1026">
        <v>1.3839999999999999</v>
      </c>
      <c r="AE26" s="870">
        <v>1</v>
      </c>
      <c r="AF26" s="870">
        <f t="shared" si="9"/>
        <v>1.3839999999999999</v>
      </c>
    </row>
    <row r="27" spans="1:46">
      <c r="A27" s="481" t="s">
        <v>9</v>
      </c>
      <c r="B27" s="455">
        <f>B52*D$9</f>
        <v>4637669.4209822835</v>
      </c>
      <c r="C27" s="455">
        <f t="shared" si="1"/>
        <v>4630374.8665366368</v>
      </c>
      <c r="D27" s="455">
        <f t="shared" si="2"/>
        <v>4303847.7806698401</v>
      </c>
      <c r="E27" s="455"/>
      <c r="F27" s="481" t="s">
        <v>9</v>
      </c>
      <c r="G27" s="543">
        <f t="shared" si="3"/>
        <v>9.9163471630067612E-2</v>
      </c>
      <c r="H27" s="543">
        <f t="shared" si="3"/>
        <v>0.10134019195073</v>
      </c>
      <c r="I27" s="543">
        <f t="shared" si="4"/>
        <v>9.2252113634749097E-2</v>
      </c>
      <c r="J27" s="192"/>
      <c r="K27" s="455">
        <f t="shared" si="5"/>
        <v>77883.527751039888</v>
      </c>
      <c r="L27" s="455">
        <f t="shared" si="6"/>
        <v>82057.23016022591</v>
      </c>
      <c r="M27" s="455">
        <f t="shared" si="7"/>
        <v>76335.261480035566</v>
      </c>
      <c r="O27" s="949">
        <f t="shared" si="8"/>
        <v>0.88220300342126901</v>
      </c>
      <c r="P27"/>
      <c r="Q27" s="481" t="s">
        <v>9</v>
      </c>
      <c r="R27" s="455">
        <v>15170</v>
      </c>
      <c r="S27" s="455">
        <v>24174</v>
      </c>
      <c r="T27" s="455">
        <v>31740</v>
      </c>
      <c r="U27" s="1016">
        <v>35472.265261317312</v>
      </c>
      <c r="V27" s="455">
        <v>32369</v>
      </c>
      <c r="W27" s="1016">
        <v>30991.696572212866</v>
      </c>
      <c r="X27" s="455">
        <v>28905</v>
      </c>
      <c r="Y27" s="1016">
        <v>25507.489943894911</v>
      </c>
      <c r="Z27" s="1647">
        <v>25254</v>
      </c>
      <c r="AA27" s="455">
        <f>3*'What If Data'!E35</f>
        <v>0</v>
      </c>
      <c r="AC27" s="481" t="s">
        <v>9</v>
      </c>
      <c r="AD27" s="1025">
        <v>0.88220300342126901</v>
      </c>
      <c r="AE27" s="870">
        <v>1</v>
      </c>
      <c r="AF27" s="870">
        <f t="shared" si="9"/>
        <v>0.88220300342126901</v>
      </c>
    </row>
    <row r="28" spans="1:46">
      <c r="A28" s="483" t="s">
        <v>5</v>
      </c>
      <c r="B28" s="463">
        <f t="shared" si="0"/>
        <v>1062967.1193557885</v>
      </c>
      <c r="C28" s="463">
        <f t="shared" si="1"/>
        <v>904761.85130656546</v>
      </c>
      <c r="D28" s="463">
        <f t="shared" si="2"/>
        <v>853875.83086411131</v>
      </c>
      <c r="E28" s="463"/>
      <c r="F28" s="483" t="s">
        <v>5</v>
      </c>
      <c r="G28" s="544">
        <f t="shared" si="3"/>
        <v>1.6595271092667473E-2</v>
      </c>
      <c r="H28" s="544">
        <f t="shared" si="3"/>
        <v>1.4385511083146514E-2</v>
      </c>
      <c r="I28" s="544">
        <f t="shared" si="4"/>
        <v>1.4538808732281146E-2</v>
      </c>
      <c r="J28" s="192"/>
      <c r="K28" s="455">
        <f t="shared" si="5"/>
        <v>13034.015806783185</v>
      </c>
      <c r="L28" s="455">
        <f t="shared" si="6"/>
        <v>11648.243122493226</v>
      </c>
      <c r="M28" s="455">
        <f t="shared" si="7"/>
        <v>12030.334292187561</v>
      </c>
      <c r="O28" s="949">
        <f t="shared" si="8"/>
        <v>1.3843882959939655</v>
      </c>
      <c r="P28"/>
      <c r="Q28" s="483" t="s">
        <v>5</v>
      </c>
      <c r="R28" s="463">
        <v>4009</v>
      </c>
      <c r="S28" s="463">
        <v>3691</v>
      </c>
      <c r="T28" s="463">
        <v>2833</v>
      </c>
      <c r="U28" s="1019">
        <v>2571.9822138428108</v>
      </c>
      <c r="V28" s="463">
        <v>2891</v>
      </c>
      <c r="W28" s="1019">
        <v>2449.8586114414902</v>
      </c>
      <c r="X28" s="463">
        <v>2690</v>
      </c>
      <c r="Y28" s="1019">
        <v>2830.860944897192</v>
      </c>
      <c r="Z28" s="1650">
        <v>3109</v>
      </c>
      <c r="AA28" s="455">
        <f>3*'What If Data'!E36</f>
        <v>0</v>
      </c>
      <c r="AC28" s="483" t="s">
        <v>5</v>
      </c>
      <c r="AD28" s="1025">
        <v>1.3843882959939655</v>
      </c>
      <c r="AE28" s="871">
        <v>1</v>
      </c>
      <c r="AF28" s="871">
        <f t="shared" si="9"/>
        <v>1.3843882959939655</v>
      </c>
    </row>
    <row r="29" spans="1:46">
      <c r="A29" s="481"/>
      <c r="B29" s="454"/>
      <c r="C29" s="454">
        <f t="shared" si="1"/>
        <v>0</v>
      </c>
      <c r="D29" s="454"/>
      <c r="E29" s="454"/>
      <c r="F29" s="481"/>
      <c r="G29" s="543"/>
      <c r="H29" s="543"/>
      <c r="I29" s="543"/>
      <c r="J29" s="192"/>
      <c r="K29" s="454"/>
      <c r="L29" s="482"/>
      <c r="M29" s="455">
        <f t="shared" ref="M29:M34" si="10">O29*(X29+Y29+V29+AA29)</f>
        <v>0</v>
      </c>
      <c r="O29" s="949"/>
      <c r="P29"/>
      <c r="Q29" s="481"/>
      <c r="R29" s="454"/>
      <c r="S29" s="454"/>
      <c r="T29" s="454"/>
      <c r="U29" s="1017"/>
      <c r="V29" s="454"/>
      <c r="W29" s="1017"/>
      <c r="X29" s="454"/>
      <c r="Y29" s="454"/>
      <c r="Z29" s="1648"/>
      <c r="AA29" s="454"/>
      <c r="AC29" s="481"/>
      <c r="AD29" s="1027"/>
      <c r="AE29" s="870"/>
      <c r="AF29" s="870"/>
    </row>
    <row r="30" spans="1:46">
      <c r="A30" s="481" t="s">
        <v>541</v>
      </c>
      <c r="B30" s="455">
        <f>B55*D$9</f>
        <v>0</v>
      </c>
      <c r="C30" s="455">
        <f t="shared" si="1"/>
        <v>0</v>
      </c>
      <c r="D30" s="455">
        <f t="shared" si="2"/>
        <v>0</v>
      </c>
      <c r="E30" s="455"/>
      <c r="F30" s="481" t="s">
        <v>541</v>
      </c>
      <c r="G30" s="543">
        <f t="shared" ref="G30:I34" si="11">K30/K$35</f>
        <v>0</v>
      </c>
      <c r="H30" s="543">
        <f t="shared" si="11"/>
        <v>0</v>
      </c>
      <c r="I30" s="543">
        <f t="shared" si="11"/>
        <v>0</v>
      </c>
      <c r="J30" s="192"/>
      <c r="K30" s="455">
        <f>O30*(S30+T30+V30)</f>
        <v>0</v>
      </c>
      <c r="L30" s="455">
        <f>O30*(T30+V30+X30)</f>
        <v>0</v>
      </c>
      <c r="M30" s="455">
        <f t="shared" si="10"/>
        <v>0</v>
      </c>
      <c r="O30" s="949">
        <f t="shared" si="8"/>
        <v>1.0549999999999999</v>
      </c>
      <c r="P30"/>
      <c r="Q30" s="481" t="s">
        <v>541</v>
      </c>
      <c r="R30" s="454">
        <v>0</v>
      </c>
      <c r="S30" s="454">
        <v>0</v>
      </c>
      <c r="T30" s="454">
        <v>0</v>
      </c>
      <c r="U30" s="1017">
        <v>0</v>
      </c>
      <c r="V30" s="454">
        <v>0</v>
      </c>
      <c r="W30" s="1017">
        <v>0</v>
      </c>
      <c r="X30" s="454"/>
      <c r="Y30" s="454">
        <v>0</v>
      </c>
      <c r="Z30" s="1648"/>
      <c r="AA30" s="454"/>
      <c r="AC30" s="481" t="s">
        <v>541</v>
      </c>
      <c r="AD30" s="1027">
        <v>1.0549999999999999</v>
      </c>
      <c r="AE30" s="870">
        <v>1</v>
      </c>
      <c r="AF30" s="870">
        <f t="shared" ref="AF30:AF36" si="12">IF(AD$11="yes",AD30,AE30)</f>
        <v>1.0549999999999999</v>
      </c>
    </row>
    <row r="31" spans="1:46">
      <c r="A31" s="481" t="s">
        <v>563</v>
      </c>
      <c r="B31" s="454">
        <f>B56*D$9</f>
        <v>0</v>
      </c>
      <c r="C31" s="454">
        <f t="shared" si="1"/>
        <v>0</v>
      </c>
      <c r="D31" s="454">
        <f t="shared" si="2"/>
        <v>0</v>
      </c>
      <c r="E31" s="454"/>
      <c r="F31" s="481" t="s">
        <v>563</v>
      </c>
      <c r="G31" s="543">
        <f t="shared" si="11"/>
        <v>0</v>
      </c>
      <c r="H31" s="543">
        <f t="shared" si="11"/>
        <v>0</v>
      </c>
      <c r="I31" s="543">
        <f t="shared" si="11"/>
        <v>0</v>
      </c>
      <c r="J31" s="192"/>
      <c r="K31" s="455">
        <f>O31*(S31+T31+V31)</f>
        <v>0</v>
      </c>
      <c r="L31" s="455">
        <f>O31*(T31+V31+X31)</f>
        <v>0</v>
      </c>
      <c r="M31" s="455">
        <f t="shared" si="10"/>
        <v>0</v>
      </c>
      <c r="O31" s="949">
        <f t="shared" si="8"/>
        <v>1.0549999999999999</v>
      </c>
      <c r="P31"/>
      <c r="Q31" s="481" t="s">
        <v>563</v>
      </c>
      <c r="R31" s="454">
        <v>0</v>
      </c>
      <c r="S31" s="454">
        <v>0</v>
      </c>
      <c r="T31" s="454">
        <v>0</v>
      </c>
      <c r="U31" s="1017">
        <v>0</v>
      </c>
      <c r="V31" s="454">
        <v>0</v>
      </c>
      <c r="W31" s="1017">
        <v>0</v>
      </c>
      <c r="X31" s="454"/>
      <c r="Y31" s="454">
        <v>0</v>
      </c>
      <c r="Z31" s="1648"/>
      <c r="AA31" s="454"/>
      <c r="AC31" s="481" t="s">
        <v>563</v>
      </c>
      <c r="AD31" s="1027">
        <v>1.0549999999999999</v>
      </c>
      <c r="AE31" s="870">
        <v>1</v>
      </c>
      <c r="AF31" s="870">
        <f t="shared" si="12"/>
        <v>1.0549999999999999</v>
      </c>
    </row>
    <row r="32" spans="1:46">
      <c r="A32" s="483" t="s">
        <v>543</v>
      </c>
      <c r="B32" s="463">
        <f>B57*D$9</f>
        <v>775276.13013121951</v>
      </c>
      <c r="C32" s="463">
        <f t="shared" si="1"/>
        <v>749037.49938796635</v>
      </c>
      <c r="D32" s="463">
        <f t="shared" si="2"/>
        <v>708809.78308782657</v>
      </c>
      <c r="E32" s="463"/>
      <c r="F32" s="483" t="s">
        <v>543</v>
      </c>
      <c r="G32" s="544">
        <f t="shared" si="11"/>
        <v>0</v>
      </c>
      <c r="H32" s="544">
        <f t="shared" si="11"/>
        <v>0</v>
      </c>
      <c r="I32" s="544">
        <f t="shared" si="11"/>
        <v>0</v>
      </c>
      <c r="J32" s="192"/>
      <c r="K32" s="455">
        <f>O32*(S32+T32+V32)</f>
        <v>0</v>
      </c>
      <c r="L32" s="455">
        <f>O32*(T32+V32+X32)</f>
        <v>0</v>
      </c>
      <c r="M32" s="455">
        <f t="shared" si="10"/>
        <v>0</v>
      </c>
      <c r="O32" s="949">
        <f t="shared" si="8"/>
        <v>1.085</v>
      </c>
      <c r="P32"/>
      <c r="Q32" s="483" t="s">
        <v>543</v>
      </c>
      <c r="R32" s="464">
        <v>0</v>
      </c>
      <c r="S32" s="464">
        <v>0</v>
      </c>
      <c r="T32" s="464">
        <v>0</v>
      </c>
      <c r="U32" s="1020">
        <v>0</v>
      </c>
      <c r="V32" s="464">
        <v>0</v>
      </c>
      <c r="W32" s="1020">
        <v>0</v>
      </c>
      <c r="X32" s="464"/>
      <c r="Y32" s="464">
        <v>0</v>
      </c>
      <c r="Z32" s="1651"/>
      <c r="AA32" s="455">
        <f>3*'What If Data'!E40</f>
        <v>0</v>
      </c>
      <c r="AC32" s="483" t="s">
        <v>543</v>
      </c>
      <c r="AD32" s="1028">
        <v>1.085</v>
      </c>
      <c r="AE32" s="871">
        <v>1</v>
      </c>
      <c r="AF32" s="871">
        <f t="shared" si="12"/>
        <v>1.085</v>
      </c>
    </row>
    <row r="33" spans="1:47">
      <c r="A33" s="481" t="s">
        <v>562</v>
      </c>
      <c r="B33" s="455">
        <f>B58*D$9</f>
        <v>0</v>
      </c>
      <c r="C33" s="455">
        <f t="shared" si="1"/>
        <v>0</v>
      </c>
      <c r="D33" s="455">
        <f t="shared" si="2"/>
        <v>0</v>
      </c>
      <c r="E33" s="455"/>
      <c r="F33" s="481" t="s">
        <v>562</v>
      </c>
      <c r="G33" s="543">
        <f t="shared" si="11"/>
        <v>0</v>
      </c>
      <c r="H33" s="543">
        <f t="shared" si="11"/>
        <v>0</v>
      </c>
      <c r="I33" s="543">
        <f t="shared" si="11"/>
        <v>0</v>
      </c>
      <c r="J33" s="192"/>
      <c r="K33" s="455">
        <f>O33*(S33+T33+V33)</f>
        <v>0</v>
      </c>
      <c r="L33" s="455">
        <f>O33*(T33+V33+X33)</f>
        <v>0</v>
      </c>
      <c r="M33" s="455">
        <f t="shared" si="10"/>
        <v>0</v>
      </c>
      <c r="O33" s="949">
        <f t="shared" si="8"/>
        <v>1.0549999999999999</v>
      </c>
      <c r="P33"/>
      <c r="Q33" s="481" t="s">
        <v>562</v>
      </c>
      <c r="R33" s="454">
        <v>0</v>
      </c>
      <c r="S33" s="454">
        <v>0</v>
      </c>
      <c r="T33" s="454">
        <v>0</v>
      </c>
      <c r="U33" s="1017">
        <v>0</v>
      </c>
      <c r="V33" s="454">
        <v>0</v>
      </c>
      <c r="W33" s="1017">
        <v>0</v>
      </c>
      <c r="X33" s="454"/>
      <c r="Y33" s="454">
        <v>0</v>
      </c>
      <c r="Z33" s="1648"/>
      <c r="AA33" s="454"/>
      <c r="AC33" s="481" t="s">
        <v>562</v>
      </c>
      <c r="AD33" s="1027">
        <v>1.0549999999999999</v>
      </c>
      <c r="AE33" s="870">
        <v>1</v>
      </c>
      <c r="AF33" s="870">
        <f t="shared" si="12"/>
        <v>1.0549999999999999</v>
      </c>
    </row>
    <row r="34" spans="1:47">
      <c r="A34" s="487" t="s">
        <v>545</v>
      </c>
      <c r="B34" s="455">
        <f>B59*D$9</f>
        <v>0</v>
      </c>
      <c r="C34" s="455">
        <f t="shared" si="1"/>
        <v>0</v>
      </c>
      <c r="D34" s="455">
        <f t="shared" si="2"/>
        <v>0</v>
      </c>
      <c r="E34" s="455"/>
      <c r="F34" s="487" t="s">
        <v>545</v>
      </c>
      <c r="G34" s="490">
        <f t="shared" si="11"/>
        <v>0</v>
      </c>
      <c r="H34" s="490">
        <f t="shared" si="11"/>
        <v>0</v>
      </c>
      <c r="I34" s="490">
        <f t="shared" si="11"/>
        <v>0</v>
      </c>
      <c r="J34" s="192"/>
      <c r="K34" s="455">
        <f>O34*(S34+T34+V34)</f>
        <v>0</v>
      </c>
      <c r="L34" s="455">
        <f>O34*(T34+V34+X34)</f>
        <v>0</v>
      </c>
      <c r="M34" s="455">
        <f t="shared" si="10"/>
        <v>0</v>
      </c>
      <c r="O34" s="949">
        <f t="shared" si="8"/>
        <v>1.0820000000000001</v>
      </c>
      <c r="P34"/>
      <c r="Q34" s="487" t="s">
        <v>545</v>
      </c>
      <c r="R34" s="454">
        <v>0</v>
      </c>
      <c r="S34" s="454">
        <v>0</v>
      </c>
      <c r="T34" s="454">
        <v>0</v>
      </c>
      <c r="U34" s="1017">
        <v>0</v>
      </c>
      <c r="V34" s="454">
        <v>0</v>
      </c>
      <c r="W34" s="1017">
        <v>0</v>
      </c>
      <c r="X34" s="454"/>
      <c r="Y34" s="454">
        <v>0</v>
      </c>
      <c r="Z34" s="1648"/>
      <c r="AA34" s="454"/>
      <c r="AC34" s="487" t="s">
        <v>545</v>
      </c>
      <c r="AD34" s="1027">
        <v>1.0820000000000001</v>
      </c>
      <c r="AE34" s="870">
        <v>1</v>
      </c>
      <c r="AF34" s="870">
        <f t="shared" si="12"/>
        <v>1.0820000000000001</v>
      </c>
    </row>
    <row r="35" spans="1:47">
      <c r="A35" s="488"/>
      <c r="B35" s="467">
        <f>SUM(B17:B34)</f>
        <v>40626084.724340953</v>
      </c>
      <c r="C35" s="467">
        <f>SUM(C17:C34)</f>
        <v>40626084.724340945</v>
      </c>
      <c r="D35" s="467">
        <f>SUM(D17:D34)</f>
        <v>40626084.724340938</v>
      </c>
      <c r="E35" s="338"/>
      <c r="F35" s="488"/>
      <c r="G35" s="491">
        <f>SUM(G17:G34)</f>
        <v>1.0000000000000002</v>
      </c>
      <c r="H35" s="491">
        <f>SUM(H17:H34)</f>
        <v>0.99999999999999989</v>
      </c>
      <c r="I35" s="491">
        <f>SUM(I17:I34)</f>
        <v>1</v>
      </c>
      <c r="J35" s="192"/>
      <c r="K35" s="467">
        <f>SUM(K17:K34)</f>
        <v>785405.41663957457</v>
      </c>
      <c r="L35" s="467">
        <f>SUM(L17:L34)</f>
        <v>809720.49273521046</v>
      </c>
      <c r="M35" s="467">
        <f>SUM(M17:M34)</f>
        <v>827463.55039915268</v>
      </c>
      <c r="O35" s="154"/>
      <c r="P35"/>
      <c r="Q35" s="466" t="s">
        <v>183</v>
      </c>
      <c r="R35" s="467">
        <f t="shared" ref="R35:Z35" si="13">SUM(R17:R34)</f>
        <v>207867</v>
      </c>
      <c r="S35" s="467">
        <f t="shared" si="13"/>
        <v>225543</v>
      </c>
      <c r="T35" s="467">
        <f t="shared" si="13"/>
        <v>231018</v>
      </c>
      <c r="U35" s="467">
        <f t="shared" si="13"/>
        <v>236508.7374388976</v>
      </c>
      <c r="V35" s="467">
        <f>SUM(V17:V34)</f>
        <v>236350</v>
      </c>
      <c r="W35" s="467">
        <f t="shared" si="13"/>
        <v>242417.07296556627</v>
      </c>
      <c r="X35" s="467">
        <f t="shared" si="13"/>
        <v>244966</v>
      </c>
      <c r="Y35" s="1021">
        <f t="shared" si="13"/>
        <v>242441.14887599903</v>
      </c>
      <c r="Z35" s="467">
        <f t="shared" si="13"/>
        <v>242274</v>
      </c>
      <c r="AA35" s="467"/>
      <c r="AC35" s="872" t="s">
        <v>750</v>
      </c>
      <c r="AD35" s="1029">
        <v>1.181</v>
      </c>
      <c r="AE35" s="873">
        <v>1</v>
      </c>
      <c r="AF35" s="873">
        <f t="shared" si="12"/>
        <v>1.181</v>
      </c>
    </row>
    <row r="36" spans="1:47" ht="16.5" thickBot="1">
      <c r="L36"/>
      <c r="M36"/>
      <c r="O36" s="154"/>
      <c r="P36"/>
      <c r="R36" s="458"/>
      <c r="S36" s="458"/>
      <c r="T36" s="458"/>
      <c r="U36" s="458"/>
      <c r="V36" s="458"/>
      <c r="W36" s="458"/>
      <c r="X36" s="458"/>
      <c r="Y36" s="1263"/>
      <c r="Z36" s="1263"/>
      <c r="AA36" s="458"/>
      <c r="AC36" s="874" t="s">
        <v>878</v>
      </c>
      <c r="AD36" s="1030">
        <v>1.0549999999999999</v>
      </c>
      <c r="AE36" s="875">
        <v>1</v>
      </c>
      <c r="AF36" s="875">
        <f t="shared" si="12"/>
        <v>1.0549999999999999</v>
      </c>
    </row>
    <row r="37" spans="1:47" ht="16.5" thickTop="1">
      <c r="O37" s="154"/>
      <c r="P37"/>
    </row>
    <row r="38" spans="1:47">
      <c r="O38" s="154"/>
      <c r="P38"/>
      <c r="Q38" s="10" t="s">
        <v>571</v>
      </c>
      <c r="R38" s="389"/>
      <c r="S38" s="389"/>
      <c r="T38" s="389"/>
      <c r="U38" s="389"/>
      <c r="V38" s="389"/>
      <c r="W38" s="389"/>
      <c r="X38" s="389"/>
      <c r="Y38" s="389"/>
      <c r="Z38" s="389"/>
      <c r="AA38" s="389"/>
      <c r="AB38" s="389"/>
      <c r="AC38" s="164" t="s">
        <v>576</v>
      </c>
      <c r="AD38" s="164"/>
      <c r="AE38" s="164"/>
      <c r="AF38" s="164"/>
      <c r="AG38" s="164"/>
      <c r="AH38" s="164"/>
      <c r="AI38" s="164"/>
      <c r="AJ38" s="164" t="s">
        <v>882</v>
      </c>
    </row>
    <row r="39" spans="1:47" ht="25.5">
      <c r="O39" s="154"/>
      <c r="P39"/>
      <c r="Q39" s="1536"/>
      <c r="R39" s="1536"/>
      <c r="S39" s="1536"/>
      <c r="T39" s="1536"/>
      <c r="U39" s="477" t="s">
        <v>572</v>
      </c>
      <c r="V39" s="477" t="s">
        <v>701</v>
      </c>
      <c r="W39" s="477" t="s">
        <v>880</v>
      </c>
      <c r="X39" s="477" t="s">
        <v>1034</v>
      </c>
      <c r="Y39" s="477" t="s">
        <v>1313</v>
      </c>
      <c r="Z39" s="477"/>
      <c r="AA39" s="477"/>
      <c r="AB39" s="389"/>
      <c r="AC39" s="14"/>
      <c r="AD39" s="14"/>
      <c r="AE39" s="14"/>
      <c r="AF39" s="14"/>
      <c r="AG39" s="14"/>
      <c r="AJ39" s="14"/>
      <c r="AK39" s="14"/>
      <c r="AL39" s="14"/>
      <c r="AM39" s="14"/>
      <c r="AN39" s="14"/>
    </row>
    <row r="40" spans="1:47">
      <c r="A40" s="478" t="s">
        <v>585</v>
      </c>
      <c r="B40" s="217"/>
      <c r="C40" s="217"/>
      <c r="D40" s="217"/>
      <c r="F40" s="476" t="s">
        <v>580</v>
      </c>
      <c r="G40" s="476"/>
      <c r="H40" s="476"/>
      <c r="I40" s="476"/>
      <c r="J40" s="476"/>
      <c r="K40" s="476"/>
      <c r="L40" s="476"/>
      <c r="M40" s="476"/>
      <c r="O40" s="154"/>
      <c r="P40"/>
      <c r="Q40" s="1538">
        <v>18769</v>
      </c>
      <c r="R40" s="1538" t="s">
        <v>0</v>
      </c>
      <c r="S40" s="1538" t="s">
        <v>12</v>
      </c>
      <c r="T40" s="1538" t="s">
        <v>573</v>
      </c>
      <c r="U40" s="1538" t="s">
        <v>574</v>
      </c>
      <c r="V40" s="1539" t="s">
        <v>574</v>
      </c>
      <c r="W40" s="1539" t="s">
        <v>881</v>
      </c>
      <c r="X40" s="1539"/>
      <c r="Y40" s="1539"/>
      <c r="Z40" s="1539"/>
      <c r="AA40" s="1539"/>
      <c r="AB40" s="154"/>
      <c r="AC40" s="500"/>
      <c r="AD40" s="521" t="s">
        <v>532</v>
      </c>
      <c r="AE40" s="521" t="s">
        <v>533</v>
      </c>
      <c r="AF40" s="522" t="s">
        <v>534</v>
      </c>
      <c r="AG40" s="521" t="s">
        <v>535</v>
      </c>
      <c r="AH40" s="521">
        <v>2017</v>
      </c>
      <c r="AI40" s="1338">
        <v>2018</v>
      </c>
      <c r="AJ40" s="523"/>
      <c r="AK40" s="521" t="s">
        <v>532</v>
      </c>
      <c r="AL40" s="521" t="s">
        <v>64</v>
      </c>
      <c r="AM40" s="522" t="s">
        <v>63</v>
      </c>
      <c r="AN40" s="521" t="s">
        <v>426</v>
      </c>
      <c r="AO40" s="521" t="s">
        <v>863</v>
      </c>
      <c r="AP40" s="1297" t="s">
        <v>898</v>
      </c>
      <c r="AQ40" s="1297" t="s">
        <v>1375</v>
      </c>
    </row>
    <row r="41" spans="1:47" ht="25.5">
      <c r="A41" s="479"/>
      <c r="B41" s="480" t="s">
        <v>1376</v>
      </c>
      <c r="C41" s="480" t="s">
        <v>939</v>
      </c>
      <c r="D41" s="480" t="s">
        <v>1377</v>
      </c>
      <c r="F41" s="220"/>
      <c r="G41" s="480" t="s">
        <v>1386</v>
      </c>
      <c r="H41" s="480" t="s">
        <v>1063</v>
      </c>
      <c r="I41" s="480" t="s">
        <v>1316</v>
      </c>
      <c r="J41" s="220"/>
      <c r="K41" s="480" t="s">
        <v>842</v>
      </c>
      <c r="L41" s="480" t="s">
        <v>1063</v>
      </c>
      <c r="M41" s="480" t="s">
        <v>1316</v>
      </c>
      <c r="O41" s="154"/>
      <c r="P41"/>
      <c r="Q41" s="1537" t="s">
        <v>575</v>
      </c>
      <c r="R41" s="525"/>
      <c r="S41" s="452"/>
      <c r="T41" s="452"/>
      <c r="U41" s="452"/>
      <c r="V41" s="452"/>
      <c r="W41" s="452"/>
      <c r="X41" s="452"/>
      <c r="Y41" s="452"/>
      <c r="Z41" s="452"/>
      <c r="AA41" s="452"/>
      <c r="AB41" s="154"/>
      <c r="AC41" s="518" t="s">
        <v>111</v>
      </c>
      <c r="AD41" s="500"/>
      <c r="AE41" s="500"/>
      <c r="AF41" s="500"/>
      <c r="AG41" s="500"/>
      <c r="AH41" s="500"/>
      <c r="AI41" s="500"/>
      <c r="AJ41" s="518" t="s">
        <v>111</v>
      </c>
      <c r="AK41" s="500"/>
    </row>
    <row r="42" spans="1:47">
      <c r="A42" s="481" t="s">
        <v>538</v>
      </c>
      <c r="B42" s="543">
        <f>G42*E$4+G17*E$5</f>
        <v>0.11714102272300556</v>
      </c>
      <c r="C42" s="543">
        <f>H42*E$4+H17*E$5</f>
        <v>0.10912834264736732</v>
      </c>
      <c r="D42" s="543">
        <f>I42*E$4+I17*E$5</f>
        <v>0.1000054143989226</v>
      </c>
      <c r="F42" s="481" t="s">
        <v>538</v>
      </c>
      <c r="G42" s="543">
        <f>K42/K$60</f>
        <v>0.12955378159796191</v>
      </c>
      <c r="H42" s="543">
        <f>L42/L$60</f>
        <v>0.12087183170730399</v>
      </c>
      <c r="I42" s="543">
        <f>M42/M$60</f>
        <v>0.1111700646409776</v>
      </c>
      <c r="K42" s="455">
        <f>O42*(S42+T42+V42+AG42+AE42+AF42)</f>
        <v>1997.6439063234129</v>
      </c>
      <c r="L42" s="455">
        <f>O42*(T42+V42+X42+AH42+AF42+AG42)</f>
        <v>2095.506409659386</v>
      </c>
      <c r="M42" s="455">
        <f>O42*(X42+Z42+V42+AI42+AG42+AH42+AA42)</f>
        <v>2057.4334199369209</v>
      </c>
      <c r="O42" s="949">
        <f>AF17</f>
        <v>1.3814582627890051</v>
      </c>
      <c r="P42" s="475"/>
      <c r="Q42" s="481" t="s">
        <v>538</v>
      </c>
      <c r="R42" s="528">
        <v>348</v>
      </c>
      <c r="S42" s="529">
        <v>435</v>
      </c>
      <c r="T42" s="529">
        <v>473</v>
      </c>
      <c r="U42" s="1032">
        <v>505.0775937521895</v>
      </c>
      <c r="V42" s="529">
        <v>502</v>
      </c>
      <c r="W42" s="1032">
        <v>519.11130027619345</v>
      </c>
      <c r="X42" s="517">
        <v>506</v>
      </c>
      <c r="Y42" s="1032">
        <v>509.87470639270373</v>
      </c>
      <c r="Z42" s="529">
        <v>445</v>
      </c>
      <c r="AA42" s="517">
        <f>3*'What If Data'!L25</f>
        <v>0</v>
      </c>
      <c r="AB42" s="154"/>
      <c r="AC42" s="481" t="s">
        <v>538</v>
      </c>
      <c r="AD42" s="455">
        <f t="shared" ref="AD42:AD53" si="14">AK42/5/5</f>
        <v>0</v>
      </c>
      <c r="AE42" s="455">
        <f t="shared" ref="AE42:AE53" si="15">AL42/5/5</f>
        <v>12.559999999999999</v>
      </c>
      <c r="AF42" s="455">
        <f t="shared" ref="AF42:AF53" si="16">AM42/5/5</f>
        <v>11.64</v>
      </c>
      <c r="AG42" s="455">
        <f t="shared" ref="AG42:AG53" si="17">AN42/5/5</f>
        <v>11.84</v>
      </c>
      <c r="AH42" s="455">
        <f t="shared" ref="AH42:AH53" si="18">AO42/5/5</f>
        <v>12.4</v>
      </c>
      <c r="AI42" s="455">
        <f t="shared" ref="AI42:AI53" si="19">AP42/5/5</f>
        <v>12.08</v>
      </c>
      <c r="AJ42" s="481" t="s">
        <v>538</v>
      </c>
      <c r="AK42" s="455"/>
      <c r="AL42" s="475">
        <v>314</v>
      </c>
      <c r="AM42" s="475">
        <v>291</v>
      </c>
      <c r="AN42" s="475">
        <v>296</v>
      </c>
      <c r="AO42" s="475">
        <v>310</v>
      </c>
      <c r="AP42" s="475">
        <v>302</v>
      </c>
      <c r="AQ42" s="1298">
        <v>302.66666666666669</v>
      </c>
      <c r="AR42" s="10"/>
      <c r="AS42" s="10"/>
      <c r="AT42" s="10"/>
      <c r="AU42" s="10"/>
    </row>
    <row r="43" spans="1:47">
      <c r="A43" s="481" t="s">
        <v>6</v>
      </c>
      <c r="B43" s="543">
        <f t="shared" ref="B43:B53" si="20">G43*E$4+G18*E$5</f>
        <v>0.13170121264496951</v>
      </c>
      <c r="C43" s="543">
        <f t="shared" ref="C43:C59" si="21">H43*E$4+H18*E$5</f>
        <v>0.12127118622876504</v>
      </c>
      <c r="D43" s="543">
        <f t="shared" ref="D43:D53" si="22">I43*E$4+I18*E$5</f>
        <v>0.12328902916855584</v>
      </c>
      <c r="F43" s="481" t="s">
        <v>6</v>
      </c>
      <c r="G43" s="543">
        <f t="shared" ref="G43:H53" si="23">K43/K$60</f>
        <v>0.1291541841792547</v>
      </c>
      <c r="H43" s="543">
        <f t="shared" si="23"/>
        <v>0.11514761035028992</v>
      </c>
      <c r="I43" s="543">
        <f t="shared" ref="I43:I53" si="24">M43/M$60</f>
        <v>0.11796954198604209</v>
      </c>
      <c r="K43" s="455">
        <f>O43*(R43+S43+T43+AD43+AE43+AF43)</f>
        <v>1991.4823467099682</v>
      </c>
      <c r="L43" s="455">
        <f t="shared" ref="L43:L53" si="25">O43*(T43+V43+X43+AH43+AF43+AG43)</f>
        <v>1996.2678825807291</v>
      </c>
      <c r="M43" s="455">
        <f t="shared" ref="M43:M53" si="26">O43*(X43+Z43+V43+AI43+AG43+AH43+AA43)</f>
        <v>2183.2718996843105</v>
      </c>
      <c r="O43" s="949">
        <f t="shared" ref="O43:O59" si="27">AF18</f>
        <v>0.92029535976171861</v>
      </c>
      <c r="P43"/>
      <c r="Q43" s="481" t="s">
        <v>6</v>
      </c>
      <c r="R43" s="528">
        <v>637</v>
      </c>
      <c r="S43" s="529">
        <v>770</v>
      </c>
      <c r="T43" s="529">
        <v>697</v>
      </c>
      <c r="U43" s="1032">
        <v>719.58563870499347</v>
      </c>
      <c r="V43" s="529">
        <v>703</v>
      </c>
      <c r="W43" s="1032">
        <v>686.57794629580656</v>
      </c>
      <c r="X43" s="517">
        <v>672</v>
      </c>
      <c r="Y43" s="1032">
        <v>746.68887199934295</v>
      </c>
      <c r="Z43" s="529">
        <v>898</v>
      </c>
      <c r="AA43" s="517">
        <f>3*'What If Data'!L26</f>
        <v>0</v>
      </c>
      <c r="AB43" s="154"/>
      <c r="AC43" s="481" t="s">
        <v>6</v>
      </c>
      <c r="AD43" s="455">
        <f t="shared" si="14"/>
        <v>0</v>
      </c>
      <c r="AE43" s="455">
        <f t="shared" si="15"/>
        <v>29.72</v>
      </c>
      <c r="AF43" s="455">
        <f t="shared" si="16"/>
        <v>30.24</v>
      </c>
      <c r="AG43" s="455">
        <f t="shared" si="17"/>
        <v>33.239999999999995</v>
      </c>
      <c r="AH43" s="455">
        <f t="shared" si="18"/>
        <v>33.68</v>
      </c>
      <c r="AI43" s="455">
        <f t="shared" si="19"/>
        <v>32.44</v>
      </c>
      <c r="AJ43" s="481" t="s">
        <v>6</v>
      </c>
      <c r="AK43" s="455"/>
      <c r="AL43" s="475">
        <v>743</v>
      </c>
      <c r="AM43" s="475">
        <v>756</v>
      </c>
      <c r="AN43" s="475">
        <v>831</v>
      </c>
      <c r="AO43" s="475">
        <v>842</v>
      </c>
      <c r="AP43" s="475">
        <v>811</v>
      </c>
      <c r="AQ43" s="1298">
        <v>828</v>
      </c>
    </row>
    <row r="44" spans="1:47">
      <c r="A44" s="481" t="s">
        <v>8</v>
      </c>
      <c r="B44" s="543">
        <f t="shared" si="20"/>
        <v>7.0503849119660789E-3</v>
      </c>
      <c r="C44" s="543">
        <f t="shared" si="21"/>
        <v>5.4497128163931525E-3</v>
      </c>
      <c r="D44" s="543">
        <f t="shared" si="22"/>
        <v>6.0712472804157445E-3</v>
      </c>
      <c r="F44" s="481" t="s">
        <v>8</v>
      </c>
      <c r="G44" s="543">
        <f t="shared" si="23"/>
        <v>1.1368703067771846E-2</v>
      </c>
      <c r="H44" s="543">
        <f t="shared" si="23"/>
        <v>8.5001374643326987E-3</v>
      </c>
      <c r="I44" s="543">
        <f t="shared" si="24"/>
        <v>9.3038186477081373E-3</v>
      </c>
      <c r="K44" s="455">
        <f t="shared" ref="K44:K53" si="28">O44*(R44+S44+T44+AD44+AE44+AF44)</f>
        <v>175.29878422701321</v>
      </c>
      <c r="L44" s="455">
        <f t="shared" si="25"/>
        <v>147.36346994912554</v>
      </c>
      <c r="M44" s="455">
        <f t="shared" si="26"/>
        <v>172.1865277369935</v>
      </c>
      <c r="O44" s="949">
        <f t="shared" si="27"/>
        <v>0.93742665362039157</v>
      </c>
      <c r="P44"/>
      <c r="Q44" s="481" t="s">
        <v>8</v>
      </c>
      <c r="R44" s="528">
        <v>71</v>
      </c>
      <c r="S44" s="529">
        <v>68</v>
      </c>
      <c r="T44" s="529">
        <v>48</v>
      </c>
      <c r="U44" s="1032">
        <v>35.64203380127271</v>
      </c>
      <c r="V44" s="529">
        <v>46</v>
      </c>
      <c r="W44" s="1032">
        <v>34.912183832038352</v>
      </c>
      <c r="X44" s="517">
        <v>63</v>
      </c>
      <c r="Y44" s="1032">
        <v>58.039115628215875</v>
      </c>
      <c r="Z44" s="529">
        <v>73</v>
      </c>
      <c r="AA44" s="517">
        <f>3*'What If Data'!L27</f>
        <v>0</v>
      </c>
      <c r="AB44" s="154"/>
      <c r="AC44" s="481" t="s">
        <v>8</v>
      </c>
      <c r="AD44" s="455">
        <f t="shared" si="14"/>
        <v>0</v>
      </c>
      <c r="AE44" s="455">
        <f t="shared" si="15"/>
        <v>0</v>
      </c>
      <c r="AF44" s="455">
        <f t="shared" si="16"/>
        <v>0</v>
      </c>
      <c r="AG44" s="455">
        <f t="shared" si="17"/>
        <v>0</v>
      </c>
      <c r="AH44" s="455">
        <f t="shared" si="18"/>
        <v>0.2</v>
      </c>
      <c r="AI44" s="455">
        <f t="shared" si="19"/>
        <v>1.48</v>
      </c>
      <c r="AJ44" s="481" t="s">
        <v>8</v>
      </c>
      <c r="AK44" s="455"/>
      <c r="AL44">
        <v>0</v>
      </c>
      <c r="AM44">
        <v>0</v>
      </c>
      <c r="AN44">
        <v>0</v>
      </c>
      <c r="AO44">
        <v>5</v>
      </c>
      <c r="AP44">
        <v>37</v>
      </c>
      <c r="AQ44" s="1299">
        <v>50.999999999999993</v>
      </c>
    </row>
    <row r="45" spans="1:47" s="10" customFormat="1">
      <c r="A45" s="483" t="s">
        <v>2</v>
      </c>
      <c r="B45" s="544">
        <f t="shared" si="20"/>
        <v>3.4854496933199801E-2</v>
      </c>
      <c r="C45" s="544">
        <f t="shared" si="21"/>
        <v>3.074694038504653E-2</v>
      </c>
      <c r="D45" s="544">
        <f t="shared" si="22"/>
        <v>2.9932342449871752E-2</v>
      </c>
      <c r="E45" s="46"/>
      <c r="F45" s="483" t="s">
        <v>2</v>
      </c>
      <c r="G45" s="544">
        <f t="shared" si="23"/>
        <v>3.9496650373718016E-2</v>
      </c>
      <c r="H45" s="544">
        <f t="shared" si="23"/>
        <v>3.3784528253766807E-2</v>
      </c>
      <c r="I45" s="544">
        <f t="shared" si="24"/>
        <v>3.2539224935328535E-2</v>
      </c>
      <c r="J45"/>
      <c r="K45" s="463">
        <f t="shared" si="28"/>
        <v>609.01535999999999</v>
      </c>
      <c r="L45" s="455">
        <f t="shared" si="25"/>
        <v>585.7088</v>
      </c>
      <c r="M45" s="455">
        <f t="shared" si="26"/>
        <v>602.20607999999993</v>
      </c>
      <c r="N45"/>
      <c r="O45" s="949">
        <f t="shared" si="27"/>
        <v>1.3839999999999999</v>
      </c>
      <c r="P45"/>
      <c r="Q45" s="483" t="s">
        <v>2</v>
      </c>
      <c r="R45" s="528">
        <v>145</v>
      </c>
      <c r="S45" s="529">
        <v>146</v>
      </c>
      <c r="T45" s="529">
        <v>146</v>
      </c>
      <c r="U45" s="1032">
        <v>144.83290946126411</v>
      </c>
      <c r="V45" s="529">
        <v>135</v>
      </c>
      <c r="W45" s="1032">
        <v>139.91727870651232</v>
      </c>
      <c r="X45" s="517">
        <v>138</v>
      </c>
      <c r="Y45" s="1032">
        <v>142.91320029559586</v>
      </c>
      <c r="Z45" s="529">
        <v>158</v>
      </c>
      <c r="AA45" s="517">
        <f>3*'What If Data'!L28</f>
        <v>0</v>
      </c>
      <c r="AB45" s="154"/>
      <c r="AC45" s="483" t="s">
        <v>2</v>
      </c>
      <c r="AD45" s="455">
        <f t="shared" si="14"/>
        <v>0</v>
      </c>
      <c r="AE45" s="455">
        <f t="shared" si="15"/>
        <v>1.56</v>
      </c>
      <c r="AF45" s="455">
        <f t="shared" si="16"/>
        <v>1.48</v>
      </c>
      <c r="AG45" s="455">
        <f t="shared" si="17"/>
        <v>1.44</v>
      </c>
      <c r="AH45" s="455">
        <f t="shared" si="18"/>
        <v>1.28</v>
      </c>
      <c r="AI45" s="455">
        <f t="shared" si="19"/>
        <v>1.4</v>
      </c>
      <c r="AJ45" s="483" t="s">
        <v>2</v>
      </c>
      <c r="AK45" s="455"/>
      <c r="AL45" s="475">
        <v>39</v>
      </c>
      <c r="AM45" s="475">
        <v>37</v>
      </c>
      <c r="AN45" s="475">
        <v>36</v>
      </c>
      <c r="AO45" s="475">
        <v>32</v>
      </c>
      <c r="AP45" s="475">
        <v>35</v>
      </c>
      <c r="AQ45" s="1298">
        <v>34.333333333333336</v>
      </c>
    </row>
    <row r="46" spans="1:47">
      <c r="A46" s="481" t="s">
        <v>10</v>
      </c>
      <c r="B46" s="543">
        <f t="shared" si="20"/>
        <v>0</v>
      </c>
      <c r="C46" s="543">
        <f t="shared" si="21"/>
        <v>0</v>
      </c>
      <c r="D46" s="543">
        <f t="shared" si="22"/>
        <v>0</v>
      </c>
      <c r="F46" s="481" t="s">
        <v>10</v>
      </c>
      <c r="G46" s="543">
        <f t="shared" si="23"/>
        <v>0</v>
      </c>
      <c r="H46" s="543">
        <f t="shared" si="23"/>
        <v>0</v>
      </c>
      <c r="I46" s="543">
        <f t="shared" si="24"/>
        <v>0</v>
      </c>
      <c r="K46" s="454">
        <f t="shared" si="28"/>
        <v>0</v>
      </c>
      <c r="L46" s="455">
        <f t="shared" si="25"/>
        <v>0</v>
      </c>
      <c r="M46" s="455">
        <f t="shared" si="26"/>
        <v>0</v>
      </c>
      <c r="O46" s="949">
        <f t="shared" si="27"/>
        <v>0</v>
      </c>
      <c r="P46"/>
      <c r="Q46" s="481" t="s">
        <v>10</v>
      </c>
      <c r="R46" s="528">
        <v>0</v>
      </c>
      <c r="S46" s="529">
        <v>0</v>
      </c>
      <c r="T46" s="452">
        <v>0</v>
      </c>
      <c r="U46" s="1032"/>
      <c r="V46" s="452">
        <v>0</v>
      </c>
      <c r="W46" s="1032"/>
      <c r="X46" s="517">
        <v>0</v>
      </c>
      <c r="Y46" s="1032"/>
      <c r="Z46" s="529">
        <v>0</v>
      </c>
      <c r="AA46" s="517">
        <f>3*'What If Data'!L29</f>
        <v>0</v>
      </c>
      <c r="AB46" s="154"/>
      <c r="AC46" s="481" t="s">
        <v>10</v>
      </c>
      <c r="AD46" s="455">
        <f t="shared" si="14"/>
        <v>0</v>
      </c>
      <c r="AE46" s="455">
        <f t="shared" si="15"/>
        <v>0</v>
      </c>
      <c r="AF46" s="455">
        <f t="shared" si="16"/>
        <v>0</v>
      </c>
      <c r="AG46" s="455">
        <f t="shared" si="17"/>
        <v>0</v>
      </c>
      <c r="AH46" s="455">
        <f t="shared" si="18"/>
        <v>0</v>
      </c>
      <c r="AI46" s="455">
        <f t="shared" si="19"/>
        <v>0</v>
      </c>
      <c r="AJ46" s="481" t="s">
        <v>10</v>
      </c>
      <c r="AK46" s="455"/>
      <c r="AL46">
        <v>0</v>
      </c>
      <c r="AM46">
        <v>0</v>
      </c>
      <c r="AN46">
        <v>0</v>
      </c>
      <c r="AO46">
        <v>0</v>
      </c>
    </row>
    <row r="47" spans="1:47">
      <c r="A47" s="481" t="s">
        <v>4</v>
      </c>
      <c r="B47" s="543">
        <f t="shared" si="20"/>
        <v>0.13224494789856567</v>
      </c>
      <c r="C47" s="543">
        <f t="shared" si="21"/>
        <v>0.12995854060392076</v>
      </c>
      <c r="D47" s="543">
        <f t="shared" si="22"/>
        <v>0.12784867575688763</v>
      </c>
      <c r="F47" s="481" t="s">
        <v>4</v>
      </c>
      <c r="G47" s="543">
        <f t="shared" si="23"/>
        <v>0.11656540236291796</v>
      </c>
      <c r="H47" s="543">
        <f t="shared" si="23"/>
        <v>0.11575003974449002</v>
      </c>
      <c r="I47" s="543">
        <f t="shared" si="24"/>
        <v>0.11369328787377328</v>
      </c>
      <c r="K47" s="455">
        <f t="shared" si="28"/>
        <v>1797.3706583188075</v>
      </c>
      <c r="L47" s="455">
        <f t="shared" si="25"/>
        <v>2006.7119590796317</v>
      </c>
      <c r="M47" s="455">
        <f t="shared" si="26"/>
        <v>2104.1309173421851</v>
      </c>
      <c r="O47" s="949">
        <f t="shared" si="27"/>
        <v>1.1402031631853178</v>
      </c>
      <c r="P47"/>
      <c r="Q47" s="481" t="s">
        <v>4</v>
      </c>
      <c r="R47" s="528">
        <v>451</v>
      </c>
      <c r="S47" s="529">
        <v>523</v>
      </c>
      <c r="T47" s="529">
        <v>534</v>
      </c>
      <c r="U47" s="1032">
        <v>543.66217016934581</v>
      </c>
      <c r="V47" s="529">
        <v>562</v>
      </c>
      <c r="W47" s="1032">
        <v>560.04805707293201</v>
      </c>
      <c r="X47" s="517">
        <v>559</v>
      </c>
      <c r="Y47" s="1032">
        <v>564.71685735360222</v>
      </c>
      <c r="Z47" s="529">
        <v>612</v>
      </c>
      <c r="AA47" s="517">
        <f>3*'What If Data'!L30</f>
        <v>0</v>
      </c>
      <c r="AB47" s="154"/>
      <c r="AC47" s="481" t="s">
        <v>4</v>
      </c>
      <c r="AD47" s="455">
        <f t="shared" si="14"/>
        <v>0</v>
      </c>
      <c r="AE47" s="455">
        <f t="shared" si="15"/>
        <v>33.519999999999996</v>
      </c>
      <c r="AF47" s="455">
        <f t="shared" si="16"/>
        <v>34.839999999999996</v>
      </c>
      <c r="AG47" s="455">
        <f t="shared" si="17"/>
        <v>33.32</v>
      </c>
      <c r="AH47" s="455">
        <f t="shared" si="18"/>
        <v>36.799999999999997</v>
      </c>
      <c r="AI47" s="455">
        <f t="shared" si="19"/>
        <v>42.28</v>
      </c>
      <c r="AJ47" s="481" t="s">
        <v>4</v>
      </c>
      <c r="AK47" s="455"/>
      <c r="AL47" s="475">
        <v>838</v>
      </c>
      <c r="AM47" s="475">
        <v>871</v>
      </c>
      <c r="AN47" s="475">
        <v>833</v>
      </c>
      <c r="AO47" s="475">
        <v>920</v>
      </c>
      <c r="AP47" s="475">
        <v>1057</v>
      </c>
      <c r="AQ47" s="1300">
        <v>1160.6666666666667</v>
      </c>
    </row>
    <row r="48" spans="1:47" s="10" customFormat="1">
      <c r="A48" s="481" t="s">
        <v>14</v>
      </c>
      <c r="B48" s="543">
        <f t="shared" si="20"/>
        <v>0</v>
      </c>
      <c r="C48" s="543">
        <f t="shared" si="21"/>
        <v>0</v>
      </c>
      <c r="D48" s="543">
        <f t="shared" si="22"/>
        <v>0</v>
      </c>
      <c r="E48" s="46"/>
      <c r="F48" s="481" t="s">
        <v>14</v>
      </c>
      <c r="G48" s="543">
        <f t="shared" si="23"/>
        <v>0</v>
      </c>
      <c r="H48" s="543">
        <f t="shared" si="23"/>
        <v>0</v>
      </c>
      <c r="I48" s="543">
        <f t="shared" si="24"/>
        <v>0</v>
      </c>
      <c r="J48"/>
      <c r="K48" s="454">
        <f t="shared" si="28"/>
        <v>0</v>
      </c>
      <c r="L48" s="455">
        <f t="shared" si="25"/>
        <v>0</v>
      </c>
      <c r="M48" s="455">
        <f t="shared" si="26"/>
        <v>0</v>
      </c>
      <c r="N48"/>
      <c r="O48" s="949">
        <f t="shared" si="27"/>
        <v>0</v>
      </c>
      <c r="P48"/>
      <c r="Q48" s="481" t="s">
        <v>14</v>
      </c>
      <c r="R48" s="528">
        <v>0</v>
      </c>
      <c r="S48" s="529">
        <v>0</v>
      </c>
      <c r="T48" s="452">
        <v>0</v>
      </c>
      <c r="U48" s="1032"/>
      <c r="V48" s="452">
        <v>0</v>
      </c>
      <c r="W48" s="1032"/>
      <c r="X48" s="517">
        <v>0</v>
      </c>
      <c r="Y48" s="1032"/>
      <c r="Z48" s="529">
        <v>0</v>
      </c>
      <c r="AA48" s="517">
        <f>3*'What If Data'!L31</f>
        <v>0</v>
      </c>
      <c r="AB48" s="154"/>
      <c r="AC48" s="481" t="s">
        <v>14</v>
      </c>
      <c r="AD48" s="455">
        <f t="shared" si="14"/>
        <v>0</v>
      </c>
      <c r="AE48" s="455">
        <f t="shared" si="15"/>
        <v>0</v>
      </c>
      <c r="AF48" s="455">
        <f t="shared" si="16"/>
        <v>0</v>
      </c>
      <c r="AG48" s="455">
        <f t="shared" si="17"/>
        <v>0</v>
      </c>
      <c r="AH48" s="455">
        <f t="shared" si="18"/>
        <v>0</v>
      </c>
      <c r="AI48" s="455">
        <f t="shared" si="19"/>
        <v>0</v>
      </c>
      <c r="AJ48" s="481" t="s">
        <v>14</v>
      </c>
      <c r="AK48" s="455"/>
      <c r="AL48">
        <v>0</v>
      </c>
      <c r="AM48">
        <v>0</v>
      </c>
      <c r="AN48">
        <v>0</v>
      </c>
      <c r="AO48">
        <v>0</v>
      </c>
      <c r="AP48"/>
      <c r="AQ48" s="1171"/>
      <c r="AR48"/>
      <c r="AS48"/>
      <c r="AT48"/>
      <c r="AU48"/>
    </row>
    <row r="49" spans="1:43">
      <c r="A49" s="483" t="s">
        <v>17</v>
      </c>
      <c r="B49" s="544">
        <f t="shared" si="20"/>
        <v>0.15974217630482201</v>
      </c>
      <c r="C49" s="544">
        <f t="shared" si="21"/>
        <v>0.15571216846313768</v>
      </c>
      <c r="D49" s="544">
        <f t="shared" si="22"/>
        <v>0.15122494351824955</v>
      </c>
      <c r="F49" s="483" t="s">
        <v>17</v>
      </c>
      <c r="G49" s="544">
        <f t="shared" si="23"/>
        <v>0.16980568642184662</v>
      </c>
      <c r="H49" s="544">
        <f t="shared" si="23"/>
        <v>0.16522669954538036</v>
      </c>
      <c r="I49" s="544">
        <f t="shared" si="24"/>
        <v>0.16114138581469345</v>
      </c>
      <c r="K49" s="463">
        <f t="shared" si="28"/>
        <v>2618.3048503541527</v>
      </c>
      <c r="L49" s="455">
        <f>O49*(T49+V49+X49+AH49+AF49+AG49)</f>
        <v>2864.4689424631929</v>
      </c>
      <c r="M49" s="455">
        <f t="shared" si="26"/>
        <v>2982.2567215445679</v>
      </c>
      <c r="O49" s="949">
        <f t="shared" si="27"/>
        <v>0.9661071118879152</v>
      </c>
      <c r="P49"/>
      <c r="Q49" s="483" t="s">
        <v>17</v>
      </c>
      <c r="R49" s="528">
        <v>823</v>
      </c>
      <c r="S49" s="529">
        <v>880</v>
      </c>
      <c r="T49" s="529">
        <v>898</v>
      </c>
      <c r="U49" s="1032">
        <v>887.98651669844583</v>
      </c>
      <c r="V49" s="529">
        <v>916</v>
      </c>
      <c r="W49" s="1032">
        <v>919.0103593533081</v>
      </c>
      <c r="X49" s="517">
        <v>986</v>
      </c>
      <c r="Y49" s="1032">
        <v>973.71315676001495</v>
      </c>
      <c r="Z49" s="529">
        <v>1014</v>
      </c>
      <c r="AA49" s="517">
        <f>3*'What If Data'!L32</f>
        <v>0</v>
      </c>
      <c r="AB49" s="154"/>
      <c r="AC49" s="483" t="s">
        <v>17</v>
      </c>
      <c r="AD49" s="455">
        <f t="shared" si="14"/>
        <v>0</v>
      </c>
      <c r="AE49" s="455">
        <f t="shared" si="15"/>
        <v>53.279999999999994</v>
      </c>
      <c r="AF49" s="455">
        <f t="shared" si="16"/>
        <v>55.879999999999995</v>
      </c>
      <c r="AG49" s="455">
        <f t="shared" si="17"/>
        <v>51.6</v>
      </c>
      <c r="AH49" s="455">
        <f t="shared" si="18"/>
        <v>57.48</v>
      </c>
      <c r="AI49" s="455">
        <f t="shared" si="19"/>
        <v>61.8</v>
      </c>
      <c r="AJ49" s="483" t="s">
        <v>17</v>
      </c>
      <c r="AK49" s="455"/>
      <c r="AL49" s="475">
        <v>1332</v>
      </c>
      <c r="AM49" s="475">
        <v>1397</v>
      </c>
      <c r="AN49" s="475">
        <v>1290</v>
      </c>
      <c r="AO49" s="475">
        <v>1437</v>
      </c>
      <c r="AP49" s="475">
        <v>1545</v>
      </c>
      <c r="AQ49" s="1300">
        <v>1679</v>
      </c>
    </row>
    <row r="50" spans="1:43">
      <c r="A50" s="481" t="s">
        <v>324</v>
      </c>
      <c r="B50" s="543">
        <f t="shared" si="20"/>
        <v>0</v>
      </c>
      <c r="C50" s="543">
        <f t="shared" si="21"/>
        <v>0</v>
      </c>
      <c r="D50" s="543">
        <f t="shared" si="22"/>
        <v>0</v>
      </c>
      <c r="F50" s="481" t="s">
        <v>324</v>
      </c>
      <c r="G50" s="543">
        <f t="shared" si="23"/>
        <v>0</v>
      </c>
      <c r="H50" s="543">
        <f t="shared" si="23"/>
        <v>0</v>
      </c>
      <c r="I50" s="543">
        <f t="shared" si="24"/>
        <v>0</v>
      </c>
      <c r="K50" s="454">
        <f t="shared" si="28"/>
        <v>0</v>
      </c>
      <c r="L50" s="455">
        <f t="shared" si="25"/>
        <v>0</v>
      </c>
      <c r="M50" s="455">
        <f t="shared" si="26"/>
        <v>0</v>
      </c>
      <c r="O50" s="949">
        <f t="shared" si="27"/>
        <v>0</v>
      </c>
      <c r="P50"/>
      <c r="Q50" s="481" t="s">
        <v>324</v>
      </c>
      <c r="R50" s="528">
        <v>0</v>
      </c>
      <c r="S50" s="529">
        <v>0</v>
      </c>
      <c r="T50" s="452">
        <v>0</v>
      </c>
      <c r="U50" s="1032"/>
      <c r="V50" s="452">
        <v>0</v>
      </c>
      <c r="W50" s="1032"/>
      <c r="X50" s="517">
        <v>0</v>
      </c>
      <c r="Y50" s="1032"/>
      <c r="Z50" s="529">
        <v>0</v>
      </c>
      <c r="AA50" s="517">
        <f>3*'What If Data'!L33</f>
        <v>0</v>
      </c>
      <c r="AB50" s="154"/>
      <c r="AC50" s="481" t="s">
        <v>324</v>
      </c>
      <c r="AD50" s="455">
        <f t="shared" si="14"/>
        <v>0</v>
      </c>
      <c r="AE50" s="455">
        <f t="shared" si="15"/>
        <v>0</v>
      </c>
      <c r="AF50" s="455">
        <f t="shared" si="16"/>
        <v>0</v>
      </c>
      <c r="AG50" s="455">
        <f t="shared" si="17"/>
        <v>0</v>
      </c>
      <c r="AH50" s="455">
        <f t="shared" si="18"/>
        <v>0</v>
      </c>
      <c r="AI50" s="455">
        <f t="shared" si="19"/>
        <v>0</v>
      </c>
      <c r="AJ50" s="481" t="s">
        <v>324</v>
      </c>
      <c r="AK50" s="454"/>
      <c r="AL50">
        <v>0</v>
      </c>
      <c r="AM50">
        <v>0</v>
      </c>
      <c r="AN50">
        <v>0</v>
      </c>
      <c r="AO50">
        <v>0</v>
      </c>
      <c r="AQ50" s="1171"/>
    </row>
    <row r="51" spans="1:43">
      <c r="A51" s="481" t="s">
        <v>7</v>
      </c>
      <c r="B51" s="543">
        <f t="shared" si="20"/>
        <v>0.25786293366420776</v>
      </c>
      <c r="C51" s="543">
        <f t="shared" si="21"/>
        <v>0.29304987369079472</v>
      </c>
      <c r="D51" s="543">
        <f t="shared" si="22"/>
        <v>0.31722522725374497</v>
      </c>
      <c r="F51" s="481" t="s">
        <v>7</v>
      </c>
      <c r="G51" s="543">
        <f t="shared" si="23"/>
        <v>0.21555671227957965</v>
      </c>
      <c r="H51" s="543">
        <f t="shared" si="23"/>
        <v>0.2600642296827293</v>
      </c>
      <c r="I51" s="543">
        <f t="shared" si="24"/>
        <v>0.28470475739057727</v>
      </c>
      <c r="K51" s="455">
        <f t="shared" si="28"/>
        <v>3323.7590399999995</v>
      </c>
      <c r="L51" s="455">
        <f t="shared" si="25"/>
        <v>4508.6291199999996</v>
      </c>
      <c r="M51" s="455">
        <f t="shared" si="26"/>
        <v>5269.0540799999999</v>
      </c>
      <c r="O51" s="949">
        <f t="shared" si="27"/>
        <v>1.3839999999999999</v>
      </c>
      <c r="P51"/>
      <c r="Q51" s="481" t="s">
        <v>7</v>
      </c>
      <c r="R51" s="528">
        <v>668</v>
      </c>
      <c r="S51" s="529">
        <v>822</v>
      </c>
      <c r="T51" s="529">
        <v>907</v>
      </c>
      <c r="U51" s="1032">
        <v>1019.1575833891262</v>
      </c>
      <c r="V51" s="529">
        <v>1031</v>
      </c>
      <c r="W51" s="1032">
        <v>1128.6957977779159</v>
      </c>
      <c r="X51" s="517">
        <v>1310</v>
      </c>
      <c r="Y51" s="1032">
        <v>1304.0767329516448</v>
      </c>
      <c r="Z51" s="529">
        <v>1452</v>
      </c>
      <c r="AA51" s="517">
        <f>3*'What If Data'!L34</f>
        <v>0</v>
      </c>
      <c r="AB51" s="154"/>
      <c r="AC51" s="481" t="s">
        <v>7</v>
      </c>
      <c r="AD51" s="455">
        <f t="shared" si="14"/>
        <v>0</v>
      </c>
      <c r="AE51" s="455">
        <f t="shared" si="15"/>
        <v>1.44</v>
      </c>
      <c r="AF51" s="455">
        <f t="shared" si="16"/>
        <v>3.12</v>
      </c>
      <c r="AG51" s="455">
        <f t="shared" si="17"/>
        <v>3.3200000000000003</v>
      </c>
      <c r="AH51" s="455">
        <f t="shared" si="18"/>
        <v>3.2399999999999998</v>
      </c>
      <c r="AI51" s="455">
        <f t="shared" si="19"/>
        <v>7.56</v>
      </c>
      <c r="AJ51" s="481" t="s">
        <v>7</v>
      </c>
      <c r="AK51" s="455"/>
      <c r="AL51" s="475">
        <v>36</v>
      </c>
      <c r="AM51" s="475">
        <v>78</v>
      </c>
      <c r="AN51" s="475">
        <v>83</v>
      </c>
      <c r="AO51" s="475">
        <v>81</v>
      </c>
      <c r="AP51" s="475">
        <v>189</v>
      </c>
      <c r="AQ51" s="1300">
        <v>223.66666666666666</v>
      </c>
    </row>
    <row r="52" spans="1:43">
      <c r="A52" s="481" t="s">
        <v>9</v>
      </c>
      <c r="B52" s="543">
        <f t="shared" si="20"/>
        <v>0.11415496847530679</v>
      </c>
      <c r="C52" s="543">
        <f t="shared" si="21"/>
        <v>0.11397541500626979</v>
      </c>
      <c r="D52" s="543">
        <f t="shared" si="22"/>
        <v>0.10593803980552446</v>
      </c>
      <c r="F52" s="481" t="s">
        <v>9</v>
      </c>
      <c r="G52" s="543">
        <f t="shared" si="23"/>
        <v>0.12414929970546623</v>
      </c>
      <c r="H52" s="543">
        <f t="shared" si="23"/>
        <v>0.1223988970432963</v>
      </c>
      <c r="I52" s="543">
        <f t="shared" si="24"/>
        <v>0.11506199058604138</v>
      </c>
      <c r="K52" s="455">
        <f t="shared" si="28"/>
        <v>1914.30994118388</v>
      </c>
      <c r="L52" s="455">
        <f t="shared" si="25"/>
        <v>2121.9805281892468</v>
      </c>
      <c r="M52" s="455">
        <f t="shared" si="26"/>
        <v>2129.4616096582595</v>
      </c>
      <c r="O52" s="949">
        <f t="shared" si="27"/>
        <v>0.88220300342126901</v>
      </c>
      <c r="P52"/>
      <c r="Q52" s="481" t="s">
        <v>9</v>
      </c>
      <c r="R52" s="528">
        <v>690</v>
      </c>
      <c r="S52" s="529">
        <v>729</v>
      </c>
      <c r="T52" s="529">
        <v>739</v>
      </c>
      <c r="U52" s="1032">
        <v>785.04533459491302</v>
      </c>
      <c r="V52" s="529">
        <v>826</v>
      </c>
      <c r="W52" s="1032">
        <v>780.27033928176979</v>
      </c>
      <c r="X52" s="517">
        <v>819</v>
      </c>
      <c r="Y52" s="1032">
        <v>760.04216788487838</v>
      </c>
      <c r="Z52" s="529">
        <v>746</v>
      </c>
      <c r="AA52" s="517">
        <f>3*'What If Data'!L35</f>
        <v>0</v>
      </c>
      <c r="AB52" s="154"/>
      <c r="AC52" s="481" t="s">
        <v>9</v>
      </c>
      <c r="AD52" s="455">
        <f t="shared" si="14"/>
        <v>0</v>
      </c>
      <c r="AE52" s="455">
        <f t="shared" si="15"/>
        <v>5.5600000000000005</v>
      </c>
      <c r="AF52" s="455">
        <f t="shared" si="16"/>
        <v>6.36</v>
      </c>
      <c r="AG52" s="455">
        <f t="shared" si="17"/>
        <v>7.2</v>
      </c>
      <c r="AH52" s="455">
        <f t="shared" si="18"/>
        <v>7.76</v>
      </c>
      <c r="AI52" s="455">
        <f t="shared" si="19"/>
        <v>7.8400000000000007</v>
      </c>
      <c r="AJ52" s="481" t="s">
        <v>9</v>
      </c>
      <c r="AK52" s="455"/>
      <c r="AL52" s="475">
        <v>139</v>
      </c>
      <c r="AM52" s="475">
        <v>159</v>
      </c>
      <c r="AN52" s="475">
        <v>180</v>
      </c>
      <c r="AO52" s="475">
        <v>194</v>
      </c>
      <c r="AP52" s="475">
        <v>196</v>
      </c>
      <c r="AQ52" s="1298">
        <v>190</v>
      </c>
    </row>
    <row r="53" spans="1:43">
      <c r="A53" s="483" t="s">
        <v>5</v>
      </c>
      <c r="B53" s="544">
        <f t="shared" si="20"/>
        <v>2.6164645856678291E-2</v>
      </c>
      <c r="C53" s="544">
        <f t="shared" si="21"/>
        <v>2.2270466313591898E-2</v>
      </c>
      <c r="D53" s="544">
        <f t="shared" si="22"/>
        <v>2.1017920792955842E-2</v>
      </c>
      <c r="F53" s="483" t="s">
        <v>5</v>
      </c>
      <c r="G53" s="544">
        <f t="shared" si="23"/>
        <v>3.2544229032685501E-2</v>
      </c>
      <c r="H53" s="544">
        <f t="shared" si="23"/>
        <v>2.7527103133888821E-2</v>
      </c>
      <c r="I53" s="544">
        <f t="shared" si="24"/>
        <v>2.5337328833405642E-2</v>
      </c>
      <c r="K53" s="463">
        <f t="shared" si="28"/>
        <v>501.81306953189267</v>
      </c>
      <c r="L53" s="455">
        <f t="shared" si="25"/>
        <v>477.22633339503977</v>
      </c>
      <c r="M53" s="455">
        <f t="shared" si="26"/>
        <v>468.92000361907594</v>
      </c>
      <c r="O53" s="949">
        <f t="shared" si="27"/>
        <v>1.3843882959939655</v>
      </c>
      <c r="P53"/>
      <c r="Q53" s="483" t="s">
        <v>5</v>
      </c>
      <c r="R53" s="528">
        <v>133</v>
      </c>
      <c r="S53" s="529">
        <v>115</v>
      </c>
      <c r="T53" s="529">
        <v>111</v>
      </c>
      <c r="U53" s="1032">
        <v>123.38438005629625</v>
      </c>
      <c r="V53" s="529">
        <v>119</v>
      </c>
      <c r="W53" s="1032">
        <v>110.161501229892</v>
      </c>
      <c r="X53" s="517">
        <v>108</v>
      </c>
      <c r="Y53" s="1032">
        <v>124.21718358997788</v>
      </c>
      <c r="Z53" s="529">
        <v>105</v>
      </c>
      <c r="AA53" s="517">
        <f>3*'What If Data'!L36</f>
        <v>0</v>
      </c>
      <c r="AB53" s="154"/>
      <c r="AC53" s="483" t="s">
        <v>5</v>
      </c>
      <c r="AD53" s="455">
        <f t="shared" si="14"/>
        <v>0</v>
      </c>
      <c r="AE53" s="455">
        <f t="shared" si="15"/>
        <v>1.48</v>
      </c>
      <c r="AF53" s="455">
        <f t="shared" si="16"/>
        <v>2</v>
      </c>
      <c r="AG53" s="455">
        <f t="shared" si="17"/>
        <v>2.44</v>
      </c>
      <c r="AH53" s="455">
        <f t="shared" si="18"/>
        <v>2.2800000000000002</v>
      </c>
      <c r="AI53" s="455">
        <f t="shared" si="19"/>
        <v>2</v>
      </c>
      <c r="AJ53" s="483" t="s">
        <v>5</v>
      </c>
      <c r="AK53" s="455"/>
      <c r="AL53" s="475">
        <v>37</v>
      </c>
      <c r="AM53" s="475">
        <v>50</v>
      </c>
      <c r="AN53" s="475">
        <v>61</v>
      </c>
      <c r="AO53" s="475">
        <v>57</v>
      </c>
      <c r="AP53" s="475">
        <v>50</v>
      </c>
      <c r="AQ53" s="1298">
        <v>56</v>
      </c>
    </row>
    <row r="54" spans="1:43">
      <c r="A54" s="481"/>
      <c r="B54" s="543"/>
      <c r="C54" s="543"/>
      <c r="D54" s="543"/>
      <c r="F54" s="461"/>
      <c r="G54" s="543"/>
      <c r="H54" s="543"/>
      <c r="I54" s="543"/>
      <c r="J54" s="46"/>
      <c r="K54" s="454"/>
      <c r="L54" s="536"/>
      <c r="M54" s="455"/>
      <c r="O54" s="949"/>
      <c r="P54"/>
      <c r="Q54" s="481"/>
      <c r="R54" s="525"/>
      <c r="S54" s="452"/>
      <c r="T54" s="452"/>
      <c r="U54" s="1033"/>
      <c r="V54" s="452"/>
      <c r="W54" s="1033"/>
      <c r="X54" s="154"/>
      <c r="Y54" s="1033"/>
      <c r="Z54" s="452"/>
      <c r="AA54" s="154"/>
      <c r="AB54" s="154"/>
      <c r="AC54" s="481"/>
      <c r="AD54" s="454"/>
      <c r="AE54" s="454"/>
      <c r="AF54" s="454"/>
      <c r="AG54" s="469"/>
      <c r="AH54" s="469"/>
      <c r="AI54" s="469"/>
      <c r="AJ54" s="481"/>
      <c r="AK54" s="454"/>
    </row>
    <row r="55" spans="1:43">
      <c r="A55" s="481" t="s">
        <v>541</v>
      </c>
      <c r="B55" s="543">
        <f>G55*E$4+G30*E$5</f>
        <v>0</v>
      </c>
      <c r="C55" s="543">
        <f t="shared" si="21"/>
        <v>0</v>
      </c>
      <c r="D55" s="543">
        <f>I55*E$4+I30*E$5</f>
        <v>0</v>
      </c>
      <c r="F55" s="481" t="s">
        <v>541</v>
      </c>
      <c r="G55" s="543">
        <f t="shared" ref="G55:I59" si="29">K55/K$60</f>
        <v>0</v>
      </c>
      <c r="H55" s="543">
        <f t="shared" si="29"/>
        <v>0</v>
      </c>
      <c r="I55" s="543">
        <f t="shared" si="29"/>
        <v>0</v>
      </c>
      <c r="K55" s="454">
        <f>O55*(R55+S55+T55+AD55+AE55+AF55)</f>
        <v>0</v>
      </c>
      <c r="L55" s="455">
        <f>O55*(T55+V55+X55+AH55+AF55+AG55)</f>
        <v>0</v>
      </c>
      <c r="M55" s="455">
        <f t="shared" ref="M55:M59" si="30">O55*(X55+Z55+V55+AI55+AG55+AH55+AA55)</f>
        <v>0</v>
      </c>
      <c r="O55" s="949">
        <f t="shared" si="27"/>
        <v>1.0549999999999999</v>
      </c>
      <c r="P55"/>
      <c r="Q55" s="481" t="s">
        <v>541</v>
      </c>
      <c r="R55" s="525"/>
      <c r="S55" s="452"/>
      <c r="T55" s="452"/>
      <c r="U55" s="1033"/>
      <c r="V55" s="452"/>
      <c r="W55" s="1033"/>
      <c r="X55" s="154"/>
      <c r="Y55" s="1033"/>
      <c r="Z55" s="1653"/>
      <c r="AA55" s="154"/>
      <c r="AB55" s="154"/>
      <c r="AC55" s="481" t="s">
        <v>541</v>
      </c>
      <c r="AD55" s="454"/>
      <c r="AE55" s="454"/>
      <c r="AF55" s="454"/>
      <c r="AG55" s="469"/>
      <c r="AH55" s="469"/>
      <c r="AI55" s="469"/>
      <c r="AJ55" s="481" t="s">
        <v>541</v>
      </c>
      <c r="AK55" s="454"/>
      <c r="AL55" s="475">
        <v>23</v>
      </c>
      <c r="AM55" s="475">
        <v>26</v>
      </c>
      <c r="AN55" s="475">
        <v>22</v>
      </c>
      <c r="AO55" s="475">
        <v>23</v>
      </c>
      <c r="AP55" s="475">
        <v>80</v>
      </c>
      <c r="AQ55" s="1298">
        <v>41.666666666666664</v>
      </c>
    </row>
    <row r="56" spans="1:43">
      <c r="A56" s="481" t="s">
        <v>563</v>
      </c>
      <c r="B56" s="543">
        <f>G56*E$4+G31*E$5</f>
        <v>0</v>
      </c>
      <c r="C56" s="543">
        <f t="shared" si="21"/>
        <v>0</v>
      </c>
      <c r="D56" s="543">
        <f>I56*E$4+I31*E$5</f>
        <v>0</v>
      </c>
      <c r="F56" s="481" t="s">
        <v>563</v>
      </c>
      <c r="G56" s="543">
        <f t="shared" si="29"/>
        <v>0</v>
      </c>
      <c r="H56" s="543">
        <f t="shared" si="29"/>
        <v>0</v>
      </c>
      <c r="I56" s="543">
        <f t="shared" si="29"/>
        <v>0</v>
      </c>
      <c r="K56" s="454">
        <f>O56*(R56+S56+T56+AD56+AE56+AF56)</f>
        <v>0</v>
      </c>
      <c r="L56" s="455">
        <f>O56*(T56+V56+X56+AH56+AF56+AG56)</f>
        <v>0</v>
      </c>
      <c r="M56" s="455">
        <f t="shared" si="30"/>
        <v>0</v>
      </c>
      <c r="O56" s="949">
        <f t="shared" si="27"/>
        <v>1.0549999999999999</v>
      </c>
      <c r="P56"/>
      <c r="Q56" s="481" t="s">
        <v>563</v>
      </c>
      <c r="R56" s="525"/>
      <c r="S56" s="452"/>
      <c r="T56" s="452"/>
      <c r="U56" s="1033"/>
      <c r="V56" s="452"/>
      <c r="W56" s="1033"/>
      <c r="X56" s="154"/>
      <c r="Y56" s="1033"/>
      <c r="Z56" s="1653"/>
      <c r="AA56" s="154"/>
      <c r="AB56" s="154"/>
      <c r="AC56" s="481" t="s">
        <v>563</v>
      </c>
      <c r="AD56" s="454"/>
      <c r="AE56" s="454"/>
      <c r="AF56" s="454"/>
      <c r="AG56" s="469"/>
      <c r="AH56" s="469"/>
      <c r="AI56" s="469"/>
      <c r="AJ56" s="481" t="s">
        <v>563</v>
      </c>
      <c r="AK56" s="454"/>
      <c r="AL56">
        <v>0</v>
      </c>
      <c r="AM56">
        <v>0</v>
      </c>
      <c r="AN56">
        <v>0</v>
      </c>
      <c r="AO56">
        <v>0</v>
      </c>
      <c r="AP56" s="475">
        <v>0</v>
      </c>
      <c r="AQ56" s="1298">
        <v>0</v>
      </c>
    </row>
    <row r="57" spans="1:43">
      <c r="A57" s="483" t="s">
        <v>543</v>
      </c>
      <c r="B57" s="544">
        <f>G57*E$4+G32*E$5</f>
        <v>1.9083210587278576E-2</v>
      </c>
      <c r="C57" s="544">
        <f t="shared" si="21"/>
        <v>1.8437353844713067E-2</v>
      </c>
      <c r="D57" s="544">
        <f>I57*E$4+I32*E$5</f>
        <v>1.7447159574871515E-2</v>
      </c>
      <c r="F57" s="483" t="s">
        <v>543</v>
      </c>
      <c r="G57" s="544">
        <f t="shared" si="29"/>
        <v>3.1805350978797629E-2</v>
      </c>
      <c r="H57" s="544">
        <f t="shared" si="29"/>
        <v>3.0728923074521779E-2</v>
      </c>
      <c r="I57" s="544">
        <f t="shared" si="29"/>
        <v>2.9078599291452529E-2</v>
      </c>
      <c r="K57" s="464">
        <f>O57*(R57+S57+T57+AD57+AE57+AF57)</f>
        <v>490.41999999999996</v>
      </c>
      <c r="L57" s="455">
        <f>O57*(T57+V57+X57+AH57+AF57+AG57)</f>
        <v>532.73500000000001</v>
      </c>
      <c r="M57" s="455">
        <f>O57*(X57+Z57+V57+AI57+AG57+AH57+AA57)</f>
        <v>538.16</v>
      </c>
      <c r="O57" s="949">
        <f t="shared" si="27"/>
        <v>1.085</v>
      </c>
      <c r="P57"/>
      <c r="Q57" s="483" t="s">
        <v>543</v>
      </c>
      <c r="R57" s="530">
        <v>101</v>
      </c>
      <c r="S57" s="530">
        <v>180</v>
      </c>
      <c r="T57" s="529">
        <v>171</v>
      </c>
      <c r="U57" s="1032">
        <v>195.62748784462116</v>
      </c>
      <c r="V57" s="529">
        <v>182</v>
      </c>
      <c r="W57" s="1032">
        <v>143.43915177249883</v>
      </c>
      <c r="X57" s="517">
        <v>138</v>
      </c>
      <c r="Y57" s="1032">
        <v>190.4784396364735</v>
      </c>
      <c r="Z57" s="529">
        <v>176</v>
      </c>
      <c r="AA57" s="517">
        <f>3*'What If Data'!L40</f>
        <v>0</v>
      </c>
      <c r="AB57" s="154"/>
      <c r="AC57" s="483" t="s">
        <v>543</v>
      </c>
      <c r="AD57" s="454"/>
      <c r="AE57" s="454"/>
      <c r="AF57" s="454"/>
      <c r="AG57" s="469"/>
      <c r="AH57" s="469"/>
      <c r="AI57" s="469"/>
      <c r="AJ57" s="483" t="s">
        <v>543</v>
      </c>
      <c r="AK57" s="454"/>
    </row>
    <row r="58" spans="1:43">
      <c r="A58" s="481" t="s">
        <v>562</v>
      </c>
      <c r="B58" s="543">
        <f>G58*E$4+G33*E$5</f>
        <v>0</v>
      </c>
      <c r="C58" s="543">
        <f t="shared" si="21"/>
        <v>0</v>
      </c>
      <c r="D58" s="543">
        <f>I58*E$4+I33*E$5</f>
        <v>0</v>
      </c>
      <c r="F58" s="481" t="s">
        <v>562</v>
      </c>
      <c r="G58" s="543">
        <f t="shared" si="29"/>
        <v>0</v>
      </c>
      <c r="H58" s="543">
        <f t="shared" si="29"/>
        <v>0</v>
      </c>
      <c r="I58" s="543">
        <f t="shared" si="29"/>
        <v>0</v>
      </c>
      <c r="K58" s="454">
        <f>O58*(R58+S58+T58+AD58+AE58+AF58)</f>
        <v>0</v>
      </c>
      <c r="L58" s="455">
        <f>O58*(T58+V58+X58+AH58+AF58+AG58)</f>
        <v>0</v>
      </c>
      <c r="M58" s="455">
        <f t="shared" si="30"/>
        <v>0</v>
      </c>
      <c r="O58" s="949">
        <f t="shared" si="27"/>
        <v>1.0549999999999999</v>
      </c>
      <c r="P58"/>
      <c r="Q58" s="481" t="s">
        <v>562</v>
      </c>
      <c r="R58" s="525"/>
      <c r="S58" s="452"/>
      <c r="T58" s="452"/>
      <c r="U58" s="452"/>
      <c r="V58" s="452"/>
      <c r="W58" s="452"/>
      <c r="X58" s="452"/>
      <c r="Y58" s="452"/>
      <c r="Z58" s="452"/>
      <c r="AA58" s="452"/>
      <c r="AB58" s="154"/>
      <c r="AC58" s="481" t="s">
        <v>562</v>
      </c>
      <c r="AD58" s="455">
        <f t="shared" ref="AD58:AI58" si="31">AK58/5/5</f>
        <v>0</v>
      </c>
      <c r="AE58" s="455">
        <f t="shared" si="31"/>
        <v>0</v>
      </c>
      <c r="AF58" s="455">
        <f t="shared" si="31"/>
        <v>0</v>
      </c>
      <c r="AG58" s="455">
        <f t="shared" si="31"/>
        <v>0</v>
      </c>
      <c r="AH58" s="455">
        <f t="shared" si="31"/>
        <v>0</v>
      </c>
      <c r="AI58" s="455">
        <f t="shared" si="31"/>
        <v>0</v>
      </c>
      <c r="AJ58" s="481" t="s">
        <v>562</v>
      </c>
      <c r="AK58" s="455"/>
    </row>
    <row r="59" spans="1:43">
      <c r="A59" s="487" t="s">
        <v>545</v>
      </c>
      <c r="B59" s="543">
        <f>G59*E$4+G34*E$5</f>
        <v>0</v>
      </c>
      <c r="C59" s="543">
        <f t="shared" si="21"/>
        <v>0</v>
      </c>
      <c r="D59" s="543">
        <f>I59*E$4+I34*E$5</f>
        <v>0</v>
      </c>
      <c r="F59" s="487" t="s">
        <v>545</v>
      </c>
      <c r="G59" s="490">
        <f t="shared" si="29"/>
        <v>0</v>
      </c>
      <c r="H59" s="490">
        <f t="shared" si="29"/>
        <v>0</v>
      </c>
      <c r="I59" s="490">
        <f t="shared" si="29"/>
        <v>0</v>
      </c>
      <c r="K59" s="455">
        <f>O59*(R59+S59+T59+AD59+AE59+AF59)</f>
        <v>0</v>
      </c>
      <c r="L59" s="455">
        <f>O59*(T59+V59+X59+AH59+AF59+AG59)</f>
        <v>0</v>
      </c>
      <c r="M59" s="455">
        <f t="shared" si="30"/>
        <v>0</v>
      </c>
      <c r="O59" s="949">
        <f t="shared" si="27"/>
        <v>1.0820000000000001</v>
      </c>
      <c r="P59"/>
      <c r="Q59" s="531" t="s">
        <v>545</v>
      </c>
      <c r="R59" s="532"/>
      <c r="S59" s="533"/>
      <c r="T59" s="533"/>
      <c r="U59" s="533"/>
      <c r="V59" s="452"/>
      <c r="W59" s="452"/>
      <c r="X59" s="452"/>
      <c r="Y59" s="452"/>
      <c r="Z59" s="452"/>
      <c r="AA59" s="452"/>
      <c r="AB59" s="154"/>
      <c r="AC59" s="531" t="s">
        <v>545</v>
      </c>
      <c r="AD59" s="534"/>
      <c r="AE59" s="534"/>
      <c r="AF59" s="534"/>
      <c r="AG59" s="535"/>
      <c r="AH59" s="535"/>
      <c r="AI59" s="535"/>
      <c r="AJ59" s="531" t="s">
        <v>545</v>
      </c>
      <c r="AK59" s="534"/>
    </row>
    <row r="60" spans="1:43">
      <c r="A60" s="488"/>
      <c r="B60" s="491">
        <f>SUM(B42:B59)</f>
        <v>1</v>
      </c>
      <c r="C60" s="491">
        <f>SUM(C42:C59)</f>
        <v>0.99999999999999978</v>
      </c>
      <c r="D60" s="491">
        <f>SUM(D42:D59)</f>
        <v>1</v>
      </c>
      <c r="F60" s="466"/>
      <c r="G60" s="491">
        <f>SUM(G42:G59)</f>
        <v>1</v>
      </c>
      <c r="H60" s="491">
        <f>SUM(H42:H59)</f>
        <v>1</v>
      </c>
      <c r="I60" s="491">
        <f>SUM(I42:I59)</f>
        <v>0.99999999999999989</v>
      </c>
      <c r="K60" s="467">
        <f>SUM(K42:K59)</f>
        <v>15419.417956649126</v>
      </c>
      <c r="L60" s="467">
        <f>SUM(L42:L59)</f>
        <v>17336.598445316351</v>
      </c>
      <c r="M60" s="467">
        <f>SUM(M42:M59)</f>
        <v>18507.081259522314</v>
      </c>
      <c r="O60" s="154"/>
      <c r="P60"/>
      <c r="Q60" s="466" t="s">
        <v>183</v>
      </c>
      <c r="R60" s="467">
        <f t="shared" ref="R60:Z60" si="32">SUM(R42:R59)</f>
        <v>4067</v>
      </c>
      <c r="S60" s="467">
        <f t="shared" si="32"/>
        <v>4668</v>
      </c>
      <c r="T60" s="467">
        <f t="shared" si="32"/>
        <v>4724</v>
      </c>
      <c r="U60" s="467">
        <f t="shared" si="32"/>
        <v>4960.0016484724674</v>
      </c>
      <c r="V60" s="467">
        <f t="shared" si="32"/>
        <v>5022</v>
      </c>
      <c r="W60" s="467">
        <f t="shared" si="32"/>
        <v>5022.1439155988674</v>
      </c>
      <c r="X60" s="467">
        <f t="shared" si="32"/>
        <v>5299</v>
      </c>
      <c r="Y60" s="467">
        <f t="shared" si="32"/>
        <v>5374.7604324924496</v>
      </c>
      <c r="Z60" s="467">
        <f t="shared" si="32"/>
        <v>5679</v>
      </c>
      <c r="AA60" s="467"/>
      <c r="AB60" s="154"/>
      <c r="AC60" s="466" t="s">
        <v>183</v>
      </c>
      <c r="AD60" s="467">
        <f t="shared" ref="AD60:AI60" si="33">SUM(AD42:AD59)</f>
        <v>0</v>
      </c>
      <c r="AE60" s="467">
        <f t="shared" si="33"/>
        <v>139.11999999999998</v>
      </c>
      <c r="AF60" s="467">
        <f t="shared" si="33"/>
        <v>145.56</v>
      </c>
      <c r="AG60" s="467">
        <f t="shared" si="33"/>
        <v>144.39999999999998</v>
      </c>
      <c r="AH60" s="467">
        <f t="shared" si="33"/>
        <v>155.12</v>
      </c>
      <c r="AI60" s="467">
        <f t="shared" si="33"/>
        <v>168.88</v>
      </c>
      <c r="AJ60" s="466" t="s">
        <v>183</v>
      </c>
      <c r="AK60" s="467">
        <f t="shared" ref="AK60:AQ60" si="34">SUM(AK42:AK59)</f>
        <v>0</v>
      </c>
      <c r="AL60" s="467">
        <f t="shared" si="34"/>
        <v>3501</v>
      </c>
      <c r="AM60" s="467">
        <f t="shared" si="34"/>
        <v>3665</v>
      </c>
      <c r="AN60" s="467">
        <f t="shared" si="34"/>
        <v>3632</v>
      </c>
      <c r="AO60" s="467">
        <f t="shared" si="34"/>
        <v>3901</v>
      </c>
      <c r="AP60" s="467">
        <f t="shared" si="34"/>
        <v>4302</v>
      </c>
      <c r="AQ60" s="467">
        <f t="shared" si="34"/>
        <v>4567.0000000000009</v>
      </c>
    </row>
    <row r="61" spans="1:43">
      <c r="L61"/>
      <c r="M61"/>
      <c r="O61"/>
      <c r="P61"/>
      <c r="AC61" s="519"/>
      <c r="AD61" s="473"/>
      <c r="AE61" s="473"/>
      <c r="AF61" s="473"/>
      <c r="AG61" s="520"/>
      <c r="AI61" s="519"/>
      <c r="AJ61" s="473"/>
      <c r="AK61" s="473"/>
      <c r="AL61" s="473"/>
      <c r="AM61" s="520"/>
    </row>
    <row r="62" spans="1:43">
      <c r="L62"/>
      <c r="M62"/>
      <c r="O62"/>
      <c r="P62"/>
    </row>
    <row r="63" spans="1:43">
      <c r="E63"/>
      <c r="L63"/>
      <c r="M63"/>
      <c r="O63"/>
      <c r="P63"/>
    </row>
    <row r="64" spans="1:43">
      <c r="E64"/>
      <c r="L64"/>
      <c r="M64"/>
      <c r="O64"/>
      <c r="P64"/>
    </row>
    <row r="65" spans="1:16">
      <c r="E65"/>
      <c r="L65"/>
      <c r="M65"/>
      <c r="O65"/>
      <c r="P65"/>
    </row>
    <row r="66" spans="1:16">
      <c r="E66"/>
      <c r="L66"/>
      <c r="M66"/>
      <c r="O66"/>
      <c r="P66"/>
    </row>
    <row r="67" spans="1:16">
      <c r="A67" s="478" t="s">
        <v>1050</v>
      </c>
      <c r="B67" s="217"/>
      <c r="C67" s="217"/>
      <c r="D67" s="217"/>
      <c r="E67"/>
      <c r="L67"/>
      <c r="M67"/>
      <c r="O67"/>
      <c r="P67"/>
    </row>
    <row r="68" spans="1:16">
      <c r="A68" s="479"/>
      <c r="B68" s="480" t="s">
        <v>1379</v>
      </c>
      <c r="C68" s="480" t="s">
        <v>1378</v>
      </c>
      <c r="E68"/>
      <c r="L68"/>
      <c r="M68"/>
      <c r="O68"/>
      <c r="P68"/>
    </row>
    <row r="69" spans="1:16">
      <c r="A69" s="481" t="s">
        <v>538</v>
      </c>
      <c r="B69" s="455">
        <f>0.4*D17*I17/(0.4*I17+0.6*I42)</f>
        <v>1352985.7593145671</v>
      </c>
      <c r="C69" s="870">
        <f>B69/((Y17+V17+X17)/3)</f>
        <v>81.836730716620025</v>
      </c>
      <c r="E69"/>
      <c r="F69" s="220"/>
      <c r="G69" s="542" t="s">
        <v>582</v>
      </c>
      <c r="H69" s="542" t="s">
        <v>583</v>
      </c>
      <c r="L69"/>
      <c r="M69"/>
      <c r="O69"/>
      <c r="P69"/>
    </row>
    <row r="70" spans="1:16">
      <c r="A70" s="481" t="s">
        <v>6</v>
      </c>
      <c r="B70" s="455">
        <f t="shared" ref="B70:B80" si="35">0.4*D18*I18/(0.4*I18+0.6*I43)</f>
        <v>2133166.1800135071</v>
      </c>
      <c r="C70" s="870">
        <f t="shared" ref="C70:C80" si="36">B70/((Y18+V18+X18)/3)</f>
        <v>53.927305718478301</v>
      </c>
      <c r="E70"/>
      <c r="F70" s="481" t="s">
        <v>538</v>
      </c>
      <c r="G70" s="537">
        <f>I42</f>
        <v>0.1111700646409776</v>
      </c>
      <c r="H70" s="490">
        <f>I17</f>
        <v>8.325843903584014E-2</v>
      </c>
      <c r="L70"/>
      <c r="M70"/>
      <c r="O70"/>
      <c r="P70"/>
    </row>
    <row r="71" spans="1:16">
      <c r="A71" s="481" t="s">
        <v>8</v>
      </c>
      <c r="B71" s="455">
        <f t="shared" si="35"/>
        <v>19864.371611578208</v>
      </c>
      <c r="C71" s="870">
        <f t="shared" si="36"/>
        <v>51.722714521482899</v>
      </c>
      <c r="E71"/>
      <c r="F71" s="481" t="s">
        <v>6</v>
      </c>
      <c r="G71" s="537">
        <f t="shared" ref="G71:G81" si="37">I43</f>
        <v>0.11796954198604209</v>
      </c>
      <c r="H71" s="490">
        <f t="shared" ref="H71:H81" si="38">I18</f>
        <v>0.13126825994232649</v>
      </c>
      <c r="L71"/>
      <c r="M71"/>
      <c r="O71"/>
      <c r="P71"/>
    </row>
    <row r="72" spans="1:16">
      <c r="A72" s="483" t="s">
        <v>2</v>
      </c>
      <c r="B72" s="463">
        <f t="shared" si="35"/>
        <v>422869.09491425013</v>
      </c>
      <c r="C72" s="871">
        <f t="shared" si="36"/>
        <v>79.978928199190449</v>
      </c>
      <c r="E72"/>
      <c r="F72" s="481" t="s">
        <v>8</v>
      </c>
      <c r="G72" s="537">
        <f t="shared" si="37"/>
        <v>9.3038186477081373E-3</v>
      </c>
      <c r="H72" s="490">
        <f t="shared" si="38"/>
        <v>1.2223902294771561E-3</v>
      </c>
      <c r="L72"/>
      <c r="M72"/>
      <c r="O72"/>
      <c r="P72"/>
    </row>
    <row r="73" spans="1:16">
      <c r="A73" s="481" t="s">
        <v>10</v>
      </c>
      <c r="B73" s="454">
        <v>0</v>
      </c>
      <c r="C73" s="870">
        <f t="shared" si="36"/>
        <v>0</v>
      </c>
      <c r="E73"/>
      <c r="F73" s="483" t="s">
        <v>2</v>
      </c>
      <c r="G73" s="537">
        <f t="shared" si="37"/>
        <v>3.2539224935328535E-2</v>
      </c>
      <c r="H73" s="490">
        <f t="shared" si="38"/>
        <v>2.6022018721686579E-2</v>
      </c>
      <c r="L73"/>
      <c r="M73"/>
      <c r="O73"/>
      <c r="P73"/>
    </row>
    <row r="74" spans="1:16">
      <c r="A74" s="481" t="s">
        <v>4</v>
      </c>
      <c r="B74" s="455">
        <f t="shared" si="35"/>
        <v>2422643.2457448319</v>
      </c>
      <c r="C74" s="870">
        <f t="shared" si="36"/>
        <v>67.01937659521289</v>
      </c>
      <c r="E74"/>
      <c r="F74" s="481" t="s">
        <v>10</v>
      </c>
      <c r="G74" s="537">
        <f t="shared" si="37"/>
        <v>0</v>
      </c>
      <c r="H74" s="490">
        <f t="shared" si="38"/>
        <v>0</v>
      </c>
      <c r="L74"/>
      <c r="M74"/>
      <c r="O74"/>
      <c r="P74"/>
    </row>
    <row r="75" spans="1:16">
      <c r="A75" s="481" t="s">
        <v>14</v>
      </c>
      <c r="B75" s="454">
        <v>0</v>
      </c>
      <c r="C75" s="870"/>
      <c r="E75"/>
      <c r="F75" s="481" t="s">
        <v>4</v>
      </c>
      <c r="G75" s="537">
        <f t="shared" si="37"/>
        <v>0.11369328787377328</v>
      </c>
      <c r="H75" s="490">
        <f t="shared" si="38"/>
        <v>0.14908175758155912</v>
      </c>
      <c r="L75"/>
      <c r="M75"/>
      <c r="O75"/>
      <c r="P75"/>
    </row>
    <row r="76" spans="1:16">
      <c r="A76" s="483" t="s">
        <v>17</v>
      </c>
      <c r="B76" s="463">
        <f t="shared" si="35"/>
        <v>2215751.212182811</v>
      </c>
      <c r="C76" s="871">
        <f t="shared" si="36"/>
        <v>56.789735818536293</v>
      </c>
      <c r="E76"/>
      <c r="F76" s="481" t="s">
        <v>14</v>
      </c>
      <c r="G76" s="537">
        <f t="shared" si="37"/>
        <v>0</v>
      </c>
      <c r="H76" s="490">
        <f t="shared" si="38"/>
        <v>0</v>
      </c>
      <c r="L76"/>
      <c r="M76"/>
      <c r="O76"/>
      <c r="P76"/>
    </row>
    <row r="77" spans="1:16">
      <c r="A77" s="481" t="s">
        <v>324</v>
      </c>
      <c r="B77" s="454">
        <v>0</v>
      </c>
      <c r="C77" s="870"/>
      <c r="E77"/>
      <c r="F77" s="483" t="s">
        <v>17</v>
      </c>
      <c r="G77" s="537">
        <f t="shared" si="37"/>
        <v>0.16114138581469345</v>
      </c>
      <c r="H77" s="490">
        <f t="shared" si="38"/>
        <v>0.13635028007358369</v>
      </c>
      <c r="L77"/>
      <c r="M77"/>
      <c r="O77"/>
      <c r="P77"/>
    </row>
    <row r="78" spans="1:16">
      <c r="A78" s="481" t="s">
        <v>7</v>
      </c>
      <c r="B78" s="455">
        <f t="shared" si="35"/>
        <v>5947755.2020054385</v>
      </c>
      <c r="C78" s="870">
        <f t="shared" si="36"/>
        <v>81.943746298677098</v>
      </c>
      <c r="E78"/>
      <c r="F78" s="481" t="s">
        <v>324</v>
      </c>
      <c r="G78" s="537">
        <f t="shared" si="37"/>
        <v>0</v>
      </c>
      <c r="H78" s="490">
        <f t="shared" si="38"/>
        <v>0</v>
      </c>
      <c r="L78"/>
      <c r="M78"/>
      <c r="O78"/>
      <c r="P78"/>
    </row>
    <row r="79" spans="1:16">
      <c r="A79" s="481" t="s">
        <v>9</v>
      </c>
      <c r="B79" s="455">
        <f t="shared" si="35"/>
        <v>1499136.8738099381</v>
      </c>
      <c r="C79" s="870">
        <f t="shared" si="36"/>
        <v>51.824537978518634</v>
      </c>
      <c r="E79"/>
      <c r="F79" s="481" t="s">
        <v>7</v>
      </c>
      <c r="G79" s="537">
        <f t="shared" si="37"/>
        <v>0.28470475739057727</v>
      </c>
      <c r="H79" s="490">
        <f t="shared" si="38"/>
        <v>0.36600593204849652</v>
      </c>
      <c r="L79"/>
      <c r="M79"/>
      <c r="O79"/>
      <c r="P79"/>
    </row>
    <row r="80" spans="1:16">
      <c r="A80" s="483" t="s">
        <v>5</v>
      </c>
      <c r="B80" s="463">
        <f t="shared" si="35"/>
        <v>236261.95013945675</v>
      </c>
      <c r="C80" s="871">
        <f t="shared" si="36"/>
        <v>84.260290922704129</v>
      </c>
      <c r="E80"/>
      <c r="F80" s="481" t="s">
        <v>9</v>
      </c>
      <c r="G80" s="537">
        <f t="shared" si="37"/>
        <v>0.11506199058604138</v>
      </c>
      <c r="H80" s="490">
        <f t="shared" si="38"/>
        <v>9.2252113634749097E-2</v>
      </c>
      <c r="L80"/>
      <c r="M80"/>
      <c r="O80"/>
      <c r="P80"/>
    </row>
    <row r="81" spans="1:16" ht="16.5" thickBot="1">
      <c r="A81" s="481"/>
      <c r="B81" s="454"/>
      <c r="C81" s="870"/>
      <c r="E81"/>
      <c r="F81" s="539" t="s">
        <v>5</v>
      </c>
      <c r="G81" s="540">
        <f t="shared" si="37"/>
        <v>2.5337328833405642E-2</v>
      </c>
      <c r="H81" s="541">
        <f t="shared" si="38"/>
        <v>1.4538808732281146E-2</v>
      </c>
      <c r="L81"/>
      <c r="M81"/>
      <c r="O81"/>
      <c r="P81"/>
    </row>
    <row r="82" spans="1:16" ht="16.5" thickTop="1">
      <c r="A82" s="481" t="s">
        <v>541</v>
      </c>
      <c r="B82" s="455">
        <v>0</v>
      </c>
      <c r="C82" s="870"/>
      <c r="E82"/>
      <c r="G82" s="1175">
        <f>SUM(G70:G81)</f>
        <v>0.97092140070854738</v>
      </c>
      <c r="H82" s="1175">
        <f>SUM(H70:H81)</f>
        <v>1</v>
      </c>
      <c r="L82"/>
      <c r="M82"/>
      <c r="O82"/>
      <c r="P82"/>
    </row>
    <row r="83" spans="1:16">
      <c r="A83" s="481" t="s">
        <v>563</v>
      </c>
      <c r="B83" s="454">
        <v>0</v>
      </c>
      <c r="C83" s="870"/>
      <c r="E83"/>
      <c r="L83"/>
      <c r="M83"/>
      <c r="O83"/>
      <c r="P83"/>
    </row>
    <row r="84" spans="1:16">
      <c r="A84" s="483" t="s">
        <v>543</v>
      </c>
      <c r="B84" s="463">
        <f>0.4*D32*I32/(0.4*I32+0.6*I57)</f>
        <v>0</v>
      </c>
      <c r="C84" s="871"/>
      <c r="E84"/>
      <c r="L84"/>
      <c r="M84"/>
      <c r="O84"/>
      <c r="P84"/>
    </row>
    <row r="85" spans="1:16">
      <c r="A85" s="481" t="s">
        <v>562</v>
      </c>
      <c r="B85" s="455">
        <v>0</v>
      </c>
      <c r="C85" s="870"/>
      <c r="E85"/>
      <c r="L85"/>
      <c r="M85"/>
      <c r="O85"/>
      <c r="P85"/>
    </row>
    <row r="86" spans="1:16">
      <c r="A86" s="487" t="s">
        <v>545</v>
      </c>
      <c r="B86" s="455">
        <v>0</v>
      </c>
      <c r="C86" s="870"/>
      <c r="E86"/>
      <c r="L86"/>
      <c r="M86"/>
      <c r="O86"/>
      <c r="P86"/>
    </row>
    <row r="87" spans="1:16">
      <c r="A87" s="488"/>
      <c r="B87" s="467">
        <f>SUM(B69:B86)</f>
        <v>16250433.889736379</v>
      </c>
      <c r="C87" s="1172">
        <f>B87/((Y35+V35+X35)/3)</f>
        <v>67.358646121727872</v>
      </c>
      <c r="E87"/>
      <c r="L87"/>
      <c r="M87"/>
      <c r="O87"/>
      <c r="P87"/>
    </row>
    <row r="88" spans="1:16">
      <c r="E88"/>
      <c r="L88"/>
      <c r="M88"/>
      <c r="O88"/>
      <c r="P88"/>
    </row>
    <row r="89" spans="1:16">
      <c r="E89"/>
      <c r="L89"/>
      <c r="M89"/>
      <c r="O89"/>
      <c r="P89"/>
    </row>
    <row r="90" spans="1:16">
      <c r="A90" s="478" t="s">
        <v>1049</v>
      </c>
      <c r="B90" s="217"/>
      <c r="C90" s="217"/>
      <c r="E90" s="217" t="s">
        <v>1380</v>
      </c>
      <c r="F90" s="217"/>
      <c r="L90"/>
      <c r="M90"/>
      <c r="O90"/>
      <c r="P90"/>
    </row>
    <row r="91" spans="1:16" ht="25.5">
      <c r="A91" s="479"/>
      <c r="B91" s="480" t="s">
        <v>1008</v>
      </c>
      <c r="C91" s="480" t="s">
        <v>1051</v>
      </c>
      <c r="E91" s="480" t="s">
        <v>1381</v>
      </c>
      <c r="F91" s="480" t="s">
        <v>1382</v>
      </c>
      <c r="L91"/>
      <c r="M91"/>
      <c r="O91"/>
      <c r="P91"/>
    </row>
    <row r="92" spans="1:16">
      <c r="A92" s="481" t="s">
        <v>538</v>
      </c>
      <c r="B92" s="455">
        <f>0.6*D17*I42/(0.6*I42+0.4*I17)</f>
        <v>2709842.6789488895</v>
      </c>
      <c r="C92" s="870">
        <f>B92/((Y42+V42+X42+AI42+AG42+AH42)/3)</f>
        <v>5230.7011492243191</v>
      </c>
      <c r="E92" s="455">
        <f>(B69+B92)*C69/B69</f>
        <v>245.74434325046673</v>
      </c>
      <c r="F92" s="870">
        <f>(B92+B69)*C92/B92</f>
        <v>7842.3155507201063</v>
      </c>
      <c r="L92"/>
      <c r="M92"/>
      <c r="O92"/>
      <c r="P92"/>
    </row>
    <row r="93" spans="1:16">
      <c r="A93" s="481" t="s">
        <v>6</v>
      </c>
      <c r="B93" s="455">
        <f t="shared" ref="B93:B103" si="39">0.6*D18*I43/(0.6*I43+0.4*I18)</f>
        <v>2875584.3645699853</v>
      </c>
      <c r="C93" s="870">
        <f t="shared" ref="C93:C103" si="40">B93/((Y43+V43+X43+AI43+AG43+AH43)/3)</f>
        <v>3884.0897210624321</v>
      </c>
      <c r="E93" s="455">
        <f t="shared" ref="E93:E103" si="41">(B70+B93)*C70/B70</f>
        <v>126.62324408482716</v>
      </c>
      <c r="F93" s="870">
        <f t="shared" ref="F93:F103" si="42">(B93+B70)*C93/B93</f>
        <v>6765.3854101031793</v>
      </c>
      <c r="L93"/>
      <c r="M93"/>
      <c r="O93"/>
      <c r="P93"/>
    </row>
    <row r="94" spans="1:16">
      <c r="A94" s="481" t="s">
        <v>8</v>
      </c>
      <c r="B94" s="455">
        <f t="shared" si="39"/>
        <v>226786.63478501636</v>
      </c>
      <c r="C94" s="870">
        <f t="shared" si="40"/>
        <v>4032.5004183537139</v>
      </c>
      <c r="E94" s="455">
        <f t="shared" si="41"/>
        <v>642.22819829103787</v>
      </c>
      <c r="F94" s="870">
        <f t="shared" si="42"/>
        <v>4385.7094463458488</v>
      </c>
      <c r="L94"/>
      <c r="M94"/>
      <c r="O94"/>
      <c r="P94"/>
    </row>
    <row r="95" spans="1:16">
      <c r="A95" s="483" t="s">
        <v>2</v>
      </c>
      <c r="B95" s="463">
        <f t="shared" si="39"/>
        <v>793164.78545222676</v>
      </c>
      <c r="C95" s="871">
        <f t="shared" si="40"/>
        <v>5665.0149433000197</v>
      </c>
      <c r="E95" s="463">
        <f t="shared" si="41"/>
        <v>229.99336573729823</v>
      </c>
      <c r="F95" s="870">
        <f t="shared" si="42"/>
        <v>8685.2697323261636</v>
      </c>
      <c r="L95"/>
      <c r="M95"/>
      <c r="O95"/>
      <c r="P95"/>
    </row>
    <row r="96" spans="1:16">
      <c r="A96" s="481" t="s">
        <v>10</v>
      </c>
      <c r="B96" s="454">
        <v>0</v>
      </c>
      <c r="C96" s="870"/>
      <c r="E96" s="454"/>
      <c r="F96" s="870"/>
      <c r="L96"/>
      <c r="M96"/>
      <c r="O96"/>
      <c r="P96"/>
    </row>
    <row r="97" spans="1:16">
      <c r="A97" s="481" t="s">
        <v>4</v>
      </c>
      <c r="B97" s="455">
        <f t="shared" si="39"/>
        <v>2771347.8874492785</v>
      </c>
      <c r="C97" s="870">
        <f t="shared" si="40"/>
        <v>4623.7504689123034</v>
      </c>
      <c r="E97" s="455">
        <f t="shared" si="41"/>
        <v>143.68522827252318</v>
      </c>
      <c r="F97" s="870">
        <f t="shared" si="42"/>
        <v>8665.7178791567912</v>
      </c>
      <c r="L97"/>
      <c r="M97"/>
      <c r="O97"/>
      <c r="P97"/>
    </row>
    <row r="98" spans="1:16">
      <c r="A98" s="481" t="s">
        <v>14</v>
      </c>
      <c r="B98" s="454">
        <v>0</v>
      </c>
      <c r="C98" s="870"/>
      <c r="E98" s="454"/>
      <c r="F98" s="870"/>
      <c r="L98"/>
      <c r="M98"/>
      <c r="O98"/>
      <c r="P98"/>
    </row>
    <row r="99" spans="1:16">
      <c r="A99" s="483" t="s">
        <v>17</v>
      </c>
      <c r="B99" s="463">
        <f t="shared" si="39"/>
        <v>3927926.1556232693</v>
      </c>
      <c r="C99" s="871">
        <f t="shared" si="40"/>
        <v>3867.8543082534848</v>
      </c>
      <c r="E99" s="463">
        <f t="shared" si="41"/>
        <v>157.46254035818254</v>
      </c>
      <c r="F99" s="870">
        <f t="shared" si="42"/>
        <v>6049.7188679499432</v>
      </c>
      <c r="L99"/>
      <c r="M99"/>
      <c r="O99"/>
      <c r="P99"/>
    </row>
    <row r="100" spans="1:16">
      <c r="A100" s="481" t="s">
        <v>324</v>
      </c>
      <c r="B100" s="454">
        <v>0</v>
      </c>
      <c r="C100" s="870"/>
      <c r="E100" s="454"/>
      <c r="F100" s="870"/>
      <c r="L100"/>
      <c r="M100"/>
      <c r="O100"/>
      <c r="P100"/>
    </row>
    <row r="101" spans="1:16">
      <c r="A101" s="481" t="s">
        <v>7</v>
      </c>
      <c r="B101" s="455">
        <f t="shared" si="39"/>
        <v>6939863.7571035158</v>
      </c>
      <c r="C101" s="870">
        <f t="shared" si="40"/>
        <v>5689.6616363440744</v>
      </c>
      <c r="E101" s="455">
        <f t="shared" si="41"/>
        <v>177.55602618331829</v>
      </c>
      <c r="F101" s="870">
        <f t="shared" si="42"/>
        <v>10565.941024477237</v>
      </c>
      <c r="L101"/>
      <c r="M101"/>
      <c r="O101"/>
      <c r="P101"/>
    </row>
    <row r="102" spans="1:16">
      <c r="A102" s="481" t="s">
        <v>9</v>
      </c>
      <c r="B102" s="455">
        <f t="shared" si="39"/>
        <v>2804710.9068599022</v>
      </c>
      <c r="C102" s="870">
        <f t="shared" si="40"/>
        <v>3465.6835736196344</v>
      </c>
      <c r="E102" s="455">
        <f t="shared" si="41"/>
        <v>148.78222706658946</v>
      </c>
      <c r="F102" s="870">
        <f t="shared" si="42"/>
        <v>5318.1147904923237</v>
      </c>
      <c r="L102"/>
      <c r="M102"/>
      <c r="O102"/>
      <c r="P102"/>
    </row>
    <row r="103" spans="1:16">
      <c r="A103" s="483" t="s">
        <v>5</v>
      </c>
      <c r="B103" s="463">
        <f t="shared" si="39"/>
        <v>617613.88072465453</v>
      </c>
      <c r="C103" s="871">
        <f t="shared" si="40"/>
        <v>5176.4435971436269</v>
      </c>
      <c r="E103" s="463">
        <f t="shared" si="41"/>
        <v>304.52565839741681</v>
      </c>
      <c r="F103" s="870">
        <f t="shared" si="42"/>
        <v>7156.6397961233188</v>
      </c>
      <c r="L103"/>
      <c r="M103"/>
      <c r="O103"/>
      <c r="P103"/>
    </row>
    <row r="104" spans="1:16">
      <c r="A104" s="481"/>
      <c r="B104" s="454"/>
      <c r="C104" s="870"/>
      <c r="E104" s="454"/>
      <c r="F104" s="870">
        <f t="shared" ref="F104:F109" si="43">B104+B81</f>
        <v>0</v>
      </c>
      <c r="L104"/>
      <c r="M104"/>
      <c r="O104"/>
      <c r="P104"/>
    </row>
    <row r="105" spans="1:16">
      <c r="A105" s="481" t="s">
        <v>541</v>
      </c>
      <c r="B105" s="455">
        <v>0</v>
      </c>
      <c r="C105" s="870"/>
      <c r="E105" s="455"/>
      <c r="F105" s="870">
        <f t="shared" si="43"/>
        <v>0</v>
      </c>
      <c r="L105"/>
      <c r="M105"/>
      <c r="O105"/>
      <c r="P105"/>
    </row>
    <row r="106" spans="1:16">
      <c r="A106" s="481" t="s">
        <v>563</v>
      </c>
      <c r="B106" s="454">
        <v>0</v>
      </c>
      <c r="C106" s="870"/>
      <c r="E106" s="454"/>
      <c r="F106" s="870">
        <f t="shared" si="43"/>
        <v>0</v>
      </c>
      <c r="L106"/>
      <c r="M106"/>
      <c r="O106"/>
      <c r="P106"/>
    </row>
    <row r="107" spans="1:16">
      <c r="A107" s="483" t="s">
        <v>543</v>
      </c>
      <c r="B107" s="463">
        <f>0.6*D32*I57/(0.6*I57+0.4*I32)</f>
        <v>708809.78308782657</v>
      </c>
      <c r="C107" s="871">
        <f>B107/((Y57+V57+X57+AI57+AG57+AH57)/3)</f>
        <v>4165.5615284707646</v>
      </c>
      <c r="E107" s="463"/>
      <c r="F107" s="870">
        <f>(B107+B84)*C107/B107</f>
        <v>4165.5615284707646</v>
      </c>
      <c r="L107"/>
      <c r="M107"/>
      <c r="O107"/>
      <c r="P107"/>
    </row>
    <row r="108" spans="1:16">
      <c r="A108" s="481" t="s">
        <v>562</v>
      </c>
      <c r="B108" s="455">
        <v>0</v>
      </c>
      <c r="C108" s="870"/>
      <c r="E108" s="455"/>
      <c r="F108" s="870">
        <f t="shared" si="43"/>
        <v>0</v>
      </c>
      <c r="L108"/>
      <c r="M108"/>
      <c r="O108"/>
      <c r="P108"/>
    </row>
    <row r="109" spans="1:16">
      <c r="A109" s="487" t="s">
        <v>545</v>
      </c>
      <c r="B109" s="455">
        <v>0</v>
      </c>
      <c r="C109" s="870"/>
      <c r="E109" s="455"/>
      <c r="F109" s="870">
        <f t="shared" si="43"/>
        <v>0</v>
      </c>
      <c r="L109"/>
      <c r="M109"/>
      <c r="O109"/>
      <c r="P109"/>
    </row>
    <row r="110" spans="1:16">
      <c r="A110" s="488"/>
      <c r="B110" s="467">
        <f>SUM(B92:B109)</f>
        <v>24375650.834604565</v>
      </c>
      <c r="C110" s="870">
        <f>B110/((Y60+V60+X60+AI60+AG60+AH60)/3)</f>
        <v>4524.0179846778356</v>
      </c>
      <c r="E110" s="467">
        <f>(B87+B110)*C87/B87</f>
        <v>168.39661530431968</v>
      </c>
      <c r="F110" s="870">
        <f>(B110+B87)*C110/B110</f>
        <v>7540.0299744630602</v>
      </c>
      <c r="L110"/>
      <c r="M110"/>
      <c r="O110"/>
      <c r="P110"/>
    </row>
    <row r="111" spans="1:16">
      <c r="E111"/>
      <c r="L111"/>
      <c r="M111"/>
      <c r="O111"/>
      <c r="P111"/>
    </row>
    <row r="112" spans="1:16">
      <c r="E112"/>
      <c r="L112"/>
      <c r="M112"/>
      <c r="O112"/>
      <c r="P112"/>
    </row>
  </sheetData>
  <pageMargins left="0.75" right="0.75" top="1" bottom="1" header="0.5" footer="0.5"/>
  <pageSetup orientation="portrait" horizontalDpi="4294967292" verticalDpi="429496729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145"/>
  <sheetViews>
    <sheetView topLeftCell="A81" workbookViewId="0">
      <selection activeCell="M17" sqref="M17"/>
    </sheetView>
  </sheetViews>
  <sheetFormatPr defaultColWidth="11" defaultRowHeight="15.75"/>
  <cols>
    <col min="1" max="1" width="18.5" customWidth="1"/>
    <col min="2" max="2" width="13.625" customWidth="1"/>
    <col min="3" max="3" width="12.125" customWidth="1"/>
    <col min="4" max="4" width="13.125" customWidth="1"/>
    <col min="5" max="5" width="8" style="46" customWidth="1"/>
    <col min="6" max="6" width="19.875" customWidth="1"/>
    <col min="11" max="11" width="11.875" customWidth="1"/>
    <col min="12" max="12" width="11" style="46" customWidth="1"/>
    <col min="13" max="13" width="11.875" style="46" customWidth="1"/>
    <col min="14" max="14" width="5.625" customWidth="1"/>
    <col min="15" max="15" width="9.625" style="46" customWidth="1"/>
    <col min="16" max="16" width="11" style="46" customWidth="1"/>
    <col min="17" max="17" width="21.875" customWidth="1"/>
    <col min="29" max="29" width="23.375" customWidth="1"/>
  </cols>
  <sheetData>
    <row r="1" spans="1:35">
      <c r="A1" s="10" t="s">
        <v>587</v>
      </c>
      <c r="Q1" s="1" t="s">
        <v>839</v>
      </c>
    </row>
    <row r="2" spans="1:35" ht="16.5" thickBot="1">
      <c r="A2" s="10"/>
      <c r="L2"/>
      <c r="M2"/>
      <c r="O2"/>
      <c r="Q2" s="1" t="s">
        <v>840</v>
      </c>
    </row>
    <row r="3" spans="1:35" ht="16.5" thickBot="1">
      <c r="A3" s="438" t="s">
        <v>298</v>
      </c>
      <c r="B3" s="439" t="s">
        <v>255</v>
      </c>
      <c r="C3" s="440" t="s">
        <v>299</v>
      </c>
      <c r="D3" s="510"/>
      <c r="F3" s="154"/>
      <c r="G3" s="610" t="s">
        <v>634</v>
      </c>
      <c r="H3" s="559"/>
      <c r="I3" s="559"/>
      <c r="J3" s="611"/>
      <c r="L3"/>
      <c r="M3"/>
      <c r="O3"/>
      <c r="P3" s="441"/>
      <c r="V3" s="46"/>
    </row>
    <row r="4" spans="1:35">
      <c r="A4" s="442" t="s">
        <v>258</v>
      </c>
      <c r="B4" s="443" t="s">
        <v>569</v>
      </c>
      <c r="C4" s="944">
        <f>'Dashboard-Academic Allocation'!C26</f>
        <v>0.12</v>
      </c>
      <c r="D4" s="945">
        <f>C4/(C4+C5)</f>
        <v>0.6</v>
      </c>
      <c r="F4" s="154"/>
      <c r="G4" s="607" t="s">
        <v>635</v>
      </c>
      <c r="H4" s="62"/>
      <c r="I4" s="62"/>
      <c r="J4" s="667">
        <v>1.2</v>
      </c>
      <c r="L4"/>
      <c r="M4"/>
      <c r="O4"/>
      <c r="P4" s="155"/>
      <c r="V4" s="46"/>
    </row>
    <row r="5" spans="1:35" ht="16.5" thickBot="1">
      <c r="A5" s="511"/>
      <c r="B5" s="512" t="s">
        <v>588</v>
      </c>
      <c r="C5" s="946">
        <f>'Dashboard-Academic Allocation'!C27</f>
        <v>0.08</v>
      </c>
      <c r="D5" s="947">
        <f>1-D4</f>
        <v>0.4</v>
      </c>
      <c r="F5" s="154"/>
      <c r="G5" s="607" t="s">
        <v>636</v>
      </c>
      <c r="H5" s="62"/>
      <c r="I5" s="62"/>
      <c r="J5" s="612">
        <v>0.8</v>
      </c>
      <c r="L5"/>
      <c r="M5"/>
      <c r="O5"/>
      <c r="P5" s="154"/>
    </row>
    <row r="6" spans="1:35" ht="16.5" thickBot="1">
      <c r="D6" s="46"/>
      <c r="G6" s="608" t="s">
        <v>637</v>
      </c>
      <c r="H6" s="405"/>
      <c r="I6" s="405"/>
      <c r="J6" s="609">
        <f>1-J5</f>
        <v>0.19999999999999996</v>
      </c>
      <c r="L6"/>
      <c r="M6"/>
      <c r="O6"/>
      <c r="P6"/>
    </row>
    <row r="7" spans="1:35">
      <c r="D7" s="46"/>
      <c r="F7" s="10"/>
      <c r="L7"/>
      <c r="M7"/>
      <c r="O7"/>
      <c r="P7"/>
      <c r="Q7" s="10"/>
    </row>
    <row r="8" spans="1:35" ht="16.5" thickBot="1">
      <c r="D8" s="46"/>
      <c r="L8"/>
      <c r="M8"/>
      <c r="O8"/>
      <c r="P8"/>
      <c r="U8" s="474"/>
      <c r="V8" s="474"/>
      <c r="W8" s="474"/>
    </row>
    <row r="9" spans="1:35" ht="16.5" thickBot="1">
      <c r="A9" s="497" t="s">
        <v>856</v>
      </c>
      <c r="B9" s="498"/>
      <c r="C9" s="938">
        <f>'Dashboard-Academic Allocation'!D26+'Dashboard-Academic Allocation'!D27</f>
        <v>32500867.779472757</v>
      </c>
      <c r="D9" s="46"/>
      <c r="K9" s="950" t="s">
        <v>747</v>
      </c>
      <c r="L9" s="951"/>
      <c r="M9" s="951"/>
      <c r="N9" s="399"/>
      <c r="O9" s="954">
        <v>0</v>
      </c>
      <c r="P9"/>
      <c r="Q9" s="452"/>
    </row>
    <row r="10" spans="1:35" ht="16.5" thickBot="1">
      <c r="K10" s="404" t="s">
        <v>837</v>
      </c>
      <c r="L10" s="952"/>
      <c r="M10" s="952"/>
      <c r="N10" s="405"/>
      <c r="O10" s="953"/>
      <c r="P10"/>
      <c r="Q10" s="454"/>
      <c r="R10" s="154"/>
      <c r="S10" s="154"/>
      <c r="T10" s="154"/>
      <c r="U10" s="154"/>
      <c r="V10" s="154"/>
      <c r="W10" s="154"/>
    </row>
    <row r="11" spans="1:35" ht="16.5" thickBot="1">
      <c r="O11"/>
      <c r="P11"/>
      <c r="Q11" s="454"/>
      <c r="R11" s="455"/>
      <c r="S11" s="455"/>
      <c r="T11" s="455"/>
      <c r="U11" s="456"/>
      <c r="V11" s="456"/>
      <c r="W11" s="456"/>
    </row>
    <row r="12" spans="1:35" ht="16.5" thickBot="1">
      <c r="K12" s="957" t="s">
        <v>808</v>
      </c>
      <c r="L12" s="931"/>
      <c r="M12" s="931"/>
      <c r="N12" s="931"/>
      <c r="O12" s="958" t="s">
        <v>527</v>
      </c>
      <c r="P12"/>
      <c r="Q12" s="454"/>
      <c r="R12" s="454"/>
      <c r="S12" s="454"/>
      <c r="T12" s="454"/>
      <c r="U12" s="454"/>
      <c r="V12" s="454"/>
      <c r="W12" s="454"/>
    </row>
    <row r="13" spans="1:35" ht="16.5" thickBot="1">
      <c r="K13" s="1081" t="s">
        <v>931</v>
      </c>
      <c r="L13" s="1082"/>
      <c r="M13" s="1082"/>
      <c r="N13" s="1082"/>
      <c r="O13" s="1097" t="str">
        <f>'Dashboard-Academic Allocation'!C14</f>
        <v>yes</v>
      </c>
      <c r="P13"/>
      <c r="Q13" s="457"/>
      <c r="R13" s="455"/>
      <c r="S13" s="455"/>
      <c r="T13" s="455"/>
      <c r="U13" s="458"/>
      <c r="V13" s="458"/>
      <c r="W13" s="458"/>
    </row>
    <row r="14" spans="1:35" ht="51.75">
      <c r="O14" s="395" t="s">
        <v>577</v>
      </c>
      <c r="P14"/>
    </row>
    <row r="15" spans="1:35">
      <c r="A15" s="478" t="s">
        <v>584</v>
      </c>
      <c r="B15" s="217"/>
      <c r="C15" s="217"/>
      <c r="D15" s="217"/>
      <c r="F15" s="476" t="s">
        <v>599</v>
      </c>
      <c r="G15" s="478"/>
      <c r="H15" s="478"/>
      <c r="I15" s="478"/>
      <c r="J15" s="553"/>
      <c r="K15" s="478" t="s">
        <v>594</v>
      </c>
      <c r="L15" s="478"/>
      <c r="M15" s="478"/>
      <c r="O15"/>
      <c r="P15"/>
      <c r="Q15" s="974" t="s">
        <v>592</v>
      </c>
      <c r="R15" s="1109"/>
      <c r="S15" s="1109"/>
      <c r="T15" s="1109"/>
      <c r="U15" s="1109"/>
      <c r="V15" s="1109"/>
      <c r="W15" s="1109"/>
      <c r="X15" s="1109"/>
      <c r="Y15" s="1109"/>
      <c r="Z15" s="1109"/>
      <c r="AA15" s="1109"/>
      <c r="AC15" s="943" t="s">
        <v>749</v>
      </c>
      <c r="AD15" s="217"/>
      <c r="AE15" s="217"/>
      <c r="AF15" s="217"/>
      <c r="AG15" s="217"/>
      <c r="AH15" s="217"/>
    </row>
    <row r="16" spans="1:35" ht="38.25">
      <c r="A16" s="479"/>
      <c r="B16" s="480" t="s">
        <v>844</v>
      </c>
      <c r="C16" s="480" t="s">
        <v>1395</v>
      </c>
      <c r="D16" s="480" t="s">
        <v>1065</v>
      </c>
      <c r="E16" s="555"/>
      <c r="F16" s="479"/>
      <c r="G16" s="480" t="s">
        <v>1391</v>
      </c>
      <c r="H16" s="480" t="s">
        <v>1064</v>
      </c>
      <c r="I16" s="480" t="s">
        <v>1392</v>
      </c>
      <c r="J16" s="554"/>
      <c r="K16" s="480" t="s">
        <v>863</v>
      </c>
      <c r="L16" s="480" t="s">
        <v>898</v>
      </c>
      <c r="M16" s="480" t="s">
        <v>1305</v>
      </c>
      <c r="P16"/>
      <c r="Q16" s="454"/>
      <c r="R16" s="453" t="s">
        <v>532</v>
      </c>
      <c r="S16" s="453" t="s">
        <v>533</v>
      </c>
      <c r="T16" s="453" t="s">
        <v>534</v>
      </c>
      <c r="U16" s="453" t="s">
        <v>555</v>
      </c>
      <c r="V16" s="453" t="s">
        <v>874</v>
      </c>
      <c r="W16" s="453" t="s">
        <v>883</v>
      </c>
      <c r="X16" s="453" t="s">
        <v>1035</v>
      </c>
      <c r="Y16" s="453" t="s">
        <v>1318</v>
      </c>
      <c r="Z16" s="453" t="s">
        <v>1748</v>
      </c>
      <c r="AA16" s="453" t="s">
        <v>1257</v>
      </c>
      <c r="AB16" s="154"/>
      <c r="AC16" s="538"/>
      <c r="AD16" s="546" t="s">
        <v>249</v>
      </c>
      <c r="AE16" s="546" t="s">
        <v>250</v>
      </c>
      <c r="AF16" s="546" t="s">
        <v>590</v>
      </c>
      <c r="AG16" s="546" t="s">
        <v>591</v>
      </c>
      <c r="AH16" s="812" t="s">
        <v>748</v>
      </c>
      <c r="AI16" s="1095" t="s">
        <v>952</v>
      </c>
    </row>
    <row r="17" spans="1:35">
      <c r="A17" s="481" t="s">
        <v>538</v>
      </c>
      <c r="B17" s="455">
        <f t="shared" ref="B17:B28" si="0">B42*C$9</f>
        <v>3169377.8132183859</v>
      </c>
      <c r="C17" s="455">
        <f>C42*C$9</f>
        <v>3221499.1228170078</v>
      </c>
      <c r="D17" s="455">
        <f t="shared" ref="D17:D28" si="1">D42*C$9</f>
        <v>2996760.1394493561</v>
      </c>
      <c r="F17" s="481" t="s">
        <v>538</v>
      </c>
      <c r="G17" s="543">
        <f>(K17+K42+K65)/(K$35+K$60+K$83)</f>
        <v>9.9171979117573666E-2</v>
      </c>
      <c r="H17" s="543">
        <f>(L17+L42+L65)/(L$35+L$60+L$83)</f>
        <v>0.10467322999207285</v>
      </c>
      <c r="I17" s="543">
        <f>(M17+M42+M65)/(M$35+M$60+M$83)</f>
        <v>9.4833873797776802E-2</v>
      </c>
      <c r="J17" s="192"/>
      <c r="K17" s="455">
        <f>O17*(S17+T17+V17)+'Interdisciplinary Graduate'!B12</f>
        <v>192.02465297431763</v>
      </c>
      <c r="L17" s="482">
        <f>SUM(T17,V17,X17)*O17</f>
        <v>250.82199507580981</v>
      </c>
      <c r="M17" s="455">
        <f>O17*(X17+Z17+V17+AA17)+'Interdisciplinary Graduate'!D12</f>
        <v>290.83685289488091</v>
      </c>
      <c r="O17" s="955">
        <f>IF(O$12="yes",AG17,1)</f>
        <v>2.9165348264629047</v>
      </c>
      <c r="P17"/>
      <c r="Q17" s="481" t="s">
        <v>538</v>
      </c>
      <c r="R17" s="528">
        <v>20</v>
      </c>
      <c r="S17" s="529">
        <v>20</v>
      </c>
      <c r="T17" s="529">
        <v>20</v>
      </c>
      <c r="U17" s="1032">
        <v>20</v>
      </c>
      <c r="V17" s="529">
        <v>22</v>
      </c>
      <c r="W17" s="1034">
        <v>22.666666666666668</v>
      </c>
      <c r="X17" s="1143">
        <v>44</v>
      </c>
      <c r="Y17" s="1264">
        <v>30.399350900371644</v>
      </c>
      <c r="Z17" s="529">
        <v>27</v>
      </c>
      <c r="AA17" s="1143">
        <f>3*'What If Data'!N25</f>
        <v>0</v>
      </c>
      <c r="AC17" s="1541" t="s">
        <v>538</v>
      </c>
      <c r="AD17" s="1542">
        <v>0.73825523572651897</v>
      </c>
      <c r="AE17" s="1543">
        <v>1.3814582627890051</v>
      </c>
      <c r="AF17" s="1542">
        <v>2.729632612875367</v>
      </c>
      <c r="AG17" s="1542">
        <v>2.9165348264629047</v>
      </c>
      <c r="AH17" s="1"/>
      <c r="AI17" s="1"/>
    </row>
    <row r="18" spans="1:35">
      <c r="A18" s="481" t="s">
        <v>6</v>
      </c>
      <c r="B18" s="455">
        <f t="shared" si="0"/>
        <v>1481928.1244221143</v>
      </c>
      <c r="C18" s="455">
        <f t="shared" ref="C18:C34" si="2">C43*C$9</f>
        <v>1510867.9004719206</v>
      </c>
      <c r="D18" s="455">
        <f t="shared" si="1"/>
        <v>1415123.0877913125</v>
      </c>
      <c r="F18" s="481" t="s">
        <v>6</v>
      </c>
      <c r="G18" s="543">
        <f t="shared" ref="G18:G28" si="3">(K18+K43+K66)/(K$35+K$60+K$83)</f>
        <v>5.685896338732524E-2</v>
      </c>
      <c r="H18" s="543">
        <f t="shared" ref="H18:H28" si="4">(L18+L43+L66)/(L$35+L$60+L$83)</f>
        <v>5.968298843934558E-2</v>
      </c>
      <c r="I18" s="543">
        <f t="shared" ref="I18:I28" si="5">(M18+M43+M66)/(M$35+M$60+M$83)</f>
        <v>5.7250583117219998E-2</v>
      </c>
      <c r="J18" s="192"/>
      <c r="K18" s="455">
        <f>O18*(S18+T18+V18)+'Interdisciplinary Graduate'!B13</f>
        <v>37.56050108741973</v>
      </c>
      <c r="L18" s="482">
        <f t="shared" ref="L18:L34" si="6">SUM(T18,V18,X18)*O18</f>
        <v>45.907279106846339</v>
      </c>
      <c r="M18" s="455">
        <f>O18*(X18+Z18+V18+AA18)+'Interdisciplinary Graduate'!D13</f>
        <v>33.387112077706426</v>
      </c>
      <c r="O18" s="955">
        <f t="shared" ref="O18:O28" si="7">IF(O$12="yes",AG18,1)</f>
        <v>4.1733890097133033</v>
      </c>
      <c r="P18"/>
      <c r="Q18" s="481" t="s">
        <v>6</v>
      </c>
      <c r="R18" s="528">
        <v>2</v>
      </c>
      <c r="S18" s="529">
        <v>4</v>
      </c>
      <c r="T18" s="529">
        <v>4</v>
      </c>
      <c r="U18" s="1032">
        <v>5.333333333333333</v>
      </c>
      <c r="V18" s="529">
        <v>1</v>
      </c>
      <c r="W18" s="1034">
        <v>3</v>
      </c>
      <c r="X18" s="1143">
        <v>6</v>
      </c>
      <c r="Y18" s="1264">
        <v>3.6472342472342469</v>
      </c>
      <c r="Z18" s="529">
        <v>1</v>
      </c>
      <c r="AA18" s="1143">
        <f>3*'What If Data'!N26</f>
        <v>0</v>
      </c>
      <c r="AC18" s="1541" t="s">
        <v>6</v>
      </c>
      <c r="AD18" s="1542">
        <v>0.61576638800854122</v>
      </c>
      <c r="AE18" s="1542">
        <v>0.92029535976171861</v>
      </c>
      <c r="AF18" s="1542">
        <v>1.7073273464509895</v>
      </c>
      <c r="AG18" s="1542">
        <v>4.1733890097133033</v>
      </c>
      <c r="AH18" s="1"/>
      <c r="AI18" s="1"/>
    </row>
    <row r="19" spans="1:35">
      <c r="A19" s="481" t="s">
        <v>8</v>
      </c>
      <c r="B19" s="455">
        <f t="shared" si="0"/>
        <v>1239542.8697990591</v>
      </c>
      <c r="C19" s="455">
        <f t="shared" si="2"/>
        <v>1213283.9866935071</v>
      </c>
      <c r="D19" s="455">
        <f t="shared" si="1"/>
        <v>1137959.8418030241</v>
      </c>
      <c r="F19" s="481" t="s">
        <v>8</v>
      </c>
      <c r="G19" s="543">
        <f t="shared" si="3"/>
        <v>5.7041712896888253E-2</v>
      </c>
      <c r="H19" s="543">
        <f t="shared" si="4"/>
        <v>5.6794732408239179E-2</v>
      </c>
      <c r="I19" s="543">
        <f t="shared" si="5"/>
        <v>5.4455692734227824E-2</v>
      </c>
      <c r="J19" s="192"/>
      <c r="K19" s="455">
        <f>O19*(S19+T19+V19)+'Interdisciplinary Graduate'!B14</f>
        <v>189.55773363877879</v>
      </c>
      <c r="L19" s="482">
        <f t="shared" si="6"/>
        <v>204.72235232988109</v>
      </c>
      <c r="M19" s="455">
        <f>O19*(X19+Z19+V19+AA19)+'Interdisciplinary Graduate'!D14</f>
        <v>189.55773363877879</v>
      </c>
      <c r="O19" s="955">
        <f t="shared" si="7"/>
        <v>2.5274364485170504</v>
      </c>
      <c r="P19"/>
      <c r="Q19" s="481" t="s">
        <v>8</v>
      </c>
      <c r="R19" s="528">
        <v>25</v>
      </c>
      <c r="S19" s="529">
        <v>16</v>
      </c>
      <c r="T19" s="529">
        <v>27</v>
      </c>
      <c r="U19" s="1032">
        <v>24.666666666666668</v>
      </c>
      <c r="V19" s="529">
        <v>32</v>
      </c>
      <c r="W19" s="1034">
        <v>41</v>
      </c>
      <c r="X19" s="1143">
        <v>22</v>
      </c>
      <c r="Y19" s="1264">
        <v>24.66838106118578</v>
      </c>
      <c r="Z19" s="529">
        <v>21</v>
      </c>
      <c r="AA19" s="1143">
        <f>3*'What If Data'!N27</f>
        <v>0</v>
      </c>
      <c r="AC19" s="1541" t="s">
        <v>8</v>
      </c>
      <c r="AD19" s="1542">
        <v>0.78234378161025708</v>
      </c>
      <c r="AE19" s="1542">
        <v>0.93742665362039157</v>
      </c>
      <c r="AF19" s="1542">
        <v>1.4597833437439227</v>
      </c>
      <c r="AG19" s="1542">
        <v>2.5274364485170504</v>
      </c>
      <c r="AH19" s="1"/>
      <c r="AI19" s="1"/>
    </row>
    <row r="20" spans="1:35">
      <c r="A20" s="483" t="s">
        <v>2</v>
      </c>
      <c r="B20" s="463">
        <f t="shared" si="0"/>
        <v>1338768.1388757182</v>
      </c>
      <c r="C20" s="463">
        <f t="shared" si="2"/>
        <v>1348487.7854528527</v>
      </c>
      <c r="D20" s="463">
        <f t="shared" si="1"/>
        <v>1367226.4321265465</v>
      </c>
      <c r="F20" s="483" t="s">
        <v>2</v>
      </c>
      <c r="G20" s="543">
        <f t="shared" si="3"/>
        <v>4.8713003815594839E-2</v>
      </c>
      <c r="H20" s="543">
        <f t="shared" si="4"/>
        <v>4.9503982600296231E-2</v>
      </c>
      <c r="I20" s="543">
        <f t="shared" si="5"/>
        <v>5.1097055678951765E-2</v>
      </c>
      <c r="J20" s="192"/>
      <c r="K20" s="455">
        <f>O20*(S20+T20+V20)+'Interdisciplinary Graduate'!B15</f>
        <v>75.868445717907747</v>
      </c>
      <c r="L20" s="482">
        <f t="shared" si="6"/>
        <v>81.142722692949462</v>
      </c>
      <c r="M20" s="455">
        <f>O20*(X20+Z20+V20+AA20)+'Interdisciplinary Graduate'!D15</f>
        <v>93.41555950025807</v>
      </c>
      <c r="O20" s="955">
        <f t="shared" si="7"/>
        <v>2.5357100841546707</v>
      </c>
      <c r="P20"/>
      <c r="Q20" s="483" t="s">
        <v>2</v>
      </c>
      <c r="R20" s="528">
        <v>10</v>
      </c>
      <c r="S20" s="529">
        <v>6</v>
      </c>
      <c r="T20" s="529">
        <v>11</v>
      </c>
      <c r="U20" s="1032">
        <v>9.9999999999999982</v>
      </c>
      <c r="V20" s="529">
        <v>11</v>
      </c>
      <c r="W20" s="1034">
        <v>14.333333333333336</v>
      </c>
      <c r="X20" s="1143">
        <v>10</v>
      </c>
      <c r="Y20" s="1264">
        <v>12.290993401105759</v>
      </c>
      <c r="Z20" s="529">
        <v>12</v>
      </c>
      <c r="AA20" s="1143">
        <f>3*'What If Data'!N28</f>
        <v>0</v>
      </c>
      <c r="AC20" s="1544" t="s">
        <v>2</v>
      </c>
      <c r="AD20" s="1542">
        <v>0.68615868064819785</v>
      </c>
      <c r="AE20" s="1545">
        <v>1.3839999999999999</v>
      </c>
      <c r="AF20" s="1542">
        <v>2.5215181068519161</v>
      </c>
      <c r="AG20" s="1542">
        <v>2.5357100841546707</v>
      </c>
      <c r="AH20" s="1"/>
      <c r="AI20" s="1"/>
    </row>
    <row r="21" spans="1:35" s="10" customFormat="1">
      <c r="A21" s="481" t="s">
        <v>10</v>
      </c>
      <c r="B21" s="455">
        <f t="shared" si="0"/>
        <v>3866165.6586701958</v>
      </c>
      <c r="C21" s="455">
        <f t="shared" si="2"/>
        <v>3642567.5327474861</v>
      </c>
      <c r="D21" s="455">
        <f t="shared" si="1"/>
        <v>3634566.8862528903</v>
      </c>
      <c r="E21" s="46"/>
      <c r="F21" s="481" t="s">
        <v>10</v>
      </c>
      <c r="G21" s="543">
        <f t="shared" si="3"/>
        <v>8.9585058233533216E-2</v>
      </c>
      <c r="H21" s="543">
        <f t="shared" si="4"/>
        <v>7.9471140753496455E-2</v>
      </c>
      <c r="I21" s="543">
        <f t="shared" si="5"/>
        <v>7.8050046147617402E-2</v>
      </c>
      <c r="J21" s="192"/>
      <c r="K21" s="455">
        <f>O21*(S21+T21+V21)+'Interdisciplinary Graduate'!B16</f>
        <v>40.38301434211192</v>
      </c>
      <c r="L21" s="482">
        <f t="shared" si="6"/>
        <v>37.507443661404267</v>
      </c>
      <c r="M21" s="455">
        <f>O21*(X21+Z21+V21+AA21)+'Interdisciplinary Graduate'!D16</f>
        <v>49.759875257462994</v>
      </c>
      <c r="N21"/>
      <c r="O21" s="955">
        <f t="shared" si="7"/>
        <v>3.1256203051170219</v>
      </c>
      <c r="P21"/>
      <c r="Q21" s="481" t="s">
        <v>10</v>
      </c>
      <c r="R21" s="528">
        <v>7</v>
      </c>
      <c r="S21" s="529">
        <v>4</v>
      </c>
      <c r="T21" s="529">
        <v>4</v>
      </c>
      <c r="U21" s="1032">
        <v>5</v>
      </c>
      <c r="V21" s="529">
        <v>3</v>
      </c>
      <c r="W21" s="1034">
        <v>3.6666666666666665</v>
      </c>
      <c r="X21" s="1143">
        <v>5</v>
      </c>
      <c r="Y21" s="1264">
        <v>4</v>
      </c>
      <c r="Z21" s="529">
        <v>6</v>
      </c>
      <c r="AA21" s="1143">
        <f>3*'What If Data'!N29</f>
        <v>0</v>
      </c>
      <c r="AC21" s="1541" t="s">
        <v>10</v>
      </c>
      <c r="AD21" s="1542"/>
      <c r="AE21" s="1542"/>
      <c r="AF21" s="1542">
        <v>5.8710151352874629</v>
      </c>
      <c r="AG21" s="1542">
        <v>3.1256203051170219</v>
      </c>
      <c r="AH21" s="1546">
        <v>8.2690000000000001</v>
      </c>
      <c r="AI21" s="1545">
        <v>8.2690000000000001</v>
      </c>
    </row>
    <row r="22" spans="1:35">
      <c r="A22" s="481" t="s">
        <v>4</v>
      </c>
      <c r="B22" s="455">
        <f t="shared" si="0"/>
        <v>3288766.1898712376</v>
      </c>
      <c r="C22" s="455">
        <f t="shared" si="2"/>
        <v>3294284.3069548314</v>
      </c>
      <c r="D22" s="455">
        <f t="shared" si="1"/>
        <v>3347195.3259247104</v>
      </c>
      <c r="F22" s="481" t="s">
        <v>4</v>
      </c>
      <c r="G22" s="543">
        <f t="shared" si="3"/>
        <v>8.1558389103719944E-2</v>
      </c>
      <c r="H22" s="543">
        <f t="shared" si="4"/>
        <v>8.2893371440308464E-2</v>
      </c>
      <c r="I22" s="543">
        <f t="shared" si="5"/>
        <v>8.7183926762135183E-2</v>
      </c>
      <c r="J22" s="192"/>
      <c r="K22" s="455">
        <f>O22*(S22+T22+V22)+'Interdisciplinary Graduate'!B17</f>
        <v>328.48956677246366</v>
      </c>
      <c r="L22" s="482">
        <f t="shared" si="6"/>
        <v>394.76167893267666</v>
      </c>
      <c r="M22" s="455">
        <f>O22*(X22+Z22+V22+AA22)+'Interdisciplinary Graduate'!D17</f>
        <v>463.30666136553231</v>
      </c>
      <c r="O22" s="955">
        <f t="shared" si="7"/>
        <v>2.9906187797930048</v>
      </c>
      <c r="P22"/>
      <c r="Q22" s="481" t="s">
        <v>4</v>
      </c>
      <c r="R22" s="528">
        <v>42</v>
      </c>
      <c r="S22" s="529">
        <v>29</v>
      </c>
      <c r="T22" s="529">
        <v>37</v>
      </c>
      <c r="U22" s="1032">
        <v>36</v>
      </c>
      <c r="V22" s="529">
        <v>40</v>
      </c>
      <c r="W22" s="1034">
        <v>46.333333333333336</v>
      </c>
      <c r="X22" s="1143">
        <v>55</v>
      </c>
      <c r="Y22" s="1264">
        <v>49.797658425621336</v>
      </c>
      <c r="Z22" s="529">
        <v>58</v>
      </c>
      <c r="AA22" s="1143">
        <f>3*'What If Data'!N30</f>
        <v>0</v>
      </c>
      <c r="AC22" s="1541" t="s">
        <v>4</v>
      </c>
      <c r="AD22" s="1542">
        <v>0.7842708946636604</v>
      </c>
      <c r="AE22" s="1542">
        <v>1.1402031631853178</v>
      </c>
      <c r="AF22" s="1542">
        <v>2.5189298202715129</v>
      </c>
      <c r="AG22" s="1542">
        <v>2.9906187797930048</v>
      </c>
      <c r="AH22" s="1"/>
      <c r="AI22" s="1"/>
    </row>
    <row r="23" spans="1:35">
      <c r="A23" s="481" t="s">
        <v>14</v>
      </c>
      <c r="B23" s="455">
        <f t="shared" si="0"/>
        <v>651084.62502855877</v>
      </c>
      <c r="C23" s="455">
        <f t="shared" si="2"/>
        <v>617896.73101113026</v>
      </c>
      <c r="D23" s="455">
        <f t="shared" si="1"/>
        <v>619822.66477974958</v>
      </c>
      <c r="F23" s="481" t="s">
        <v>14</v>
      </c>
      <c r="G23" s="543">
        <f t="shared" si="3"/>
        <v>1.6201809482431027E-2</v>
      </c>
      <c r="H23" s="543">
        <f t="shared" si="4"/>
        <v>1.5401450629564526E-2</v>
      </c>
      <c r="I23" s="543">
        <f t="shared" si="5"/>
        <v>1.576996724581262E-2</v>
      </c>
      <c r="J23" s="192"/>
      <c r="K23" s="455">
        <f>'Interdisciplinary Graduate'!B18</f>
        <v>27.603705289749524</v>
      </c>
      <c r="L23" s="455">
        <f>'Interdisciplinary Graduate'!C18</f>
        <v>22.773056864043355</v>
      </c>
      <c r="M23" s="455">
        <f>'Interdisciplinary Graduate'!D18</f>
        <v>26.223520025262047</v>
      </c>
      <c r="O23" s="955">
        <f t="shared" si="7"/>
        <v>2.8753859676822429</v>
      </c>
      <c r="P23"/>
      <c r="Q23" s="481" t="s">
        <v>14</v>
      </c>
      <c r="R23" s="528">
        <v>20</v>
      </c>
      <c r="S23" s="529">
        <v>19</v>
      </c>
      <c r="T23" s="529">
        <v>15</v>
      </c>
      <c r="U23" s="1032">
        <v>18</v>
      </c>
      <c r="V23" s="529">
        <v>16</v>
      </c>
      <c r="W23" s="1034">
        <v>16.666666666666668</v>
      </c>
      <c r="X23" s="1143">
        <v>13</v>
      </c>
      <c r="Y23" s="1264">
        <v>14.666666666666666</v>
      </c>
      <c r="Z23" s="529">
        <v>14</v>
      </c>
      <c r="AA23" s="1143">
        <f>3*'What If Data'!N31</f>
        <v>0</v>
      </c>
      <c r="AC23" s="1541" t="s">
        <v>14</v>
      </c>
      <c r="AD23" s="1542"/>
      <c r="AE23" s="1542"/>
      <c r="AF23" s="1542">
        <v>2.6585575928061984</v>
      </c>
      <c r="AG23" s="1542">
        <v>2.8753859676822429</v>
      </c>
      <c r="AH23" s="1"/>
      <c r="AI23" s="1"/>
    </row>
    <row r="24" spans="1:35">
      <c r="A24" s="483" t="s">
        <v>17</v>
      </c>
      <c r="B24" s="463">
        <f t="shared" si="0"/>
        <v>2051580.2014794003</v>
      </c>
      <c r="C24" s="463">
        <f t="shared" si="2"/>
        <v>2016281.7081349681</v>
      </c>
      <c r="D24" s="463">
        <f t="shared" si="1"/>
        <v>2005849.1081571057</v>
      </c>
      <c r="F24" s="483" t="s">
        <v>17</v>
      </c>
      <c r="G24" s="543">
        <f t="shared" si="3"/>
        <v>7.2221989978454249E-2</v>
      </c>
      <c r="H24" s="543">
        <f t="shared" si="4"/>
        <v>7.0413731447725558E-2</v>
      </c>
      <c r="I24" s="543">
        <f t="shared" si="5"/>
        <v>6.8428328877081876E-2</v>
      </c>
      <c r="J24" s="192"/>
      <c r="K24" s="455">
        <f>O24*(S24+T24+V24)+'Interdisciplinary Graduate'!B19</f>
        <v>28.733808685840749</v>
      </c>
      <c r="L24" s="482">
        <f t="shared" si="6"/>
        <v>38.311744914454337</v>
      </c>
      <c r="M24" s="455">
        <f>O24*(X24+Z24+V24+AA24)+'Interdisciplinary Graduate'!D19</f>
        <v>41.504390323992197</v>
      </c>
      <c r="O24" s="955">
        <f t="shared" si="7"/>
        <v>3.1926454095378611</v>
      </c>
      <c r="P24"/>
      <c r="Q24" s="483" t="s">
        <v>17</v>
      </c>
      <c r="R24" s="528">
        <v>2</v>
      </c>
      <c r="S24" s="529">
        <v>1</v>
      </c>
      <c r="T24" s="529">
        <v>4</v>
      </c>
      <c r="U24" s="1032">
        <v>4.333333333333333</v>
      </c>
      <c r="V24" s="529">
        <v>4</v>
      </c>
      <c r="W24" s="1034">
        <v>6</v>
      </c>
      <c r="X24" s="1143">
        <v>4</v>
      </c>
      <c r="Y24" s="1264">
        <v>5.5447070914696823</v>
      </c>
      <c r="Z24" s="529">
        <v>5</v>
      </c>
      <c r="AA24" s="1143">
        <f>3*'What If Data'!N32</f>
        <v>0</v>
      </c>
      <c r="AC24" s="1544" t="s">
        <v>17</v>
      </c>
      <c r="AD24" s="1542">
        <v>0.62524737129045094</v>
      </c>
      <c r="AE24" s="1542">
        <v>0.9661071118879152</v>
      </c>
      <c r="AF24" s="1542">
        <v>2.0712334710740294</v>
      </c>
      <c r="AG24" s="1542">
        <v>3.1926454095378611</v>
      </c>
      <c r="AH24" s="1"/>
      <c r="AI24" s="1"/>
    </row>
    <row r="25" spans="1:35">
      <c r="A25" s="481" t="s">
        <v>324</v>
      </c>
      <c r="B25" s="455">
        <f t="shared" si="0"/>
        <v>2602680.3854556107</v>
      </c>
      <c r="C25" s="455">
        <f t="shared" si="2"/>
        <v>2476589.1227933913</v>
      </c>
      <c r="D25" s="455">
        <f t="shared" si="1"/>
        <v>2419899.3325825199</v>
      </c>
      <c r="F25" s="481" t="s">
        <v>324</v>
      </c>
      <c r="G25" s="543">
        <f t="shared" si="3"/>
        <v>5.6892507175085441E-2</v>
      </c>
      <c r="H25" s="543">
        <f t="shared" si="4"/>
        <v>5.2971787171193448E-2</v>
      </c>
      <c r="I25" s="543">
        <f t="shared" si="5"/>
        <v>4.9542720688346545E-2</v>
      </c>
      <c r="J25" s="192"/>
      <c r="K25" s="455">
        <f>O25*(S25+T25+V25)+'Interdisciplinary Graduate'!B20</f>
        <v>0</v>
      </c>
      <c r="L25" s="482">
        <f t="shared" si="6"/>
        <v>0</v>
      </c>
      <c r="M25" s="455">
        <f>O25*(X25+Z25+V25+AA25)+'Interdisciplinary Graduate'!D20</f>
        <v>0</v>
      </c>
      <c r="O25" s="955">
        <f t="shared" si="7"/>
        <v>0</v>
      </c>
      <c r="P25"/>
      <c r="Q25" s="481" t="s">
        <v>324</v>
      </c>
      <c r="R25" s="528">
        <v>0</v>
      </c>
      <c r="S25" s="529">
        <v>0</v>
      </c>
      <c r="T25" s="529">
        <v>0</v>
      </c>
      <c r="U25" s="1032">
        <v>0</v>
      </c>
      <c r="V25" s="452">
        <v>0</v>
      </c>
      <c r="W25" s="1034">
        <v>0</v>
      </c>
      <c r="X25" s="1143">
        <v>0</v>
      </c>
      <c r="Y25" s="1264">
        <v>0</v>
      </c>
      <c r="Z25" s="529">
        <v>0</v>
      </c>
      <c r="AA25" s="1143">
        <f>3*'What If Data'!N33</f>
        <v>0</v>
      </c>
      <c r="AC25" s="1541" t="s">
        <v>324</v>
      </c>
      <c r="AD25" s="1542"/>
      <c r="AE25" s="1542"/>
      <c r="AF25" s="1542">
        <v>2.3077760272136798</v>
      </c>
      <c r="AG25" s="1542">
        <v>0</v>
      </c>
      <c r="AH25" s="1545">
        <v>12.77</v>
      </c>
      <c r="AI25" s="1545">
        <v>12.77</v>
      </c>
    </row>
    <row r="26" spans="1:35">
      <c r="A26" s="481" t="s">
        <v>7</v>
      </c>
      <c r="B26" s="455">
        <f t="shared" si="0"/>
        <v>8989968.214881314</v>
      </c>
      <c r="C26" s="455">
        <f t="shared" si="2"/>
        <v>9576087.2156438194</v>
      </c>
      <c r="D26" s="455">
        <f t="shared" si="1"/>
        <v>9987494.9167604316</v>
      </c>
      <c r="F26" s="481" t="s">
        <v>7</v>
      </c>
      <c r="G26" s="543">
        <f t="shared" si="3"/>
        <v>0.28608840226979465</v>
      </c>
      <c r="H26" s="543">
        <f t="shared" si="4"/>
        <v>0.30253844070940744</v>
      </c>
      <c r="I26" s="543">
        <f t="shared" si="5"/>
        <v>0.32031497949229226</v>
      </c>
      <c r="J26" s="192"/>
      <c r="K26" s="455">
        <f>O26*(S26+T26+V26)+'Interdisciplinary Graduate'!B21</f>
        <v>549.10247205564463</v>
      </c>
      <c r="L26" s="482">
        <f t="shared" si="6"/>
        <v>558.98508122649991</v>
      </c>
      <c r="M26" s="455">
        <f>O26*(X26+Z26+V26+AA26)+'Interdisciplinary Graduate'!D21</f>
        <v>611.1158446027614</v>
      </c>
      <c r="O26" s="955">
        <f t="shared" si="7"/>
        <v>3.0883153658922646</v>
      </c>
      <c r="P26"/>
      <c r="Q26" s="481" t="s">
        <v>7</v>
      </c>
      <c r="R26" s="528">
        <v>60</v>
      </c>
      <c r="S26" s="529">
        <v>67</v>
      </c>
      <c r="T26" s="529">
        <v>60</v>
      </c>
      <c r="U26" s="1032">
        <v>61.666666666666664</v>
      </c>
      <c r="V26" s="529">
        <v>46</v>
      </c>
      <c r="W26" s="1034">
        <v>57</v>
      </c>
      <c r="X26" s="1143">
        <v>75</v>
      </c>
      <c r="Y26" s="1264">
        <v>73.256549484681642</v>
      </c>
      <c r="Z26" s="529">
        <v>74</v>
      </c>
      <c r="AA26" s="1143">
        <f>3*'What If Data'!N34</f>
        <v>0</v>
      </c>
      <c r="AC26" s="1541" t="s">
        <v>7</v>
      </c>
      <c r="AD26" s="1542">
        <v>0.92433615746192432</v>
      </c>
      <c r="AE26" s="1545">
        <v>1.3839999999999999</v>
      </c>
      <c r="AF26" s="1542">
        <v>2.5832720468437356</v>
      </c>
      <c r="AG26" s="1542">
        <v>3.0883153658922646</v>
      </c>
      <c r="AH26" s="1"/>
      <c r="AI26" s="1"/>
    </row>
    <row r="27" spans="1:35">
      <c r="A27" s="481" t="s">
        <v>9</v>
      </c>
      <c r="B27" s="455">
        <f t="shared" si="0"/>
        <v>2048617.2569794946</v>
      </c>
      <c r="C27" s="455">
        <f t="shared" si="2"/>
        <v>1996665.8998650711</v>
      </c>
      <c r="D27" s="455">
        <f t="shared" si="1"/>
        <v>2021194.7388021345</v>
      </c>
      <c r="F27" s="481" t="s">
        <v>9</v>
      </c>
      <c r="G27" s="543">
        <f t="shared" si="3"/>
        <v>7.413888035496434E-2</v>
      </c>
      <c r="H27" s="543">
        <f t="shared" si="4"/>
        <v>7.0758363238215993E-2</v>
      </c>
      <c r="I27" s="543">
        <f t="shared" si="5"/>
        <v>6.9544807570035505E-2</v>
      </c>
      <c r="J27" s="192"/>
      <c r="K27" s="455">
        <f>O27*(S27+T27+V27)+'Interdisciplinary Graduate'!B22</f>
        <v>159.35209965195091</v>
      </c>
      <c r="L27" s="482">
        <f t="shared" si="6"/>
        <v>183.54377036950541</v>
      </c>
      <c r="M27" s="455">
        <f>O27*(X27+Z27+V27+AA27)+'Interdisciplinary Graduate'!D22</f>
        <v>171.26740015462701</v>
      </c>
      <c r="O27" s="955">
        <f t="shared" si="7"/>
        <v>3.0089142683525476</v>
      </c>
      <c r="P27"/>
      <c r="Q27" s="481" t="s">
        <v>9</v>
      </c>
      <c r="R27" s="528">
        <v>18</v>
      </c>
      <c r="S27" s="529">
        <v>14</v>
      </c>
      <c r="T27" s="529">
        <v>16</v>
      </c>
      <c r="U27" s="1032">
        <v>16</v>
      </c>
      <c r="V27" s="529">
        <v>22</v>
      </c>
      <c r="W27" s="1034">
        <v>25.333333333333329</v>
      </c>
      <c r="X27" s="1143">
        <v>23</v>
      </c>
      <c r="Y27" s="1264">
        <v>20.872672022878234</v>
      </c>
      <c r="Z27" s="529">
        <v>10</v>
      </c>
      <c r="AA27" s="1143">
        <f>3*'What If Data'!N35</f>
        <v>0</v>
      </c>
      <c r="AC27" s="1541" t="s">
        <v>9</v>
      </c>
      <c r="AD27" s="1542">
        <v>0.60760924440702391</v>
      </c>
      <c r="AE27" s="1542">
        <v>0.88220300342126901</v>
      </c>
      <c r="AF27" s="1542">
        <v>2.2323857203999244</v>
      </c>
      <c r="AG27" s="1542">
        <v>3.0089142683525476</v>
      </c>
      <c r="AH27" s="1"/>
      <c r="AI27" s="1"/>
    </row>
    <row r="28" spans="1:35">
      <c r="A28" s="483" t="s">
        <v>5</v>
      </c>
      <c r="B28" s="463">
        <f t="shared" si="0"/>
        <v>1772388.3007916678</v>
      </c>
      <c r="C28" s="463">
        <f t="shared" si="2"/>
        <v>1586356.4668867702</v>
      </c>
      <c r="D28" s="463">
        <f t="shared" si="1"/>
        <v>1547775.3050429728</v>
      </c>
      <c r="F28" s="483" t="s">
        <v>5</v>
      </c>
      <c r="G28" s="543">
        <f t="shared" si="3"/>
        <v>6.1527304184635083E-2</v>
      </c>
      <c r="H28" s="543">
        <f t="shared" si="4"/>
        <v>5.4896781170134273E-2</v>
      </c>
      <c r="I28" s="543">
        <f t="shared" si="5"/>
        <v>5.3528017888502172E-2</v>
      </c>
      <c r="J28" s="192"/>
      <c r="K28" s="455">
        <f>O28*(S28+T28+V28)+'Interdisciplinary Graduate'!B23</f>
        <v>150.43026641135441</v>
      </c>
      <c r="L28" s="482">
        <f t="shared" si="6"/>
        <v>133.25515725415252</v>
      </c>
      <c r="M28" s="455">
        <f>O28*(X28+Z28+V28+AA28)+'Interdisciplinary Graduate'!D23</f>
        <v>147.35059166592509</v>
      </c>
      <c r="O28" s="955">
        <f t="shared" si="7"/>
        <v>2.9612257167589449</v>
      </c>
      <c r="P28"/>
      <c r="Q28" s="483" t="s">
        <v>5</v>
      </c>
      <c r="R28" s="528">
        <v>7</v>
      </c>
      <c r="S28" s="529">
        <v>16</v>
      </c>
      <c r="T28" s="529">
        <v>15</v>
      </c>
      <c r="U28" s="1032">
        <v>20.666666666666668</v>
      </c>
      <c r="V28" s="529">
        <v>15</v>
      </c>
      <c r="W28" s="1034">
        <v>15.333333333333334</v>
      </c>
      <c r="X28" s="1143">
        <v>15</v>
      </c>
      <c r="Y28" s="1264">
        <v>13.237066619964097</v>
      </c>
      <c r="Z28" s="529">
        <v>14</v>
      </c>
      <c r="AA28" s="1143">
        <f>3*'What If Data'!N36</f>
        <v>0</v>
      </c>
      <c r="AC28" s="1544" t="s">
        <v>5</v>
      </c>
      <c r="AD28" s="1542">
        <v>0.68584674669160639</v>
      </c>
      <c r="AE28" s="1542">
        <v>1.3843882959939655</v>
      </c>
      <c r="AF28" s="1542">
        <v>2.768615670287919</v>
      </c>
      <c r="AG28" s="1542">
        <v>2.9612257167589449</v>
      </c>
      <c r="AH28" s="1"/>
      <c r="AI28" s="1"/>
    </row>
    <row r="29" spans="1:35">
      <c r="A29" s="481"/>
      <c r="B29" s="454"/>
      <c r="C29" s="454"/>
      <c r="D29" s="454"/>
      <c r="F29" s="481"/>
      <c r="G29" s="543"/>
      <c r="H29" s="490"/>
      <c r="I29" s="543"/>
      <c r="J29" s="192"/>
      <c r="K29" s="455"/>
      <c r="L29" s="482"/>
      <c r="M29" s="455"/>
      <c r="O29" s="997"/>
      <c r="P29"/>
      <c r="Q29" s="481"/>
      <c r="R29" s="525"/>
      <c r="S29" s="452"/>
      <c r="T29" s="452"/>
      <c r="U29" s="452"/>
      <c r="V29" s="154"/>
      <c r="W29" s="452"/>
      <c r="X29" s="452"/>
      <c r="Y29" s="452"/>
      <c r="Z29" s="452"/>
      <c r="AA29" s="452"/>
      <c r="AC29" s="1541"/>
      <c r="AD29" s="1"/>
      <c r="AE29" s="1"/>
      <c r="AF29" s="1"/>
      <c r="AG29" s="1"/>
      <c r="AH29" s="1"/>
      <c r="AI29" s="1"/>
    </row>
    <row r="30" spans="1:35">
      <c r="A30" s="481" t="s">
        <v>541</v>
      </c>
      <c r="B30" s="454">
        <f>G30*C$9</f>
        <v>0</v>
      </c>
      <c r="C30" s="454">
        <f t="shared" si="2"/>
        <v>0</v>
      </c>
      <c r="D30" s="454">
        <f>K30*C$9</f>
        <v>0</v>
      </c>
      <c r="F30" s="481" t="s">
        <v>541</v>
      </c>
      <c r="G30" s="543">
        <f t="shared" ref="G30:I34" si="8">(K30+K55+K78)/(K$35+K$60+K$83)</f>
        <v>0</v>
      </c>
      <c r="H30" s="543">
        <f t="shared" si="8"/>
        <v>0</v>
      </c>
      <c r="I30" s="543">
        <f t="shared" si="8"/>
        <v>0</v>
      </c>
      <c r="J30" s="192"/>
      <c r="K30" s="455">
        <f>O30*(S30+T30+V30)+'Interdisciplinary Graduate'!B25</f>
        <v>0</v>
      </c>
      <c r="L30" s="482">
        <f t="shared" si="6"/>
        <v>0</v>
      </c>
      <c r="M30" s="455">
        <f>O30*(X30+Y30+V30+AA30)+'Interdisciplinary Graduate'!D25</f>
        <v>0</v>
      </c>
      <c r="O30" s="997"/>
      <c r="P30"/>
      <c r="Q30" s="481" t="s">
        <v>541</v>
      </c>
      <c r="R30" s="525"/>
      <c r="S30" s="452"/>
      <c r="T30" s="452"/>
      <c r="U30" s="452"/>
      <c r="V30" s="154"/>
      <c r="W30" s="452"/>
      <c r="X30" s="452"/>
      <c r="Y30" s="452"/>
      <c r="Z30" s="452"/>
      <c r="AA30" s="452"/>
      <c r="AC30" s="1541" t="s">
        <v>541</v>
      </c>
      <c r="AD30" s="1"/>
      <c r="AE30" s="1"/>
      <c r="AF30" s="1"/>
      <c r="AG30" s="1"/>
      <c r="AH30" s="1"/>
      <c r="AI30" s="1"/>
    </row>
    <row r="31" spans="1:35">
      <c r="A31" s="481" t="s">
        <v>563</v>
      </c>
      <c r="B31" s="454">
        <f>G31*C$9</f>
        <v>0</v>
      </c>
      <c r="C31" s="454">
        <f t="shared" si="2"/>
        <v>0</v>
      </c>
      <c r="D31" s="454">
        <f>K31*C$9</f>
        <v>0</v>
      </c>
      <c r="F31" s="481" t="s">
        <v>563</v>
      </c>
      <c r="G31" s="543">
        <f t="shared" si="8"/>
        <v>0</v>
      </c>
      <c r="H31" s="543">
        <f t="shared" si="8"/>
        <v>0</v>
      </c>
      <c r="I31" s="543">
        <f t="shared" si="8"/>
        <v>0</v>
      </c>
      <c r="J31" s="192"/>
      <c r="K31" s="455">
        <f>O31*(S31+T31+V31)+'Interdisciplinary Graduate'!B26</f>
        <v>0</v>
      </c>
      <c r="L31" s="482">
        <f t="shared" si="6"/>
        <v>0</v>
      </c>
      <c r="M31" s="455">
        <f>O31*(X31+Y31+V31+AA31)+'Interdisciplinary Graduate'!D26</f>
        <v>0</v>
      </c>
      <c r="O31" s="997"/>
      <c r="P31"/>
      <c r="Q31" s="481" t="s">
        <v>563</v>
      </c>
      <c r="R31" s="525"/>
      <c r="S31" s="452"/>
      <c r="T31" s="452"/>
      <c r="U31" s="452"/>
      <c r="V31" s="452"/>
      <c r="W31" s="452"/>
      <c r="X31" s="452"/>
      <c r="Y31" s="452"/>
      <c r="Z31" s="452"/>
      <c r="AA31" s="452"/>
      <c r="AC31" s="1541" t="s">
        <v>563</v>
      </c>
      <c r="AD31" s="1"/>
      <c r="AE31" s="1"/>
      <c r="AF31" s="1"/>
      <c r="AG31" s="1"/>
      <c r="AH31" s="1"/>
      <c r="AI31" s="1"/>
    </row>
    <row r="32" spans="1:35">
      <c r="A32" s="483" t="s">
        <v>543</v>
      </c>
      <c r="B32" s="464">
        <f>G32*C$9</f>
        <v>0</v>
      </c>
      <c r="C32" s="464">
        <f t="shared" si="2"/>
        <v>0</v>
      </c>
      <c r="D32" s="464">
        <f>K32*C$9</f>
        <v>0</v>
      </c>
      <c r="F32" s="483" t="s">
        <v>543</v>
      </c>
      <c r="G32" s="543">
        <f t="shared" si="8"/>
        <v>0</v>
      </c>
      <c r="H32" s="543">
        <f t="shared" si="8"/>
        <v>0</v>
      </c>
      <c r="I32" s="543">
        <f t="shared" si="8"/>
        <v>0</v>
      </c>
      <c r="J32" s="192"/>
      <c r="K32" s="455">
        <f>O32*(S32+T32+V32)+'Interdisciplinary Graduate'!B27</f>
        <v>0</v>
      </c>
      <c r="L32" s="482">
        <f t="shared" si="6"/>
        <v>0</v>
      </c>
      <c r="M32" s="455">
        <f>O32*(X32+Y32+V32+AA32)+'Interdisciplinary Graduate'!D27</f>
        <v>0</v>
      </c>
      <c r="O32" s="997"/>
      <c r="P32"/>
      <c r="Q32" s="483" t="s">
        <v>543</v>
      </c>
      <c r="R32" s="525"/>
      <c r="S32" s="452"/>
      <c r="T32" s="452"/>
      <c r="U32" s="452"/>
      <c r="V32" s="452"/>
      <c r="W32" s="452"/>
      <c r="X32" s="452"/>
      <c r="Y32" s="452"/>
      <c r="Z32" s="452"/>
      <c r="AA32" s="452"/>
      <c r="AC32" s="1544" t="s">
        <v>543</v>
      </c>
      <c r="AD32" s="1"/>
      <c r="AE32" s="1"/>
      <c r="AF32" s="1"/>
      <c r="AG32" s="1"/>
      <c r="AH32" s="1"/>
      <c r="AI32" s="1"/>
    </row>
    <row r="33" spans="1:35">
      <c r="A33" s="481" t="s">
        <v>562</v>
      </c>
      <c r="B33" s="454">
        <f>G33*C$9</f>
        <v>0</v>
      </c>
      <c r="C33" s="454">
        <f t="shared" si="2"/>
        <v>0</v>
      </c>
      <c r="D33" s="454">
        <f>K33*C$9</f>
        <v>0</v>
      </c>
      <c r="F33" s="481" t="s">
        <v>562</v>
      </c>
      <c r="G33" s="543">
        <f t="shared" si="8"/>
        <v>0</v>
      </c>
      <c r="H33" s="543">
        <f t="shared" si="8"/>
        <v>0</v>
      </c>
      <c r="I33" s="543">
        <f t="shared" si="8"/>
        <v>0</v>
      </c>
      <c r="J33" s="192"/>
      <c r="K33" s="455">
        <f>O33*(S33+T33+V33)+'Interdisciplinary Graduate'!B28</f>
        <v>0</v>
      </c>
      <c r="L33" s="482">
        <f t="shared" si="6"/>
        <v>0</v>
      </c>
      <c r="M33" s="455">
        <f>O33*(X33+Y33+V33+AA33)+'Interdisciplinary Graduate'!D28</f>
        <v>0</v>
      </c>
      <c r="O33" s="997"/>
      <c r="P33"/>
      <c r="Q33" s="481" t="s">
        <v>562</v>
      </c>
      <c r="R33" s="525"/>
      <c r="S33" s="452"/>
      <c r="T33" s="452"/>
      <c r="U33" s="452"/>
      <c r="V33" s="452"/>
      <c r="W33" s="452"/>
      <c r="X33" s="452"/>
      <c r="Y33" s="452"/>
      <c r="Z33" s="452"/>
      <c r="AA33" s="452"/>
      <c r="AC33" s="1541" t="s">
        <v>562</v>
      </c>
      <c r="AD33" s="1"/>
      <c r="AE33" s="1"/>
      <c r="AF33" s="1"/>
      <c r="AG33" s="1"/>
      <c r="AH33" s="1"/>
      <c r="AI33" s="1"/>
    </row>
    <row r="34" spans="1:35">
      <c r="A34" s="487" t="s">
        <v>545</v>
      </c>
      <c r="B34" s="455">
        <f>G34*C$9</f>
        <v>0</v>
      </c>
      <c r="C34" s="455">
        <f t="shared" si="2"/>
        <v>0</v>
      </c>
      <c r="D34" s="455">
        <f>K34*C$9</f>
        <v>0</v>
      </c>
      <c r="F34" s="487" t="s">
        <v>545</v>
      </c>
      <c r="G34" s="543">
        <f t="shared" si="8"/>
        <v>0</v>
      </c>
      <c r="H34" s="543">
        <f t="shared" si="8"/>
        <v>0</v>
      </c>
      <c r="I34" s="543">
        <f t="shared" si="8"/>
        <v>0</v>
      </c>
      <c r="J34" s="192"/>
      <c r="K34" s="455">
        <f>O34*(S34+T34+V34)+'Interdisciplinary Graduate'!B29</f>
        <v>0</v>
      </c>
      <c r="L34" s="482">
        <f t="shared" si="6"/>
        <v>0</v>
      </c>
      <c r="M34" s="455">
        <f>O34*(X34+Y34+V34+AA34)+'Interdisciplinary Graduate'!D29</f>
        <v>0</v>
      </c>
      <c r="O34" s="997"/>
      <c r="P34"/>
      <c r="Q34" s="547" t="s">
        <v>545</v>
      </c>
      <c r="R34" s="525"/>
      <c r="S34" s="452"/>
      <c r="T34" s="452"/>
      <c r="U34" s="525"/>
      <c r="V34" s="525"/>
      <c r="W34" s="525"/>
      <c r="X34" s="525"/>
      <c r="Y34" s="525"/>
      <c r="Z34" s="525"/>
      <c r="AA34" s="525"/>
      <c r="AC34" s="1547" t="s">
        <v>545</v>
      </c>
      <c r="AD34" s="1"/>
      <c r="AE34" s="1542"/>
      <c r="AF34" s="1"/>
      <c r="AG34" s="1"/>
      <c r="AH34" s="1"/>
      <c r="AI34" s="1"/>
    </row>
    <row r="35" spans="1:35">
      <c r="A35" s="488"/>
      <c r="B35" s="467">
        <f>SUM(B17:B34)</f>
        <v>32500867.779472761</v>
      </c>
      <c r="C35" s="467">
        <f>SUM(C17:C34)</f>
        <v>32500867.779472757</v>
      </c>
      <c r="D35" s="467">
        <f>SUM(D17:D34)</f>
        <v>32500867.779472753</v>
      </c>
      <c r="E35" s="338"/>
      <c r="F35" s="488"/>
      <c r="G35" s="491">
        <f>SUM(G17:G34)</f>
        <v>0.99999999999999989</v>
      </c>
      <c r="H35" s="491">
        <f>(L35+L60+L83)/(L$35+L$60+L$83)</f>
        <v>1</v>
      </c>
      <c r="I35" s="491">
        <f>SUM(I17:I34)</f>
        <v>0.99999999999999989</v>
      </c>
      <c r="J35" s="192"/>
      <c r="K35" s="467">
        <f>SUM(K17:K34)</f>
        <v>1779.1062666275398</v>
      </c>
      <c r="L35" s="467">
        <f>SUM(L17:L34)</f>
        <v>1951.732282428223</v>
      </c>
      <c r="M35" s="467">
        <f>SUM(M17:M34)</f>
        <v>2117.7255415071877</v>
      </c>
      <c r="O35" s="997"/>
      <c r="P35"/>
      <c r="Q35" s="548"/>
      <c r="R35" s="549">
        <f t="shared" ref="R35:W35" si="9">SUM(R17:R34)</f>
        <v>213</v>
      </c>
      <c r="S35" s="549">
        <f t="shared" si="9"/>
        <v>196</v>
      </c>
      <c r="T35" s="549">
        <f t="shared" si="9"/>
        <v>213</v>
      </c>
      <c r="U35" s="549">
        <f t="shared" si="9"/>
        <v>221.66666666666666</v>
      </c>
      <c r="V35" s="549">
        <f t="shared" si="9"/>
        <v>212</v>
      </c>
      <c r="W35" s="549">
        <f t="shared" si="9"/>
        <v>251.33333333333334</v>
      </c>
      <c r="X35" s="549">
        <f>SUM(X17:X34)</f>
        <v>272</v>
      </c>
      <c r="Y35" s="549">
        <f>SUM(Y17:Y34)</f>
        <v>252.38127992117904</v>
      </c>
      <c r="Z35" s="549"/>
      <c r="AA35" s="549">
        <f>SUM(AA17:AA34)</f>
        <v>0</v>
      </c>
      <c r="AC35" s="1548"/>
      <c r="AD35" s="1"/>
      <c r="AE35" s="1"/>
      <c r="AF35" s="1"/>
      <c r="AG35" s="1"/>
      <c r="AH35" s="1"/>
      <c r="AI35" s="1"/>
    </row>
    <row r="36" spans="1:35">
      <c r="L36"/>
      <c r="M36"/>
      <c r="O36" s="995"/>
      <c r="P36"/>
      <c r="Q36" s="46"/>
      <c r="R36" s="46"/>
      <c r="U36" s="155"/>
      <c r="V36" s="155"/>
      <c r="W36" s="155"/>
      <c r="X36" s="155"/>
      <c r="Y36" s="155"/>
      <c r="Z36" s="155"/>
      <c r="AA36" s="155"/>
      <c r="AC36" s="1"/>
      <c r="AD36" s="1"/>
      <c r="AE36" s="1"/>
      <c r="AF36" s="1"/>
      <c r="AG36" s="1"/>
      <c r="AH36" s="1"/>
      <c r="AI36" s="1"/>
    </row>
    <row r="37" spans="1:35">
      <c r="O37" s="995"/>
      <c r="P37"/>
      <c r="Q37" s="46"/>
      <c r="R37" s="46"/>
      <c r="U37" s="155"/>
      <c r="V37" s="155"/>
      <c r="W37" s="155"/>
      <c r="X37" s="155"/>
      <c r="Y37" s="155"/>
      <c r="Z37" s="155"/>
      <c r="AA37" s="155"/>
      <c r="AC37" s="1549" t="s">
        <v>750</v>
      </c>
      <c r="AD37" s="1542">
        <v>0.73850856210006643</v>
      </c>
      <c r="AE37" s="1542">
        <v>1.1811318964529236</v>
      </c>
      <c r="AF37" s="1542">
        <v>2.3354326125608131</v>
      </c>
      <c r="AG37" s="1542">
        <v>2.9719656338531162</v>
      </c>
      <c r="AH37" s="1"/>
      <c r="AI37" s="1"/>
    </row>
    <row r="38" spans="1:35" ht="16.5" thickBot="1">
      <c r="O38" s="995"/>
      <c r="P38"/>
      <c r="AC38" s="1550" t="s">
        <v>751</v>
      </c>
      <c r="AD38" s="1551">
        <v>0.66466277461951395</v>
      </c>
      <c r="AE38" s="1551">
        <v>1.0550793979568804</v>
      </c>
      <c r="AF38" s="1551">
        <v>2.2142730991061281</v>
      </c>
      <c r="AG38" s="1551">
        <v>2.9272151237738941</v>
      </c>
      <c r="AH38" s="879"/>
      <c r="AI38" s="1"/>
    </row>
    <row r="39" spans="1:35" ht="16.5" thickTop="1">
      <c r="O39" s="995"/>
      <c r="P39"/>
      <c r="AC39" s="1"/>
      <c r="AD39" s="1"/>
      <c r="AE39" s="1"/>
      <c r="AF39" s="1"/>
      <c r="AG39" s="1"/>
      <c r="AH39" s="1"/>
      <c r="AI39" s="1"/>
    </row>
    <row r="40" spans="1:35">
      <c r="A40" s="478" t="s">
        <v>585</v>
      </c>
      <c r="B40" s="217"/>
      <c r="C40" s="217"/>
      <c r="D40" s="217"/>
      <c r="F40" s="476" t="s">
        <v>600</v>
      </c>
      <c r="G40" s="476"/>
      <c r="H40" s="476"/>
      <c r="I40" s="476"/>
      <c r="J40" s="552"/>
      <c r="K40" s="476" t="s">
        <v>595</v>
      </c>
      <c r="L40" s="476"/>
      <c r="M40" s="476"/>
      <c r="O40" s="995"/>
      <c r="P40"/>
      <c r="Q40" s="976" t="s">
        <v>593</v>
      </c>
      <c r="R40" s="1109"/>
      <c r="S40" s="1109"/>
      <c r="T40" s="1109"/>
      <c r="U40" s="1540"/>
      <c r="V40" s="1540"/>
      <c r="W40" s="1540"/>
      <c r="X40" s="1540"/>
      <c r="Y40" s="1540"/>
      <c r="Z40" s="1540"/>
      <c r="AA40" s="1540"/>
      <c r="AC40" s="1541" t="s">
        <v>824</v>
      </c>
      <c r="AD40" s="1552">
        <v>0.78234378161025697</v>
      </c>
      <c r="AE40" s="1552">
        <v>1.2290874621750383</v>
      </c>
      <c r="AF40" s="1552">
        <v>2.3077760272136798</v>
      </c>
      <c r="AG40" s="1552">
        <v>3.1256203051170219</v>
      </c>
      <c r="AH40" s="1"/>
      <c r="AI40" s="1"/>
    </row>
    <row r="41" spans="1:35" ht="38.25">
      <c r="A41" s="479"/>
      <c r="B41" s="480" t="s">
        <v>1394</v>
      </c>
      <c r="C41" s="480" t="s">
        <v>1066</v>
      </c>
      <c r="D41" s="480" t="s">
        <v>1393</v>
      </c>
      <c r="F41" s="220"/>
      <c r="G41" s="480" t="s">
        <v>1389</v>
      </c>
      <c r="H41" s="480" t="s">
        <v>1067</v>
      </c>
      <c r="I41" s="480" t="s">
        <v>1390</v>
      </c>
      <c r="J41" s="47"/>
      <c r="K41" s="480" t="s">
        <v>863</v>
      </c>
      <c r="L41" s="480" t="s">
        <v>898</v>
      </c>
      <c r="M41" s="480" t="s">
        <v>1305</v>
      </c>
      <c r="O41" s="995"/>
      <c r="P41"/>
      <c r="Q41" s="454"/>
      <c r="R41" s="453" t="s">
        <v>532</v>
      </c>
      <c r="S41" s="453" t="s">
        <v>533</v>
      </c>
      <c r="T41" s="453" t="s">
        <v>534</v>
      </c>
      <c r="U41" s="453" t="s">
        <v>555</v>
      </c>
      <c r="V41" s="453" t="s">
        <v>874</v>
      </c>
      <c r="W41" s="453" t="s">
        <v>883</v>
      </c>
      <c r="X41" s="453" t="s">
        <v>1035</v>
      </c>
      <c r="Y41" s="453" t="s">
        <v>1346</v>
      </c>
      <c r="Z41" s="453" t="s">
        <v>1751</v>
      </c>
      <c r="AA41" s="453" t="s">
        <v>1257</v>
      </c>
    </row>
    <row r="42" spans="1:35">
      <c r="A42" s="481" t="s">
        <v>538</v>
      </c>
      <c r="B42" s="543">
        <f t="shared" ref="B42:B53" si="10">G17*D$4+G42*D$5</f>
        <v>9.7516713545111405E-2</v>
      </c>
      <c r="C42" s="543">
        <f>H17*D$4+H42*D$5</f>
        <v>9.9120403328174414E-2</v>
      </c>
      <c r="D42" s="543">
        <f t="shared" ref="D42:D53" si="11">I17*D$4+I42*D$5</f>
        <v>9.2205542319152525E-2</v>
      </c>
      <c r="F42" s="481" t="s">
        <v>538</v>
      </c>
      <c r="G42" s="543">
        <f>K88/K$106</f>
        <v>9.5033815186418E-2</v>
      </c>
      <c r="H42" s="543">
        <f>L88/L$106</f>
        <v>9.0791163332326758E-2</v>
      </c>
      <c r="I42" s="543">
        <f>M88/M$106</f>
        <v>8.8263045101216117E-2</v>
      </c>
      <c r="K42" s="455">
        <f>O42*(V42+S42+T42)+'Interdisciplinary Graduate'!B37</f>
        <v>655.8761242216932</v>
      </c>
      <c r="L42" s="455">
        <f>O42*(X42+T42+V42)+'Interdisciplinary Graduate'!C37</f>
        <v>694.20016610646337</v>
      </c>
      <c r="M42" s="455">
        <f>O42*(X42+Z42+V42+AA42)+'Interdisciplinary Graduate'!D37</f>
        <v>587.52612359529394</v>
      </c>
      <c r="O42" s="955">
        <f>IF(O$12="yes",AF17,1)</f>
        <v>2.729632612875367</v>
      </c>
      <c r="P42"/>
      <c r="Q42" s="481" t="s">
        <v>538</v>
      </c>
      <c r="R42" s="528">
        <v>64</v>
      </c>
      <c r="S42" s="529">
        <v>63</v>
      </c>
      <c r="T42" s="529">
        <v>87</v>
      </c>
      <c r="U42" s="1035">
        <v>67.137770800555415</v>
      </c>
      <c r="V42" s="528">
        <v>73</v>
      </c>
      <c r="W42" s="1035">
        <v>64.815298901449879</v>
      </c>
      <c r="X42" s="1144">
        <v>78</v>
      </c>
      <c r="Y42" s="1264">
        <v>67.683069057626327</v>
      </c>
      <c r="Z42" s="529">
        <v>46</v>
      </c>
      <c r="AA42" s="1144">
        <f>3*'What If Data'!M25</f>
        <v>0</v>
      </c>
      <c r="AC42" s="10"/>
      <c r="AD42" s="10"/>
      <c r="AE42" s="10"/>
      <c r="AF42" s="10"/>
      <c r="AG42" s="10"/>
      <c r="AH42" s="10"/>
    </row>
    <row r="43" spans="1:35">
      <c r="A43" s="481" t="s">
        <v>6</v>
      </c>
      <c r="B43" s="543">
        <f t="shared" si="10"/>
        <v>4.5596570973962927E-2</v>
      </c>
      <c r="C43" s="543">
        <f t="shared" ref="C43:C53" si="12">H18*D$4+H43*D$5</f>
        <v>4.6487001846337486E-2</v>
      </c>
      <c r="D43" s="543">
        <f t="shared" si="11"/>
        <v>4.3541086268628522E-2</v>
      </c>
      <c r="F43" s="481" t="s">
        <v>6</v>
      </c>
      <c r="G43" s="543">
        <f t="shared" ref="G43:G53" si="13">K89/K$106</f>
        <v>2.8702982353919448E-2</v>
      </c>
      <c r="H43" s="543">
        <f t="shared" ref="H43:H53" si="14">L89/L$106</f>
        <v>2.6693021956825349E-2</v>
      </c>
      <c r="I43" s="543">
        <f t="shared" ref="I43:I53" si="15">M89/M$106</f>
        <v>2.2976840995741318E-2</v>
      </c>
      <c r="K43" s="455">
        <f>O43*(V43+S43+T43)+'Interdisciplinary Graduate'!B38</f>
        <v>464.39303823466912</v>
      </c>
      <c r="L43" s="455">
        <f>O43*(X43+T43+V43)+'Interdisciplinary Graduate'!C38</f>
        <v>510.49087658884588</v>
      </c>
      <c r="M43" s="455">
        <f>O43*(X43+Z43+V43+AA43)+'Interdisciplinary Graduate'!D38</f>
        <v>513.90553128174781</v>
      </c>
      <c r="O43" s="955">
        <f t="shared" ref="O43:O53" si="16">IF(O$12="yes",AF18,1)</f>
        <v>1.7073273464509895</v>
      </c>
      <c r="P43"/>
      <c r="Q43" s="481" t="s">
        <v>6</v>
      </c>
      <c r="R43" s="528">
        <v>76</v>
      </c>
      <c r="S43" s="529">
        <v>85</v>
      </c>
      <c r="T43" s="529">
        <v>88</v>
      </c>
      <c r="U43" s="1035">
        <v>106.31617994625023</v>
      </c>
      <c r="V43" s="528">
        <v>99</v>
      </c>
      <c r="W43" s="1035">
        <v>99.550187261242073</v>
      </c>
      <c r="X43" s="1144">
        <v>112</v>
      </c>
      <c r="Y43" s="1264">
        <v>87.11376038815493</v>
      </c>
      <c r="Z43" s="529">
        <v>90</v>
      </c>
      <c r="AA43" s="1144">
        <f>3*'What If Data'!M26</f>
        <v>0</v>
      </c>
    </row>
    <row r="44" spans="1:35">
      <c r="A44" s="481" t="s">
        <v>8</v>
      </c>
      <c r="B44" s="543">
        <f t="shared" si="10"/>
        <v>3.8138762269662931E-2</v>
      </c>
      <c r="C44" s="543">
        <f t="shared" si="12"/>
        <v>3.7330818208485064E-2</v>
      </c>
      <c r="D44" s="543">
        <f t="shared" si="11"/>
        <v>3.5013214093986403E-2</v>
      </c>
      <c r="F44" s="481" t="s">
        <v>8</v>
      </c>
      <c r="G44" s="543">
        <f t="shared" si="13"/>
        <v>9.7843363288249493E-3</v>
      </c>
      <c r="H44" s="543">
        <f t="shared" si="14"/>
        <v>8.1349469088539111E-3</v>
      </c>
      <c r="I44" s="543">
        <f t="shared" si="15"/>
        <v>5.8494961336242749E-3</v>
      </c>
      <c r="K44" s="455">
        <f>O44*(V44+S44+T44)+'Interdisciplinary Graduate'!B39</f>
        <v>315.138028247438</v>
      </c>
      <c r="L44" s="455">
        <f>O44*(X44+T44+V44)+'Interdisciplinary Graduate'!C39</f>
        <v>326.6995123298899</v>
      </c>
      <c r="M44" s="455">
        <f>O44*(X44+Z44+V44+AA44)+'Interdisciplinary Graduate'!D39</f>
        <v>333.94003771485978</v>
      </c>
      <c r="O44" s="955">
        <f t="shared" si="16"/>
        <v>1.4597833437439227</v>
      </c>
      <c r="P44"/>
      <c r="Q44" s="481" t="s">
        <v>8</v>
      </c>
      <c r="R44" s="528">
        <v>73</v>
      </c>
      <c r="S44" s="529">
        <v>66</v>
      </c>
      <c r="T44" s="529">
        <v>74</v>
      </c>
      <c r="U44" s="1035">
        <v>74.924389743983909</v>
      </c>
      <c r="V44" s="528">
        <v>73</v>
      </c>
      <c r="W44" s="1035">
        <v>76.006486752274157</v>
      </c>
      <c r="X44" s="1144">
        <v>72</v>
      </c>
      <c r="Y44" s="1264">
        <v>75.402880723774189</v>
      </c>
      <c r="Z44" s="529">
        <v>78</v>
      </c>
      <c r="AA44" s="1144">
        <f>3*'What If Data'!M27</f>
        <v>0</v>
      </c>
    </row>
    <row r="45" spans="1:35" s="10" customFormat="1">
      <c r="A45" s="483" t="s">
        <v>2</v>
      </c>
      <c r="B45" s="543">
        <f t="shared" si="10"/>
        <v>4.1191765954054667E-2</v>
      </c>
      <c r="C45" s="543">
        <f t="shared" si="12"/>
        <v>4.149082401746039E-2</v>
      </c>
      <c r="D45" s="543">
        <f t="shared" si="11"/>
        <v>4.2067382366635576E-2</v>
      </c>
      <c r="E45" s="46"/>
      <c r="F45" s="483" t="s">
        <v>2</v>
      </c>
      <c r="G45" s="543">
        <f t="shared" si="13"/>
        <v>2.9909909161744408E-2</v>
      </c>
      <c r="H45" s="543">
        <f t="shared" si="14"/>
        <v>2.9471086143206635E-2</v>
      </c>
      <c r="I45" s="543">
        <f t="shared" si="15"/>
        <v>2.85228723981613E-2</v>
      </c>
      <c r="J45"/>
      <c r="K45" s="455">
        <f>O45*(V45+S45+T45)+'Interdisciplinary Graduate'!B40</f>
        <v>345.04453774161624</v>
      </c>
      <c r="L45" s="455">
        <f>O45*(X45+T45+V45)+'Interdisciplinary Graduate'!C40</f>
        <v>364.91410042360928</v>
      </c>
      <c r="M45" s="455">
        <f>O45*(X45+Z45+V45+AA45)+'Interdisciplinary Graduate'!D40</f>
        <v>372.57951546843913</v>
      </c>
      <c r="N45"/>
      <c r="O45" s="955">
        <f t="shared" si="16"/>
        <v>2.5215181068519161</v>
      </c>
      <c r="P45"/>
      <c r="Q45" s="483" t="s">
        <v>2</v>
      </c>
      <c r="R45" s="528">
        <v>28</v>
      </c>
      <c r="S45" s="529">
        <v>47</v>
      </c>
      <c r="T45" s="529">
        <v>46</v>
      </c>
      <c r="U45" s="1035">
        <v>42.433173540073938</v>
      </c>
      <c r="V45" s="528">
        <v>40</v>
      </c>
      <c r="W45" s="1035">
        <v>46.48662491120789</v>
      </c>
      <c r="X45" s="1144">
        <v>52</v>
      </c>
      <c r="Y45" s="1264">
        <v>46.38252066784397</v>
      </c>
      <c r="Z45" s="529">
        <v>50</v>
      </c>
      <c r="AA45" s="1144">
        <f>3*'What If Data'!M28</f>
        <v>0</v>
      </c>
    </row>
    <row r="46" spans="1:35">
      <c r="A46" s="481" t="s">
        <v>10</v>
      </c>
      <c r="B46" s="543">
        <f t="shared" si="10"/>
        <v>0.11895576711684079</v>
      </c>
      <c r="C46" s="543">
        <f t="shared" si="12"/>
        <v>0.11207600847655205</v>
      </c>
      <c r="D46" s="543">
        <f t="shared" si="11"/>
        <v>0.11182984131114335</v>
      </c>
      <c r="F46" s="481" t="s">
        <v>10</v>
      </c>
      <c r="G46" s="543">
        <f t="shared" si="13"/>
        <v>0.16301183044180215</v>
      </c>
      <c r="H46" s="543">
        <f t="shared" si="14"/>
        <v>0.16098331006113545</v>
      </c>
      <c r="I46" s="543">
        <f t="shared" si="15"/>
        <v>0.16249953405643225</v>
      </c>
      <c r="K46" s="455">
        <f>O46*(V46+S46+T46)+'Interdisciplinary Graduate'!B41</f>
        <v>753.16800000000001</v>
      </c>
      <c r="L46" s="455">
        <f>O46*(X46+T46+V46)+'Interdisciplinary Graduate'!C41</f>
        <v>706.09500000000003</v>
      </c>
      <c r="M46" s="455">
        <f>O46*(X46+Z46+V46+AA46)+'Interdisciplinary Graduate'!D41</f>
        <v>700.55700000000002</v>
      </c>
      <c r="O46" s="1084">
        <f>IF(O$13="yes",2.769,AH21)</f>
        <v>2.7690000000000001</v>
      </c>
      <c r="P46"/>
      <c r="Q46" s="481" t="s">
        <v>10</v>
      </c>
      <c r="R46" s="528">
        <v>88</v>
      </c>
      <c r="S46" s="529">
        <v>94</v>
      </c>
      <c r="T46" s="529">
        <v>83</v>
      </c>
      <c r="U46" s="1035">
        <v>86.041694331651129</v>
      </c>
      <c r="V46" s="528">
        <v>95</v>
      </c>
      <c r="W46" s="1035">
        <v>88.748995323996553</v>
      </c>
      <c r="X46" s="1144">
        <v>77</v>
      </c>
      <c r="Y46" s="1264">
        <v>85.071093727388501</v>
      </c>
      <c r="Z46" s="529">
        <v>81</v>
      </c>
      <c r="AA46" s="1144">
        <f>3*'What If Data'!M29</f>
        <v>0</v>
      </c>
    </row>
    <row r="47" spans="1:35">
      <c r="A47" s="481" t="s">
        <v>4</v>
      </c>
      <c r="B47" s="543">
        <f t="shared" si="10"/>
        <v>0.10119010397465114</v>
      </c>
      <c r="C47" s="543">
        <f t="shared" si="12"/>
        <v>0.10135988765922953</v>
      </c>
      <c r="D47" s="543">
        <f t="shared" si="11"/>
        <v>0.10298787554339603</v>
      </c>
      <c r="F47" s="481" t="s">
        <v>4</v>
      </c>
      <c r="G47" s="543">
        <f t="shared" si="13"/>
        <v>0.13063767628104792</v>
      </c>
      <c r="H47" s="543">
        <f t="shared" si="14"/>
        <v>0.12905966198761112</v>
      </c>
      <c r="I47" s="543">
        <f t="shared" si="15"/>
        <v>0.12669379871528733</v>
      </c>
      <c r="K47" s="455">
        <f>O47*(V47+S47+T47)+'Interdisciplinary Graduate'!B42</f>
        <v>387.91519232181298</v>
      </c>
      <c r="L47" s="455">
        <f>O47*(X47+T47+V47)+'Interdisciplinary Graduate'!C42</f>
        <v>377.83947304072694</v>
      </c>
      <c r="M47" s="455">
        <f>O47*(X47+Z47+V47+AA47)+'Interdisciplinary Graduate'!D42</f>
        <v>372.8016134001839</v>
      </c>
      <c r="O47" s="955">
        <f t="shared" si="16"/>
        <v>2.5189298202715129</v>
      </c>
      <c r="P47"/>
      <c r="Q47" s="481" t="s">
        <v>4</v>
      </c>
      <c r="R47" s="528">
        <v>60</v>
      </c>
      <c r="S47" s="529">
        <v>60</v>
      </c>
      <c r="T47" s="529">
        <v>49</v>
      </c>
      <c r="U47" s="1035">
        <v>47.08179190751445</v>
      </c>
      <c r="V47" s="528">
        <v>45</v>
      </c>
      <c r="W47" s="1035">
        <v>43.267775577024132</v>
      </c>
      <c r="X47" s="1144">
        <v>56</v>
      </c>
      <c r="Y47" s="1264">
        <v>59.367840801174125</v>
      </c>
      <c r="Z47" s="529">
        <v>47</v>
      </c>
      <c r="AA47" s="1144">
        <f>3*'What If Data'!M30</f>
        <v>0</v>
      </c>
    </row>
    <row r="48" spans="1:35" s="10" customFormat="1">
      <c r="A48" s="481" t="s">
        <v>14</v>
      </c>
      <c r="B48" s="543">
        <f t="shared" si="10"/>
        <v>2.0032838182855464E-2</v>
      </c>
      <c r="C48" s="543">
        <f t="shared" si="12"/>
        <v>1.9011699478417868E-2</v>
      </c>
      <c r="D48" s="543">
        <f t="shared" si="11"/>
        <v>1.9070957396750611E-2</v>
      </c>
      <c r="E48" s="46"/>
      <c r="F48" s="481" t="s">
        <v>14</v>
      </c>
      <c r="G48" s="543">
        <f t="shared" si="13"/>
        <v>2.5779381233492119E-2</v>
      </c>
      <c r="H48" s="543">
        <f t="shared" si="14"/>
        <v>2.4427072751697886E-2</v>
      </c>
      <c r="I48" s="543">
        <f t="shared" si="15"/>
        <v>2.40224426231576E-2</v>
      </c>
      <c r="J48"/>
      <c r="K48" s="455">
        <f>'Interdisciplinary Graduate'!B43</f>
        <v>86.137266006920811</v>
      </c>
      <c r="L48" s="455">
        <f>'Interdisciplinary Graduate'!C43</f>
        <v>83.58505071782686</v>
      </c>
      <c r="M48" s="455">
        <f>O48*(AA48)+'Interdisciplinary Graduate'!D43</f>
        <v>85.49921218464732</v>
      </c>
      <c r="N48"/>
      <c r="O48" s="955">
        <f t="shared" si="16"/>
        <v>2.6585575928061984</v>
      </c>
      <c r="P48"/>
      <c r="Q48" s="481" t="s">
        <v>14</v>
      </c>
      <c r="R48" s="528">
        <v>49</v>
      </c>
      <c r="S48" s="529">
        <v>62</v>
      </c>
      <c r="T48" s="529">
        <v>49</v>
      </c>
      <c r="U48" s="1035">
        <v>45.256321209415994</v>
      </c>
      <c r="V48" s="528">
        <v>37</v>
      </c>
      <c r="W48" s="1035">
        <v>48.017877769883121</v>
      </c>
      <c r="X48" s="1144">
        <v>46</v>
      </c>
      <c r="Y48" s="1264">
        <v>49.499048211424515</v>
      </c>
      <c r="Z48" s="529">
        <v>42</v>
      </c>
      <c r="AA48" s="1144">
        <f>3*'What If Data'!M31</f>
        <v>0</v>
      </c>
      <c r="AC48"/>
      <c r="AD48"/>
      <c r="AE48"/>
      <c r="AF48"/>
      <c r="AG48"/>
      <c r="AH48"/>
    </row>
    <row r="49" spans="1:27">
      <c r="A49" s="483" t="s">
        <v>17</v>
      </c>
      <c r="B49" s="543">
        <f t="shared" si="10"/>
        <v>6.3123859196619947E-2</v>
      </c>
      <c r="C49" s="543">
        <f t="shared" si="12"/>
        <v>6.2037780708379509E-2</v>
      </c>
      <c r="D49" s="543">
        <f t="shared" si="11"/>
        <v>6.1716786202981974E-2</v>
      </c>
      <c r="F49" s="483" t="s">
        <v>17</v>
      </c>
      <c r="G49" s="543">
        <f t="shared" si="13"/>
        <v>4.9476663023868481E-2</v>
      </c>
      <c r="H49" s="543">
        <f t="shared" si="14"/>
        <v>4.9473854599360441E-2</v>
      </c>
      <c r="I49" s="543">
        <f t="shared" si="15"/>
        <v>5.1649472191832115E-2</v>
      </c>
      <c r="K49" s="455">
        <f>O49*(V49+S49+T49)+'Interdisciplinary Graduate'!B44</f>
        <v>567.10372438006925</v>
      </c>
      <c r="L49" s="455">
        <f>O49*(X49+T49+V49)+'Interdisciplinary Graduate'!C44</f>
        <v>569.17495785114329</v>
      </c>
      <c r="M49" s="455">
        <f>O49*(X49+Z49+V49+AA49)+'Interdisciplinary Graduate'!D44</f>
        <v>564.94964157015227</v>
      </c>
      <c r="O49" s="955">
        <f t="shared" si="16"/>
        <v>2.0712334710740294</v>
      </c>
      <c r="P49"/>
      <c r="Q49" s="483" t="s">
        <v>17</v>
      </c>
      <c r="R49" s="528">
        <v>62</v>
      </c>
      <c r="S49" s="529">
        <v>71</v>
      </c>
      <c r="T49" s="529">
        <v>78</v>
      </c>
      <c r="U49" s="1035">
        <v>69.59698741342072</v>
      </c>
      <c r="V49" s="528">
        <v>72</v>
      </c>
      <c r="W49" s="1035">
        <v>67.403165264020259</v>
      </c>
      <c r="X49" s="1144">
        <v>72</v>
      </c>
      <c r="Y49" s="1264">
        <v>68.602397372742203</v>
      </c>
      <c r="Z49" s="529">
        <v>75</v>
      </c>
      <c r="AA49" s="1144">
        <f>3*'What If Data'!M32</f>
        <v>0</v>
      </c>
    </row>
    <row r="50" spans="1:27">
      <c r="A50" s="481" t="s">
        <v>324</v>
      </c>
      <c r="B50" s="543">
        <f t="shared" si="10"/>
        <v>8.0080335181063667E-2</v>
      </c>
      <c r="C50" s="543">
        <f t="shared" si="12"/>
        <v>7.6200707611800506E-2</v>
      </c>
      <c r="D50" s="543">
        <f t="shared" si="11"/>
        <v>7.4456452947724225E-2</v>
      </c>
      <c r="F50" s="481" t="s">
        <v>324</v>
      </c>
      <c r="G50" s="543">
        <f t="shared" si="13"/>
        <v>0.11486207719003098</v>
      </c>
      <c r="H50" s="543">
        <f t="shared" si="14"/>
        <v>0.11104408827271108</v>
      </c>
      <c r="I50" s="543">
        <f t="shared" si="15"/>
        <v>0.11182705133679074</v>
      </c>
      <c r="K50" s="455">
        <f>O50*(V50+S50+T50)+'Interdisciplinary Graduate'!B45</f>
        <v>503.95800000000003</v>
      </c>
      <c r="L50" s="455">
        <f>O50*(X50+T50+V50)+'Interdisciplinary Graduate'!C45</f>
        <v>495.65100000000001</v>
      </c>
      <c r="M50" s="455">
        <f>O50*(X50+Z50+V50+AA50)+'Interdisciplinary Graduate'!D45</f>
        <v>476.26800000000003</v>
      </c>
      <c r="O50" s="1084">
        <f>IF(O$13="yes",2.769,AH25)</f>
        <v>2.7690000000000001</v>
      </c>
      <c r="P50"/>
      <c r="Q50" s="481" t="s">
        <v>324</v>
      </c>
      <c r="R50" s="528">
        <v>57</v>
      </c>
      <c r="S50" s="529">
        <v>58</v>
      </c>
      <c r="T50" s="529">
        <v>63</v>
      </c>
      <c r="U50" s="1035">
        <v>58.243333710091349</v>
      </c>
      <c r="V50" s="528">
        <v>61</v>
      </c>
      <c r="W50" s="1035">
        <v>57.401621299716282</v>
      </c>
      <c r="X50" s="1144">
        <v>55</v>
      </c>
      <c r="Y50" s="1264">
        <v>59.363247863247871</v>
      </c>
      <c r="Z50" s="529">
        <v>56</v>
      </c>
      <c r="AA50" s="1144">
        <f>3*'What If Data'!M33</f>
        <v>0</v>
      </c>
    </row>
    <row r="51" spans="1:27">
      <c r="A51" s="481" t="s">
        <v>7</v>
      </c>
      <c r="B51" s="543">
        <f t="shared" si="10"/>
        <v>0.27660702095343109</v>
      </c>
      <c r="C51" s="543">
        <f t="shared" si="12"/>
        <v>0.29464097022332386</v>
      </c>
      <c r="D51" s="543">
        <f t="shared" si="11"/>
        <v>0.30729933072951487</v>
      </c>
      <c r="F51" s="481" t="s">
        <v>7</v>
      </c>
      <c r="G51" s="543">
        <f t="shared" si="13"/>
        <v>0.26238494897888576</v>
      </c>
      <c r="H51" s="543">
        <f t="shared" si="14"/>
        <v>0.28279476449419855</v>
      </c>
      <c r="I51" s="543">
        <f t="shared" si="15"/>
        <v>0.28777585758534879</v>
      </c>
      <c r="K51" s="455">
        <f>O51*(V51+S51+T51)+'Interdisciplinary Graduate'!B46</f>
        <v>1985.0895716766001</v>
      </c>
      <c r="L51" s="455">
        <f>O51*(X51+T51+V51)+'Interdisciplinary Graduate'!C46</f>
        <v>2271.8327688762547</v>
      </c>
      <c r="M51" s="455">
        <f>O51*(X51+Z51+V51+AA51)+'Interdisciplinary Graduate'!D46</f>
        <v>2468.1614444363786</v>
      </c>
      <c r="O51" s="955">
        <f t="shared" si="16"/>
        <v>2.5832720468437356</v>
      </c>
      <c r="P51"/>
      <c r="Q51" s="481" t="s">
        <v>7</v>
      </c>
      <c r="R51" s="528">
        <v>186</v>
      </c>
      <c r="S51" s="529">
        <v>231</v>
      </c>
      <c r="T51" s="529">
        <v>233</v>
      </c>
      <c r="U51" s="1035">
        <v>275.83249491542375</v>
      </c>
      <c r="V51" s="528">
        <v>291</v>
      </c>
      <c r="W51" s="1035">
        <v>309.59543197100101</v>
      </c>
      <c r="X51" s="1144">
        <v>342</v>
      </c>
      <c r="Y51" s="1264">
        <v>306.89611179254752</v>
      </c>
      <c r="Z51" s="529">
        <v>309</v>
      </c>
      <c r="AA51" s="1144">
        <f>3*'What If Data'!M34</f>
        <v>0</v>
      </c>
    </row>
    <row r="52" spans="1:27">
      <c r="A52" s="481" t="s">
        <v>9</v>
      </c>
      <c r="B52" s="543">
        <f t="shared" si="10"/>
        <v>6.3032694107736473E-2</v>
      </c>
      <c r="C52" s="543">
        <f t="shared" si="12"/>
        <v>6.143423349225606E-2</v>
      </c>
      <c r="D52" s="543">
        <f t="shared" si="11"/>
        <v>6.2188946846480887E-2</v>
      </c>
      <c r="F52" s="481" t="s">
        <v>9</v>
      </c>
      <c r="G52" s="543">
        <f t="shared" si="13"/>
        <v>4.6373414736894672E-2</v>
      </c>
      <c r="H52" s="543">
        <f t="shared" si="14"/>
        <v>4.7448038873316167E-2</v>
      </c>
      <c r="I52" s="543">
        <f t="shared" si="15"/>
        <v>5.1155155761148957E-2</v>
      </c>
      <c r="K52" s="455">
        <f>O52*(V52+S52+T52)+'Interdisciplinary Graduate'!B47</f>
        <v>479.96292988598378</v>
      </c>
      <c r="L52" s="455">
        <f>O52*(X52+T52+V52)+'Interdisciplinary Graduate'!C47</f>
        <v>462.01454869396838</v>
      </c>
      <c r="M52" s="455">
        <f>O52*(X52+Z52+V52+AA52)+'Interdisciplinary Graduate'!D47</f>
        <v>479.87363445716773</v>
      </c>
      <c r="O52" s="955">
        <f t="shared" si="16"/>
        <v>2.2323857203999244</v>
      </c>
      <c r="P52"/>
      <c r="Q52" s="481" t="s">
        <v>9</v>
      </c>
      <c r="R52" s="528">
        <v>64</v>
      </c>
      <c r="S52" s="529">
        <v>68</v>
      </c>
      <c r="T52" s="529">
        <v>78</v>
      </c>
      <c r="U52" s="1035">
        <v>59.033115089727787</v>
      </c>
      <c r="V52" s="528">
        <v>69</v>
      </c>
      <c r="W52" s="1035">
        <v>63.807949526813886</v>
      </c>
      <c r="X52" s="1144">
        <v>59</v>
      </c>
      <c r="Y52" s="1264">
        <v>76.116485788113692</v>
      </c>
      <c r="Z52" s="529">
        <v>86</v>
      </c>
      <c r="AA52" s="1144">
        <f>3*'What If Data'!M35</f>
        <v>0</v>
      </c>
    </row>
    <row r="53" spans="1:27">
      <c r="A53" s="483" t="s">
        <v>5</v>
      </c>
      <c r="B53" s="543">
        <f t="shared" si="10"/>
        <v>5.4533568544009509E-2</v>
      </c>
      <c r="C53" s="543">
        <f t="shared" si="12"/>
        <v>4.8809664949583227E-2</v>
      </c>
      <c r="D53" s="543">
        <f t="shared" si="11"/>
        <v>4.762258397360495E-2</v>
      </c>
      <c r="F53" s="483" t="s">
        <v>5</v>
      </c>
      <c r="G53" s="543">
        <f t="shared" si="13"/>
        <v>4.4042965083071144E-2</v>
      </c>
      <c r="H53" s="543">
        <f t="shared" si="14"/>
        <v>3.9678990618756661E-2</v>
      </c>
      <c r="I53" s="543">
        <f t="shared" si="15"/>
        <v>3.8764433101259106E-2</v>
      </c>
      <c r="K53" s="455">
        <f>O53*(V53+S53+T53)+'Interdisciplinary Graduate'!B48</f>
        <v>280.51613971357193</v>
      </c>
      <c r="L53" s="455">
        <f>O53*(X53+T53+V53)+'Interdisciplinary Graduate'!C48</f>
        <v>274.64667449256154</v>
      </c>
      <c r="M53" s="455">
        <f>O53*(X53+Z53+V53+AA53)+'Interdisciplinary Graduate'!D48</f>
        <v>258.1457250976456</v>
      </c>
      <c r="O53" s="955">
        <f t="shared" si="16"/>
        <v>2.768615670287919</v>
      </c>
      <c r="P53"/>
      <c r="Q53" s="483" t="s">
        <v>5</v>
      </c>
      <c r="R53" s="528">
        <v>26</v>
      </c>
      <c r="S53" s="529">
        <v>27</v>
      </c>
      <c r="T53" s="529">
        <v>26</v>
      </c>
      <c r="U53" s="1035">
        <v>23.392178137991603</v>
      </c>
      <c r="V53" s="528">
        <v>32</v>
      </c>
      <c r="W53" s="1035">
        <v>25.327743770949965</v>
      </c>
      <c r="X53" s="1144">
        <v>22</v>
      </c>
      <c r="Y53" s="1264">
        <v>25.090783700397417</v>
      </c>
      <c r="Z53" s="529">
        <v>21</v>
      </c>
      <c r="AA53" s="1144">
        <f>3*'What If Data'!M36</f>
        <v>0</v>
      </c>
    </row>
    <row r="54" spans="1:27">
      <c r="A54" s="481"/>
      <c r="B54" s="543"/>
      <c r="C54" s="543"/>
      <c r="D54" s="543"/>
      <c r="F54" s="461"/>
      <c r="G54" s="543"/>
      <c r="H54" s="545"/>
      <c r="I54" s="543"/>
      <c r="J54" s="46"/>
      <c r="K54" s="454"/>
      <c r="L54" s="482"/>
      <c r="M54" s="455">
        <f>O54*(X54+Y54+V54+AA54)+'Interdisciplinary Graduate'!D49</f>
        <v>0</v>
      </c>
      <c r="O54" s="997"/>
      <c r="P54"/>
      <c r="Q54" s="481"/>
      <c r="R54" s="525"/>
      <c r="S54" s="452"/>
      <c r="T54" s="452"/>
      <c r="U54" s="525"/>
      <c r="V54" s="154"/>
      <c r="W54" s="525"/>
      <c r="X54" s="525"/>
      <c r="Y54" s="525"/>
      <c r="Z54" s="525"/>
      <c r="AA54" s="525"/>
    </row>
    <row r="55" spans="1:27">
      <c r="A55" s="481" t="s">
        <v>541</v>
      </c>
      <c r="B55" s="543">
        <f>G30*D$4+G55*D$5</f>
        <v>0</v>
      </c>
      <c r="C55" s="543">
        <f>H30*D$4+H55*D$5</f>
        <v>0</v>
      </c>
      <c r="D55" s="543">
        <f>I30*D$4+I55*D$5</f>
        <v>0</v>
      </c>
      <c r="F55" s="481" t="s">
        <v>541</v>
      </c>
      <c r="G55" s="543">
        <f t="shared" ref="G55:I59" si="17">K101/K$106</f>
        <v>0</v>
      </c>
      <c r="H55" s="543">
        <f t="shared" si="17"/>
        <v>0</v>
      </c>
      <c r="I55" s="543">
        <f t="shared" si="17"/>
        <v>0</v>
      </c>
      <c r="K55" s="455">
        <f>O55*(V55+S55+T55)+'Interdisciplinary Graduate'!B50</f>
        <v>0</v>
      </c>
      <c r="L55" s="455">
        <f>O55*(X55+T55+V55)+'Interdisciplinary Graduate'!C50</f>
        <v>0</v>
      </c>
      <c r="M55" s="455">
        <f>O55*(X55+Y55+V55+AA55)+'Interdisciplinary Graduate'!D50</f>
        <v>0</v>
      </c>
      <c r="O55" s="997"/>
      <c r="P55"/>
      <c r="Q55" s="481" t="s">
        <v>541</v>
      </c>
      <c r="R55" s="525"/>
      <c r="S55" s="452"/>
      <c r="T55" s="452"/>
      <c r="U55" s="525"/>
      <c r="V55" s="154"/>
      <c r="W55" s="525"/>
      <c r="X55" s="525"/>
      <c r="Y55" s="525"/>
      <c r="Z55" s="525"/>
      <c r="AA55" s="525"/>
    </row>
    <row r="56" spans="1:27">
      <c r="A56" s="481" t="s">
        <v>563</v>
      </c>
      <c r="B56" s="543">
        <f>G31*D$4+G56*D$5</f>
        <v>0</v>
      </c>
      <c r="C56" s="543">
        <f>H31*D$4+H56*D$5</f>
        <v>0</v>
      </c>
      <c r="D56" s="543">
        <f>I31*D$4+I56*D$5</f>
        <v>0</v>
      </c>
      <c r="F56" s="481" t="s">
        <v>563</v>
      </c>
      <c r="G56" s="543">
        <f t="shared" si="17"/>
        <v>0</v>
      </c>
      <c r="H56" s="543">
        <f t="shared" si="17"/>
        <v>0</v>
      </c>
      <c r="I56" s="543">
        <f t="shared" si="17"/>
        <v>0</v>
      </c>
      <c r="K56" s="455">
        <f>O56*(V56+S56+T56)+'Interdisciplinary Graduate'!B51</f>
        <v>0</v>
      </c>
      <c r="L56" s="455">
        <f>O56*(X56+T56+V56)+'Interdisciplinary Graduate'!C51</f>
        <v>0</v>
      </c>
      <c r="M56" s="455">
        <f>O56*(X56+Y56+V56+AA56)+'Interdisciplinary Graduate'!D51</f>
        <v>0</v>
      </c>
      <c r="O56" s="997"/>
      <c r="P56"/>
      <c r="Q56" s="481" t="s">
        <v>563</v>
      </c>
      <c r="R56" s="525"/>
      <c r="S56" s="452"/>
      <c r="T56" s="452"/>
      <c r="U56" s="525"/>
      <c r="V56" s="154"/>
      <c r="W56" s="525"/>
      <c r="X56" s="525"/>
      <c r="Y56" s="525"/>
      <c r="Z56" s="525"/>
      <c r="AA56" s="525"/>
    </row>
    <row r="57" spans="1:27">
      <c r="A57" s="483" t="s">
        <v>543</v>
      </c>
      <c r="B57" s="543">
        <f>G32*D$4+G57*D$5</f>
        <v>0</v>
      </c>
      <c r="C57" s="543">
        <f>H32*D$4+H57*D$5</f>
        <v>0</v>
      </c>
      <c r="D57" s="543">
        <f>I32*D$4+I57*D$5</f>
        <v>0</v>
      </c>
      <c r="F57" s="483" t="s">
        <v>543</v>
      </c>
      <c r="G57" s="543">
        <f t="shared" si="17"/>
        <v>0</v>
      </c>
      <c r="H57" s="543">
        <f t="shared" si="17"/>
        <v>0</v>
      </c>
      <c r="I57" s="543">
        <f t="shared" si="17"/>
        <v>0</v>
      </c>
      <c r="K57" s="455">
        <f>O57*(V57+S57+T57)+'Interdisciplinary Graduate'!B52</f>
        <v>0</v>
      </c>
      <c r="L57" s="455">
        <f>O57*(X57+T57+V57)+'Interdisciplinary Graduate'!C52</f>
        <v>0</v>
      </c>
      <c r="M57" s="455">
        <f>O57*(X57+Y57+V57+AA57)+'Interdisciplinary Graduate'!D52</f>
        <v>0</v>
      </c>
      <c r="O57" s="997"/>
      <c r="P57"/>
      <c r="Q57" s="483" t="s">
        <v>543</v>
      </c>
      <c r="R57" s="525"/>
      <c r="S57" s="452"/>
      <c r="T57" s="452"/>
      <c r="U57" s="525"/>
      <c r="V57" s="525"/>
      <c r="W57" s="525"/>
      <c r="X57" s="525"/>
      <c r="Y57" s="525"/>
      <c r="Z57" s="525"/>
      <c r="AA57" s="525"/>
    </row>
    <row r="58" spans="1:27">
      <c r="A58" s="481" t="s">
        <v>562</v>
      </c>
      <c r="B58" s="543">
        <f>G33*D$4+G58*D$5</f>
        <v>0</v>
      </c>
      <c r="C58" s="543">
        <f>H33*D$4+H58*D$5</f>
        <v>0</v>
      </c>
      <c r="D58" s="543">
        <f>I33*D$4+I58*D$5</f>
        <v>0</v>
      </c>
      <c r="F58" s="481" t="s">
        <v>562</v>
      </c>
      <c r="G58" s="543">
        <f t="shared" si="17"/>
        <v>0</v>
      </c>
      <c r="H58" s="543">
        <f t="shared" si="17"/>
        <v>0</v>
      </c>
      <c r="I58" s="543">
        <f t="shared" si="17"/>
        <v>0</v>
      </c>
      <c r="K58" s="455">
        <f>O58*(V58+S58+T58)+'Interdisciplinary Graduate'!B53</f>
        <v>0</v>
      </c>
      <c r="L58" s="455">
        <f>O58*(X58+T58+V58)+'Interdisciplinary Graduate'!C53</f>
        <v>0</v>
      </c>
      <c r="M58" s="455">
        <f>O58*(X58+Y58+V58+AA58)+'Interdisciplinary Graduate'!D53</f>
        <v>0</v>
      </c>
      <c r="O58" s="997"/>
      <c r="P58"/>
      <c r="Q58" s="481" t="s">
        <v>562</v>
      </c>
      <c r="R58" s="525"/>
      <c r="S58" s="452"/>
      <c r="T58" s="452"/>
      <c r="U58" s="525"/>
      <c r="V58" s="525"/>
      <c r="W58" s="525"/>
      <c r="X58" s="525"/>
      <c r="Y58" s="525"/>
      <c r="Z58" s="525"/>
      <c r="AA58" s="525"/>
    </row>
    <row r="59" spans="1:27">
      <c r="A59" s="487" t="s">
        <v>545</v>
      </c>
      <c r="B59" s="543">
        <f>G34*D$4+G59*D$5</f>
        <v>0</v>
      </c>
      <c r="C59" s="543">
        <f>H34*D$4+H59*D$5</f>
        <v>0</v>
      </c>
      <c r="D59" s="543">
        <f>I34*D$4+I59*D$5</f>
        <v>0</v>
      </c>
      <c r="F59" s="487" t="s">
        <v>545</v>
      </c>
      <c r="G59" s="543">
        <f t="shared" si="17"/>
        <v>0</v>
      </c>
      <c r="H59" s="543">
        <f t="shared" si="17"/>
        <v>0</v>
      </c>
      <c r="I59" s="543">
        <f t="shared" si="17"/>
        <v>0</v>
      </c>
      <c r="K59" s="455">
        <f>O59*(V59+S59+T59)+'Interdisciplinary Graduate'!B54</f>
        <v>0</v>
      </c>
      <c r="L59" s="455">
        <f>O59*(X59+T59+V59)+'Interdisciplinary Graduate'!C54</f>
        <v>0</v>
      </c>
      <c r="M59" s="455">
        <f>O59*(X59+Y59+V59+AA59)+'Interdisciplinary Graduate'!D54</f>
        <v>0</v>
      </c>
      <c r="O59" s="997"/>
      <c r="P59"/>
      <c r="Q59" s="547" t="s">
        <v>545</v>
      </c>
      <c r="R59" s="525"/>
      <c r="S59" s="452"/>
      <c r="T59" s="452"/>
      <c r="U59" s="525"/>
      <c r="V59" s="525"/>
      <c r="W59" s="525"/>
      <c r="X59" s="525"/>
      <c r="Y59" s="525"/>
      <c r="Z59" s="525"/>
      <c r="AA59" s="525"/>
    </row>
    <row r="60" spans="1:27">
      <c r="A60" s="488"/>
      <c r="B60" s="491">
        <f>SUM(B42:B59)</f>
        <v>1</v>
      </c>
      <c r="C60" s="491">
        <f>SUM(C42:C59)</f>
        <v>1</v>
      </c>
      <c r="D60" s="491">
        <f>SUM(D42:D59)</f>
        <v>1</v>
      </c>
      <c r="F60" s="466"/>
      <c r="G60" s="491">
        <f>SUM(G42:G59)</f>
        <v>1</v>
      </c>
      <c r="H60" s="491">
        <f>SUM(H42:H59)</f>
        <v>1</v>
      </c>
      <c r="I60" s="491">
        <f>SUM(I42:I59)</f>
        <v>0.99999999999999978</v>
      </c>
      <c r="K60" s="467">
        <f>SUM(K42:K59)</f>
        <v>6824.3025524303748</v>
      </c>
      <c r="L60" s="467">
        <f>SUM(L42:L59)</f>
        <v>7137.1441291212905</v>
      </c>
      <c r="M60" s="467">
        <f>SUM(M42:M59)</f>
        <v>7214.2074792065159</v>
      </c>
      <c r="O60" s="997"/>
      <c r="P60"/>
      <c r="Q60" s="550"/>
      <c r="R60" s="551">
        <f t="shared" ref="R60:W60" si="18">SUM(R42:R59)</f>
        <v>833</v>
      </c>
      <c r="S60" s="551">
        <f t="shared" si="18"/>
        <v>932</v>
      </c>
      <c r="T60" s="551">
        <f t="shared" si="18"/>
        <v>954</v>
      </c>
      <c r="U60" s="551">
        <f t="shared" si="18"/>
        <v>955.28943074610015</v>
      </c>
      <c r="V60" s="549">
        <f t="shared" si="18"/>
        <v>987</v>
      </c>
      <c r="W60" s="549">
        <f t="shared" si="18"/>
        <v>990.42915832957931</v>
      </c>
      <c r="X60" s="549">
        <f>SUM(X42:X59)</f>
        <v>1043</v>
      </c>
      <c r="Y60" s="549">
        <f>SUM(Y42:Y59)</f>
        <v>1006.5892400944352</v>
      </c>
      <c r="Z60" s="549">
        <f>SUM(Z42:Z59)</f>
        <v>981</v>
      </c>
      <c r="AA60" s="528"/>
    </row>
    <row r="61" spans="1:27">
      <c r="L61"/>
      <c r="M61"/>
      <c r="O61" s="995"/>
      <c r="P61"/>
      <c r="Q61" s="46"/>
      <c r="R61" s="516"/>
      <c r="S61" s="516"/>
      <c r="T61" s="516"/>
      <c r="U61" s="516"/>
      <c r="V61" s="516"/>
      <c r="W61" s="516"/>
      <c r="X61" s="516"/>
      <c r="Y61" s="516"/>
      <c r="Z61" s="516"/>
      <c r="AA61" s="516"/>
    </row>
    <row r="62" spans="1:27">
      <c r="L62"/>
      <c r="M62"/>
      <c r="O62" s="995"/>
      <c r="P62"/>
      <c r="Q62" s="46"/>
      <c r="R62" s="46"/>
      <c r="U62" s="155"/>
      <c r="V62" s="155"/>
      <c r="W62" s="155"/>
      <c r="X62" s="155"/>
      <c r="Y62" s="155"/>
      <c r="Z62" s="155"/>
      <c r="AA62" s="155"/>
    </row>
    <row r="63" spans="1:27">
      <c r="E63"/>
      <c r="K63" s="476" t="s">
        <v>596</v>
      </c>
      <c r="L63" s="476"/>
      <c r="M63" s="476"/>
      <c r="O63" s="995"/>
      <c r="P63"/>
      <c r="Q63" s="976" t="s">
        <v>589</v>
      </c>
      <c r="R63" s="1109"/>
      <c r="S63" s="1109"/>
      <c r="T63" s="1109"/>
      <c r="U63" s="1540"/>
      <c r="V63" s="1540"/>
      <c r="W63" s="1540"/>
      <c r="X63" s="1540"/>
      <c r="Y63" s="1540"/>
      <c r="Z63" s="1540"/>
      <c r="AA63" s="1540"/>
    </row>
    <row r="64" spans="1:27" ht="38.25">
      <c r="A64" s="478" t="s">
        <v>1049</v>
      </c>
      <c r="B64" s="217"/>
      <c r="C64" s="217"/>
      <c r="D64" s="217"/>
      <c r="E64"/>
      <c r="K64" s="480" t="s">
        <v>863</v>
      </c>
      <c r="L64" s="480" t="s">
        <v>898</v>
      </c>
      <c r="M64" s="480" t="s">
        <v>1305</v>
      </c>
      <c r="O64" s="995"/>
      <c r="P64"/>
      <c r="Q64" s="454"/>
      <c r="R64" s="453" t="s">
        <v>532</v>
      </c>
      <c r="S64" s="453" t="s">
        <v>533</v>
      </c>
      <c r="T64" s="453" t="s">
        <v>534</v>
      </c>
      <c r="U64" s="453" t="s">
        <v>555</v>
      </c>
      <c r="V64" s="453" t="s">
        <v>874</v>
      </c>
      <c r="W64" s="453" t="s">
        <v>883</v>
      </c>
      <c r="X64" s="453" t="s">
        <v>1035</v>
      </c>
      <c r="Y64" s="453" t="s">
        <v>1346</v>
      </c>
      <c r="Z64" s="453"/>
      <c r="AA64" s="453" t="s">
        <v>1257</v>
      </c>
    </row>
    <row r="65" spans="1:27">
      <c r="A65" s="479"/>
      <c r="B65" s="480" t="s">
        <v>1008</v>
      </c>
      <c r="C65" s="480"/>
      <c r="D65" s="480" t="s">
        <v>1053</v>
      </c>
      <c r="E65"/>
      <c r="F65" s="480" t="s">
        <v>1054</v>
      </c>
      <c r="G65" s="480" t="s">
        <v>1055</v>
      </c>
      <c r="H65" s="480" t="s">
        <v>1056</v>
      </c>
      <c r="K65" s="455">
        <f>O65*(T65+S65+V65)/5</f>
        <v>30.571885264204109</v>
      </c>
      <c r="L65" s="482">
        <f>O65*SUM(T65,V65,X65)/5</f>
        <v>34.393370922229622</v>
      </c>
      <c r="M65" s="455">
        <f>O65*(X65+Z65+V65+AA65)/5</f>
        <v>33.301517877079476</v>
      </c>
      <c r="O65" s="955">
        <f>O42</f>
        <v>2.729632612875367</v>
      </c>
      <c r="P65"/>
      <c r="Q65" s="481" t="s">
        <v>538</v>
      </c>
      <c r="R65" s="528">
        <v>13</v>
      </c>
      <c r="S65" s="529">
        <v>14</v>
      </c>
      <c r="T65" s="529">
        <v>21</v>
      </c>
      <c r="U65" s="1036">
        <v>24</v>
      </c>
      <c r="V65" s="529">
        <v>21</v>
      </c>
      <c r="W65" s="1036">
        <v>25.666666666666664</v>
      </c>
      <c r="X65" s="528">
        <v>21</v>
      </c>
      <c r="Y65" s="1295">
        <v>23</v>
      </c>
      <c r="Z65" s="1654">
        <v>19</v>
      </c>
      <c r="AA65" s="528">
        <f>3*'What If Data'!O25</f>
        <v>0</v>
      </c>
    </row>
    <row r="66" spans="1:27">
      <c r="A66" s="481" t="s">
        <v>538</v>
      </c>
      <c r="B66" s="455">
        <f>D17*0.6*I17/(0.6*I17+0.4*I42)</f>
        <v>1849309.9159900497</v>
      </c>
      <c r="C66" s="455"/>
      <c r="D66" s="455">
        <f>B66*M17/(M17+M42+M65)</f>
        <v>589962.07411492814</v>
      </c>
      <c r="E66" s="475"/>
      <c r="F66" s="455">
        <f>B66-D66</f>
        <v>1259347.8418751215</v>
      </c>
      <c r="G66" s="455">
        <f>D66/((M17/3)/O17)</f>
        <v>17748.558186369675</v>
      </c>
      <c r="H66" s="455">
        <f>F66/(((M42+M65)/3)/O42)</f>
        <v>16611.165694800231</v>
      </c>
      <c r="K66" s="455">
        <f t="shared" ref="K66:K76" si="19">O66*(T66+S66+V66)/5</f>
        <v>1.7073273464509895</v>
      </c>
      <c r="L66" s="482">
        <f t="shared" ref="L66:L76" si="20">O66*SUM(T66,V66,X66)/5</f>
        <v>2.0487928157411872</v>
      </c>
      <c r="M66" s="455">
        <f t="shared" ref="M66:M75" si="21">O66*(X66+Z66+V66+AA66)/5</f>
        <v>3.0731892236117813</v>
      </c>
      <c r="O66" s="955">
        <f t="shared" ref="O66:O76" si="22">O43</f>
        <v>1.7073273464509895</v>
      </c>
      <c r="P66"/>
      <c r="Q66" s="481" t="s">
        <v>6</v>
      </c>
      <c r="R66" s="528">
        <v>6</v>
      </c>
      <c r="S66" s="529">
        <v>4</v>
      </c>
      <c r="T66" s="529">
        <v>0</v>
      </c>
      <c r="U66" s="1036">
        <v>3.3333333333333335</v>
      </c>
      <c r="V66" s="529">
        <v>1</v>
      </c>
      <c r="W66" s="1036">
        <v>1.6666666666666667</v>
      </c>
      <c r="X66" s="528">
        <v>5</v>
      </c>
      <c r="Y66" s="1295">
        <v>7</v>
      </c>
      <c r="Z66" s="1654">
        <v>3</v>
      </c>
      <c r="AA66" s="528">
        <f>3*'What If Data'!O26</f>
        <v>0</v>
      </c>
    </row>
    <row r="67" spans="1:27">
      <c r="A67" s="481" t="s">
        <v>6</v>
      </c>
      <c r="B67" s="455">
        <f t="shared" ref="B67:B77" si="23">D18*0.6*I18/(0.6*I18+0.4*I43)</f>
        <v>1116416.1793142895</v>
      </c>
      <c r="C67" s="455"/>
      <c r="D67" s="455">
        <f t="shared" ref="D67:D77" si="24">B67*M18/(M18+M43+M66)</f>
        <v>67725.701519643801</v>
      </c>
      <c r="E67" s="475"/>
      <c r="F67" s="455">
        <f t="shared" ref="F67:F77" si="25">B67-D67</f>
        <v>1048690.4777946456</v>
      </c>
      <c r="G67" s="455">
        <f t="shared" ref="G67:G77" si="26">D67/((M18/3)/O18)</f>
        <v>25397.138069866425</v>
      </c>
      <c r="H67" s="455">
        <f t="shared" ref="H67:H77" si="27">F67/(((M43+M66)/3)/O43)</f>
        <v>10389.932078546688</v>
      </c>
      <c r="K67" s="455">
        <f t="shared" si="19"/>
        <v>0.58391333749756913</v>
      </c>
      <c r="L67" s="482">
        <f t="shared" si="20"/>
        <v>0</v>
      </c>
      <c r="M67" s="455">
        <f t="shared" si="21"/>
        <v>0</v>
      </c>
      <c r="O67" s="955">
        <f t="shared" si="22"/>
        <v>1.4597833437439227</v>
      </c>
      <c r="P67"/>
      <c r="Q67" s="481" t="s">
        <v>8</v>
      </c>
      <c r="R67" s="528">
        <v>0</v>
      </c>
      <c r="S67" s="529">
        <v>2</v>
      </c>
      <c r="T67" s="529">
        <v>0</v>
      </c>
      <c r="U67" s="1036">
        <v>0.66666666666666696</v>
      </c>
      <c r="V67" s="529">
        <v>0</v>
      </c>
      <c r="W67" s="1036">
        <v>0.66666666666666663</v>
      </c>
      <c r="X67" s="528">
        <v>0</v>
      </c>
      <c r="Y67" s="1295">
        <v>0</v>
      </c>
      <c r="Z67" s="1654">
        <v>0</v>
      </c>
      <c r="AA67" s="528">
        <f>3*'What If Data'!O27</f>
        <v>0</v>
      </c>
    </row>
    <row r="68" spans="1:27">
      <c r="A68" s="481" t="s">
        <v>8</v>
      </c>
      <c r="B68" s="455">
        <f t="shared" si="23"/>
        <v>1061914.3616368403</v>
      </c>
      <c r="C68" s="455"/>
      <c r="D68" s="870">
        <f t="shared" si="24"/>
        <v>384517.54854629503</v>
      </c>
      <c r="E68"/>
      <c r="F68" s="870">
        <f t="shared" si="25"/>
        <v>677396.81309054524</v>
      </c>
      <c r="G68" s="455">
        <f t="shared" si="26"/>
        <v>15380.701941851801</v>
      </c>
      <c r="H68" s="455">
        <f t="shared" si="27"/>
        <v>8883.5042807817608</v>
      </c>
      <c r="K68" s="455">
        <f t="shared" si="19"/>
        <v>10.590376048778047</v>
      </c>
      <c r="L68" s="482">
        <f t="shared" si="20"/>
        <v>17.146323126593028</v>
      </c>
      <c r="M68" s="455">
        <f t="shared" si="21"/>
        <v>25.215181068519161</v>
      </c>
      <c r="O68" s="955">
        <f t="shared" si="22"/>
        <v>2.5215181068519161</v>
      </c>
      <c r="P68"/>
      <c r="Q68" s="483" t="s">
        <v>2</v>
      </c>
      <c r="R68" s="528">
        <v>7</v>
      </c>
      <c r="S68" s="529">
        <v>4</v>
      </c>
      <c r="T68" s="529">
        <v>9</v>
      </c>
      <c r="U68" s="1036">
        <v>8.6666666666666661</v>
      </c>
      <c r="V68" s="529">
        <v>8</v>
      </c>
      <c r="W68" s="1036">
        <v>11</v>
      </c>
      <c r="X68" s="528">
        <v>17</v>
      </c>
      <c r="Y68" s="1295">
        <v>20.666666666666664</v>
      </c>
      <c r="Z68" s="1654">
        <v>25</v>
      </c>
      <c r="AA68" s="528">
        <f>3*'What If Data'!O28</f>
        <v>0</v>
      </c>
    </row>
    <row r="69" spans="1:27">
      <c r="A69" s="483" t="s">
        <v>2</v>
      </c>
      <c r="B69" s="463">
        <f t="shared" si="23"/>
        <v>996419.19032518123</v>
      </c>
      <c r="C69" s="463"/>
      <c r="D69" s="871">
        <f t="shared" si="24"/>
        <v>189493.30763559768</v>
      </c>
      <c r="E69"/>
      <c r="F69" s="871">
        <f t="shared" si="25"/>
        <v>806925.88268958358</v>
      </c>
      <c r="G69" s="463">
        <f t="shared" si="26"/>
        <v>15431.051110390692</v>
      </c>
      <c r="H69" s="463">
        <f t="shared" si="27"/>
        <v>15344.685903072712</v>
      </c>
      <c r="K69" s="455">
        <f t="shared" si="19"/>
        <v>0</v>
      </c>
      <c r="L69" s="482">
        <f t="shared" si="20"/>
        <v>0</v>
      </c>
      <c r="M69" s="455">
        <f t="shared" si="21"/>
        <v>0</v>
      </c>
      <c r="O69" s="955">
        <f t="shared" si="22"/>
        <v>2.7690000000000001</v>
      </c>
      <c r="P69"/>
      <c r="Q69" s="481" t="s">
        <v>10</v>
      </c>
      <c r="R69" s="528">
        <v>0</v>
      </c>
      <c r="S69" s="529">
        <v>0</v>
      </c>
      <c r="T69" s="529">
        <v>0</v>
      </c>
      <c r="U69" s="1036">
        <v>0</v>
      </c>
      <c r="V69" s="529">
        <v>0</v>
      </c>
      <c r="W69" s="1036">
        <v>0</v>
      </c>
      <c r="X69" s="528">
        <v>0</v>
      </c>
      <c r="Y69" s="1295">
        <v>0</v>
      </c>
      <c r="Z69" s="1654">
        <v>0</v>
      </c>
      <c r="AA69" s="528">
        <f>3*'What If Data'!O29</f>
        <v>0</v>
      </c>
    </row>
    <row r="70" spans="1:27">
      <c r="A70" s="481" t="s">
        <v>10</v>
      </c>
      <c r="B70" s="454">
        <f t="shared" si="23"/>
        <v>1522016.5380152762</v>
      </c>
      <c r="C70" s="454"/>
      <c r="D70" s="870">
        <f t="shared" si="24"/>
        <v>100937.82449641435</v>
      </c>
      <c r="E70"/>
      <c r="F70" s="870">
        <f t="shared" si="25"/>
        <v>1421078.7135188619</v>
      </c>
      <c r="G70" s="455">
        <f t="shared" si="26"/>
        <v>19020.946827213756</v>
      </c>
      <c r="H70" s="455">
        <f t="shared" si="27"/>
        <v>16850.735733425241</v>
      </c>
      <c r="K70" s="455">
        <f t="shared" si="19"/>
        <v>6.0454315686516313</v>
      </c>
      <c r="L70" s="482">
        <f t="shared" si="20"/>
        <v>3.0227157843258157</v>
      </c>
      <c r="M70" s="455">
        <f t="shared" si="21"/>
        <v>2.0151438562172101</v>
      </c>
      <c r="O70" s="955">
        <f t="shared" si="22"/>
        <v>2.5189298202715129</v>
      </c>
      <c r="P70"/>
      <c r="Q70" s="481" t="s">
        <v>4</v>
      </c>
      <c r="R70" s="528">
        <v>18</v>
      </c>
      <c r="S70" s="529">
        <v>7</v>
      </c>
      <c r="T70" s="529">
        <v>4</v>
      </c>
      <c r="U70" s="1036">
        <v>9.6666666666666661</v>
      </c>
      <c r="V70" s="529">
        <v>1</v>
      </c>
      <c r="W70" s="1036">
        <v>4</v>
      </c>
      <c r="X70" s="528">
        <v>1</v>
      </c>
      <c r="Y70" s="1295">
        <v>2.3333333333333335</v>
      </c>
      <c r="Z70" s="1654">
        <v>2</v>
      </c>
      <c r="AA70" s="528">
        <f>3*'What If Data'!O30</f>
        <v>0</v>
      </c>
    </row>
    <row r="71" spans="1:27">
      <c r="A71" s="481" t="s">
        <v>4</v>
      </c>
      <c r="B71" s="455">
        <f t="shared" si="23"/>
        <v>1700131.9657148351</v>
      </c>
      <c r="C71" s="455"/>
      <c r="D71" s="870">
        <f t="shared" si="24"/>
        <v>939816.79477622744</v>
      </c>
      <c r="E71"/>
      <c r="F71" s="870">
        <f t="shared" si="25"/>
        <v>760315.17093860765</v>
      </c>
      <c r="G71" s="455">
        <f t="shared" si="26"/>
        <v>18199.395716038489</v>
      </c>
      <c r="H71" s="455">
        <f t="shared" si="27"/>
        <v>15328.934897955802</v>
      </c>
      <c r="K71" s="455">
        <f t="shared" si="19"/>
        <v>29.775845039429424</v>
      </c>
      <c r="L71" s="482">
        <f t="shared" si="20"/>
        <v>37.751517817848018</v>
      </c>
      <c r="M71" s="455">
        <f t="shared" si="21"/>
        <v>39.878363892092977</v>
      </c>
      <c r="O71" s="955">
        <f t="shared" si="22"/>
        <v>2.6585575928061984</v>
      </c>
      <c r="P71"/>
      <c r="Q71" s="481" t="s">
        <v>14</v>
      </c>
      <c r="R71" s="528">
        <v>0</v>
      </c>
      <c r="S71" s="529">
        <v>10</v>
      </c>
      <c r="T71" s="529">
        <v>20</v>
      </c>
      <c r="U71" s="1036">
        <v>27.333333333333329</v>
      </c>
      <c r="V71" s="529">
        <v>26</v>
      </c>
      <c r="W71" s="1036">
        <v>34</v>
      </c>
      <c r="X71" s="528">
        <v>25</v>
      </c>
      <c r="Y71" s="1295">
        <v>30</v>
      </c>
      <c r="Z71" s="1654">
        <v>24</v>
      </c>
      <c r="AA71" s="528">
        <f>3*'What If Data'!O31</f>
        <v>0</v>
      </c>
    </row>
    <row r="72" spans="1:27">
      <c r="A72" s="481" t="s">
        <v>14</v>
      </c>
      <c r="B72" s="454">
        <f t="shared" si="23"/>
        <v>307522.57220566325</v>
      </c>
      <c r="C72" s="454"/>
      <c r="D72" s="870">
        <f t="shared" si="24"/>
        <v>53194.366912949983</v>
      </c>
      <c r="E72"/>
      <c r="F72" s="870">
        <f t="shared" si="25"/>
        <v>254328.20529271328</v>
      </c>
      <c r="G72" s="455">
        <f t="shared" si="26"/>
        <v>17498.147010838817</v>
      </c>
      <c r="H72" s="455">
        <f t="shared" si="27"/>
        <v>16178.639013531381</v>
      </c>
      <c r="K72" s="455">
        <f t="shared" si="19"/>
        <v>43.910149586769428</v>
      </c>
      <c r="L72" s="482">
        <f t="shared" si="20"/>
        <v>51.366590082635938</v>
      </c>
      <c r="M72" s="455">
        <f t="shared" si="21"/>
        <v>51.366590082635938</v>
      </c>
      <c r="O72" s="955">
        <f t="shared" si="22"/>
        <v>2.0712334710740294</v>
      </c>
      <c r="P72"/>
      <c r="Q72" s="483" t="s">
        <v>17</v>
      </c>
      <c r="R72" s="528">
        <v>15</v>
      </c>
      <c r="S72" s="529">
        <v>18</v>
      </c>
      <c r="T72" s="529">
        <v>43</v>
      </c>
      <c r="U72" s="1036">
        <v>50.666666666666671</v>
      </c>
      <c r="V72" s="529">
        <v>45</v>
      </c>
      <c r="W72" s="1036">
        <v>61.666666666666657</v>
      </c>
      <c r="X72" s="528">
        <v>36</v>
      </c>
      <c r="Y72" s="1295">
        <v>40.666666666666664</v>
      </c>
      <c r="Z72" s="1654">
        <v>43</v>
      </c>
      <c r="AA72" s="528">
        <f>3*'What If Data'!O32</f>
        <v>0</v>
      </c>
    </row>
    <row r="73" spans="1:27">
      <c r="A73" s="483" t="s">
        <v>17</v>
      </c>
      <c r="B73" s="463">
        <f t="shared" si="23"/>
        <v>1334388.0415225893</v>
      </c>
      <c r="C73" s="463"/>
      <c r="D73" s="871">
        <f t="shared" si="24"/>
        <v>84191.586990071504</v>
      </c>
      <c r="E73"/>
      <c r="F73" s="871">
        <f t="shared" si="25"/>
        <v>1250196.4545325178</v>
      </c>
      <c r="G73" s="463">
        <f t="shared" si="26"/>
        <v>19428.827766939579</v>
      </c>
      <c r="H73" s="463">
        <f t="shared" si="27"/>
        <v>12604.480990716338</v>
      </c>
      <c r="K73" s="455">
        <f t="shared" si="19"/>
        <v>0</v>
      </c>
      <c r="L73" s="482">
        <f t="shared" si="20"/>
        <v>0</v>
      </c>
      <c r="M73" s="455">
        <f t="shared" si="21"/>
        <v>0</v>
      </c>
      <c r="O73" s="955">
        <f t="shared" si="22"/>
        <v>2.7690000000000001</v>
      </c>
      <c r="P73"/>
      <c r="Q73" s="481" t="s">
        <v>324</v>
      </c>
      <c r="R73" s="528">
        <v>0</v>
      </c>
      <c r="S73" s="529">
        <v>0</v>
      </c>
      <c r="T73" s="529">
        <v>0</v>
      </c>
      <c r="U73" s="1036">
        <v>0</v>
      </c>
      <c r="V73" s="529">
        <v>0</v>
      </c>
      <c r="W73" s="1036">
        <v>0</v>
      </c>
      <c r="X73" s="528">
        <v>0</v>
      </c>
      <c r="Y73" s="1295">
        <v>0</v>
      </c>
      <c r="Z73" s="1654">
        <v>0</v>
      </c>
      <c r="AA73" s="528">
        <f>3*'What If Data'!O33</f>
        <v>0</v>
      </c>
    </row>
    <row r="74" spans="1:27">
      <c r="A74" s="481" t="s">
        <v>324</v>
      </c>
      <c r="B74" s="454">
        <f t="shared" si="23"/>
        <v>966108.84871638042</v>
      </c>
      <c r="C74" s="454"/>
      <c r="D74" s="870"/>
      <c r="E74"/>
      <c r="F74" s="870">
        <f t="shared" si="25"/>
        <v>966108.84871638042</v>
      </c>
      <c r="G74" s="455"/>
      <c r="H74" s="455">
        <f t="shared" si="27"/>
        <v>16850.735733425241</v>
      </c>
      <c r="K74" s="455">
        <f t="shared" si="19"/>
        <v>0</v>
      </c>
      <c r="L74" s="482">
        <f t="shared" si="20"/>
        <v>0</v>
      </c>
      <c r="M74" s="455">
        <f t="shared" si="21"/>
        <v>0</v>
      </c>
      <c r="O74" s="955">
        <f t="shared" si="22"/>
        <v>2.5832720468437356</v>
      </c>
      <c r="P74"/>
      <c r="Q74" s="481" t="s">
        <v>7</v>
      </c>
      <c r="R74" s="528">
        <v>0</v>
      </c>
      <c r="S74" s="529">
        <v>0</v>
      </c>
      <c r="T74" s="529">
        <v>0</v>
      </c>
      <c r="U74" s="1036">
        <v>0</v>
      </c>
      <c r="V74" s="529">
        <v>0</v>
      </c>
      <c r="W74" s="1036">
        <v>0</v>
      </c>
      <c r="X74" s="528">
        <v>0</v>
      </c>
      <c r="Y74" s="1295">
        <v>0</v>
      </c>
      <c r="Z74" s="1654">
        <v>0</v>
      </c>
      <c r="AA74" s="528">
        <f>3*'What If Data'!O34</f>
        <v>0</v>
      </c>
    </row>
    <row r="75" spans="1:27">
      <c r="A75" s="481" t="s">
        <v>7</v>
      </c>
      <c r="B75" s="455">
        <f t="shared" si="23"/>
        <v>6246308.8777581109</v>
      </c>
      <c r="C75" s="455"/>
      <c r="D75" s="870">
        <f t="shared" si="24"/>
        <v>1239647.4780197539</v>
      </c>
      <c r="E75"/>
      <c r="F75" s="870">
        <f t="shared" si="25"/>
        <v>5006661.3997383565</v>
      </c>
      <c r="G75" s="455">
        <f t="shared" si="26"/>
        <v>18793.92780502962</v>
      </c>
      <c r="H75" s="455">
        <f t="shared" si="27"/>
        <v>15720.489197872259</v>
      </c>
      <c r="K75" s="455">
        <f t="shared" si="19"/>
        <v>17.41260861911941</v>
      </c>
      <c r="L75" s="482">
        <f t="shared" si="20"/>
        <v>16.51965433095944</v>
      </c>
      <c r="M75" s="455">
        <f t="shared" si="21"/>
        <v>17.41260861911941</v>
      </c>
      <c r="O75" s="955">
        <f t="shared" si="22"/>
        <v>2.2323857203999244</v>
      </c>
      <c r="P75"/>
      <c r="Q75" s="481" t="s">
        <v>9</v>
      </c>
      <c r="R75" s="528">
        <v>7</v>
      </c>
      <c r="S75" s="529">
        <v>10</v>
      </c>
      <c r="T75" s="529">
        <v>14</v>
      </c>
      <c r="U75" s="1036">
        <v>17.333333333333336</v>
      </c>
      <c r="V75" s="529">
        <v>15</v>
      </c>
      <c r="W75" s="1036">
        <v>18</v>
      </c>
      <c r="X75" s="528">
        <v>8</v>
      </c>
      <c r="Y75" s="1295">
        <v>12.333333333333334</v>
      </c>
      <c r="Z75" s="1654">
        <v>16</v>
      </c>
      <c r="AA75" s="528">
        <f>3*'What If Data'!O35</f>
        <v>0</v>
      </c>
    </row>
    <row r="76" spans="1:27">
      <c r="A76" s="481" t="s">
        <v>9</v>
      </c>
      <c r="B76" s="455">
        <f t="shared" si="23"/>
        <v>1356159.95734956</v>
      </c>
      <c r="C76" s="455"/>
      <c r="D76" s="870">
        <f t="shared" si="24"/>
        <v>347415.63738490583</v>
      </c>
      <c r="E76"/>
      <c r="F76" s="870">
        <f t="shared" si="25"/>
        <v>1008744.3199646542</v>
      </c>
      <c r="G76" s="455">
        <f t="shared" si="26"/>
        <v>18310.732820708319</v>
      </c>
      <c r="H76" s="455">
        <f t="shared" si="27"/>
        <v>13585.172202792075</v>
      </c>
      <c r="K76" s="455">
        <f t="shared" si="19"/>
        <v>114.06696561586227</v>
      </c>
      <c r="L76" s="482">
        <f t="shared" si="20"/>
        <v>105.7611186049985</v>
      </c>
      <c r="M76" s="455">
        <f>O76*(X76+Z76+V76+AA76)/5</f>
        <v>109.08345740934401</v>
      </c>
      <c r="O76" s="955">
        <f t="shared" si="22"/>
        <v>2.768615670287919</v>
      </c>
      <c r="P76"/>
      <c r="Q76" s="483" t="s">
        <v>5</v>
      </c>
      <c r="R76" s="528">
        <v>53</v>
      </c>
      <c r="S76" s="529">
        <v>81</v>
      </c>
      <c r="T76" s="529">
        <v>54</v>
      </c>
      <c r="U76" s="1036">
        <v>63.666666666666671</v>
      </c>
      <c r="V76" s="529">
        <v>71</v>
      </c>
      <c r="W76" s="1036">
        <v>68.666666666666671</v>
      </c>
      <c r="X76" s="528">
        <v>66</v>
      </c>
      <c r="Y76" s="1295">
        <v>78.666666666666657</v>
      </c>
      <c r="Z76" s="1654">
        <v>60</v>
      </c>
      <c r="AA76" s="528">
        <f>3*'What If Data'!O36</f>
        <v>0</v>
      </c>
    </row>
    <row r="77" spans="1:27">
      <c r="A77" s="483" t="s">
        <v>5</v>
      </c>
      <c r="B77" s="463">
        <f t="shared" si="23"/>
        <v>1043824.2191348769</v>
      </c>
      <c r="C77" s="463"/>
      <c r="D77" s="871">
        <f t="shared" si="24"/>
        <v>298900.43100112613</v>
      </c>
      <c r="E77"/>
      <c r="F77" s="871">
        <f t="shared" si="25"/>
        <v>744923.78813375067</v>
      </c>
      <c r="G77" s="463">
        <f t="shared" si="26"/>
        <v>18020.524377077541</v>
      </c>
      <c r="H77" s="463">
        <f t="shared" si="27"/>
        <v>16848.396896873128</v>
      </c>
      <c r="K77" s="454"/>
      <c r="L77" s="482"/>
      <c r="M77" s="454"/>
      <c r="O77" s="997"/>
      <c r="P77"/>
      <c r="Q77" s="481"/>
      <c r="R77" s="525"/>
      <c r="S77" s="452"/>
      <c r="T77" s="452"/>
      <c r="U77" s="452"/>
      <c r="V77" s="452"/>
      <c r="W77" s="452"/>
      <c r="X77" s="452"/>
      <c r="Y77" s="452"/>
      <c r="Z77" s="452"/>
      <c r="AA77" s="452"/>
    </row>
    <row r="78" spans="1:27">
      <c r="A78" s="481"/>
      <c r="B78" s="454"/>
      <c r="C78" s="454"/>
      <c r="D78" s="870"/>
      <c r="E78"/>
      <c r="F78" s="870"/>
      <c r="G78" s="870"/>
      <c r="H78" s="870"/>
      <c r="K78" s="455">
        <f>O78*(R78+S78+T78)/5</f>
        <v>0</v>
      </c>
      <c r="L78" s="482"/>
      <c r="M78" s="455">
        <f>O78*(S78+T78+U78)/5</f>
        <v>0</v>
      </c>
      <c r="O78" s="997"/>
      <c r="P78"/>
      <c r="Q78" s="481" t="s">
        <v>541</v>
      </c>
      <c r="R78" s="528"/>
      <c r="S78" s="528"/>
      <c r="T78" s="528"/>
      <c r="U78" s="452"/>
      <c r="V78" s="452"/>
      <c r="W78" s="452"/>
      <c r="X78" s="452"/>
      <c r="Y78" s="452"/>
      <c r="Z78" s="452"/>
      <c r="AA78" s="452"/>
    </row>
    <row r="79" spans="1:27">
      <c r="A79" s="481" t="s">
        <v>541</v>
      </c>
      <c r="B79" s="455"/>
      <c r="C79" s="455"/>
      <c r="D79" s="870"/>
      <c r="E79"/>
      <c r="F79" s="870"/>
      <c r="G79" s="870"/>
      <c r="H79" s="870"/>
      <c r="K79" s="455">
        <f>O79*(R79+S79+T79)/5</f>
        <v>0</v>
      </c>
      <c r="L79" s="482"/>
      <c r="M79" s="455">
        <f>O79*(S79+T79+U79)/5</f>
        <v>0</v>
      </c>
      <c r="O79" s="997"/>
      <c r="P79"/>
      <c r="Q79" s="481" t="s">
        <v>563</v>
      </c>
      <c r="R79" s="525"/>
      <c r="S79" s="452"/>
      <c r="T79" s="452"/>
      <c r="U79" s="452"/>
      <c r="V79" s="452"/>
      <c r="W79" s="452"/>
      <c r="X79" s="452"/>
      <c r="Y79" s="452"/>
      <c r="Z79" s="452"/>
      <c r="AA79" s="452"/>
    </row>
    <row r="80" spans="1:27">
      <c r="A80" s="481" t="s">
        <v>563</v>
      </c>
      <c r="B80" s="454"/>
      <c r="C80" s="454"/>
      <c r="D80" s="870"/>
      <c r="E80"/>
      <c r="F80" s="870"/>
      <c r="G80" s="870"/>
      <c r="H80" s="870"/>
      <c r="K80" s="455">
        <f>O80*(R80+S80+T80)/5</f>
        <v>0</v>
      </c>
      <c r="L80" s="482"/>
      <c r="M80" s="455">
        <f>O80*(S80+T80+U80)/5</f>
        <v>0</v>
      </c>
      <c r="O80" s="997"/>
      <c r="P80"/>
      <c r="Q80" s="483" t="s">
        <v>543</v>
      </c>
      <c r="R80" s="525"/>
      <c r="S80" s="452"/>
      <c r="T80" s="452"/>
      <c r="U80" s="452"/>
      <c r="V80" s="452"/>
      <c r="W80" s="452"/>
      <c r="X80" s="452"/>
      <c r="Y80" s="452"/>
      <c r="Z80" s="452"/>
      <c r="AA80" s="452"/>
    </row>
    <row r="81" spans="1:27">
      <c r="A81" s="483" t="s">
        <v>543</v>
      </c>
      <c r="B81" s="463"/>
      <c r="C81" s="463"/>
      <c r="D81" s="871"/>
      <c r="E81"/>
      <c r="F81" s="871"/>
      <c r="G81" s="871"/>
      <c r="H81" s="871"/>
      <c r="K81" s="455">
        <f>O81*(R81+S81+T81)/5</f>
        <v>0</v>
      </c>
      <c r="L81" s="482"/>
      <c r="M81" s="455">
        <f>O81*(S81+T81+U81)/5</f>
        <v>0</v>
      </c>
      <c r="O81" s="997"/>
      <c r="P81"/>
      <c r="Q81" s="481" t="s">
        <v>562</v>
      </c>
      <c r="R81" s="525"/>
      <c r="S81" s="452"/>
      <c r="T81" s="452"/>
      <c r="U81" s="452"/>
      <c r="V81" s="452"/>
      <c r="W81" s="452"/>
      <c r="X81" s="452"/>
      <c r="Y81" s="452"/>
      <c r="Z81" s="452"/>
      <c r="AA81" s="452"/>
    </row>
    <row r="82" spans="1:27">
      <c r="A82" s="481" t="s">
        <v>562</v>
      </c>
      <c r="B82" s="455"/>
      <c r="C82" s="455"/>
      <c r="D82" s="870"/>
      <c r="E82"/>
      <c r="F82" s="870"/>
      <c r="G82" s="870"/>
      <c r="H82" s="870"/>
      <c r="K82" s="455">
        <f>O82*(R82+S82+T82)/5</f>
        <v>0</v>
      </c>
      <c r="L82" s="482"/>
      <c r="M82" s="455">
        <f>O82*(S82+T82+U82)/5</f>
        <v>0</v>
      </c>
      <c r="O82" s="997"/>
      <c r="P82"/>
      <c r="Q82" s="547" t="s">
        <v>545</v>
      </c>
      <c r="R82" s="525"/>
      <c r="S82" s="452"/>
      <c r="T82" s="452"/>
      <c r="U82" s="452"/>
      <c r="V82" s="452"/>
      <c r="W82" s="452"/>
      <c r="X82" s="452"/>
      <c r="Y82" s="452"/>
      <c r="Z82" s="452"/>
      <c r="AA82" s="452"/>
    </row>
    <row r="83" spans="1:27">
      <c r="A83" s="487" t="s">
        <v>545</v>
      </c>
      <c r="B83" s="455"/>
      <c r="C83" s="455"/>
      <c r="D83" s="870"/>
      <c r="E83"/>
      <c r="F83" s="870"/>
      <c r="G83" s="870"/>
      <c r="H83" s="870"/>
      <c r="K83" s="467">
        <f>SUM(K65:K82)</f>
        <v>254.66450242676291</v>
      </c>
      <c r="L83" s="467">
        <f>SUM(L65:L82)</f>
        <v>268.01008348533156</v>
      </c>
      <c r="M83" s="467">
        <f>SUM(M65:M82)</f>
        <v>281.34605202861997</v>
      </c>
      <c r="O83" s="997"/>
      <c r="P83"/>
      <c r="Q83" s="532"/>
      <c r="R83" s="551">
        <f t="shared" ref="R83:W83" si="28">SUM(R65:R82)</f>
        <v>119</v>
      </c>
      <c r="S83" s="551">
        <f t="shared" si="28"/>
        <v>150</v>
      </c>
      <c r="T83" s="551">
        <f t="shared" si="28"/>
        <v>165</v>
      </c>
      <c r="U83" s="551">
        <f t="shared" si="28"/>
        <v>205.33333333333331</v>
      </c>
      <c r="V83" s="551">
        <f t="shared" si="28"/>
        <v>188</v>
      </c>
      <c r="W83" s="551">
        <f t="shared" si="28"/>
        <v>225.33333333333331</v>
      </c>
      <c r="X83" s="551">
        <f>SUM(X65:X82)</f>
        <v>179</v>
      </c>
      <c r="Y83" s="551">
        <f>SUM(Y65:Y82)</f>
        <v>214.66666666666666</v>
      </c>
      <c r="Z83" s="551">
        <f>SUM(Z65:Z82)</f>
        <v>192</v>
      </c>
      <c r="AA83" s="1248"/>
    </row>
    <row r="84" spans="1:27">
      <c r="A84" s="488"/>
      <c r="B84" s="467">
        <f>SUM(B66:B83)</f>
        <v>19500520.667683654</v>
      </c>
      <c r="C84" s="467"/>
      <c r="D84" s="467">
        <f>SUM(D66:D83)</f>
        <v>4295802.7513979133</v>
      </c>
      <c r="E84"/>
      <c r="F84" s="467">
        <f>SUM(F66:F83)</f>
        <v>15204717.916285738</v>
      </c>
      <c r="G84" s="1172"/>
      <c r="H84" s="1172"/>
      <c r="O84" s="996"/>
      <c r="P84"/>
    </row>
    <row r="85" spans="1:27">
      <c r="E85"/>
      <c r="O85" s="996"/>
      <c r="P85"/>
    </row>
    <row r="86" spans="1:27">
      <c r="E86"/>
      <c r="K86" s="476" t="s">
        <v>597</v>
      </c>
      <c r="L86" s="476"/>
      <c r="M86" s="476"/>
      <c r="O86" s="996"/>
      <c r="P86"/>
      <c r="Q86" s="1528" t="s">
        <v>552</v>
      </c>
      <c r="R86" s="1147"/>
      <c r="S86" s="1147"/>
      <c r="T86" s="1147"/>
      <c r="U86" s="1147"/>
      <c r="V86" s="1147"/>
      <c r="W86" s="1147"/>
      <c r="X86" s="1147"/>
      <c r="Y86" s="1147"/>
      <c r="Z86" s="1147"/>
      <c r="AA86" s="1147"/>
    </row>
    <row r="87" spans="1:27" ht="38.25">
      <c r="A87" s="478" t="s">
        <v>1050</v>
      </c>
      <c r="B87" s="217"/>
      <c r="C87" s="217"/>
      <c r="D87" s="217"/>
      <c r="E87"/>
      <c r="K87" s="480" t="s">
        <v>863</v>
      </c>
      <c r="L87" s="480" t="s">
        <v>898</v>
      </c>
      <c r="M87" s="480" t="s">
        <v>1305</v>
      </c>
      <c r="O87" s="996"/>
      <c r="Q87" s="454"/>
      <c r="R87" s="453" t="s">
        <v>532</v>
      </c>
      <c r="S87" s="453" t="s">
        <v>533</v>
      </c>
      <c r="T87" s="453" t="s">
        <v>534</v>
      </c>
      <c r="U87" s="453" t="s">
        <v>555</v>
      </c>
      <c r="V87" s="453" t="s">
        <v>874</v>
      </c>
      <c r="W87" s="453" t="s">
        <v>883</v>
      </c>
      <c r="X87" s="453" t="s">
        <v>1035</v>
      </c>
      <c r="Y87" s="453" t="s">
        <v>1346</v>
      </c>
      <c r="Z87" s="453" t="s">
        <v>1748</v>
      </c>
      <c r="AA87" s="453" t="s">
        <v>1257</v>
      </c>
    </row>
    <row r="88" spans="1:27">
      <c r="A88" s="479"/>
      <c r="B88" s="480" t="s">
        <v>1008</v>
      </c>
      <c r="C88" s="480"/>
      <c r="D88" s="480" t="s">
        <v>1052</v>
      </c>
      <c r="E88"/>
      <c r="K88" s="455">
        <f>O88*(T88+S88+V88)</f>
        <v>85284.641356677967</v>
      </c>
      <c r="L88" s="455">
        <f>O88*(V88+T88+X88)</f>
        <v>82519.523519835217</v>
      </c>
      <c r="M88" s="455">
        <f>O88*(X88+Z88+V88+AA88)</f>
        <v>80859.906891206992</v>
      </c>
      <c r="O88" s="955">
        <f>O65</f>
        <v>2.729632612875367</v>
      </c>
      <c r="P88"/>
      <c r="Q88" s="461" t="s">
        <v>538</v>
      </c>
      <c r="R88" s="455">
        <v>10140</v>
      </c>
      <c r="S88" s="455">
        <v>10529</v>
      </c>
      <c r="T88" s="455">
        <v>10242</v>
      </c>
      <c r="U88" s="1037">
        <v>10344.466824389705</v>
      </c>
      <c r="V88" s="455">
        <v>10473</v>
      </c>
      <c r="W88" s="1037">
        <v>9957.5079822274984</v>
      </c>
      <c r="X88" s="1145">
        <v>9516</v>
      </c>
      <c r="Y88" s="1281">
        <v>9577.705638680125</v>
      </c>
      <c r="Z88" s="1647">
        <v>9634</v>
      </c>
      <c r="AA88" s="1145">
        <f>3*'What If Data'!G25</f>
        <v>0</v>
      </c>
    </row>
    <row r="89" spans="1:27">
      <c r="A89" s="481" t="s">
        <v>538</v>
      </c>
      <c r="B89" s="455">
        <f>D17*0.4*I42/(0.4*I42+0.6*I17)</f>
        <v>1147450.2234593064</v>
      </c>
      <c r="C89" s="455"/>
      <c r="D89" s="870">
        <f>B89/((T88+V88+X88)/3)</f>
        <v>113.86823692163406</v>
      </c>
      <c r="E89"/>
      <c r="F89" s="475"/>
      <c r="K89" s="455">
        <f t="shared" ref="K89:K99" si="29">O89*(T89+S89+V89)</f>
        <v>25758.447675906078</v>
      </c>
      <c r="L89" s="455">
        <f t="shared" ref="L89:L99" si="30">O89*(V89+T89+X89)</f>
        <v>24261.121593068561</v>
      </c>
      <c r="M89" s="455">
        <f t="shared" ref="M89:M99" si="31">O89*(X89+Z89+V89+AA89)</f>
        <v>21049.638854394248</v>
      </c>
      <c r="O89" s="955">
        <f t="shared" ref="O89:O99" si="32">O66</f>
        <v>1.7073273464509895</v>
      </c>
      <c r="P89"/>
      <c r="Q89" s="461" t="s">
        <v>6</v>
      </c>
      <c r="R89" s="455">
        <v>4877</v>
      </c>
      <c r="S89" s="455">
        <v>5185</v>
      </c>
      <c r="T89" s="455">
        <v>4977</v>
      </c>
      <c r="U89" s="1037">
        <v>5514.528697405688</v>
      </c>
      <c r="V89" s="455">
        <v>4925</v>
      </c>
      <c r="W89" s="1037">
        <v>4302.5617085434405</v>
      </c>
      <c r="X89" s="1145">
        <v>4308</v>
      </c>
      <c r="Y89" s="1281">
        <v>2936.4891453844584</v>
      </c>
      <c r="Z89" s="1647">
        <v>3096</v>
      </c>
      <c r="AA89" s="1145">
        <f>3*'What If Data'!G26</f>
        <v>0</v>
      </c>
    </row>
    <row r="90" spans="1:27">
      <c r="A90" s="481" t="s">
        <v>6</v>
      </c>
      <c r="B90" s="455">
        <f t="shared" ref="B90:B100" si="33">D18*0.4*I43/(0.4*I43+0.6*I18)</f>
        <v>298706.90847702313</v>
      </c>
      <c r="C90" s="455"/>
      <c r="D90" s="870">
        <f t="shared" ref="D90:D100" si="34">B90/((T89+V89+X89)/3)</f>
        <v>63.062683000075253</v>
      </c>
      <c r="E90"/>
      <c r="K90" s="455">
        <f t="shared" si="29"/>
        <v>8780.5968126196949</v>
      </c>
      <c r="L90" s="455">
        <f t="shared" si="30"/>
        <v>7393.8026360629683</v>
      </c>
      <c r="M90" s="455">
        <f t="shared" si="31"/>
        <v>5358.8646548839406</v>
      </c>
      <c r="O90" s="955">
        <f t="shared" si="32"/>
        <v>1.4597833437439227</v>
      </c>
      <c r="P90"/>
      <c r="Q90" s="461" t="s">
        <v>8</v>
      </c>
      <c r="R90" s="455">
        <v>2278</v>
      </c>
      <c r="S90" s="455">
        <v>2154</v>
      </c>
      <c r="T90" s="455">
        <v>2527</v>
      </c>
      <c r="U90" s="1037">
        <v>2093.7092945609229</v>
      </c>
      <c r="V90" s="455">
        <v>1334</v>
      </c>
      <c r="W90" s="1037">
        <v>997.18775696334865</v>
      </c>
      <c r="X90" s="1145">
        <v>1204</v>
      </c>
      <c r="Y90" s="1281">
        <v>1146.438957568841</v>
      </c>
      <c r="Z90" s="1647">
        <v>1133</v>
      </c>
      <c r="AA90" s="1145">
        <f>3*'What If Data'!G27</f>
        <v>0</v>
      </c>
    </row>
    <row r="91" spans="1:27">
      <c r="A91" s="481" t="s">
        <v>8</v>
      </c>
      <c r="B91" s="455">
        <f t="shared" si="33"/>
        <v>76045.480166183872</v>
      </c>
      <c r="C91" s="455"/>
      <c r="D91" s="870">
        <f t="shared" si="34"/>
        <v>45.041745409388277</v>
      </c>
      <c r="E91"/>
      <c r="K91" s="455">
        <f t="shared" si="29"/>
        <v>26841.560247438647</v>
      </c>
      <c r="L91" s="455">
        <f t="shared" si="30"/>
        <v>26786.086849087904</v>
      </c>
      <c r="M91" s="455">
        <f t="shared" si="31"/>
        <v>26130.492141306408</v>
      </c>
      <c r="O91" s="955">
        <f t="shared" si="32"/>
        <v>2.5215181068519161</v>
      </c>
      <c r="P91"/>
      <c r="Q91" s="462" t="s">
        <v>2</v>
      </c>
      <c r="R91" s="463">
        <v>3439</v>
      </c>
      <c r="S91" s="463">
        <v>3557</v>
      </c>
      <c r="T91" s="463">
        <v>3487</v>
      </c>
      <c r="U91" s="1038">
        <v>3625.0142409058562</v>
      </c>
      <c r="V91" s="463">
        <v>3601</v>
      </c>
      <c r="W91" s="1038">
        <v>3744.4568584736589</v>
      </c>
      <c r="X91" s="1146">
        <v>3535</v>
      </c>
      <c r="Y91" s="1282">
        <v>3165.4521577961127</v>
      </c>
      <c r="Z91" s="1650">
        <v>3227</v>
      </c>
      <c r="AA91" s="1145">
        <f>3*'What If Data'!G28</f>
        <v>0</v>
      </c>
    </row>
    <row r="92" spans="1:27">
      <c r="A92" s="483" t="s">
        <v>2</v>
      </c>
      <c r="B92" s="463">
        <f t="shared" si="33"/>
        <v>370807.24180136534</v>
      </c>
      <c r="C92" s="463"/>
      <c r="D92" s="871">
        <f t="shared" si="34"/>
        <v>104.71822699840874</v>
      </c>
      <c r="E92"/>
      <c r="K92" s="455">
        <f t="shared" si="29"/>
        <v>146289.03900000002</v>
      </c>
      <c r="L92" s="455">
        <f t="shared" si="30"/>
        <v>146316.72900000002</v>
      </c>
      <c r="M92" s="455">
        <f t="shared" si="31"/>
        <v>148869.747</v>
      </c>
      <c r="O92" s="955">
        <f t="shared" si="32"/>
        <v>2.7690000000000001</v>
      </c>
      <c r="P92"/>
      <c r="Q92" s="461" t="s">
        <v>10</v>
      </c>
      <c r="R92" s="454">
        <v>17207</v>
      </c>
      <c r="S92" s="454">
        <v>17325</v>
      </c>
      <c r="T92" s="454">
        <v>17451</v>
      </c>
      <c r="U92" s="1037">
        <v>17845.995248567433</v>
      </c>
      <c r="V92" s="455">
        <v>18055</v>
      </c>
      <c r="W92" s="1037">
        <v>17853.472759230837</v>
      </c>
      <c r="X92" s="1145">
        <v>17335</v>
      </c>
      <c r="Y92" s="1281">
        <v>18732.760866336273</v>
      </c>
      <c r="Z92" s="1647">
        <v>18373</v>
      </c>
      <c r="AA92" s="1145">
        <f>3*'What If Data'!G29</f>
        <v>0</v>
      </c>
    </row>
    <row r="93" spans="1:27">
      <c r="A93" s="481" t="s">
        <v>10</v>
      </c>
      <c r="B93" s="454">
        <f t="shared" si="33"/>
        <v>2112550.3482376141</v>
      </c>
      <c r="C93" s="454"/>
      <c r="D93" s="870">
        <f t="shared" si="34"/>
        <v>119.93813600637463</v>
      </c>
      <c r="E93"/>
      <c r="K93" s="455">
        <f t="shared" si="29"/>
        <v>117236.03169507676</v>
      </c>
      <c r="L93" s="455">
        <f t="shared" si="30"/>
        <v>117301.52387040382</v>
      </c>
      <c r="M93" s="455">
        <f t="shared" si="31"/>
        <v>116067.24825847078</v>
      </c>
      <c r="O93" s="955">
        <f t="shared" si="32"/>
        <v>2.5189298202715129</v>
      </c>
      <c r="P93"/>
      <c r="Q93" s="461" t="s">
        <v>4</v>
      </c>
      <c r="R93" s="455">
        <v>14255</v>
      </c>
      <c r="S93" s="455">
        <v>15644</v>
      </c>
      <c r="T93" s="455">
        <v>15445</v>
      </c>
      <c r="U93" s="1037">
        <v>15448.223373752335</v>
      </c>
      <c r="V93" s="455">
        <v>15453</v>
      </c>
      <c r="W93" s="1037">
        <v>15623.43872284797</v>
      </c>
      <c r="X93" s="1145">
        <v>15670</v>
      </c>
      <c r="Y93" s="1281">
        <v>15133.345683130936</v>
      </c>
      <c r="Z93" s="1647">
        <v>14955</v>
      </c>
      <c r="AA93" s="1145">
        <f>3*'What If Data'!G30</f>
        <v>0</v>
      </c>
    </row>
    <row r="94" spans="1:27">
      <c r="A94" s="481" t="s">
        <v>4</v>
      </c>
      <c r="B94" s="455">
        <f t="shared" si="33"/>
        <v>1647063.3602098755</v>
      </c>
      <c r="C94" s="455"/>
      <c r="D94" s="870">
        <f t="shared" si="34"/>
        <v>106.10698506763499</v>
      </c>
      <c r="E94"/>
      <c r="K94" s="455">
        <f t="shared" si="29"/>
        <v>23134.768172599539</v>
      </c>
      <c r="L94" s="455">
        <f t="shared" si="30"/>
        <v>22201.614457524563</v>
      </c>
      <c r="M94" s="455">
        <f t="shared" si="31"/>
        <v>22007.539753249712</v>
      </c>
      <c r="O94" s="955">
        <f t="shared" si="32"/>
        <v>2.6585575928061984</v>
      </c>
      <c r="P94"/>
      <c r="Q94" s="461" t="s">
        <v>14</v>
      </c>
      <c r="R94" s="454">
        <v>3423</v>
      </c>
      <c r="S94" s="454">
        <v>3103</v>
      </c>
      <c r="T94" s="454">
        <v>2840</v>
      </c>
      <c r="U94" s="1037">
        <v>2673.0791819181709</v>
      </c>
      <c r="V94" s="455">
        <v>2759</v>
      </c>
      <c r="W94" s="1037">
        <v>2851.0643479076107</v>
      </c>
      <c r="X94" s="1145">
        <v>2752</v>
      </c>
      <c r="Y94" s="1281">
        <v>2810.1831119941248</v>
      </c>
      <c r="Z94" s="1647">
        <v>2767</v>
      </c>
      <c r="AA94" s="1145">
        <f>3*'What If Data'!G31</f>
        <v>0</v>
      </c>
    </row>
    <row r="95" spans="1:27">
      <c r="A95" s="481" t="s">
        <v>14</v>
      </c>
      <c r="B95" s="454">
        <f t="shared" si="33"/>
        <v>312300.09257408633</v>
      </c>
      <c r="C95" s="454"/>
      <c r="D95" s="870">
        <f t="shared" si="34"/>
        <v>112.19019012360903</v>
      </c>
      <c r="E95"/>
      <c r="K95" s="455">
        <f t="shared" si="29"/>
        <v>44401.031919413967</v>
      </c>
      <c r="L95" s="455">
        <f t="shared" si="30"/>
        <v>44966.478657017178</v>
      </c>
      <c r="M95" s="455">
        <f t="shared" si="31"/>
        <v>47317.328646686205</v>
      </c>
      <c r="O95" s="955">
        <f t="shared" si="32"/>
        <v>2.0712334710740294</v>
      </c>
      <c r="P95"/>
      <c r="Q95" s="462" t="s">
        <v>17</v>
      </c>
      <c r="R95" s="463">
        <v>6475</v>
      </c>
      <c r="S95" s="463">
        <v>6996</v>
      </c>
      <c r="T95" s="463">
        <v>7185</v>
      </c>
      <c r="U95" s="1038">
        <v>7356.4176796996189</v>
      </c>
      <c r="V95" s="463">
        <v>7256</v>
      </c>
      <c r="W95" s="1038">
        <v>7530.6869459943118</v>
      </c>
      <c r="X95" s="1146">
        <v>7269</v>
      </c>
      <c r="Y95" s="1282">
        <v>8223.5101264361238</v>
      </c>
      <c r="Z95" s="1650">
        <v>8320</v>
      </c>
      <c r="AA95" s="1145">
        <f>3*'What If Data'!G32</f>
        <v>0</v>
      </c>
    </row>
    <row r="96" spans="1:27">
      <c r="A96" s="483" t="s">
        <v>17</v>
      </c>
      <c r="B96" s="463">
        <f t="shared" si="33"/>
        <v>671461.06663451623</v>
      </c>
      <c r="C96" s="463"/>
      <c r="D96" s="871">
        <f t="shared" si="34"/>
        <v>92.78596038247575</v>
      </c>
      <c r="E96"/>
      <c r="K96" s="455">
        <f>O96*(T96+S96+V96)</f>
        <v>103078.79400000001</v>
      </c>
      <c r="L96" s="455">
        <f>O96*(V96+T96+X96)</f>
        <v>100927.281</v>
      </c>
      <c r="M96" s="455">
        <f t="shared" si="31"/>
        <v>102447.462</v>
      </c>
      <c r="O96" s="955">
        <f t="shared" si="32"/>
        <v>2.7690000000000001</v>
      </c>
      <c r="P96"/>
      <c r="Q96" s="461" t="s">
        <v>324</v>
      </c>
      <c r="R96" s="454">
        <v>12462</v>
      </c>
      <c r="S96" s="454">
        <v>12570</v>
      </c>
      <c r="T96" s="454">
        <v>12503</v>
      </c>
      <c r="U96" s="1037">
        <v>12058.023910455411</v>
      </c>
      <c r="V96" s="455">
        <v>12153</v>
      </c>
      <c r="W96" s="1037">
        <v>11863.76035178995</v>
      </c>
      <c r="X96" s="1145">
        <v>11793</v>
      </c>
      <c r="Y96" s="1281">
        <v>12964.963628471911</v>
      </c>
      <c r="Z96" s="1647">
        <v>13052</v>
      </c>
      <c r="AA96" s="1145">
        <f>3*'What If Data'!G33</f>
        <v>0</v>
      </c>
    </row>
    <row r="97" spans="1:27">
      <c r="A97" s="481" t="s">
        <v>324</v>
      </c>
      <c r="B97" s="454">
        <f t="shared" si="33"/>
        <v>1453790.4838661393</v>
      </c>
      <c r="C97" s="454"/>
      <c r="D97" s="870">
        <f t="shared" si="34"/>
        <v>119.65682053275586</v>
      </c>
      <c r="E97"/>
      <c r="K97" s="455">
        <f t="shared" si="29"/>
        <v>235467.83034185335</v>
      </c>
      <c r="L97" s="455">
        <f t="shared" si="30"/>
        <v>257030.40211685799</v>
      </c>
      <c r="M97" s="455">
        <f>O97*(X97+Z97+V97+AA97)</f>
        <v>263638.41201268428</v>
      </c>
      <c r="O97" s="955">
        <f t="shared" si="32"/>
        <v>2.5832720468437356</v>
      </c>
      <c r="P97"/>
      <c r="Q97" s="461" t="s">
        <v>7</v>
      </c>
      <c r="R97" s="455">
        <v>25998</v>
      </c>
      <c r="S97" s="455">
        <v>26492</v>
      </c>
      <c r="T97" s="455">
        <v>30508</v>
      </c>
      <c r="U97" s="1037">
        <v>34612.534601942141</v>
      </c>
      <c r="V97" s="455">
        <v>34151</v>
      </c>
      <c r="W97" s="1037">
        <v>36510.307645246452</v>
      </c>
      <c r="X97" s="1145">
        <v>34839</v>
      </c>
      <c r="Y97" s="1281">
        <v>32805.068225020994</v>
      </c>
      <c r="Z97" s="1647">
        <v>33066</v>
      </c>
      <c r="AA97" s="1145">
        <f>3*'What If Data'!G34</f>
        <v>0</v>
      </c>
    </row>
    <row r="98" spans="1:27">
      <c r="A98" s="481" t="s">
        <v>7</v>
      </c>
      <c r="B98" s="455">
        <f t="shared" si="33"/>
        <v>3741186.0390023212</v>
      </c>
      <c r="C98" s="455"/>
      <c r="D98" s="870">
        <f t="shared" si="34"/>
        <v>112.80184643919439</v>
      </c>
      <c r="E98"/>
      <c r="K98" s="455">
        <f t="shared" si="29"/>
        <v>41616.13459969539</v>
      </c>
      <c r="L98" s="455">
        <f t="shared" si="30"/>
        <v>43125.227346685737</v>
      </c>
      <c r="M98" s="455">
        <f t="shared" si="31"/>
        <v>46864.473428355617</v>
      </c>
      <c r="O98" s="955">
        <f t="shared" si="32"/>
        <v>2.2323857203999244</v>
      </c>
      <c r="P98"/>
      <c r="Q98" s="461" t="s">
        <v>539</v>
      </c>
      <c r="R98" s="455">
        <v>5241</v>
      </c>
      <c r="S98" s="455">
        <v>6119</v>
      </c>
      <c r="T98" s="455">
        <v>6495</v>
      </c>
      <c r="U98" s="1037">
        <v>5986.8195435853067</v>
      </c>
      <c r="V98" s="455">
        <v>6028</v>
      </c>
      <c r="W98" s="1037">
        <v>6869.5655994026465</v>
      </c>
      <c r="X98" s="1145">
        <v>6795</v>
      </c>
      <c r="Y98" s="1281">
        <v>8051.6555012720246</v>
      </c>
      <c r="Z98" s="1647">
        <v>8170</v>
      </c>
      <c r="AA98" s="1145">
        <f>3*'What If Data'!G35</f>
        <v>0</v>
      </c>
    </row>
    <row r="99" spans="1:27">
      <c r="A99" s="481" t="s">
        <v>9</v>
      </c>
      <c r="B99" s="455">
        <f t="shared" si="33"/>
        <v>665034.78145257453</v>
      </c>
      <c r="C99" s="455"/>
      <c r="D99" s="870">
        <f t="shared" si="34"/>
        <v>103.27696160874437</v>
      </c>
      <c r="E99"/>
      <c r="K99" s="455">
        <f t="shared" si="29"/>
        <v>39524.757309030334</v>
      </c>
      <c r="L99" s="455">
        <f t="shared" si="30"/>
        <v>36063.98772117043</v>
      </c>
      <c r="M99" s="455">
        <f t="shared" si="31"/>
        <v>35513.033202783139</v>
      </c>
      <c r="O99" s="955">
        <f t="shared" si="32"/>
        <v>2.768615670287919</v>
      </c>
      <c r="P99"/>
      <c r="Q99" s="462" t="s">
        <v>540</v>
      </c>
      <c r="R99" s="463">
        <v>5184</v>
      </c>
      <c r="S99" s="463">
        <v>5422</v>
      </c>
      <c r="T99" s="463">
        <v>4487</v>
      </c>
      <c r="U99" s="1038">
        <v>4581.7386609035511</v>
      </c>
      <c r="V99" s="463">
        <v>4367</v>
      </c>
      <c r="W99" s="1038">
        <v>4079.726626950323</v>
      </c>
      <c r="X99" s="1146">
        <v>4172</v>
      </c>
      <c r="Y99" s="1282">
        <v>4276.2032667534631</v>
      </c>
      <c r="Z99" s="1650">
        <v>4288</v>
      </c>
      <c r="AA99" s="1145">
        <f>3*'What If Data'!G36</f>
        <v>0</v>
      </c>
    </row>
    <row r="100" spans="1:27">
      <c r="A100" s="483" t="s">
        <v>5</v>
      </c>
      <c r="B100" s="463">
        <f t="shared" si="33"/>
        <v>503951.0859080957</v>
      </c>
      <c r="C100" s="463"/>
      <c r="D100" s="871">
        <f t="shared" si="34"/>
        <v>116.06427588855267</v>
      </c>
      <c r="E100"/>
      <c r="K100" s="454"/>
      <c r="L100" s="536"/>
      <c r="M100" s="454"/>
      <c r="O100" s="997"/>
      <c r="P100"/>
      <c r="Q100" s="461"/>
      <c r="R100" s="454"/>
      <c r="S100" s="454"/>
      <c r="T100" s="454"/>
      <c r="U100" s="1037"/>
      <c r="V100" s="454"/>
      <c r="W100" s="1037"/>
      <c r="X100" s="1037"/>
      <c r="Y100" s="1037"/>
      <c r="Z100" s="1037"/>
      <c r="AA100" s="1037"/>
    </row>
    <row r="101" spans="1:27">
      <c r="A101" s="481"/>
      <c r="B101" s="454"/>
      <c r="C101" s="454"/>
      <c r="D101" s="870"/>
      <c r="E101"/>
      <c r="K101" s="455">
        <f>O101*(R101+S101+T101)</f>
        <v>0</v>
      </c>
      <c r="L101" s="455">
        <f>O101*(V101+T101+X101)</f>
        <v>0</v>
      </c>
      <c r="M101" s="455">
        <f>O101*(S101+T101+U101)</f>
        <v>0</v>
      </c>
      <c r="O101" s="997"/>
      <c r="P101"/>
      <c r="Q101" s="461" t="s">
        <v>541</v>
      </c>
      <c r="R101" s="454"/>
      <c r="S101" s="454"/>
      <c r="T101" s="454"/>
      <c r="U101" s="1037">
        <v>0</v>
      </c>
      <c r="V101" s="454">
        <v>0</v>
      </c>
      <c r="W101" s="1037">
        <v>0</v>
      </c>
      <c r="X101" s="1037">
        <v>0</v>
      </c>
      <c r="Y101" s="1037">
        <v>0</v>
      </c>
      <c r="Z101" s="1037"/>
      <c r="AA101" s="1037"/>
    </row>
    <row r="102" spans="1:27">
      <c r="A102" s="481" t="s">
        <v>541</v>
      </c>
      <c r="B102" s="455">
        <v>0</v>
      </c>
      <c r="C102" s="455"/>
      <c r="D102" s="870">
        <v>0</v>
      </c>
      <c r="E102"/>
      <c r="K102" s="455">
        <f>O102*(R102+S102+T102)</f>
        <v>0</v>
      </c>
      <c r="L102" s="455">
        <f>O102*(V102+T102+X102)</f>
        <v>0</v>
      </c>
      <c r="M102" s="455">
        <f>O102*(S102+T102+U102)</f>
        <v>0</v>
      </c>
      <c r="O102" s="997"/>
      <c r="P102"/>
      <c r="Q102" s="461" t="s">
        <v>542</v>
      </c>
      <c r="R102" s="454">
        <v>0</v>
      </c>
      <c r="S102" s="454">
        <v>0</v>
      </c>
      <c r="T102" s="454">
        <v>0</v>
      </c>
      <c r="U102" s="1037">
        <v>0</v>
      </c>
      <c r="V102" s="454">
        <v>0</v>
      </c>
      <c r="W102" s="1037">
        <v>0</v>
      </c>
      <c r="X102" s="1037">
        <v>0</v>
      </c>
      <c r="Y102" s="1037">
        <v>0</v>
      </c>
      <c r="Z102" s="1037"/>
      <c r="AA102" s="1037"/>
    </row>
    <row r="103" spans="1:27">
      <c r="A103" s="481" t="s">
        <v>563</v>
      </c>
      <c r="B103" s="454">
        <v>0</v>
      </c>
      <c r="C103" s="454"/>
      <c r="D103" s="870">
        <v>0</v>
      </c>
      <c r="E103"/>
      <c r="K103" s="455">
        <f>O103*(R103+S103+T103)</f>
        <v>0</v>
      </c>
      <c r="L103" s="455">
        <f>O103*(V103+T103+X103)</f>
        <v>0</v>
      </c>
      <c r="M103" s="455">
        <f>O103*(S103+T103+U103)</f>
        <v>0</v>
      </c>
      <c r="O103" s="997"/>
      <c r="P103"/>
      <c r="Q103" s="462" t="s">
        <v>543</v>
      </c>
      <c r="R103" s="464"/>
      <c r="S103" s="464"/>
      <c r="T103" s="464"/>
      <c r="U103" s="1038">
        <v>0</v>
      </c>
      <c r="V103" s="464">
        <v>0</v>
      </c>
      <c r="W103" s="1038">
        <v>0</v>
      </c>
      <c r="X103" s="1038">
        <v>0</v>
      </c>
      <c r="Y103" s="1038">
        <v>0</v>
      </c>
      <c r="Z103" s="1038"/>
      <c r="AA103" s="1038"/>
    </row>
    <row r="104" spans="1:27">
      <c r="A104" s="483" t="s">
        <v>543</v>
      </c>
      <c r="B104" s="463">
        <v>0</v>
      </c>
      <c r="C104" s="463"/>
      <c r="D104" s="871">
        <v>0</v>
      </c>
      <c r="E104"/>
      <c r="K104" s="455">
        <f>O104*(R104+S104+T104)</f>
        <v>0</v>
      </c>
      <c r="L104" s="455">
        <f>O104*(V104+T104+X104)</f>
        <v>0</v>
      </c>
      <c r="M104" s="455">
        <f>O104*(S104+T104+U104)</f>
        <v>0</v>
      </c>
      <c r="O104" s="997"/>
      <c r="P104"/>
      <c r="Q104" s="461" t="s">
        <v>544</v>
      </c>
      <c r="R104" s="454"/>
      <c r="S104" s="454"/>
      <c r="T104" s="454"/>
      <c r="U104" s="1037">
        <v>0</v>
      </c>
      <c r="V104" s="454">
        <v>0</v>
      </c>
      <c r="W104" s="1037">
        <v>0</v>
      </c>
      <c r="X104" s="1037">
        <v>0</v>
      </c>
      <c r="Y104" s="1037">
        <v>0</v>
      </c>
      <c r="Z104" s="1037"/>
      <c r="AA104" s="1037"/>
    </row>
    <row r="105" spans="1:27">
      <c r="A105" s="481" t="s">
        <v>562</v>
      </c>
      <c r="B105" s="455">
        <v>0</v>
      </c>
      <c r="C105" s="455"/>
      <c r="D105" s="870">
        <v>0</v>
      </c>
      <c r="E105"/>
      <c r="K105" s="455">
        <f>O105*(R105+S105+T105)</f>
        <v>0</v>
      </c>
      <c r="L105" s="455">
        <f>O105*(V105+T105+X105)</f>
        <v>0</v>
      </c>
      <c r="M105" s="455">
        <f>O105*(S105+T105+U105)</f>
        <v>0</v>
      </c>
      <c r="O105" s="997"/>
      <c r="P105"/>
      <c r="Q105" s="465" t="s">
        <v>545</v>
      </c>
      <c r="R105" s="454"/>
      <c r="S105" s="454"/>
      <c r="T105" s="454"/>
      <c r="U105" s="1037">
        <v>0</v>
      </c>
      <c r="V105" s="454">
        <v>0</v>
      </c>
      <c r="W105" s="1037">
        <v>0</v>
      </c>
      <c r="X105" s="1037">
        <v>0</v>
      </c>
      <c r="Y105" s="1037">
        <v>0</v>
      </c>
      <c r="Z105" s="1037"/>
      <c r="AA105" s="1037"/>
    </row>
    <row r="106" spans="1:27">
      <c r="A106" s="487" t="s">
        <v>545</v>
      </c>
      <c r="B106" s="455">
        <v>0</v>
      </c>
      <c r="C106" s="455"/>
      <c r="D106" s="870">
        <v>0</v>
      </c>
      <c r="E106"/>
      <c r="K106" s="467">
        <f>SUM(K88:K105)</f>
        <v>897413.63313031173</v>
      </c>
      <c r="L106" s="467">
        <f>SUM(L88:L105)</f>
        <v>908893.77876771439</v>
      </c>
      <c r="M106" s="467">
        <f>SUM(M88:M105)</f>
        <v>916124.14684402139</v>
      </c>
      <c r="O106" s="956"/>
      <c r="P106"/>
      <c r="Q106" s="466" t="s">
        <v>183</v>
      </c>
      <c r="R106" s="467">
        <f t="shared" ref="R106:W106" si="35">SUM(R88:R105)</f>
        <v>110979</v>
      </c>
      <c r="S106" s="467">
        <f t="shared" si="35"/>
        <v>115096</v>
      </c>
      <c r="T106" s="467">
        <f t="shared" si="35"/>
        <v>118147</v>
      </c>
      <c r="U106" s="467">
        <f t="shared" si="35"/>
        <v>122140.55125808614</v>
      </c>
      <c r="V106" s="467">
        <f t="shared" si="35"/>
        <v>120555</v>
      </c>
      <c r="W106" s="467">
        <f t="shared" si="35"/>
        <v>122183.73730557805</v>
      </c>
      <c r="X106" s="467">
        <f>SUM(X88:X105)</f>
        <v>119188</v>
      </c>
      <c r="Y106" s="1021">
        <f>SUM(Y88:Y105)</f>
        <v>119823.77630884539</v>
      </c>
      <c r="Z106" s="467">
        <f>SUM(Z88:Z105)</f>
        <v>120081</v>
      </c>
      <c r="AA106" s="458"/>
    </row>
    <row r="107" spans="1:27">
      <c r="A107" s="488"/>
      <c r="B107" s="467">
        <f>SUM(B89:B106)</f>
        <v>13000347.111789102</v>
      </c>
      <c r="C107" s="458"/>
      <c r="D107" s="870">
        <v>0</v>
      </c>
      <c r="E107"/>
      <c r="P107"/>
    </row>
    <row r="108" spans="1:27">
      <c r="E108"/>
      <c r="P108"/>
      <c r="R108" s="475">
        <f>R106+S106+T106</f>
        <v>344222</v>
      </c>
    </row>
    <row r="109" spans="1:27">
      <c r="E109"/>
      <c r="P109"/>
    </row>
    <row r="110" spans="1:27">
      <c r="E110"/>
      <c r="P110"/>
    </row>
    <row r="111" spans="1:27">
      <c r="E111"/>
      <c r="P111"/>
    </row>
    <row r="112" spans="1:27">
      <c r="E112"/>
      <c r="P112"/>
    </row>
    <row r="113" spans="1:5">
      <c r="A113" s="220"/>
      <c r="B113" s="542" t="s">
        <v>752</v>
      </c>
      <c r="C113" s="542" t="s">
        <v>583</v>
      </c>
      <c r="E113"/>
    </row>
    <row r="114" spans="1:5">
      <c r="A114" s="481" t="s">
        <v>538</v>
      </c>
      <c r="B114" s="543">
        <f>I17</f>
        <v>9.4833873797776802E-2</v>
      </c>
      <c r="C114" s="490">
        <f t="shared" ref="C114:C125" si="36">I42</f>
        <v>8.8263045101216117E-2</v>
      </c>
      <c r="E114"/>
    </row>
    <row r="115" spans="1:5">
      <c r="A115" s="481" t="s">
        <v>6</v>
      </c>
      <c r="B115" s="543">
        <f t="shared" ref="B115:B125" si="37">I18</f>
        <v>5.7250583117219998E-2</v>
      </c>
      <c r="C115" s="490">
        <f t="shared" si="36"/>
        <v>2.2976840995741318E-2</v>
      </c>
      <c r="E115"/>
    </row>
    <row r="116" spans="1:5">
      <c r="A116" s="481" t="s">
        <v>8</v>
      </c>
      <c r="B116" s="543">
        <f t="shared" si="37"/>
        <v>5.4455692734227824E-2</v>
      </c>
      <c r="C116" s="490">
        <f t="shared" si="36"/>
        <v>5.8494961336242749E-3</v>
      </c>
      <c r="E116"/>
    </row>
    <row r="117" spans="1:5">
      <c r="A117" s="483" t="s">
        <v>2</v>
      </c>
      <c r="B117" s="543">
        <f t="shared" si="37"/>
        <v>5.1097055678951765E-2</v>
      </c>
      <c r="C117" s="490">
        <f t="shared" si="36"/>
        <v>2.85228723981613E-2</v>
      </c>
      <c r="E117"/>
    </row>
    <row r="118" spans="1:5">
      <c r="A118" s="481" t="s">
        <v>10</v>
      </c>
      <c r="B118" s="543">
        <f t="shared" si="37"/>
        <v>7.8050046147617402E-2</v>
      </c>
      <c r="C118" s="490">
        <f t="shared" si="36"/>
        <v>0.16249953405643225</v>
      </c>
      <c r="E118"/>
    </row>
    <row r="119" spans="1:5">
      <c r="A119" s="481" t="s">
        <v>4</v>
      </c>
      <c r="B119" s="543">
        <f t="shared" si="37"/>
        <v>8.7183926762135183E-2</v>
      </c>
      <c r="C119" s="490">
        <f t="shared" si="36"/>
        <v>0.12669379871528733</v>
      </c>
      <c r="E119"/>
    </row>
    <row r="120" spans="1:5">
      <c r="A120" s="481" t="s">
        <v>14</v>
      </c>
      <c r="B120" s="543">
        <f t="shared" si="37"/>
        <v>1.576996724581262E-2</v>
      </c>
      <c r="C120" s="490">
        <f t="shared" si="36"/>
        <v>2.40224426231576E-2</v>
      </c>
      <c r="E120"/>
    </row>
    <row r="121" spans="1:5">
      <c r="A121" s="483" t="s">
        <v>17</v>
      </c>
      <c r="B121" s="543">
        <f t="shared" si="37"/>
        <v>6.8428328877081876E-2</v>
      </c>
      <c r="C121" s="490">
        <f t="shared" si="36"/>
        <v>5.1649472191832115E-2</v>
      </c>
      <c r="E121"/>
    </row>
    <row r="122" spans="1:5">
      <c r="A122" s="481" t="s">
        <v>324</v>
      </c>
      <c r="B122" s="543">
        <f t="shared" si="37"/>
        <v>4.9542720688346545E-2</v>
      </c>
      <c r="C122" s="490">
        <f t="shared" si="36"/>
        <v>0.11182705133679074</v>
      </c>
      <c r="E122"/>
    </row>
    <row r="123" spans="1:5">
      <c r="A123" s="481" t="s">
        <v>7</v>
      </c>
      <c r="B123" s="543">
        <f t="shared" si="37"/>
        <v>0.32031497949229226</v>
      </c>
      <c r="C123" s="490">
        <f t="shared" si="36"/>
        <v>0.28777585758534879</v>
      </c>
      <c r="E123"/>
    </row>
    <row r="124" spans="1:5">
      <c r="A124" s="481" t="s">
        <v>9</v>
      </c>
      <c r="B124" s="543">
        <f t="shared" si="37"/>
        <v>6.9544807570035505E-2</v>
      </c>
      <c r="C124" s="490">
        <f t="shared" si="36"/>
        <v>5.1155155761148957E-2</v>
      </c>
      <c r="E124"/>
    </row>
    <row r="125" spans="1:5" ht="16.5" thickBot="1">
      <c r="A125" s="539" t="s">
        <v>5</v>
      </c>
      <c r="B125" s="543">
        <f t="shared" si="37"/>
        <v>5.3528017888502172E-2</v>
      </c>
      <c r="C125" s="490">
        <f t="shared" si="36"/>
        <v>3.8764433101259106E-2</v>
      </c>
      <c r="E125"/>
    </row>
    <row r="126" spans="1:5" ht="16.5" thickTop="1">
      <c r="B126" s="1175">
        <f>SUM(B114:B125)</f>
        <v>0.99999999999999989</v>
      </c>
      <c r="C126" s="1175">
        <f>SUM(C114:C125)</f>
        <v>0.99999999999999978</v>
      </c>
      <c r="E126"/>
    </row>
    <row r="127" spans="1:5">
      <c r="E127"/>
    </row>
    <row r="128" spans="1:5">
      <c r="E128"/>
    </row>
    <row r="129" spans="1:11">
      <c r="E129"/>
    </row>
    <row r="130" spans="1:11">
      <c r="E130"/>
    </row>
    <row r="131" spans="1:11">
      <c r="E131"/>
    </row>
    <row r="132" spans="1:11">
      <c r="A132" s="220"/>
      <c r="B132" s="542" t="s">
        <v>752</v>
      </c>
      <c r="C132" s="542" t="s">
        <v>583</v>
      </c>
      <c r="E132"/>
    </row>
    <row r="133" spans="1:11">
      <c r="A133" s="481" t="s">
        <v>538</v>
      </c>
      <c r="B133" s="543">
        <f t="shared" ref="B133:C136" si="38">B114</f>
        <v>9.4833873797776802E-2</v>
      </c>
      <c r="C133" s="543">
        <f t="shared" si="38"/>
        <v>8.8263045101216117E-2</v>
      </c>
      <c r="E133"/>
    </row>
    <row r="134" spans="1:11">
      <c r="A134" s="481" t="s">
        <v>6</v>
      </c>
      <c r="B134" s="543">
        <f t="shared" si="38"/>
        <v>5.7250583117219998E-2</v>
      </c>
      <c r="C134" s="543">
        <f t="shared" si="38"/>
        <v>2.2976840995741318E-2</v>
      </c>
      <c r="E134"/>
      <c r="H134" s="46"/>
      <c r="I134" s="46"/>
      <c r="K134" s="46"/>
    </row>
    <row r="135" spans="1:11">
      <c r="A135" s="481" t="s">
        <v>8</v>
      </c>
      <c r="B135" s="543">
        <f t="shared" si="38"/>
        <v>5.4455692734227824E-2</v>
      </c>
      <c r="C135" s="543">
        <f t="shared" si="38"/>
        <v>5.8494961336242749E-3</v>
      </c>
    </row>
    <row r="136" spans="1:11">
      <c r="A136" s="483" t="s">
        <v>2</v>
      </c>
      <c r="B136" s="543">
        <f t="shared" si="38"/>
        <v>5.1097055678951765E-2</v>
      </c>
      <c r="C136" s="543">
        <f t="shared" si="38"/>
        <v>2.85228723981613E-2</v>
      </c>
    </row>
    <row r="137" spans="1:11">
      <c r="A137" s="481" t="s">
        <v>10</v>
      </c>
      <c r="B137" s="543"/>
      <c r="C137" s="490"/>
    </row>
    <row r="138" spans="1:11">
      <c r="A138" s="481" t="s">
        <v>4</v>
      </c>
      <c r="B138" s="543">
        <f t="shared" ref="B138:C140" si="39">B119</f>
        <v>8.7183926762135183E-2</v>
      </c>
      <c r="C138" s="543">
        <f t="shared" si="39"/>
        <v>0.12669379871528733</v>
      </c>
    </row>
    <row r="139" spans="1:11">
      <c r="A139" s="481" t="s">
        <v>14</v>
      </c>
      <c r="B139" s="543">
        <f t="shared" si="39"/>
        <v>1.576996724581262E-2</v>
      </c>
      <c r="C139" s="543">
        <f t="shared" si="39"/>
        <v>2.40224426231576E-2</v>
      </c>
    </row>
    <row r="140" spans="1:11">
      <c r="A140" s="483" t="s">
        <v>17</v>
      </c>
      <c r="B140" s="543">
        <f t="shared" si="39"/>
        <v>6.8428328877081876E-2</v>
      </c>
      <c r="C140" s="543">
        <f t="shared" si="39"/>
        <v>5.1649472191832115E-2</v>
      </c>
    </row>
    <row r="141" spans="1:11">
      <c r="A141" s="481" t="s">
        <v>324</v>
      </c>
      <c r="B141" s="543"/>
      <c r="C141" s="490"/>
    </row>
    <row r="142" spans="1:11">
      <c r="A142" s="481" t="s">
        <v>7</v>
      </c>
      <c r="B142" s="543">
        <f t="shared" ref="B142:C144" si="40">B123</f>
        <v>0.32031497949229226</v>
      </c>
      <c r="C142" s="543">
        <f t="shared" si="40"/>
        <v>0.28777585758534879</v>
      </c>
    </row>
    <row r="143" spans="1:11">
      <c r="A143" s="481" t="s">
        <v>9</v>
      </c>
      <c r="B143" s="543">
        <f t="shared" si="40"/>
        <v>6.9544807570035505E-2</v>
      </c>
      <c r="C143" s="543">
        <f t="shared" si="40"/>
        <v>5.1155155761148957E-2</v>
      </c>
    </row>
    <row r="144" spans="1:11" ht="16.5" thickBot="1">
      <c r="A144" s="539" t="s">
        <v>5</v>
      </c>
      <c r="B144" s="543">
        <f t="shared" si="40"/>
        <v>5.3528017888502172E-2</v>
      </c>
      <c r="C144" s="543">
        <f t="shared" si="40"/>
        <v>3.8764433101259106E-2</v>
      </c>
    </row>
    <row r="145" ht="16.5" thickTop="1"/>
  </sheetData>
  <pageMargins left="0.75" right="0.75" top="1" bottom="1" header="0.5" footer="0.5"/>
  <pageSetup orientation="portrait" horizontalDpi="4294967292" verticalDpi="429496729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L118"/>
  <sheetViews>
    <sheetView workbookViewId="0">
      <selection activeCell="Q11" sqref="Q11"/>
    </sheetView>
  </sheetViews>
  <sheetFormatPr defaultColWidth="11" defaultRowHeight="15.75"/>
  <cols>
    <col min="1" max="1" width="21.375" customWidth="1"/>
    <col min="5" max="5" width="7.375" customWidth="1"/>
    <col min="7" max="7" width="12.875" customWidth="1"/>
    <col min="8" max="8" width="4.5" customWidth="1"/>
    <col min="10" max="10" width="18.125" customWidth="1"/>
    <col min="18" max="43" width="5.625" customWidth="1"/>
    <col min="44" max="44" width="4" customWidth="1"/>
    <col min="45" max="57" width="5.375" customWidth="1"/>
    <col min="58" max="58" width="5.125" customWidth="1"/>
    <col min="60" max="60" width="7.125" customWidth="1"/>
    <col min="62" max="73" width="5.125" customWidth="1"/>
    <col min="77" max="89" width="5.5" customWidth="1"/>
  </cols>
  <sheetData>
    <row r="1" spans="1:90">
      <c r="H1" s="226"/>
    </row>
    <row r="2" spans="1:90" ht="16.5" thickBot="1">
      <c r="H2" s="226"/>
      <c r="N2" s="46"/>
    </row>
    <row r="3" spans="1:90" ht="18.75">
      <c r="A3" s="915" t="str">
        <f>'Graduate Completions'!G3</f>
        <v>Interdisciplinary Graduate Degrees:</v>
      </c>
      <c r="B3" s="399"/>
      <c r="C3" s="399"/>
      <c r="D3" s="400"/>
      <c r="H3" s="226"/>
      <c r="R3" s="198"/>
      <c r="S3" s="198"/>
      <c r="T3" s="198"/>
      <c r="U3" s="198"/>
      <c r="V3" s="198"/>
      <c r="W3" s="198"/>
      <c r="X3" s="198"/>
      <c r="Y3" s="198"/>
      <c r="Z3" s="198"/>
      <c r="AA3" s="198"/>
      <c r="AB3" s="198"/>
      <c r="AC3" s="198"/>
      <c r="AD3" s="198"/>
      <c r="AE3" s="198"/>
    </row>
    <row r="4" spans="1:90">
      <c r="A4" s="272" t="str">
        <f>'Graduate Completions'!G4</f>
        <v>Additional Weighting:</v>
      </c>
      <c r="B4" s="62"/>
      <c r="C4" s="62"/>
      <c r="D4" s="978">
        <f>'Graduate Completions'!J4</f>
        <v>1.2</v>
      </c>
      <c r="H4" s="226"/>
    </row>
    <row r="5" spans="1:90">
      <c r="A5" s="272" t="str">
        <f>'Graduate Completions'!G5</f>
        <v>Proportion to college of major professor:</v>
      </c>
      <c r="B5" s="62"/>
      <c r="C5" s="62"/>
      <c r="D5" s="978">
        <f>'Graduate Completions'!J5</f>
        <v>0.8</v>
      </c>
      <c r="H5" s="226"/>
    </row>
    <row r="6" spans="1:90" ht="16.5" thickBot="1">
      <c r="A6" s="404" t="str">
        <f>'Graduate Completions'!G6</f>
        <v>Proportion to interdisciplinary program:</v>
      </c>
      <c r="B6" s="405"/>
      <c r="C6" s="405"/>
      <c r="D6" s="979">
        <f>'Graduate Completions'!J6</f>
        <v>0.19999999999999996</v>
      </c>
      <c r="H6" s="226"/>
    </row>
    <row r="7" spans="1:90">
      <c r="H7" s="226"/>
    </row>
    <row r="8" spans="1:90">
      <c r="H8" s="226"/>
    </row>
    <row r="9" spans="1:90">
      <c r="H9" s="226"/>
    </row>
    <row r="10" spans="1:90">
      <c r="A10" s="974" t="s">
        <v>592</v>
      </c>
      <c r="B10" s="975" t="s">
        <v>594</v>
      </c>
      <c r="C10" s="975"/>
      <c r="D10" s="975"/>
      <c r="E10" s="552"/>
      <c r="H10" s="226"/>
      <c r="L10" s="217" t="s">
        <v>641</v>
      </c>
      <c r="M10" s="217"/>
      <c r="N10" s="217"/>
      <c r="O10" s="217"/>
      <c r="P10" s="217"/>
      <c r="Q10" s="217" t="s">
        <v>1752</v>
      </c>
      <c r="R10" s="217"/>
      <c r="S10" s="217"/>
      <c r="T10" s="217"/>
      <c r="U10" s="217"/>
      <c r="V10" s="217"/>
      <c r="W10" s="217"/>
      <c r="X10" s="217"/>
      <c r="Y10" s="217"/>
      <c r="Z10" s="217"/>
      <c r="AA10" s="217"/>
      <c r="AB10" s="217"/>
      <c r="AC10" s="217"/>
      <c r="AD10" s="217"/>
      <c r="AE10" s="217"/>
      <c r="AF10" s="217" t="s">
        <v>1349</v>
      </c>
      <c r="AG10" s="217"/>
      <c r="AH10" s="217"/>
      <c r="AI10" s="217"/>
      <c r="AJ10" s="217"/>
      <c r="AK10" s="217"/>
      <c r="AL10" s="217"/>
      <c r="AM10" s="217"/>
      <c r="AN10" s="217"/>
      <c r="AO10" s="217"/>
      <c r="AP10" s="217"/>
      <c r="AQ10" s="217"/>
      <c r="AR10" s="217"/>
      <c r="AV10" s="217" t="s">
        <v>1350</v>
      </c>
      <c r="AW10" s="217"/>
      <c r="AX10" s="217"/>
      <c r="AY10" s="217"/>
      <c r="AZ10" s="217"/>
      <c r="BA10" s="217"/>
      <c r="BB10" s="217"/>
      <c r="BC10" s="217"/>
      <c r="BD10" s="217"/>
      <c r="BE10" s="217"/>
      <c r="BF10" s="217"/>
      <c r="BG10" s="217"/>
      <c r="BH10" s="217"/>
      <c r="BJ10" s="217" t="s">
        <v>1351</v>
      </c>
      <c r="BK10" s="217"/>
      <c r="BL10" s="217"/>
      <c r="BM10" s="217"/>
      <c r="BN10" s="217"/>
      <c r="BO10" s="217"/>
      <c r="BP10" s="217"/>
      <c r="BQ10" s="217"/>
      <c r="BR10" s="217"/>
      <c r="BS10" s="217"/>
      <c r="BT10" s="217"/>
      <c r="BU10" s="217"/>
      <c r="BV10" s="217"/>
      <c r="BW10" s="217"/>
      <c r="BY10" s="217" t="s">
        <v>1352</v>
      </c>
      <c r="BZ10" s="217"/>
      <c r="CA10" s="217"/>
      <c r="CB10" s="217"/>
      <c r="CC10" s="217"/>
      <c r="CD10" s="217"/>
      <c r="CE10" s="217"/>
      <c r="CF10" s="217"/>
      <c r="CG10" s="217"/>
      <c r="CH10" s="217"/>
      <c r="CI10" s="217"/>
      <c r="CJ10" s="217"/>
      <c r="CK10" s="217"/>
      <c r="CL10" s="217"/>
    </row>
    <row r="11" spans="1:90" ht="52.5">
      <c r="A11" s="973"/>
      <c r="B11" s="480" t="s">
        <v>1361</v>
      </c>
      <c r="C11" s="480" t="s">
        <v>1359</v>
      </c>
      <c r="D11" s="480" t="s">
        <v>1360</v>
      </c>
      <c r="E11" s="555"/>
      <c r="F11" s="589" t="s">
        <v>642</v>
      </c>
      <c r="G11" s="588" t="s">
        <v>643</v>
      </c>
      <c r="H11" s="226"/>
      <c r="K11" s="576" t="s">
        <v>1353</v>
      </c>
      <c r="L11" s="576" t="s">
        <v>1354</v>
      </c>
      <c r="M11" s="578" t="s">
        <v>1355</v>
      </c>
      <c r="N11" s="578" t="s">
        <v>616</v>
      </c>
      <c r="O11" s="578" t="s">
        <v>615</v>
      </c>
      <c r="P11" s="578"/>
      <c r="Q11" s="577" t="s">
        <v>639</v>
      </c>
      <c r="R11" s="577" t="s">
        <v>6</v>
      </c>
      <c r="S11" s="577" t="s">
        <v>8</v>
      </c>
      <c r="T11" s="577" t="s">
        <v>2</v>
      </c>
      <c r="U11" s="577" t="s">
        <v>10</v>
      </c>
      <c r="V11" s="577" t="s">
        <v>4</v>
      </c>
      <c r="W11" s="577" t="s">
        <v>638</v>
      </c>
      <c r="X11" s="577" t="s">
        <v>3</v>
      </c>
      <c r="Y11" s="577" t="s">
        <v>1</v>
      </c>
      <c r="Z11" s="577" t="s">
        <v>7</v>
      </c>
      <c r="AA11" s="577" t="s">
        <v>9</v>
      </c>
      <c r="AB11" s="577" t="s">
        <v>5</v>
      </c>
      <c r="AC11" s="576"/>
      <c r="AD11" s="576"/>
      <c r="AE11" s="576"/>
      <c r="AF11" s="577" t="s">
        <v>639</v>
      </c>
      <c r="AG11" s="577" t="s">
        <v>6</v>
      </c>
      <c r="AH11" s="577" t="s">
        <v>8</v>
      </c>
      <c r="AI11" s="577" t="s">
        <v>2</v>
      </c>
      <c r="AJ11" s="577" t="s">
        <v>10</v>
      </c>
      <c r="AK11" s="577" t="s">
        <v>4</v>
      </c>
      <c r="AL11" s="577" t="s">
        <v>638</v>
      </c>
      <c r="AM11" s="577" t="s">
        <v>3</v>
      </c>
      <c r="AN11" s="577" t="s">
        <v>1</v>
      </c>
      <c r="AO11" s="577" t="s">
        <v>7</v>
      </c>
      <c r="AP11" s="577" t="s">
        <v>9</v>
      </c>
      <c r="AQ11" s="577" t="s">
        <v>5</v>
      </c>
      <c r="AR11" s="577"/>
      <c r="AV11" s="577" t="s">
        <v>639</v>
      </c>
      <c r="AW11" s="577" t="s">
        <v>6</v>
      </c>
      <c r="AX11" s="577" t="s">
        <v>8</v>
      </c>
      <c r="AY11" s="577" t="s">
        <v>2</v>
      </c>
      <c r="AZ11" s="577" t="s">
        <v>10</v>
      </c>
      <c r="BA11" s="577" t="s">
        <v>4</v>
      </c>
      <c r="BB11" s="577" t="s">
        <v>638</v>
      </c>
      <c r="BC11" s="577" t="s">
        <v>3</v>
      </c>
      <c r="BD11" s="577" t="s">
        <v>1</v>
      </c>
      <c r="BE11" s="577" t="s">
        <v>7</v>
      </c>
      <c r="BF11" s="577" t="s">
        <v>9</v>
      </c>
      <c r="BG11" s="577" t="s">
        <v>5</v>
      </c>
      <c r="BH11" s="577"/>
      <c r="BJ11" s="577" t="s">
        <v>639</v>
      </c>
      <c r="BK11" s="577" t="s">
        <v>6</v>
      </c>
      <c r="BL11" s="577" t="s">
        <v>8</v>
      </c>
      <c r="BM11" s="577" t="s">
        <v>2</v>
      </c>
      <c r="BN11" s="577" t="s">
        <v>10</v>
      </c>
      <c r="BO11" s="577" t="s">
        <v>4</v>
      </c>
      <c r="BP11" s="577" t="s">
        <v>638</v>
      </c>
      <c r="BQ11" s="577" t="s">
        <v>3</v>
      </c>
      <c r="BR11" s="577" t="s">
        <v>1</v>
      </c>
      <c r="BS11" s="577" t="s">
        <v>7</v>
      </c>
      <c r="BT11" s="577" t="s">
        <v>9</v>
      </c>
      <c r="BU11" s="577" t="s">
        <v>5</v>
      </c>
      <c r="BV11" s="577"/>
      <c r="BY11" s="577" t="s">
        <v>639</v>
      </c>
      <c r="BZ11" s="577" t="s">
        <v>6</v>
      </c>
      <c r="CA11" s="577" t="s">
        <v>8</v>
      </c>
      <c r="CB11" s="577" t="s">
        <v>2</v>
      </c>
      <c r="CC11" s="577" t="s">
        <v>10</v>
      </c>
      <c r="CD11" s="577" t="s">
        <v>4</v>
      </c>
      <c r="CE11" s="577" t="s">
        <v>638</v>
      </c>
      <c r="CF11" s="577" t="s">
        <v>3</v>
      </c>
      <c r="CG11" s="577" t="s">
        <v>1</v>
      </c>
      <c r="CH11" s="577" t="s">
        <v>7</v>
      </c>
      <c r="CI11" s="577" t="s">
        <v>9</v>
      </c>
      <c r="CJ11" s="577" t="s">
        <v>5</v>
      </c>
      <c r="CK11" s="577"/>
    </row>
    <row r="12" spans="1:90">
      <c r="A12" s="481" t="s">
        <v>538</v>
      </c>
      <c r="B12" s="455">
        <f>$F12*$G12*SUM(K52:M52)</f>
        <v>11.199493733617555</v>
      </c>
      <c r="C12" s="455">
        <f>$F12*$G12*SUM(L52:N52)</f>
        <v>16.79924060042633</v>
      </c>
      <c r="D12" s="455">
        <f>$F12*$G12*SUM(M52:O52)</f>
        <v>19.59911403383072</v>
      </c>
      <c r="E12" s="536"/>
      <c r="F12" s="208">
        <f>'Graduate Completions'!O17</f>
        <v>2.9165348264629047</v>
      </c>
      <c r="G12">
        <f>D4*D5</f>
        <v>0.96</v>
      </c>
      <c r="H12" s="226"/>
      <c r="I12" s="579" t="s">
        <v>617</v>
      </c>
      <c r="J12" s="14"/>
      <c r="K12" s="580"/>
      <c r="L12" s="530">
        <f>SUM(AF12:AQ12)</f>
        <v>24</v>
      </c>
      <c r="M12" s="1318">
        <f>SUM(AV12:BG12)</f>
        <v>14</v>
      </c>
      <c r="N12" s="1318">
        <f>SUM(BJ12:BU12)</f>
        <v>19</v>
      </c>
      <c r="O12" s="1318">
        <f>SUM(BY12:CJ12)</f>
        <v>21</v>
      </c>
      <c r="P12" s="1319"/>
      <c r="Q12" s="580"/>
      <c r="R12" s="580"/>
      <c r="S12" s="580"/>
      <c r="T12" s="580"/>
      <c r="U12" s="580"/>
      <c r="V12" s="580"/>
      <c r="W12" s="580"/>
      <c r="X12" s="580"/>
      <c r="Y12" s="580"/>
      <c r="Z12" s="580"/>
      <c r="AA12" s="580"/>
      <c r="AB12" s="580"/>
      <c r="AC12" s="580"/>
      <c r="AD12" s="580"/>
      <c r="AE12" s="580"/>
      <c r="AF12" s="14"/>
      <c r="AG12" s="14"/>
      <c r="AH12" s="14">
        <v>4</v>
      </c>
      <c r="AI12" s="14"/>
      <c r="AJ12" s="14"/>
      <c r="AK12" s="14"/>
      <c r="AL12" s="14"/>
      <c r="AM12" s="14">
        <v>20</v>
      </c>
      <c r="AN12" s="14"/>
      <c r="AO12" s="14"/>
      <c r="AP12" s="14"/>
      <c r="AR12" s="594">
        <f>SUM(AF12:AQ12)</f>
        <v>24</v>
      </c>
      <c r="AS12" s="590"/>
      <c r="AT12" s="590"/>
      <c r="AU12" s="590"/>
      <c r="AV12" s="14"/>
      <c r="AW12" s="14"/>
      <c r="AX12" s="14"/>
      <c r="AY12" s="14"/>
      <c r="AZ12" s="14"/>
      <c r="BA12" s="14"/>
      <c r="BB12" s="14">
        <v>1</v>
      </c>
      <c r="BC12" s="14">
        <v>13</v>
      </c>
      <c r="BD12" s="14"/>
      <c r="BE12" s="14"/>
      <c r="BF12" s="14"/>
      <c r="BH12" s="594">
        <f>SUM(AV12:BG12)</f>
        <v>14</v>
      </c>
      <c r="BI12" s="595"/>
      <c r="BJ12" s="14">
        <v>1</v>
      </c>
      <c r="BK12" s="14"/>
      <c r="BL12" s="14">
        <v>1</v>
      </c>
      <c r="BM12" s="14">
        <v>1</v>
      </c>
      <c r="BN12" s="14"/>
      <c r="BO12" s="14"/>
      <c r="BP12" s="14"/>
      <c r="BQ12" s="14">
        <v>16</v>
      </c>
      <c r="BR12" s="14"/>
      <c r="BS12" s="14"/>
      <c r="BT12" s="14"/>
      <c r="BV12" s="594">
        <f>SUM(BJ12:BU12)</f>
        <v>19</v>
      </c>
      <c r="BW12" s="601"/>
      <c r="BY12" s="14"/>
      <c r="BZ12" s="14"/>
      <c r="CA12" s="14">
        <v>2</v>
      </c>
      <c r="CB12" s="14"/>
      <c r="CC12" s="14"/>
      <c r="CD12" s="14"/>
      <c r="CE12" s="14"/>
      <c r="CF12" s="14">
        <v>18</v>
      </c>
      <c r="CG12" s="14"/>
      <c r="CH12" s="14">
        <v>1</v>
      </c>
      <c r="CI12" s="14"/>
      <c r="CK12" s="594">
        <f>SUM(BY12:CJ12)</f>
        <v>21</v>
      </c>
      <c r="CL12" s="601"/>
    </row>
    <row r="13" spans="1:90">
      <c r="A13" s="481" t="s">
        <v>6</v>
      </c>
      <c r="B13" s="455">
        <f t="shared" ref="B13:D23" si="0">$F13*$G13*SUM(K53:M53)</f>
        <v>0</v>
      </c>
      <c r="C13" s="455">
        <f t="shared" si="0"/>
        <v>0</v>
      </c>
      <c r="D13" s="455">
        <f t="shared" si="0"/>
        <v>0</v>
      </c>
      <c r="E13" s="536"/>
      <c r="F13" s="208">
        <f>'Graduate Completions'!O18</f>
        <v>4.1733890097133033</v>
      </c>
      <c r="G13">
        <f>G12</f>
        <v>0.96</v>
      </c>
      <c r="H13" s="226"/>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R13" s="594"/>
      <c r="AS13" s="591"/>
      <c r="AT13" s="591"/>
      <c r="AU13" s="591"/>
      <c r="AV13" s="62"/>
      <c r="AW13" s="62"/>
      <c r="AX13" s="62"/>
      <c r="AY13" s="62"/>
      <c r="AZ13" s="62"/>
      <c r="BA13" s="62"/>
      <c r="BB13" s="62"/>
      <c r="BC13" s="62"/>
      <c r="BD13" s="62"/>
      <c r="BE13" s="62"/>
      <c r="BF13" s="62"/>
      <c r="BH13" s="594"/>
      <c r="BI13" s="596"/>
      <c r="BJ13" s="62"/>
      <c r="BK13" s="62"/>
      <c r="BL13" s="62"/>
      <c r="BM13" s="62"/>
      <c r="BN13" s="62"/>
      <c r="BO13" s="62"/>
      <c r="BP13" s="62"/>
      <c r="BQ13" s="62"/>
      <c r="BR13" s="62"/>
      <c r="BS13" s="62"/>
      <c r="BT13" s="62"/>
      <c r="BV13" s="594"/>
      <c r="BW13" s="216"/>
      <c r="BY13" s="62"/>
      <c r="BZ13" s="62"/>
      <c r="CA13" s="62"/>
      <c r="CB13" s="62"/>
      <c r="CC13" s="62"/>
      <c r="CD13" s="62"/>
      <c r="CE13" s="62"/>
      <c r="CF13" s="62"/>
      <c r="CG13" s="62"/>
      <c r="CH13" s="62"/>
      <c r="CI13" s="62"/>
      <c r="CK13" s="594"/>
      <c r="CL13" s="216"/>
    </row>
    <row r="14" spans="1:90">
      <c r="A14" s="481" t="s">
        <v>8</v>
      </c>
      <c r="B14" s="455">
        <f t="shared" si="0"/>
        <v>0</v>
      </c>
      <c r="C14" s="455">
        <f t="shared" si="0"/>
        <v>0</v>
      </c>
      <c r="D14" s="455">
        <f t="shared" si="0"/>
        <v>0</v>
      </c>
      <c r="E14" s="536"/>
      <c r="F14" s="208">
        <f>'Graduate Completions'!O19</f>
        <v>2.5274364485170504</v>
      </c>
      <c r="G14">
        <f>G13</f>
        <v>0.96</v>
      </c>
      <c r="H14" s="226"/>
      <c r="I14" s="581" t="s">
        <v>618</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R14" s="594"/>
      <c r="AS14" s="591"/>
      <c r="AT14" s="591"/>
      <c r="AU14" s="591"/>
      <c r="AV14" s="62"/>
      <c r="AW14" s="62"/>
      <c r="AX14" s="62"/>
      <c r="AY14" s="62"/>
      <c r="AZ14" s="62"/>
      <c r="BA14" s="62"/>
      <c r="BB14" s="62"/>
      <c r="BC14" s="62"/>
      <c r="BD14" s="62"/>
      <c r="BE14" s="62"/>
      <c r="BF14" s="62"/>
      <c r="BH14" s="594"/>
      <c r="BI14" s="596"/>
      <c r="BJ14" s="62"/>
      <c r="BK14" s="62"/>
      <c r="BL14" s="62"/>
      <c r="BM14" s="62"/>
      <c r="BN14" s="62"/>
      <c r="BO14" s="62"/>
      <c r="BP14" s="62"/>
      <c r="BQ14" s="62"/>
      <c r="BR14" s="62"/>
      <c r="BS14" s="62"/>
      <c r="BT14" s="62"/>
      <c r="BV14" s="594"/>
      <c r="BW14" s="216"/>
      <c r="BY14" s="62"/>
      <c r="BZ14" s="62"/>
      <c r="CA14" s="62"/>
      <c r="CB14" s="62"/>
      <c r="CC14" s="62"/>
      <c r="CD14" s="62"/>
      <c r="CE14" s="62"/>
      <c r="CF14" s="62"/>
      <c r="CG14" s="62"/>
      <c r="CH14" s="62"/>
      <c r="CI14" s="62"/>
      <c r="CK14" s="594"/>
      <c r="CL14" s="216"/>
    </row>
    <row r="15" spans="1:90">
      <c r="A15" s="483" t="s">
        <v>2</v>
      </c>
      <c r="B15" s="455">
        <f t="shared" si="0"/>
        <v>4.8685633615769675</v>
      </c>
      <c r="C15" s="455">
        <f t="shared" si="0"/>
        <v>7.3028450423654512</v>
      </c>
      <c r="D15" s="455">
        <f t="shared" si="0"/>
        <v>9.7371267231539349</v>
      </c>
      <c r="E15" s="536"/>
      <c r="F15" s="208">
        <f>'Graduate Completions'!O20</f>
        <v>2.5357100841546707</v>
      </c>
      <c r="G15">
        <f>G14</f>
        <v>0.96</v>
      </c>
      <c r="H15" s="226"/>
      <c r="I15" s="1320" t="s">
        <v>619</v>
      </c>
      <c r="J15" s="1321"/>
      <c r="K15" s="530"/>
      <c r="L15" s="1322"/>
      <c r="M15" s="1322"/>
      <c r="N15" s="1322"/>
      <c r="O15" s="1322"/>
      <c r="P15" s="1321"/>
      <c r="Q15" s="530"/>
      <c r="R15" s="530"/>
      <c r="S15" s="530"/>
      <c r="T15" s="530"/>
      <c r="U15" s="530"/>
      <c r="V15" s="530"/>
      <c r="W15" s="530"/>
      <c r="X15" s="530"/>
      <c r="Y15" s="530"/>
      <c r="Z15" s="530"/>
      <c r="AA15" s="530"/>
      <c r="AB15" s="530"/>
      <c r="AC15" s="530"/>
      <c r="AD15" s="530"/>
      <c r="AE15" s="530"/>
      <c r="AF15" s="530"/>
      <c r="AG15" s="62"/>
      <c r="AH15" s="62"/>
      <c r="AI15" s="62"/>
      <c r="AJ15" s="62"/>
      <c r="AK15" s="62"/>
      <c r="AL15" s="62"/>
      <c r="AM15" s="62"/>
      <c r="AN15" s="62"/>
      <c r="AO15" s="62"/>
      <c r="AP15" s="62"/>
      <c r="AR15" s="594">
        <f t="shared" ref="AR15:AR21" si="1">SUM(AF15:AQ15)</f>
        <v>0</v>
      </c>
      <c r="AS15" s="592"/>
      <c r="AT15" s="592"/>
      <c r="AU15" s="592"/>
      <c r="AV15" s="530"/>
      <c r="AW15" s="62"/>
      <c r="AX15" s="62"/>
      <c r="AY15" s="62"/>
      <c r="AZ15" s="62"/>
      <c r="BA15" s="62"/>
      <c r="BB15" s="62"/>
      <c r="BC15" s="62"/>
      <c r="BD15" s="62"/>
      <c r="BE15" s="62"/>
      <c r="BF15" s="62"/>
      <c r="BH15" s="594">
        <f t="shared" ref="BH15:BH21" si="2">SUM(AV15:BG15)</f>
        <v>0</v>
      </c>
      <c r="BI15" s="595"/>
      <c r="BJ15" s="530"/>
      <c r="BK15" s="62"/>
      <c r="BL15" s="62"/>
      <c r="BM15" s="62"/>
      <c r="BN15" s="62"/>
      <c r="BO15" s="62"/>
      <c r="BP15" s="62"/>
      <c r="BQ15" s="62"/>
      <c r="BR15" s="62"/>
      <c r="BS15" s="62"/>
      <c r="BT15" s="62"/>
      <c r="BV15" s="594">
        <f t="shared" ref="BV15:BV21" si="3">SUM(BJ15:BU15)</f>
        <v>0</v>
      </c>
      <c r="BW15" s="601"/>
      <c r="BY15" s="530"/>
      <c r="BZ15" s="62"/>
      <c r="CA15" s="62"/>
      <c r="CB15" s="62"/>
      <c r="CC15" s="62"/>
      <c r="CD15" s="62"/>
      <c r="CE15" s="62"/>
      <c r="CF15" s="62"/>
      <c r="CG15" s="62"/>
      <c r="CH15" s="62"/>
      <c r="CI15" s="62"/>
      <c r="CK15" s="594">
        <f t="shared" ref="CK15:CK21" si="4">SUM(BY15:CJ15)</f>
        <v>0</v>
      </c>
      <c r="CL15" s="601"/>
    </row>
    <row r="16" spans="1:90">
      <c r="A16" s="481" t="s">
        <v>10</v>
      </c>
      <c r="B16" s="455">
        <f t="shared" si="0"/>
        <v>6.0011909858246817</v>
      </c>
      <c r="C16" s="455">
        <f t="shared" si="0"/>
        <v>6.0011909858246817</v>
      </c>
      <c r="D16" s="455">
        <f t="shared" si="0"/>
        <v>6.0011909858246817</v>
      </c>
      <c r="E16" s="536"/>
      <c r="F16" s="208">
        <f>'Graduate Completions'!O21</f>
        <v>3.1256203051170219</v>
      </c>
      <c r="G16">
        <f>G15</f>
        <v>0.96</v>
      </c>
      <c r="H16" s="226"/>
      <c r="I16" s="582" t="s">
        <v>620</v>
      </c>
      <c r="J16" s="62"/>
      <c r="K16" s="530"/>
      <c r="L16" s="530">
        <f>SUM(AF16:AQ16)</f>
        <v>2</v>
      </c>
      <c r="M16" s="1318">
        <f>SUM(AV16:BG16)</f>
        <v>0</v>
      </c>
      <c r="N16" s="1318">
        <f>SUM(BJ16:BU16)</f>
        <v>2</v>
      </c>
      <c r="O16" s="1318">
        <f>SUM(BY16:CJ16)</f>
        <v>0</v>
      </c>
      <c r="P16" s="1319"/>
      <c r="Q16" s="530"/>
      <c r="R16" s="530"/>
      <c r="S16" s="530"/>
      <c r="T16" s="530"/>
      <c r="U16" s="530"/>
      <c r="V16" s="530"/>
      <c r="W16" s="530"/>
      <c r="X16" s="530"/>
      <c r="Y16" s="530"/>
      <c r="Z16" s="530"/>
      <c r="AA16" s="530"/>
      <c r="AB16" s="530"/>
      <c r="AC16" s="530"/>
      <c r="AD16" s="530"/>
      <c r="AE16" s="530"/>
      <c r="AF16" s="1323">
        <v>1</v>
      </c>
      <c r="AG16" s="62"/>
      <c r="AH16" s="62"/>
      <c r="AI16" s="62"/>
      <c r="AJ16" s="62"/>
      <c r="AK16" s="62"/>
      <c r="AL16" s="62"/>
      <c r="AM16" s="62"/>
      <c r="AN16" s="62"/>
      <c r="AO16" s="62"/>
      <c r="AP16" s="62">
        <v>1</v>
      </c>
      <c r="AR16" s="594">
        <f t="shared" si="1"/>
        <v>2</v>
      </c>
      <c r="AS16" s="591"/>
      <c r="AT16" s="591"/>
      <c r="AU16" s="591"/>
      <c r="AV16" s="62"/>
      <c r="AW16" s="62"/>
      <c r="AX16" s="62"/>
      <c r="AY16" s="62"/>
      <c r="AZ16" s="62"/>
      <c r="BA16" s="62"/>
      <c r="BB16" s="62"/>
      <c r="BC16" s="62"/>
      <c r="BD16" s="62"/>
      <c r="BE16" s="62"/>
      <c r="BF16" s="62"/>
      <c r="BH16" s="594">
        <f t="shared" si="2"/>
        <v>0</v>
      </c>
      <c r="BI16" s="595"/>
      <c r="BJ16" s="62">
        <v>2</v>
      </c>
      <c r="BK16" s="62"/>
      <c r="BL16" s="62"/>
      <c r="BM16" s="62"/>
      <c r="BN16" s="62"/>
      <c r="BO16" s="62"/>
      <c r="BP16" s="62"/>
      <c r="BQ16" s="62"/>
      <c r="BR16" s="62"/>
      <c r="BS16" s="62"/>
      <c r="BT16" s="62"/>
      <c r="BV16" s="594">
        <f t="shared" si="3"/>
        <v>2</v>
      </c>
      <c r="BW16" s="601"/>
      <c r="BY16" s="62"/>
      <c r="BZ16" s="62"/>
      <c r="CA16" s="62"/>
      <c r="CB16" s="62"/>
      <c r="CC16" s="62"/>
      <c r="CD16" s="62"/>
      <c r="CE16" s="62"/>
      <c r="CF16" s="62"/>
      <c r="CG16" s="62"/>
      <c r="CH16" s="62"/>
      <c r="CI16" s="62"/>
      <c r="CK16" s="594">
        <f t="shared" si="4"/>
        <v>0</v>
      </c>
      <c r="CL16" s="601"/>
    </row>
    <row r="17" spans="1:90">
      <c r="A17" s="481" t="s">
        <v>4</v>
      </c>
      <c r="B17" s="455">
        <f t="shared" si="0"/>
        <v>11.483976114405138</v>
      </c>
      <c r="C17" s="455">
        <f t="shared" si="0"/>
        <v>2.8709940286012845</v>
      </c>
      <c r="D17" s="455">
        <f t="shared" si="0"/>
        <v>5.741988057202569</v>
      </c>
      <c r="E17" s="536"/>
      <c r="F17" s="208">
        <f>'Graduate Completions'!O22</f>
        <v>2.9906187797930048</v>
      </c>
      <c r="G17">
        <f>G16</f>
        <v>0.96</v>
      </c>
      <c r="H17" s="226"/>
      <c r="I17" s="582" t="s">
        <v>621</v>
      </c>
      <c r="J17" s="62"/>
      <c r="K17" s="530"/>
      <c r="L17" s="530">
        <f>SUM(AF17:AQ17)</f>
        <v>5</v>
      </c>
      <c r="M17" s="1318">
        <f>SUM(AV17:BG17)</f>
        <v>8</v>
      </c>
      <c r="N17" s="1318">
        <f>SUM(BJ17:BU17)</f>
        <v>9</v>
      </c>
      <c r="O17" s="1318">
        <f>SUM(BY17:CJ17)</f>
        <v>4</v>
      </c>
      <c r="P17" s="1319"/>
      <c r="Q17" s="530"/>
      <c r="R17" s="530"/>
      <c r="S17" s="530"/>
      <c r="T17" s="530"/>
      <c r="U17" s="530"/>
      <c r="V17" s="530"/>
      <c r="W17" s="530"/>
      <c r="X17" s="530"/>
      <c r="Y17" s="530"/>
      <c r="Z17" s="530"/>
      <c r="AA17" s="530"/>
      <c r="AB17" s="530"/>
      <c r="AC17" s="530"/>
      <c r="AD17" s="530"/>
      <c r="AE17" s="530"/>
      <c r="AF17" s="62"/>
      <c r="AG17" s="62"/>
      <c r="AH17" s="62"/>
      <c r="AI17" s="62">
        <v>2</v>
      </c>
      <c r="AJ17" s="62"/>
      <c r="AK17" s="62"/>
      <c r="AL17" s="62"/>
      <c r="AM17" s="62"/>
      <c r="AN17" s="62"/>
      <c r="AO17" s="62">
        <v>3</v>
      </c>
      <c r="AP17" s="62"/>
      <c r="AR17" s="594">
        <f t="shared" si="1"/>
        <v>5</v>
      </c>
      <c r="AS17" s="591"/>
      <c r="AT17" s="591"/>
      <c r="AU17" s="591"/>
      <c r="AV17" s="62">
        <v>4</v>
      </c>
      <c r="AW17" s="62"/>
      <c r="AX17" s="62"/>
      <c r="AY17" s="62"/>
      <c r="AZ17" s="62"/>
      <c r="BA17" s="62"/>
      <c r="BB17" s="62"/>
      <c r="BC17" s="62"/>
      <c r="BD17" s="62"/>
      <c r="BE17" s="62">
        <v>4</v>
      </c>
      <c r="BF17" s="62"/>
      <c r="BH17" s="594">
        <f t="shared" si="2"/>
        <v>8</v>
      </c>
      <c r="BI17" s="595"/>
      <c r="BJ17" s="62">
        <v>1</v>
      </c>
      <c r="BK17" s="62"/>
      <c r="BL17" s="62"/>
      <c r="BM17" s="62">
        <v>2</v>
      </c>
      <c r="BN17" s="62"/>
      <c r="BO17" s="62"/>
      <c r="BP17" s="62"/>
      <c r="BQ17" s="62"/>
      <c r="BR17" s="62"/>
      <c r="BS17" s="62">
        <v>4</v>
      </c>
      <c r="BT17" s="62"/>
      <c r="BU17">
        <v>2</v>
      </c>
      <c r="BV17" s="594">
        <f t="shared" si="3"/>
        <v>9</v>
      </c>
      <c r="BW17" s="601"/>
      <c r="BY17" s="62"/>
      <c r="BZ17" s="62"/>
      <c r="CA17" s="62"/>
      <c r="CB17" s="62"/>
      <c r="CC17" s="62"/>
      <c r="CD17" s="62"/>
      <c r="CE17" s="62"/>
      <c r="CF17" s="62"/>
      <c r="CG17" s="62"/>
      <c r="CH17" s="62">
        <v>2</v>
      </c>
      <c r="CI17" s="62"/>
      <c r="CJ17">
        <v>2</v>
      </c>
      <c r="CK17" s="594">
        <f t="shared" si="4"/>
        <v>4</v>
      </c>
      <c r="CL17" s="601"/>
    </row>
    <row r="18" spans="1:90">
      <c r="A18" s="481" t="s">
        <v>14</v>
      </c>
      <c r="B18" s="455">
        <f>$F18*$G18*SUM(K52:M68)</f>
        <v>27.603705289749524</v>
      </c>
      <c r="C18" s="455">
        <f>$F18*$G18*SUM(L52:N68)</f>
        <v>22.773056864043355</v>
      </c>
      <c r="D18" s="455">
        <f>$F18*$G18*SUM(M52:O68)</f>
        <v>26.223520025262047</v>
      </c>
      <c r="E18" s="536"/>
      <c r="F18" s="208">
        <f>'Graduate Completions'!O23</f>
        <v>2.8753859676822429</v>
      </c>
      <c r="G18">
        <f>D4*D6</f>
        <v>0.23999999999999994</v>
      </c>
      <c r="H18" s="226"/>
      <c r="I18" s="582" t="s">
        <v>622</v>
      </c>
      <c r="J18" s="62"/>
      <c r="K18" s="530"/>
      <c r="L18" s="530">
        <f>SUM(AF18:AQ18)</f>
        <v>1</v>
      </c>
      <c r="M18" s="1318">
        <f>SUM(AV18:BG18)</f>
        <v>6</v>
      </c>
      <c r="N18" s="1318">
        <f>SUM(BJ18:BU18)</f>
        <v>6</v>
      </c>
      <c r="O18" s="1318">
        <f>SUM(BY18:CJ18)</f>
        <v>14</v>
      </c>
      <c r="P18" s="1319"/>
      <c r="Q18" s="530"/>
      <c r="R18" s="530"/>
      <c r="S18" s="530"/>
      <c r="T18" s="530"/>
      <c r="U18" s="530"/>
      <c r="V18" s="530"/>
      <c r="W18" s="530"/>
      <c r="X18" s="530"/>
      <c r="Y18" s="530"/>
      <c r="Z18" s="530"/>
      <c r="AA18" s="530"/>
      <c r="AB18" s="530"/>
      <c r="AC18" s="530"/>
      <c r="AD18" s="530"/>
      <c r="AE18" s="530"/>
      <c r="AF18" s="62"/>
      <c r="AG18" s="62"/>
      <c r="AH18" s="62"/>
      <c r="AI18" s="62"/>
      <c r="AJ18" s="62"/>
      <c r="AK18" s="62"/>
      <c r="AL18" s="62">
        <v>1</v>
      </c>
      <c r="AM18" s="62"/>
      <c r="AN18" s="62"/>
      <c r="AO18" s="62"/>
      <c r="AP18" s="62"/>
      <c r="AR18" s="594">
        <f t="shared" si="1"/>
        <v>1</v>
      </c>
      <c r="AS18" s="591"/>
      <c r="AT18" s="591"/>
      <c r="AU18" s="591"/>
      <c r="AV18" s="62">
        <v>1</v>
      </c>
      <c r="AW18" s="62"/>
      <c r="AX18" s="62"/>
      <c r="AY18" s="62"/>
      <c r="AZ18" s="62"/>
      <c r="BA18" s="62"/>
      <c r="BB18" s="62">
        <v>5</v>
      </c>
      <c r="BC18" s="62"/>
      <c r="BD18" s="62"/>
      <c r="BE18" s="62"/>
      <c r="BF18" s="62"/>
      <c r="BH18" s="594">
        <f t="shared" si="2"/>
        <v>6</v>
      </c>
      <c r="BI18" s="595"/>
      <c r="BJ18" s="62"/>
      <c r="BK18" s="62"/>
      <c r="BL18" s="62"/>
      <c r="BM18" s="62"/>
      <c r="BN18" s="62"/>
      <c r="BO18" s="62"/>
      <c r="BP18" s="62">
        <v>5</v>
      </c>
      <c r="BQ18" s="62">
        <v>1</v>
      </c>
      <c r="BR18" s="62"/>
      <c r="BS18" s="62"/>
      <c r="BT18" s="62"/>
      <c r="BV18" s="594">
        <f t="shared" si="3"/>
        <v>6</v>
      </c>
      <c r="BW18" s="601"/>
      <c r="BY18" s="62">
        <v>1</v>
      </c>
      <c r="BZ18" s="62"/>
      <c r="CA18" s="62"/>
      <c r="CB18" s="62"/>
      <c r="CC18" s="62"/>
      <c r="CD18" s="62"/>
      <c r="CE18" s="62">
        <v>13</v>
      </c>
      <c r="CF18" s="62"/>
      <c r="CG18" s="62"/>
      <c r="CH18" s="62"/>
      <c r="CI18" s="62"/>
      <c r="CK18" s="594">
        <f t="shared" si="4"/>
        <v>14</v>
      </c>
      <c r="CL18" s="601"/>
    </row>
    <row r="19" spans="1:90">
      <c r="A19" s="483" t="s">
        <v>17</v>
      </c>
      <c r="B19" s="455">
        <f t="shared" si="0"/>
        <v>0</v>
      </c>
      <c r="C19" s="455">
        <f t="shared" si="0"/>
        <v>0</v>
      </c>
      <c r="D19" s="455">
        <f t="shared" si="0"/>
        <v>0</v>
      </c>
      <c r="E19" s="536"/>
      <c r="F19" s="208">
        <f>'Graduate Completions'!O24</f>
        <v>3.1926454095378611</v>
      </c>
      <c r="G19">
        <f>G17</f>
        <v>0.96</v>
      </c>
      <c r="H19" s="226"/>
      <c r="I19" s="582" t="s">
        <v>623</v>
      </c>
      <c r="J19" s="62"/>
      <c r="K19" s="530"/>
      <c r="L19" s="530">
        <f>SUM(AF19:AQ19)</f>
        <v>9</v>
      </c>
      <c r="M19" s="1318">
        <f>SUM(AV19:BG19)</f>
        <v>6</v>
      </c>
      <c r="N19" s="1318">
        <f>SUM(BJ19:BU19)</f>
        <v>1</v>
      </c>
      <c r="O19" s="1318">
        <f>SUM(BY19:CJ19)</f>
        <v>10</v>
      </c>
      <c r="P19" s="1319"/>
      <c r="Q19" s="530"/>
      <c r="R19" s="530"/>
      <c r="S19" s="530"/>
      <c r="T19" s="530"/>
      <c r="U19" s="530"/>
      <c r="V19" s="530"/>
      <c r="W19" s="530"/>
      <c r="X19" s="530"/>
      <c r="Y19" s="530"/>
      <c r="Z19" s="530"/>
      <c r="AA19" s="530"/>
      <c r="AB19" s="530"/>
      <c r="AC19" s="530"/>
      <c r="AD19" s="530"/>
      <c r="AE19" s="530"/>
      <c r="AF19" s="1323">
        <v>1</v>
      </c>
      <c r="AG19" s="62"/>
      <c r="AH19" s="62"/>
      <c r="AI19" s="62"/>
      <c r="AJ19" s="62"/>
      <c r="AK19" s="62"/>
      <c r="AL19" s="62"/>
      <c r="AM19" s="62">
        <v>2</v>
      </c>
      <c r="AN19" s="62"/>
      <c r="AO19" s="62"/>
      <c r="AP19" s="62"/>
      <c r="AQ19">
        <v>6</v>
      </c>
      <c r="AR19" s="594">
        <f t="shared" si="1"/>
        <v>9</v>
      </c>
      <c r="AS19" s="591"/>
      <c r="AT19" s="591"/>
      <c r="AU19" s="591"/>
      <c r="AV19" s="62">
        <v>3</v>
      </c>
      <c r="AW19" s="62"/>
      <c r="AX19" s="62"/>
      <c r="AY19" s="62"/>
      <c r="AZ19" s="62"/>
      <c r="BA19" s="62"/>
      <c r="BB19" s="62"/>
      <c r="BC19" s="62"/>
      <c r="BD19" s="62"/>
      <c r="BE19" s="62"/>
      <c r="BF19" s="62"/>
      <c r="BG19">
        <v>3</v>
      </c>
      <c r="BH19" s="594">
        <f t="shared" si="2"/>
        <v>6</v>
      </c>
      <c r="BI19" s="595"/>
      <c r="BJ19" s="62"/>
      <c r="BK19" s="62"/>
      <c r="BL19" s="62"/>
      <c r="BM19" s="62"/>
      <c r="BN19" s="62"/>
      <c r="BO19" s="62"/>
      <c r="BP19" s="62"/>
      <c r="BQ19" s="62">
        <v>1</v>
      </c>
      <c r="BR19" s="62"/>
      <c r="BS19" s="62"/>
      <c r="BT19" s="62"/>
      <c r="BV19" s="594">
        <f t="shared" si="3"/>
        <v>1</v>
      </c>
      <c r="BW19" s="601"/>
      <c r="BY19" s="62">
        <v>4</v>
      </c>
      <c r="BZ19" s="62"/>
      <c r="CA19" s="62"/>
      <c r="CB19" s="62"/>
      <c r="CC19" s="62"/>
      <c r="CD19" s="62"/>
      <c r="CE19" s="62"/>
      <c r="CF19" s="62">
        <v>4</v>
      </c>
      <c r="CG19" s="62"/>
      <c r="CH19" s="62"/>
      <c r="CI19" s="62"/>
      <c r="CJ19">
        <v>2</v>
      </c>
      <c r="CK19" s="594">
        <f t="shared" si="4"/>
        <v>10</v>
      </c>
      <c r="CL19" s="601"/>
    </row>
    <row r="20" spans="1:90">
      <c r="A20" s="481" t="s">
        <v>324</v>
      </c>
      <c r="B20" s="455">
        <f t="shared" si="0"/>
        <v>0</v>
      </c>
      <c r="C20" s="455">
        <f t="shared" si="0"/>
        <v>0</v>
      </c>
      <c r="D20" s="455">
        <f t="shared" si="0"/>
        <v>0</v>
      </c>
      <c r="E20" s="536"/>
      <c r="F20" s="208">
        <f>'Graduate Completions'!O25</f>
        <v>0</v>
      </c>
      <c r="G20">
        <f>G19</f>
        <v>0.96</v>
      </c>
      <c r="H20" s="226"/>
      <c r="I20" s="582" t="s">
        <v>624</v>
      </c>
      <c r="J20" s="62"/>
      <c r="K20" s="530"/>
      <c r="L20" s="530">
        <f>SUM(AF20:AQ20)</f>
        <v>4</v>
      </c>
      <c r="M20" s="1318">
        <f>SUM(AV20:BG20)</f>
        <v>10</v>
      </c>
      <c r="N20" s="1318">
        <f>SUM(BJ20:BU20)</f>
        <v>5</v>
      </c>
      <c r="O20" s="1318">
        <f>SUM(BY20:CJ20)</f>
        <v>0</v>
      </c>
      <c r="P20" s="1319"/>
      <c r="Q20" s="530"/>
      <c r="R20" s="530"/>
      <c r="S20" s="530"/>
      <c r="T20" s="530"/>
      <c r="U20" s="530"/>
      <c r="V20" s="530"/>
      <c r="W20" s="530"/>
      <c r="X20" s="530"/>
      <c r="Y20" s="530"/>
      <c r="Z20" s="530"/>
      <c r="AA20" s="530"/>
      <c r="AB20" s="530"/>
      <c r="AC20" s="530"/>
      <c r="AD20" s="530"/>
      <c r="AE20" s="530"/>
      <c r="AF20" s="1323">
        <v>2</v>
      </c>
      <c r="AG20" s="62"/>
      <c r="AH20" s="62"/>
      <c r="AI20" s="62">
        <v>1</v>
      </c>
      <c r="AJ20" s="62"/>
      <c r="AK20" s="62"/>
      <c r="AL20" s="62"/>
      <c r="AM20" s="62"/>
      <c r="AN20" s="62"/>
      <c r="AO20" s="62"/>
      <c r="AP20" s="62"/>
      <c r="AQ20">
        <v>1</v>
      </c>
      <c r="AR20" s="594">
        <f t="shared" si="1"/>
        <v>4</v>
      </c>
      <c r="AS20" s="591"/>
      <c r="AT20" s="591"/>
      <c r="AU20" s="591"/>
      <c r="AV20" s="47">
        <v>1</v>
      </c>
      <c r="AW20" s="62"/>
      <c r="AX20" s="62"/>
      <c r="AY20" s="62">
        <v>1</v>
      </c>
      <c r="AZ20" s="62"/>
      <c r="BA20" s="62"/>
      <c r="BB20" s="62"/>
      <c r="BC20" s="62">
        <v>2</v>
      </c>
      <c r="BD20" s="62"/>
      <c r="BE20" s="62">
        <v>3</v>
      </c>
      <c r="BF20" s="62"/>
      <c r="BG20">
        <v>3</v>
      </c>
      <c r="BH20" s="594">
        <f t="shared" si="2"/>
        <v>10</v>
      </c>
      <c r="BI20" s="595"/>
      <c r="BJ20" s="62"/>
      <c r="BK20" s="62"/>
      <c r="BL20" s="62"/>
      <c r="BM20" s="62"/>
      <c r="BN20" s="62"/>
      <c r="BO20" s="62"/>
      <c r="BP20" s="62"/>
      <c r="BQ20" s="62"/>
      <c r="BR20" s="62"/>
      <c r="BS20" s="62"/>
      <c r="BT20" s="62"/>
      <c r="BU20">
        <v>5</v>
      </c>
      <c r="BV20" s="594">
        <f t="shared" si="3"/>
        <v>5</v>
      </c>
      <c r="BW20" s="601"/>
      <c r="BY20" s="62"/>
      <c r="BZ20" s="62"/>
      <c r="CA20" s="62"/>
      <c r="CB20" s="62"/>
      <c r="CC20" s="62"/>
      <c r="CD20" s="62"/>
      <c r="CE20" s="62"/>
      <c r="CF20" s="62"/>
      <c r="CG20" s="62"/>
      <c r="CH20" s="62"/>
      <c r="CI20" s="62"/>
      <c r="CK20" s="594">
        <f t="shared" si="4"/>
        <v>0</v>
      </c>
      <c r="CL20" s="601"/>
    </row>
    <row r="21" spans="1:90">
      <c r="A21" s="481" t="s">
        <v>7</v>
      </c>
      <c r="B21" s="455">
        <f t="shared" si="0"/>
        <v>14.82391375628287</v>
      </c>
      <c r="C21" s="455">
        <f t="shared" si="0"/>
        <v>5.9295655025131477</v>
      </c>
      <c r="D21" s="455">
        <f t="shared" si="0"/>
        <v>8.8943482537697207</v>
      </c>
      <c r="E21" s="536"/>
      <c r="F21" s="208">
        <f>'Graduate Completions'!O26</f>
        <v>3.0883153658922646</v>
      </c>
      <c r="G21">
        <f>G20</f>
        <v>0.96</v>
      </c>
      <c r="H21" s="226"/>
      <c r="I21" s="582"/>
      <c r="J21" s="62"/>
      <c r="K21" s="530"/>
      <c r="L21" s="530"/>
      <c r="M21" s="1324"/>
      <c r="N21" s="1324"/>
      <c r="O21" s="1324"/>
      <c r="P21" s="1325"/>
      <c r="Q21" s="530"/>
      <c r="R21" s="530"/>
      <c r="S21" s="530"/>
      <c r="T21" s="530"/>
      <c r="U21" s="530"/>
      <c r="V21" s="530"/>
      <c r="W21" s="530"/>
      <c r="X21" s="530"/>
      <c r="Y21" s="530"/>
      <c r="Z21" s="530"/>
      <c r="AA21" s="530"/>
      <c r="AB21" s="530"/>
      <c r="AC21" s="530"/>
      <c r="AD21" s="530"/>
      <c r="AE21" s="530"/>
      <c r="AF21" s="62"/>
      <c r="AG21" s="62"/>
      <c r="AH21" s="62"/>
      <c r="AI21" s="47"/>
      <c r="AJ21" s="62"/>
      <c r="AK21" s="47"/>
      <c r="AL21" s="62"/>
      <c r="AM21" s="62"/>
      <c r="AN21" s="62"/>
      <c r="AO21" s="62"/>
      <c r="AP21" s="62"/>
      <c r="AR21" s="594">
        <f t="shared" si="1"/>
        <v>0</v>
      </c>
      <c r="AS21" s="591"/>
      <c r="AT21" s="591"/>
      <c r="AU21" s="591"/>
      <c r="AV21" s="62"/>
      <c r="AW21" s="62"/>
      <c r="AX21" s="62"/>
      <c r="AY21" s="47"/>
      <c r="AZ21" s="62"/>
      <c r="BA21" s="47"/>
      <c r="BB21" s="62"/>
      <c r="BC21" s="62"/>
      <c r="BD21" s="62"/>
      <c r="BE21" s="62"/>
      <c r="BF21" s="62"/>
      <c r="BH21" s="594">
        <f t="shared" si="2"/>
        <v>0</v>
      </c>
      <c r="BI21" s="595"/>
      <c r="BJ21" s="62"/>
      <c r="BK21" s="62"/>
      <c r="BL21" s="62"/>
      <c r="BM21" s="47"/>
      <c r="BN21" s="62"/>
      <c r="BO21" s="47"/>
      <c r="BP21" s="62"/>
      <c r="BQ21" s="62"/>
      <c r="BR21" s="62"/>
      <c r="BS21" s="62"/>
      <c r="BT21" s="62"/>
      <c r="BV21" s="594">
        <f t="shared" si="3"/>
        <v>0</v>
      </c>
      <c r="BW21" s="601"/>
      <c r="BY21" s="62"/>
      <c r="BZ21" s="62"/>
      <c r="CA21" s="62"/>
      <c r="CB21" s="47"/>
      <c r="CC21" s="62"/>
      <c r="CD21" s="47"/>
      <c r="CE21" s="62"/>
      <c r="CF21" s="62"/>
      <c r="CG21" s="62"/>
      <c r="CH21" s="62"/>
      <c r="CI21" s="62"/>
      <c r="CK21" s="594">
        <f t="shared" si="4"/>
        <v>0</v>
      </c>
      <c r="CL21" s="601"/>
    </row>
    <row r="22" spans="1:90">
      <c r="A22" s="481" t="s">
        <v>9</v>
      </c>
      <c r="B22" s="455">
        <f t="shared" si="0"/>
        <v>2.8885576976184457</v>
      </c>
      <c r="C22" s="455">
        <f t="shared" si="0"/>
        <v>5.7771153952368914</v>
      </c>
      <c r="D22" s="455">
        <f t="shared" si="0"/>
        <v>5.7771153952368914</v>
      </c>
      <c r="E22" s="536"/>
      <c r="F22" s="208">
        <f>'Graduate Completions'!O27</f>
        <v>3.0089142683525476</v>
      </c>
      <c r="G22">
        <f>G21</f>
        <v>0.96</v>
      </c>
      <c r="H22" s="226"/>
      <c r="I22" s="585" t="s">
        <v>625</v>
      </c>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597"/>
      <c r="AS22" s="590"/>
      <c r="AT22" s="590"/>
      <c r="AU22" s="590"/>
      <c r="AV22" s="14"/>
      <c r="AW22" s="14"/>
      <c r="AX22" s="14"/>
      <c r="AY22" s="14"/>
      <c r="AZ22" s="14"/>
      <c r="BA22" s="14"/>
      <c r="BB22" s="14"/>
      <c r="BC22" s="14"/>
      <c r="BD22" s="14"/>
      <c r="BE22" s="14"/>
      <c r="BF22" s="14"/>
      <c r="BG22" s="14"/>
      <c r="BH22" s="597"/>
      <c r="BI22" s="596"/>
      <c r="BJ22" s="14"/>
      <c r="BK22" s="14"/>
      <c r="BL22" s="14"/>
      <c r="BM22" s="14"/>
      <c r="BN22" s="14"/>
      <c r="BO22" s="14"/>
      <c r="BP22" s="14"/>
      <c r="BQ22" s="14"/>
      <c r="BR22" s="14"/>
      <c r="BS22" s="14"/>
      <c r="BT22" s="14"/>
      <c r="BU22" s="14"/>
      <c r="BV22" s="597"/>
      <c r="BW22" s="216"/>
      <c r="BY22" s="14"/>
      <c r="BZ22" s="14"/>
      <c r="CA22" s="14"/>
      <c r="CB22" s="14"/>
      <c r="CC22" s="14"/>
      <c r="CD22" s="14"/>
      <c r="CE22" s="14"/>
      <c r="CF22" s="14"/>
      <c r="CG22" s="14"/>
      <c r="CH22" s="14"/>
      <c r="CI22" s="14"/>
      <c r="CJ22" s="14"/>
      <c r="CK22" s="597"/>
      <c r="CL22" s="216"/>
    </row>
    <row r="23" spans="1:90">
      <c r="A23" s="483" t="s">
        <v>5</v>
      </c>
      <c r="B23" s="455">
        <f t="shared" si="0"/>
        <v>14.213883440442935</v>
      </c>
      <c r="C23" s="455">
        <f t="shared" si="0"/>
        <v>11.371106752354347</v>
      </c>
      <c r="D23" s="455">
        <f t="shared" si="0"/>
        <v>17.056660128531519</v>
      </c>
      <c r="E23" s="536"/>
      <c r="F23" s="208">
        <f>'Graduate Completions'!O28</f>
        <v>2.9612257167589449</v>
      </c>
      <c r="G23">
        <f>G22</f>
        <v>0.96</v>
      </c>
      <c r="H23" s="226"/>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594">
        <f t="shared" ref="AR23:AR29" si="5">SUM(AF23:AQ23)</f>
        <v>0</v>
      </c>
      <c r="AS23" s="591"/>
      <c r="AT23" s="591"/>
      <c r="AU23" s="591"/>
      <c r="AV23" s="62"/>
      <c r="AW23" s="62"/>
      <c r="AX23" s="62"/>
      <c r="AY23" s="62"/>
      <c r="AZ23" s="62"/>
      <c r="BA23" s="62"/>
      <c r="BB23" s="62"/>
      <c r="BC23" s="62"/>
      <c r="BD23" s="62"/>
      <c r="BE23" s="62"/>
      <c r="BF23" s="62"/>
      <c r="BG23" s="62"/>
      <c r="BH23" s="594">
        <f t="shared" ref="BH23:BH29" si="6">SUM(AV23:BG23)</f>
        <v>0</v>
      </c>
      <c r="BI23" s="596"/>
      <c r="BJ23" s="62"/>
      <c r="BK23" s="62"/>
      <c r="BL23" s="62"/>
      <c r="BM23" s="62"/>
      <c r="BN23" s="62"/>
      <c r="BO23" s="62"/>
      <c r="BP23" s="62"/>
      <c r="BQ23" s="62"/>
      <c r="BR23" s="62"/>
      <c r="BS23" s="62"/>
      <c r="BT23" s="62"/>
      <c r="BU23" s="62"/>
      <c r="BV23" s="594">
        <f t="shared" ref="BV23:BV29" si="7">SUM(BJ23:BU23)</f>
        <v>0</v>
      </c>
      <c r="BW23" s="216"/>
      <c r="BY23" s="62"/>
      <c r="BZ23" s="62"/>
      <c r="CA23" s="62"/>
      <c r="CB23" s="62"/>
      <c r="CC23" s="62"/>
      <c r="CD23" s="62"/>
      <c r="CE23" s="62"/>
      <c r="CF23" s="62"/>
      <c r="CG23" s="62"/>
      <c r="CH23" s="62"/>
      <c r="CI23" s="62"/>
      <c r="CJ23" s="62"/>
      <c r="CK23" s="594">
        <f t="shared" ref="CK23:CK29" si="8">SUM(BY23:CJ23)</f>
        <v>0</v>
      </c>
      <c r="CL23" s="216"/>
    </row>
    <row r="24" spans="1:90">
      <c r="A24" s="481"/>
      <c r="B24" s="454"/>
      <c r="C24" s="454"/>
      <c r="D24" s="454"/>
      <c r="E24" s="472"/>
      <c r="H24" s="226"/>
      <c r="I24" s="582" t="s">
        <v>620</v>
      </c>
      <c r="J24" s="62"/>
      <c r="K24" s="530"/>
      <c r="L24" s="530">
        <f>SUM(AF24:AQ24)</f>
        <v>4</v>
      </c>
      <c r="M24" s="1318">
        <f>SUM(AV24:BG24)</f>
        <v>2</v>
      </c>
      <c r="N24" s="1318">
        <f>SUM(BJ24:BU24)</f>
        <v>5</v>
      </c>
      <c r="O24" s="1318">
        <f>SUM(BY24:CJ24)</f>
        <v>5</v>
      </c>
      <c r="P24" s="1319"/>
      <c r="Q24" s="530"/>
      <c r="R24" s="530"/>
      <c r="S24" s="530"/>
      <c r="T24" s="530"/>
      <c r="U24" s="530"/>
      <c r="V24" s="530"/>
      <c r="W24" s="530"/>
      <c r="X24" s="530"/>
      <c r="Y24" s="530"/>
      <c r="Z24" s="530"/>
      <c r="AA24" s="530"/>
      <c r="AB24" s="530"/>
      <c r="AC24" s="530"/>
      <c r="AD24" s="530"/>
      <c r="AE24" s="530"/>
      <c r="AF24" s="1323">
        <v>2</v>
      </c>
      <c r="AG24" s="62"/>
      <c r="AH24" s="62"/>
      <c r="AI24" s="62"/>
      <c r="AJ24" s="62">
        <v>1</v>
      </c>
      <c r="AK24" s="62">
        <v>1</v>
      </c>
      <c r="AL24" s="62"/>
      <c r="AM24" s="62"/>
      <c r="AN24" s="62"/>
      <c r="AO24" s="62"/>
      <c r="AP24" s="62"/>
      <c r="AQ24" s="62"/>
      <c r="AR24" s="594">
        <f t="shared" si="5"/>
        <v>4</v>
      </c>
      <c r="AS24" s="591"/>
      <c r="AT24" s="591"/>
      <c r="AU24" s="591"/>
      <c r="AV24" s="62">
        <v>1</v>
      </c>
      <c r="AW24" s="62"/>
      <c r="AX24" s="62"/>
      <c r="AY24" s="62"/>
      <c r="AZ24" s="62"/>
      <c r="BA24" s="62"/>
      <c r="BB24" s="62"/>
      <c r="BC24" s="62"/>
      <c r="BD24" s="62">
        <v>1</v>
      </c>
      <c r="BE24" s="62"/>
      <c r="BF24" s="62"/>
      <c r="BG24" s="62"/>
      <c r="BH24" s="594">
        <f t="shared" si="6"/>
        <v>2</v>
      </c>
      <c r="BI24" s="595"/>
      <c r="BJ24" s="62">
        <v>1</v>
      </c>
      <c r="BK24" s="62"/>
      <c r="BL24" s="62"/>
      <c r="BM24" s="62"/>
      <c r="BN24" s="62">
        <v>1</v>
      </c>
      <c r="BO24" s="62"/>
      <c r="BP24" s="62"/>
      <c r="BQ24" s="62"/>
      <c r="BR24" s="62">
        <v>2</v>
      </c>
      <c r="BS24" s="62"/>
      <c r="BT24" s="62">
        <v>1</v>
      </c>
      <c r="BU24" s="62"/>
      <c r="BV24" s="594">
        <f t="shared" si="7"/>
        <v>5</v>
      </c>
      <c r="BW24" s="601"/>
      <c r="BY24" s="62"/>
      <c r="BZ24" s="62"/>
      <c r="CA24" s="62"/>
      <c r="CB24" s="62"/>
      <c r="CC24" s="62">
        <v>1</v>
      </c>
      <c r="CD24" s="62">
        <v>4</v>
      </c>
      <c r="CE24" s="62"/>
      <c r="CF24" s="62"/>
      <c r="CG24" s="62"/>
      <c r="CH24" s="62"/>
      <c r="CI24" s="62"/>
      <c r="CJ24" s="62"/>
      <c r="CK24" s="594">
        <f t="shared" si="8"/>
        <v>5</v>
      </c>
      <c r="CL24" s="601"/>
    </row>
    <row r="25" spans="1:90">
      <c r="A25" s="481" t="s">
        <v>541</v>
      </c>
      <c r="B25" s="455">
        <f t="shared" ref="B25:D29" si="9">$F25*$G25*SUM(K65:M65)</f>
        <v>0</v>
      </c>
      <c r="C25" s="455">
        <f t="shared" si="9"/>
        <v>0</v>
      </c>
      <c r="D25" s="455">
        <f t="shared" si="9"/>
        <v>0</v>
      </c>
      <c r="E25" s="536"/>
      <c r="F25">
        <v>0</v>
      </c>
      <c r="G25">
        <f>G24</f>
        <v>0</v>
      </c>
      <c r="H25" s="226"/>
      <c r="I25" s="582" t="s">
        <v>621</v>
      </c>
      <c r="J25" s="62"/>
      <c r="K25" s="530"/>
      <c r="L25" s="530">
        <f>SUM(AF25:AQ25)</f>
        <v>2</v>
      </c>
      <c r="M25" s="1318">
        <f>SUM(AV25:BG25)</f>
        <v>2</v>
      </c>
      <c r="N25" s="1318">
        <f>SUM(BJ25:BU25)</f>
        <v>1</v>
      </c>
      <c r="O25" s="1318">
        <f>SUM(BY25:CJ25)</f>
        <v>5</v>
      </c>
      <c r="P25" s="1319"/>
      <c r="Q25" s="530"/>
      <c r="R25" s="530"/>
      <c r="S25" s="530"/>
      <c r="T25" s="530"/>
      <c r="U25" s="530"/>
      <c r="V25" s="530"/>
      <c r="W25" s="530"/>
      <c r="X25" s="530"/>
      <c r="Y25" s="530"/>
      <c r="Z25" s="530"/>
      <c r="AA25" s="530"/>
      <c r="AB25" s="530"/>
      <c r="AC25" s="530"/>
      <c r="AD25" s="530"/>
      <c r="AE25" s="530"/>
      <c r="AF25" s="47"/>
      <c r="AG25" s="62"/>
      <c r="AH25" s="62"/>
      <c r="AI25" s="62"/>
      <c r="AJ25" s="62"/>
      <c r="AK25" s="62"/>
      <c r="AL25" s="62"/>
      <c r="AM25" s="62"/>
      <c r="AN25" s="62"/>
      <c r="AO25" s="62">
        <v>1</v>
      </c>
      <c r="AP25" s="62"/>
      <c r="AQ25" s="62">
        <v>1</v>
      </c>
      <c r="AR25" s="594">
        <f t="shared" si="5"/>
        <v>2</v>
      </c>
      <c r="AS25" s="591"/>
      <c r="AT25" s="591"/>
      <c r="AU25" s="591"/>
      <c r="AV25" s="47">
        <v>1</v>
      </c>
      <c r="AW25" s="62"/>
      <c r="AX25" s="62"/>
      <c r="AY25" s="62"/>
      <c r="AZ25" s="62"/>
      <c r="BA25" s="62"/>
      <c r="BB25" s="62"/>
      <c r="BC25" s="62"/>
      <c r="BD25" s="62"/>
      <c r="BE25" s="62"/>
      <c r="BF25" s="62"/>
      <c r="BG25" s="62">
        <v>1</v>
      </c>
      <c r="BH25" s="594">
        <f t="shared" si="6"/>
        <v>2</v>
      </c>
      <c r="BI25" s="595"/>
      <c r="BJ25" s="47"/>
      <c r="BK25" s="62"/>
      <c r="BL25" s="62"/>
      <c r="BM25" s="62"/>
      <c r="BN25" s="62"/>
      <c r="BO25" s="62"/>
      <c r="BP25" s="62"/>
      <c r="BQ25" s="62"/>
      <c r="BR25" s="62"/>
      <c r="BS25" s="62">
        <v>1</v>
      </c>
      <c r="BT25" s="62"/>
      <c r="BU25" s="62"/>
      <c r="BV25" s="594">
        <f t="shared" si="7"/>
        <v>1</v>
      </c>
      <c r="BW25" s="601"/>
      <c r="BY25" s="47"/>
      <c r="BZ25" s="62"/>
      <c r="CA25" s="62"/>
      <c r="CB25" s="62"/>
      <c r="CC25" s="62"/>
      <c r="CD25" s="62"/>
      <c r="CE25" s="62"/>
      <c r="CF25" s="62"/>
      <c r="CG25" s="62"/>
      <c r="CH25" s="62">
        <v>4</v>
      </c>
      <c r="CI25" s="62"/>
      <c r="CJ25" s="62">
        <v>1</v>
      </c>
      <c r="CK25" s="594">
        <f t="shared" si="8"/>
        <v>5</v>
      </c>
      <c r="CL25" s="601"/>
    </row>
    <row r="26" spans="1:90">
      <c r="A26" s="481" t="s">
        <v>563</v>
      </c>
      <c r="B26" s="455">
        <f t="shared" si="9"/>
        <v>0</v>
      </c>
      <c r="C26" s="455">
        <f t="shared" si="9"/>
        <v>0</v>
      </c>
      <c r="D26" s="455">
        <f t="shared" si="9"/>
        <v>0</v>
      </c>
      <c r="E26" s="536"/>
      <c r="F26">
        <v>0</v>
      </c>
      <c r="G26">
        <f>G25</f>
        <v>0</v>
      </c>
      <c r="H26" s="226"/>
      <c r="I26" s="1320" t="s">
        <v>619</v>
      </c>
      <c r="J26" s="1321"/>
      <c r="K26" s="530"/>
      <c r="L26" s="1322"/>
      <c r="M26" s="1322"/>
      <c r="N26" s="1322"/>
      <c r="O26" s="1322"/>
      <c r="P26" s="1321"/>
      <c r="Q26" s="530"/>
      <c r="R26" s="530"/>
      <c r="S26" s="530"/>
      <c r="T26" s="530"/>
      <c r="U26" s="530"/>
      <c r="V26" s="530"/>
      <c r="W26" s="530"/>
      <c r="X26" s="530"/>
      <c r="Y26" s="530"/>
      <c r="Z26" s="530"/>
      <c r="AA26" s="530"/>
      <c r="AB26" s="530"/>
      <c r="AC26" s="530"/>
      <c r="AD26" s="530"/>
      <c r="AE26" s="530"/>
      <c r="AF26" s="47"/>
      <c r="AG26" s="62"/>
      <c r="AH26" s="62"/>
      <c r="AI26" s="62"/>
      <c r="AJ26" s="62"/>
      <c r="AK26" s="62"/>
      <c r="AL26" s="62"/>
      <c r="AM26" s="62"/>
      <c r="AN26" s="62"/>
      <c r="AO26" s="62"/>
      <c r="AP26" s="62"/>
      <c r="AQ26" s="62"/>
      <c r="AR26" s="594">
        <f t="shared" si="5"/>
        <v>0</v>
      </c>
      <c r="AS26" s="592"/>
      <c r="AT26" s="592"/>
      <c r="AU26" s="592"/>
      <c r="AV26" s="47"/>
      <c r="AW26" s="62"/>
      <c r="AX26" s="62"/>
      <c r="AY26" s="62"/>
      <c r="AZ26" s="62"/>
      <c r="BA26" s="62"/>
      <c r="BB26" s="62"/>
      <c r="BC26" s="62"/>
      <c r="BD26" s="62"/>
      <c r="BE26" s="62"/>
      <c r="BF26" s="62"/>
      <c r="BG26" s="62"/>
      <c r="BH26" s="594">
        <f t="shared" si="6"/>
        <v>0</v>
      </c>
      <c r="BI26" s="595"/>
      <c r="BJ26" s="47"/>
      <c r="BK26" s="62"/>
      <c r="BL26" s="62"/>
      <c r="BM26" s="62"/>
      <c r="BN26" s="62"/>
      <c r="BO26" s="62"/>
      <c r="BP26" s="62"/>
      <c r="BQ26" s="62"/>
      <c r="BR26" s="62"/>
      <c r="BS26" s="62"/>
      <c r="BT26" s="62"/>
      <c r="BU26" s="62"/>
      <c r="BV26" s="594">
        <f t="shared" si="7"/>
        <v>0</v>
      </c>
      <c r="BW26" s="601"/>
      <c r="BY26" s="47"/>
      <c r="BZ26" s="62"/>
      <c r="CA26" s="62"/>
      <c r="CB26" s="62"/>
      <c r="CC26" s="62"/>
      <c r="CD26" s="62"/>
      <c r="CE26" s="62"/>
      <c r="CF26" s="62"/>
      <c r="CG26" s="62"/>
      <c r="CH26" s="62"/>
      <c r="CI26" s="62"/>
      <c r="CJ26" s="62"/>
      <c r="CK26" s="594">
        <f t="shared" si="8"/>
        <v>0</v>
      </c>
      <c r="CL26" s="601"/>
    </row>
    <row r="27" spans="1:90">
      <c r="A27" s="483" t="s">
        <v>543</v>
      </c>
      <c r="B27" s="455">
        <f t="shared" si="9"/>
        <v>0</v>
      </c>
      <c r="C27" s="455">
        <f t="shared" si="9"/>
        <v>0</v>
      </c>
      <c r="D27" s="455">
        <f t="shared" si="9"/>
        <v>0</v>
      </c>
      <c r="E27" s="536"/>
      <c r="F27">
        <v>0</v>
      </c>
      <c r="G27">
        <f>G26</f>
        <v>0</v>
      </c>
      <c r="H27" s="226"/>
      <c r="I27" s="582" t="s">
        <v>622</v>
      </c>
      <c r="J27" s="62"/>
      <c r="K27" s="530"/>
      <c r="L27" s="530">
        <f>SUM(AF27:AQ27)</f>
        <v>4</v>
      </c>
      <c r="M27" s="1318">
        <f>SUM(AV27:BG27)</f>
        <v>6</v>
      </c>
      <c r="N27" s="1318">
        <f>SUM(BJ27:BU27)</f>
        <v>4</v>
      </c>
      <c r="O27" s="1318">
        <f>SUM(BY27:CJ27)</f>
        <v>4</v>
      </c>
      <c r="P27" s="1319"/>
      <c r="Q27" s="530"/>
      <c r="R27" s="530"/>
      <c r="S27" s="530"/>
      <c r="T27" s="530"/>
      <c r="U27" s="530"/>
      <c r="V27" s="530"/>
      <c r="W27" s="530"/>
      <c r="X27" s="530"/>
      <c r="Y27" s="530"/>
      <c r="Z27" s="530"/>
      <c r="AA27" s="530"/>
      <c r="AB27" s="530"/>
      <c r="AC27" s="530"/>
      <c r="AD27" s="530"/>
      <c r="AE27" s="530"/>
      <c r="AF27" s="47"/>
      <c r="AG27" s="62"/>
      <c r="AH27" s="62"/>
      <c r="AI27" s="62">
        <v>2</v>
      </c>
      <c r="AJ27" s="62"/>
      <c r="AK27" s="62"/>
      <c r="AL27" s="62"/>
      <c r="AM27" s="62"/>
      <c r="AN27" s="62"/>
      <c r="AO27" s="62"/>
      <c r="AP27" s="62">
        <v>1</v>
      </c>
      <c r="AQ27" s="62">
        <v>1</v>
      </c>
      <c r="AR27" s="594">
        <f t="shared" si="5"/>
        <v>4</v>
      </c>
      <c r="AS27" s="591"/>
      <c r="AT27" s="591"/>
      <c r="AU27" s="591"/>
      <c r="AV27" s="47"/>
      <c r="AW27" s="62"/>
      <c r="AX27" s="62"/>
      <c r="AY27" s="62"/>
      <c r="AZ27" s="62"/>
      <c r="BA27" s="62"/>
      <c r="BB27" s="62">
        <v>6</v>
      </c>
      <c r="BC27" s="62"/>
      <c r="BD27" s="62"/>
      <c r="BE27" s="62"/>
      <c r="BF27" s="62"/>
      <c r="BG27" s="62"/>
      <c r="BH27" s="594">
        <f t="shared" si="6"/>
        <v>6</v>
      </c>
      <c r="BI27" s="595"/>
      <c r="BJ27" s="47"/>
      <c r="BK27" s="62"/>
      <c r="BL27" s="62"/>
      <c r="BM27" s="62"/>
      <c r="BN27" s="62"/>
      <c r="BO27" s="62"/>
      <c r="BP27" s="62">
        <v>4</v>
      </c>
      <c r="BQ27" s="62"/>
      <c r="BR27" s="62"/>
      <c r="BS27" s="62"/>
      <c r="BT27" s="62"/>
      <c r="BU27" s="62"/>
      <c r="BV27" s="594">
        <f t="shared" si="7"/>
        <v>4</v>
      </c>
      <c r="BW27" s="601"/>
      <c r="BY27" s="47"/>
      <c r="BZ27" s="62"/>
      <c r="CA27" s="62"/>
      <c r="CB27" s="62"/>
      <c r="CC27" s="62"/>
      <c r="CD27" s="62"/>
      <c r="CE27" s="62">
        <v>4</v>
      </c>
      <c r="CF27" s="62"/>
      <c r="CG27" s="62"/>
      <c r="CH27" s="62"/>
      <c r="CI27" s="62"/>
      <c r="CJ27" s="62"/>
      <c r="CK27" s="594">
        <f t="shared" si="8"/>
        <v>4</v>
      </c>
      <c r="CL27" s="601"/>
    </row>
    <row r="28" spans="1:90">
      <c r="A28" s="481" t="s">
        <v>562</v>
      </c>
      <c r="B28" s="455">
        <f t="shared" si="9"/>
        <v>0</v>
      </c>
      <c r="C28" s="455">
        <f t="shared" si="9"/>
        <v>0</v>
      </c>
      <c r="D28" s="455">
        <f t="shared" si="9"/>
        <v>0</v>
      </c>
      <c r="E28" s="536"/>
      <c r="F28">
        <v>0</v>
      </c>
      <c r="G28">
        <f>G27</f>
        <v>0</v>
      </c>
      <c r="H28" s="226"/>
      <c r="I28" s="1326" t="s">
        <v>626</v>
      </c>
      <c r="J28" s="1065"/>
      <c r="K28" s="530"/>
      <c r="L28" s="1327"/>
      <c r="M28" s="1327"/>
      <c r="N28" s="1327"/>
      <c r="O28" s="1327"/>
      <c r="P28" s="1065"/>
      <c r="Q28" s="530"/>
      <c r="R28" s="530"/>
      <c r="S28" s="530"/>
      <c r="T28" s="530"/>
      <c r="U28" s="530"/>
      <c r="V28" s="530"/>
      <c r="W28" s="530"/>
      <c r="X28" s="530"/>
      <c r="Y28" s="530"/>
      <c r="Z28" s="530"/>
      <c r="AA28" s="530"/>
      <c r="AB28" s="530"/>
      <c r="AC28" s="530"/>
      <c r="AD28" s="530"/>
      <c r="AE28" s="530"/>
      <c r="AF28" s="62"/>
      <c r="AG28" s="62"/>
      <c r="AH28" s="62"/>
      <c r="AI28" s="62"/>
      <c r="AJ28" s="62"/>
      <c r="AK28" s="62"/>
      <c r="AL28" s="62"/>
      <c r="AM28" s="62"/>
      <c r="AN28" s="62"/>
      <c r="AO28" s="62"/>
      <c r="AP28" s="62"/>
      <c r="AQ28" s="62"/>
      <c r="AR28" s="594">
        <f t="shared" si="5"/>
        <v>0</v>
      </c>
      <c r="AS28" s="591"/>
      <c r="AT28" s="591"/>
      <c r="AU28" s="591"/>
      <c r="AV28" s="62"/>
      <c r="AW28" s="62"/>
      <c r="AX28" s="62"/>
      <c r="AY28" s="62"/>
      <c r="AZ28" s="62"/>
      <c r="BA28" s="62"/>
      <c r="BB28" s="62"/>
      <c r="BC28" s="62"/>
      <c r="BD28" s="62"/>
      <c r="BE28" s="62"/>
      <c r="BF28" s="62"/>
      <c r="BG28" s="62"/>
      <c r="BH28" s="594">
        <f t="shared" si="6"/>
        <v>0</v>
      </c>
      <c r="BI28" s="595"/>
      <c r="BJ28" s="62"/>
      <c r="BK28" s="62"/>
      <c r="BL28" s="62"/>
      <c r="BM28" s="62"/>
      <c r="BN28" s="62"/>
      <c r="BO28" s="62"/>
      <c r="BP28" s="62"/>
      <c r="BQ28" s="62"/>
      <c r="BR28" s="62"/>
      <c r="BS28" s="62"/>
      <c r="BT28" s="62"/>
      <c r="BU28" s="62"/>
      <c r="BV28" s="594">
        <f t="shared" si="7"/>
        <v>0</v>
      </c>
      <c r="BW28" s="601"/>
      <c r="BY28" s="62"/>
      <c r="BZ28" s="62"/>
      <c r="CA28" s="62"/>
      <c r="CB28" s="62"/>
      <c r="CC28" s="62"/>
      <c r="CD28" s="62"/>
      <c r="CE28" s="62"/>
      <c r="CF28" s="62"/>
      <c r="CG28" s="62"/>
      <c r="CH28" s="62"/>
      <c r="CI28" s="62"/>
      <c r="CJ28" s="62"/>
      <c r="CK28" s="594">
        <f t="shared" si="8"/>
        <v>0</v>
      </c>
      <c r="CL28" s="601"/>
    </row>
    <row r="29" spans="1:90">
      <c r="A29" s="547" t="s">
        <v>545</v>
      </c>
      <c r="B29" s="455">
        <f t="shared" si="9"/>
        <v>0</v>
      </c>
      <c r="C29" s="455">
        <f t="shared" si="9"/>
        <v>0</v>
      </c>
      <c r="D29" s="455">
        <f t="shared" si="9"/>
        <v>0</v>
      </c>
      <c r="E29" s="536"/>
      <c r="F29">
        <v>0</v>
      </c>
      <c r="G29">
        <f>G28</f>
        <v>0</v>
      </c>
      <c r="H29" s="226"/>
      <c r="I29" s="583" t="s">
        <v>624</v>
      </c>
      <c r="J29" s="15"/>
      <c r="K29" s="584"/>
      <c r="L29" s="530">
        <f>SUM(AF29:AQ29)</f>
        <v>0</v>
      </c>
      <c r="M29" s="1318">
        <f>SUM(AV29:BG29)</f>
        <v>3</v>
      </c>
      <c r="N29" s="1318">
        <f>SUM(BJ29:BU29)</f>
        <v>0</v>
      </c>
      <c r="O29" s="1318">
        <f>SUM(BY29:CJ29)</f>
        <v>3</v>
      </c>
      <c r="P29" s="1319"/>
      <c r="Q29" s="584"/>
      <c r="R29" s="584"/>
      <c r="S29" s="584"/>
      <c r="T29" s="584"/>
      <c r="U29" s="584"/>
      <c r="V29" s="584"/>
      <c r="W29" s="584"/>
      <c r="X29" s="584"/>
      <c r="Y29" s="584"/>
      <c r="Z29" s="584"/>
      <c r="AA29" s="584"/>
      <c r="AB29" s="584"/>
      <c r="AC29" s="584"/>
      <c r="AD29" s="584"/>
      <c r="AE29" s="584"/>
      <c r="AF29" s="15"/>
      <c r="AG29" s="15"/>
      <c r="AH29" s="15"/>
      <c r="AI29" s="15"/>
      <c r="AJ29" s="15"/>
      <c r="AK29" s="15"/>
      <c r="AL29" s="15"/>
      <c r="AM29" s="15"/>
      <c r="AN29" s="15"/>
      <c r="AO29" s="15"/>
      <c r="AP29" s="15"/>
      <c r="AQ29" s="15"/>
      <c r="AR29" s="594">
        <f t="shared" si="5"/>
        <v>0</v>
      </c>
      <c r="AS29" s="593"/>
      <c r="AT29" s="593"/>
      <c r="AU29" s="593"/>
      <c r="AV29" s="15">
        <v>1</v>
      </c>
      <c r="AW29" s="15"/>
      <c r="AX29" s="15"/>
      <c r="AY29" s="15">
        <v>1</v>
      </c>
      <c r="AZ29" s="15"/>
      <c r="BA29" s="15"/>
      <c r="BB29" s="15"/>
      <c r="BC29" s="15"/>
      <c r="BD29" s="15"/>
      <c r="BE29" s="15"/>
      <c r="BF29" s="15"/>
      <c r="BG29" s="15">
        <v>1</v>
      </c>
      <c r="BH29" s="594">
        <f t="shared" si="6"/>
        <v>3</v>
      </c>
      <c r="BI29" s="595"/>
      <c r="BJ29" s="15"/>
      <c r="BK29" s="15"/>
      <c r="BL29" s="15"/>
      <c r="BM29" s="15"/>
      <c r="BN29" s="15"/>
      <c r="BO29" s="15"/>
      <c r="BP29" s="15"/>
      <c r="BQ29" s="15"/>
      <c r="BR29" s="15"/>
      <c r="BS29" s="15"/>
      <c r="BT29" s="15"/>
      <c r="BU29" s="15"/>
      <c r="BV29" s="594">
        <f t="shared" si="7"/>
        <v>0</v>
      </c>
      <c r="BW29" s="601"/>
      <c r="BY29" s="15"/>
      <c r="BZ29" s="15"/>
      <c r="CA29" s="15"/>
      <c r="CB29" s="15">
        <v>1</v>
      </c>
      <c r="CC29" s="15"/>
      <c r="CD29" s="15"/>
      <c r="CE29" s="15"/>
      <c r="CF29" s="15"/>
      <c r="CG29" s="15"/>
      <c r="CH29" s="15"/>
      <c r="CI29" s="15"/>
      <c r="CJ29" s="15">
        <v>2</v>
      </c>
      <c r="CK29" s="594">
        <f t="shared" si="8"/>
        <v>3</v>
      </c>
      <c r="CL29" s="601"/>
    </row>
    <row r="30" spans="1:90">
      <c r="A30" s="548"/>
      <c r="B30" s="467">
        <f>SUM(B12:B29)</f>
        <v>93.083284379518119</v>
      </c>
      <c r="C30" s="489"/>
      <c r="D30" s="467">
        <f>SUM(D12:D29)</f>
        <v>99.031063602812083</v>
      </c>
      <c r="E30" s="972"/>
      <c r="H30" s="226"/>
      <c r="I30" s="575" t="s">
        <v>627</v>
      </c>
      <c r="AR30" s="594"/>
      <c r="AS30" s="216"/>
      <c r="AT30" s="216"/>
      <c r="AU30" s="216"/>
      <c r="BH30" s="594"/>
      <c r="BI30" s="596"/>
      <c r="BV30" s="594"/>
      <c r="BW30" s="216"/>
      <c r="CK30" s="594"/>
      <c r="CL30" s="216"/>
    </row>
    <row r="31" spans="1:90">
      <c r="A31" s="46"/>
      <c r="E31" s="46"/>
      <c r="H31" s="226"/>
      <c r="I31" s="1328" t="s">
        <v>622</v>
      </c>
      <c r="J31" s="1152"/>
      <c r="K31" s="475"/>
      <c r="L31" s="1329"/>
      <c r="M31" s="1329"/>
      <c r="N31" s="1329"/>
      <c r="O31" s="1329"/>
      <c r="P31" s="1329"/>
      <c r="Q31" s="475"/>
      <c r="R31" s="475"/>
      <c r="S31" s="475"/>
      <c r="T31" s="475"/>
      <c r="U31" s="475"/>
      <c r="V31" s="475"/>
      <c r="W31" s="475"/>
      <c r="X31" s="475"/>
      <c r="Y31" s="475"/>
      <c r="Z31" s="475"/>
      <c r="AA31" s="475"/>
      <c r="AB31" s="475"/>
      <c r="AC31" s="475"/>
      <c r="AD31" s="475"/>
      <c r="AE31" s="475"/>
      <c r="AR31" s="594">
        <f>SUM(AF31:AQ31)</f>
        <v>0</v>
      </c>
      <c r="AS31" s="216"/>
      <c r="AT31" s="216"/>
      <c r="AU31" s="216"/>
      <c r="BH31" s="594">
        <f>SUM(AV31:BG31)</f>
        <v>0</v>
      </c>
      <c r="BI31" s="595"/>
      <c r="BV31" s="594">
        <f>SUM(BJ31:BU31)</f>
        <v>0</v>
      </c>
      <c r="BW31" s="601"/>
      <c r="CK31" s="594">
        <f>SUM(BY31:CJ31)</f>
        <v>0</v>
      </c>
      <c r="CL31" s="601"/>
    </row>
    <row r="32" spans="1:90">
      <c r="A32" s="46"/>
      <c r="C32" s="46"/>
      <c r="D32" s="46"/>
      <c r="E32" s="46"/>
      <c r="H32" s="226"/>
      <c r="I32" s="1328" t="s">
        <v>628</v>
      </c>
      <c r="J32" s="1152"/>
      <c r="K32" s="475"/>
      <c r="L32" s="1329"/>
      <c r="M32" s="1329"/>
      <c r="N32" s="1329"/>
      <c r="O32" s="1329"/>
      <c r="P32" s="1152"/>
      <c r="Q32" s="475"/>
      <c r="R32" s="475"/>
      <c r="S32" s="475"/>
      <c r="T32" s="475"/>
      <c r="U32" s="475"/>
      <c r="V32" s="475"/>
      <c r="W32" s="475"/>
      <c r="X32" s="475"/>
      <c r="Y32" s="475"/>
      <c r="Z32" s="475"/>
      <c r="AA32" s="475"/>
      <c r="AB32" s="475"/>
      <c r="AC32" s="475"/>
      <c r="AD32" s="475"/>
      <c r="AE32" s="475"/>
      <c r="AF32" s="475"/>
      <c r="AR32" s="594">
        <f>SUM(AF32:AQ32)</f>
        <v>0</v>
      </c>
      <c r="AS32" s="216"/>
      <c r="AT32" s="216"/>
      <c r="AU32" s="216"/>
      <c r="AV32" s="475"/>
      <c r="BH32" s="594">
        <f>SUM(AV32:BG32)</f>
        <v>0</v>
      </c>
      <c r="BI32" s="595"/>
      <c r="BJ32" s="475"/>
      <c r="BV32" s="594">
        <f>SUM(BJ32:BU32)</f>
        <v>0</v>
      </c>
      <c r="BW32" s="601"/>
      <c r="BY32" s="475"/>
      <c r="CK32" s="594">
        <f>SUM(BY32:CJ32)</f>
        <v>0</v>
      </c>
      <c r="CL32" s="601"/>
    </row>
    <row r="33" spans="1:90">
      <c r="C33" s="46"/>
      <c r="D33" s="46"/>
      <c r="E33" s="46"/>
      <c r="H33" s="226"/>
      <c r="I33" s="575" t="s">
        <v>629</v>
      </c>
      <c r="L33" s="530">
        <f>SUM(AF33:AQ33)</f>
        <v>0</v>
      </c>
      <c r="M33" s="1318">
        <f>SUM(AV33:BG33)</f>
        <v>0</v>
      </c>
      <c r="N33" s="1318">
        <f>SUM(BJ33:BU33)</f>
        <v>0</v>
      </c>
      <c r="O33" s="1318">
        <f>SUM(BY33:CJ33)</f>
        <v>0</v>
      </c>
      <c r="P33" s="1319"/>
      <c r="AR33" s="594"/>
      <c r="AS33" s="216"/>
      <c r="AT33" s="216"/>
      <c r="AU33" s="216"/>
      <c r="BH33" s="594"/>
      <c r="BI33" s="596"/>
      <c r="BV33" s="594"/>
      <c r="BW33" s="216"/>
      <c r="CK33" s="594"/>
      <c r="CL33" s="216"/>
    </row>
    <row r="34" spans="1:90">
      <c r="C34" s="46"/>
      <c r="D34" s="46"/>
      <c r="E34" s="46"/>
      <c r="H34" s="226"/>
      <c r="I34" s="351" t="s">
        <v>630</v>
      </c>
      <c r="K34" s="475"/>
      <c r="L34" s="530">
        <f>SUM(AF34:AQ34)</f>
        <v>0</v>
      </c>
      <c r="M34" s="1318">
        <f>SUM(AV34:BG34)</f>
        <v>0</v>
      </c>
      <c r="N34" s="1318">
        <f>SUM(BJ34:BU34)</f>
        <v>0</v>
      </c>
      <c r="O34" s="1318">
        <f>SUM(BY34:CJ34)</f>
        <v>0</v>
      </c>
      <c r="P34" s="1319"/>
      <c r="Q34" s="475"/>
      <c r="R34" s="475"/>
      <c r="S34" s="475"/>
      <c r="T34" s="475"/>
      <c r="U34" s="475"/>
      <c r="V34" s="475"/>
      <c r="W34" s="475"/>
      <c r="X34" s="475"/>
      <c r="Y34" s="475"/>
      <c r="Z34" s="475"/>
      <c r="AA34" s="475"/>
      <c r="AB34" s="475"/>
      <c r="AC34" s="475"/>
      <c r="AD34" s="475"/>
      <c r="AE34" s="475"/>
      <c r="AR34" s="594">
        <f>SUM(AF34:AQ34)</f>
        <v>0</v>
      </c>
      <c r="AS34" s="216"/>
      <c r="AT34" s="216"/>
      <c r="AU34" s="216"/>
      <c r="BH34" s="594">
        <f>SUM(AV34:BG34)</f>
        <v>0</v>
      </c>
      <c r="BI34" s="595"/>
      <c r="BV34" s="594">
        <f>SUM(BJ34:BU34)</f>
        <v>0</v>
      </c>
      <c r="BW34" s="601"/>
      <c r="CK34" s="594">
        <f>SUM(BY34:CJ34)</f>
        <v>0</v>
      </c>
      <c r="CL34" s="601"/>
    </row>
    <row r="35" spans="1:90">
      <c r="A35" s="976" t="s">
        <v>593</v>
      </c>
      <c r="B35" s="977" t="s">
        <v>595</v>
      </c>
      <c r="C35" s="977"/>
      <c r="D35" s="977"/>
      <c r="E35" s="552"/>
      <c r="H35" s="226"/>
      <c r="I35" s="575" t="s">
        <v>631</v>
      </c>
      <c r="L35" s="530">
        <f>SUM(AF35:AQ35)</f>
        <v>0</v>
      </c>
      <c r="AR35" s="594"/>
      <c r="AS35" s="216"/>
      <c r="AT35" s="216"/>
      <c r="AU35" s="216"/>
      <c r="BH35" s="594"/>
      <c r="BI35" s="596"/>
      <c r="BV35" s="594"/>
      <c r="BW35" s="216"/>
      <c r="CK35" s="594"/>
      <c r="CL35" s="216"/>
    </row>
    <row r="36" spans="1:90" ht="38.25">
      <c r="A36" s="973"/>
      <c r="B36" s="480" t="s">
        <v>598</v>
      </c>
      <c r="C36" s="480"/>
      <c r="D36" s="480" t="s">
        <v>644</v>
      </c>
      <c r="E36" s="555"/>
      <c r="H36" s="226"/>
      <c r="I36" s="1328" t="s">
        <v>619</v>
      </c>
      <c r="J36" s="1152"/>
      <c r="K36" s="475"/>
      <c r="L36" s="1329"/>
      <c r="M36" s="1329"/>
      <c r="N36" s="1329"/>
      <c r="O36" s="1329"/>
      <c r="P36" s="1152"/>
      <c r="Q36" s="475"/>
      <c r="R36" s="475"/>
      <c r="S36" s="475"/>
      <c r="T36" s="475"/>
      <c r="U36" s="475"/>
      <c r="V36" s="475"/>
      <c r="W36" s="475"/>
      <c r="X36" s="475"/>
      <c r="Y36" s="475"/>
      <c r="Z36" s="475"/>
      <c r="AA36" s="475"/>
      <c r="AB36" s="475"/>
      <c r="AC36" s="475"/>
      <c r="AD36" s="475"/>
      <c r="AE36" s="475"/>
      <c r="AR36" s="594">
        <f>SUM(AF36:AQ36)</f>
        <v>0</v>
      </c>
      <c r="AS36" s="216"/>
      <c r="AT36" s="216"/>
      <c r="AU36" s="216"/>
      <c r="BH36" s="594">
        <f>SUM(AV36:BG36)</f>
        <v>0</v>
      </c>
      <c r="BI36" s="595"/>
      <c r="BV36" s="594">
        <f>SUM(BJ36:BU36)</f>
        <v>0</v>
      </c>
      <c r="BW36" s="601"/>
      <c r="CK36" s="594">
        <f>SUM(BY36:CJ36)</f>
        <v>0</v>
      </c>
      <c r="CL36" s="601"/>
    </row>
    <row r="37" spans="1:90">
      <c r="A37" s="481" t="s">
        <v>538</v>
      </c>
      <c r="B37" s="455">
        <f>$F37*$G37*SUM(K77:M77)</f>
        <v>47.168051550486339</v>
      </c>
      <c r="C37" s="455">
        <f>$F37*$G37*SUM(L77:N77)</f>
        <v>44.547604242125992</v>
      </c>
      <c r="D37" s="455">
        <f>$F37*$G37*SUM(M77:O77)</f>
        <v>49.788498858846694</v>
      </c>
      <c r="E37" s="536"/>
      <c r="F37" s="208">
        <f>'Graduate Completions'!O42</f>
        <v>2.729632612875367</v>
      </c>
      <c r="G37">
        <f>G12</f>
        <v>0.96</v>
      </c>
      <c r="H37" s="226"/>
      <c r="AR37" s="594"/>
      <c r="AS37" s="216"/>
      <c r="AT37" s="216"/>
      <c r="AU37" s="216"/>
      <c r="BH37" s="594"/>
      <c r="BI37" s="596"/>
      <c r="BV37" s="594"/>
      <c r="BW37" s="216"/>
      <c r="CK37" s="594"/>
      <c r="CL37" s="216"/>
    </row>
    <row r="38" spans="1:90">
      <c r="A38" s="481" t="s">
        <v>6</v>
      </c>
      <c r="B38" s="455">
        <f t="shared" ref="B38:B48" si="10">$F38*$G38*SUM(K78:M78)</f>
        <v>0</v>
      </c>
      <c r="C38" s="455">
        <f t="shared" ref="C38:C48" si="11">$F38*$G38*SUM(L78:N78)</f>
        <v>0</v>
      </c>
      <c r="D38" s="455">
        <f t="shared" ref="D38:D48" si="12">$F38*$G38*SUM(M78:O78)</f>
        <v>0</v>
      </c>
      <c r="E38" s="536"/>
      <c r="F38" s="208">
        <f>'Graduate Completions'!O43</f>
        <v>1.7073273464509895</v>
      </c>
      <c r="G38">
        <f t="shared" ref="G38:G54" si="13">G13</f>
        <v>0.96</v>
      </c>
      <c r="H38" s="226"/>
      <c r="L38" s="475"/>
      <c r="M38" s="475"/>
      <c r="N38" s="475"/>
      <c r="O38" s="475"/>
      <c r="AR38" s="594"/>
      <c r="AS38" s="216"/>
      <c r="AT38" s="216"/>
      <c r="AU38" s="216"/>
      <c r="BH38" s="594"/>
      <c r="BI38" s="596"/>
      <c r="BV38" s="594"/>
      <c r="BW38" s="216"/>
      <c r="CK38" s="594"/>
      <c r="CL38" s="216"/>
    </row>
    <row r="39" spans="1:90">
      <c r="A39" s="481" t="s">
        <v>8</v>
      </c>
      <c r="B39" s="455">
        <f t="shared" si="10"/>
        <v>4.2041760299824968</v>
      </c>
      <c r="C39" s="455">
        <f t="shared" si="11"/>
        <v>7.0069600499708287</v>
      </c>
      <c r="D39" s="455">
        <f t="shared" si="12"/>
        <v>8.4083520599649937</v>
      </c>
      <c r="E39" s="455"/>
      <c r="F39" s="208">
        <f>'Graduate Completions'!O44</f>
        <v>1.4597833437439227</v>
      </c>
      <c r="G39">
        <f t="shared" si="13"/>
        <v>0.96</v>
      </c>
      <c r="H39" s="226"/>
      <c r="AR39" s="594"/>
      <c r="AS39" s="216"/>
      <c r="AT39" s="216"/>
      <c r="AU39" s="216"/>
      <c r="BH39" s="594"/>
      <c r="BI39" s="596"/>
      <c r="BV39" s="594"/>
      <c r="BW39" s="216"/>
      <c r="CK39" s="594"/>
      <c r="CL39" s="216"/>
    </row>
    <row r="40" spans="1:90">
      <c r="A40" s="483" t="s">
        <v>2</v>
      </c>
      <c r="B40" s="455">
        <f t="shared" si="10"/>
        <v>9.6826295303113579</v>
      </c>
      <c r="C40" s="455">
        <f t="shared" si="11"/>
        <v>16.944601678044876</v>
      </c>
      <c r="D40" s="455">
        <f t="shared" si="12"/>
        <v>14.523944295467036</v>
      </c>
      <c r="E40" s="455"/>
      <c r="F40" s="208">
        <f>'Graduate Completions'!O45</f>
        <v>2.5215181068519161</v>
      </c>
      <c r="G40">
        <f t="shared" si="13"/>
        <v>0.96</v>
      </c>
      <c r="H40" s="226"/>
      <c r="I40" s="14" t="s">
        <v>632</v>
      </c>
      <c r="J40" s="14"/>
      <c r="K40" s="580">
        <f>SUM(K12:K21)+K31+K32+K36</f>
        <v>0</v>
      </c>
      <c r="L40" s="580">
        <f>SUM(L12:L21)+L31+L32+L36</f>
        <v>45</v>
      </c>
      <c r="M40" s="580">
        <f>SUM(M12:M21)+M31+M32+M36</f>
        <v>44</v>
      </c>
      <c r="N40" s="580">
        <f>SUM(N12:N21)+N31+N32+N36</f>
        <v>42</v>
      </c>
      <c r="O40" s="580">
        <f>SUM(O12:O21)+O31+O32+O36</f>
        <v>49</v>
      </c>
      <c r="P40" s="14"/>
      <c r="Q40" s="580">
        <f>SUM(Q12:Q21)+Q31+Q32+Q36</f>
        <v>0</v>
      </c>
      <c r="R40" s="580"/>
      <c r="S40" s="580"/>
      <c r="T40" s="580"/>
      <c r="U40" s="580"/>
      <c r="V40" s="580"/>
      <c r="W40" s="580"/>
      <c r="X40" s="580"/>
      <c r="Y40" s="580"/>
      <c r="Z40" s="580"/>
      <c r="AA40" s="580"/>
      <c r="AB40" s="580"/>
      <c r="AC40" s="580"/>
      <c r="AD40" s="580"/>
      <c r="AE40" s="580"/>
      <c r="AF40" s="586">
        <f t="shared" ref="AF40:AQ40" si="14">SUM(AF12:AF21)+AF31+AF32+AF36</f>
        <v>4</v>
      </c>
      <c r="AG40" s="586">
        <f t="shared" si="14"/>
        <v>0</v>
      </c>
      <c r="AH40" s="586">
        <f t="shared" si="14"/>
        <v>4</v>
      </c>
      <c r="AI40" s="586">
        <f t="shared" si="14"/>
        <v>3</v>
      </c>
      <c r="AJ40" s="586">
        <f t="shared" si="14"/>
        <v>0</v>
      </c>
      <c r="AK40" s="586">
        <f t="shared" si="14"/>
        <v>0</v>
      </c>
      <c r="AL40" s="586">
        <f t="shared" si="14"/>
        <v>1</v>
      </c>
      <c r="AM40" s="586">
        <f t="shared" si="14"/>
        <v>22</v>
      </c>
      <c r="AN40" s="586">
        <f t="shared" si="14"/>
        <v>0</v>
      </c>
      <c r="AO40" s="586">
        <f t="shared" si="14"/>
        <v>3</v>
      </c>
      <c r="AP40" s="586">
        <f t="shared" si="14"/>
        <v>1</v>
      </c>
      <c r="AQ40" s="586">
        <f t="shared" si="14"/>
        <v>7</v>
      </c>
      <c r="AR40" s="598">
        <f>SUM(AR12:AR21)+AR31+AR32+AR36</f>
        <v>45</v>
      </c>
      <c r="AS40" s="590"/>
      <c r="AT40" s="590"/>
      <c r="AU40" s="590"/>
      <c r="AV40" s="586">
        <f t="shared" ref="AV40:BG40" si="15">SUM(AV12:AV21)+AV31+AV32+AV36</f>
        <v>9</v>
      </c>
      <c r="AW40" s="586">
        <f t="shared" si="15"/>
        <v>0</v>
      </c>
      <c r="AX40" s="586">
        <f t="shared" si="15"/>
        <v>0</v>
      </c>
      <c r="AY40" s="586">
        <f t="shared" si="15"/>
        <v>1</v>
      </c>
      <c r="AZ40" s="586">
        <f t="shared" si="15"/>
        <v>0</v>
      </c>
      <c r="BA40" s="586">
        <f t="shared" si="15"/>
        <v>0</v>
      </c>
      <c r="BB40" s="586">
        <f t="shared" si="15"/>
        <v>6</v>
      </c>
      <c r="BC40" s="586">
        <f t="shared" si="15"/>
        <v>15</v>
      </c>
      <c r="BD40" s="586">
        <f t="shared" si="15"/>
        <v>0</v>
      </c>
      <c r="BE40" s="586">
        <f t="shared" si="15"/>
        <v>7</v>
      </c>
      <c r="BF40" s="586">
        <f t="shared" si="15"/>
        <v>0</v>
      </c>
      <c r="BG40" s="586">
        <f t="shared" si="15"/>
        <v>6</v>
      </c>
      <c r="BH40" s="598">
        <f>SUM(BH12:BH21)+BH31+BH32+BH36</f>
        <v>44</v>
      </c>
      <c r="BI40" s="598"/>
      <c r="BJ40" s="586">
        <f t="shared" ref="BJ40:BU40" si="16">SUM(BJ12:BJ21)+BJ31+BJ32+BJ36</f>
        <v>4</v>
      </c>
      <c r="BK40" s="586">
        <f t="shared" si="16"/>
        <v>0</v>
      </c>
      <c r="BL40" s="586">
        <f t="shared" si="16"/>
        <v>1</v>
      </c>
      <c r="BM40" s="586">
        <f t="shared" si="16"/>
        <v>3</v>
      </c>
      <c r="BN40" s="586">
        <f t="shared" si="16"/>
        <v>0</v>
      </c>
      <c r="BO40" s="586">
        <f t="shared" si="16"/>
        <v>0</v>
      </c>
      <c r="BP40" s="586">
        <f t="shared" si="16"/>
        <v>5</v>
      </c>
      <c r="BQ40" s="586">
        <f t="shared" si="16"/>
        <v>18</v>
      </c>
      <c r="BR40" s="586">
        <f t="shared" si="16"/>
        <v>0</v>
      </c>
      <c r="BS40" s="586">
        <f t="shared" si="16"/>
        <v>4</v>
      </c>
      <c r="BT40" s="586">
        <f t="shared" si="16"/>
        <v>0</v>
      </c>
      <c r="BU40" s="586">
        <f t="shared" si="16"/>
        <v>7</v>
      </c>
      <c r="BV40" s="602">
        <f>SUM(BJ40:BU40)</f>
        <v>42</v>
      </c>
      <c r="BW40" s="603"/>
      <c r="BY40" s="586">
        <f t="shared" ref="BY40:CJ40" si="17">SUM(BY12:BY21)+BY31+BY32+BY36</f>
        <v>5</v>
      </c>
      <c r="BZ40" s="586">
        <f t="shared" si="17"/>
        <v>0</v>
      </c>
      <c r="CA40" s="586">
        <f t="shared" si="17"/>
        <v>2</v>
      </c>
      <c r="CB40" s="586">
        <f t="shared" si="17"/>
        <v>0</v>
      </c>
      <c r="CC40" s="586">
        <f t="shared" si="17"/>
        <v>0</v>
      </c>
      <c r="CD40" s="586">
        <f t="shared" si="17"/>
        <v>0</v>
      </c>
      <c r="CE40" s="586">
        <f t="shared" si="17"/>
        <v>13</v>
      </c>
      <c r="CF40" s="586">
        <f t="shared" si="17"/>
        <v>22</v>
      </c>
      <c r="CG40" s="586">
        <f t="shared" si="17"/>
        <v>0</v>
      </c>
      <c r="CH40" s="586">
        <f t="shared" si="17"/>
        <v>3</v>
      </c>
      <c r="CI40" s="586">
        <f t="shared" si="17"/>
        <v>0</v>
      </c>
      <c r="CJ40" s="586">
        <f t="shared" si="17"/>
        <v>4</v>
      </c>
      <c r="CK40" s="602">
        <f>SUM(BY40:CJ40)</f>
        <v>49</v>
      </c>
      <c r="CL40" s="603"/>
    </row>
    <row r="41" spans="1:90">
      <c r="A41" s="481" t="s">
        <v>10</v>
      </c>
      <c r="B41" s="455">
        <f t="shared" si="10"/>
        <v>0</v>
      </c>
      <c r="C41" s="455">
        <f t="shared" si="11"/>
        <v>0</v>
      </c>
      <c r="D41" s="455">
        <f t="shared" si="12"/>
        <v>0</v>
      </c>
      <c r="E41" s="455"/>
      <c r="F41" s="208">
        <f>'Graduate Completions'!O46</f>
        <v>2.7690000000000001</v>
      </c>
      <c r="G41">
        <f t="shared" si="13"/>
        <v>0.96</v>
      </c>
      <c r="H41" s="226"/>
      <c r="I41" s="62" t="s">
        <v>633</v>
      </c>
      <c r="J41" s="62"/>
      <c r="K41" s="530">
        <f>K24+K25+K26+K27+K28+K29</f>
        <v>0</v>
      </c>
      <c r="L41" s="530">
        <f>L24+L25+L26+L27+L28+L29</f>
        <v>10</v>
      </c>
      <c r="M41" s="530">
        <f>M24+M25+M26+M27+M28+M29</f>
        <v>13</v>
      </c>
      <c r="N41" s="530">
        <f>N24+N25+N26+N27+N28+N29</f>
        <v>10</v>
      </c>
      <c r="O41" s="530">
        <f>O24+O25+O26+O27+O28+O29</f>
        <v>17</v>
      </c>
      <c r="P41" s="62"/>
      <c r="Q41" s="530">
        <f t="shared" ref="Q41:AR41" si="18">Q24+Q25+Q26+Q27+Q28+Q29</f>
        <v>0</v>
      </c>
      <c r="R41" s="530"/>
      <c r="S41" s="530"/>
      <c r="T41" s="530"/>
      <c r="U41" s="530"/>
      <c r="V41" s="530"/>
      <c r="W41" s="530"/>
      <c r="X41" s="530"/>
      <c r="Y41" s="530"/>
      <c r="Z41" s="530"/>
      <c r="AA41" s="530"/>
      <c r="AB41" s="530"/>
      <c r="AC41" s="530"/>
      <c r="AD41" s="530"/>
      <c r="AE41" s="530"/>
      <c r="AF41" s="529">
        <f t="shared" si="18"/>
        <v>2</v>
      </c>
      <c r="AG41" s="529">
        <f t="shared" si="18"/>
        <v>0</v>
      </c>
      <c r="AH41" s="529">
        <f t="shared" si="18"/>
        <v>0</v>
      </c>
      <c r="AI41" s="529">
        <f t="shared" si="18"/>
        <v>2</v>
      </c>
      <c r="AJ41" s="529">
        <f t="shared" si="18"/>
        <v>1</v>
      </c>
      <c r="AK41" s="529">
        <f t="shared" si="18"/>
        <v>1</v>
      </c>
      <c r="AL41" s="529">
        <f t="shared" si="18"/>
        <v>0</v>
      </c>
      <c r="AM41" s="529">
        <f t="shared" si="18"/>
        <v>0</v>
      </c>
      <c r="AN41" s="529">
        <f t="shared" si="18"/>
        <v>0</v>
      </c>
      <c r="AO41" s="529">
        <f t="shared" si="18"/>
        <v>1</v>
      </c>
      <c r="AP41" s="529">
        <f t="shared" si="18"/>
        <v>1</v>
      </c>
      <c r="AQ41" s="529">
        <f t="shared" si="18"/>
        <v>2</v>
      </c>
      <c r="AR41" s="599">
        <f t="shared" si="18"/>
        <v>10</v>
      </c>
      <c r="AS41" s="591"/>
      <c r="AT41" s="591"/>
      <c r="AU41" s="591"/>
      <c r="AV41" s="529">
        <f t="shared" ref="AV41:BH41" si="19">AV24+AV25+AV26+AV27+AV28+AV29</f>
        <v>3</v>
      </c>
      <c r="AW41" s="529">
        <f t="shared" si="19"/>
        <v>0</v>
      </c>
      <c r="AX41" s="529">
        <f t="shared" si="19"/>
        <v>0</v>
      </c>
      <c r="AY41" s="529">
        <f t="shared" si="19"/>
        <v>1</v>
      </c>
      <c r="AZ41" s="529">
        <f t="shared" si="19"/>
        <v>0</v>
      </c>
      <c r="BA41" s="529">
        <f t="shared" si="19"/>
        <v>0</v>
      </c>
      <c r="BB41" s="529">
        <f t="shared" si="19"/>
        <v>6</v>
      </c>
      <c r="BC41" s="529">
        <f t="shared" si="19"/>
        <v>0</v>
      </c>
      <c r="BD41" s="529">
        <f t="shared" si="19"/>
        <v>1</v>
      </c>
      <c r="BE41" s="529">
        <f t="shared" si="19"/>
        <v>0</v>
      </c>
      <c r="BF41" s="529">
        <f t="shared" si="19"/>
        <v>0</v>
      </c>
      <c r="BG41" s="529">
        <f t="shared" si="19"/>
        <v>2</v>
      </c>
      <c r="BH41" s="599">
        <f t="shared" si="19"/>
        <v>13</v>
      </c>
      <c r="BI41" s="599"/>
      <c r="BJ41" s="529">
        <f t="shared" ref="BJ41:BU41" si="20">BJ24+BJ25+BJ26+BJ27+BJ28+BJ29</f>
        <v>1</v>
      </c>
      <c r="BK41" s="529">
        <f t="shared" si="20"/>
        <v>0</v>
      </c>
      <c r="BL41" s="529">
        <f t="shared" si="20"/>
        <v>0</v>
      </c>
      <c r="BM41" s="529">
        <f t="shared" si="20"/>
        <v>0</v>
      </c>
      <c r="BN41" s="529">
        <f t="shared" si="20"/>
        <v>1</v>
      </c>
      <c r="BO41" s="529">
        <f t="shared" si="20"/>
        <v>0</v>
      </c>
      <c r="BP41" s="529">
        <f t="shared" si="20"/>
        <v>4</v>
      </c>
      <c r="BQ41" s="529">
        <f t="shared" si="20"/>
        <v>0</v>
      </c>
      <c r="BR41" s="529">
        <f t="shared" si="20"/>
        <v>2</v>
      </c>
      <c r="BS41" s="529">
        <f t="shared" si="20"/>
        <v>1</v>
      </c>
      <c r="BT41" s="529">
        <f t="shared" si="20"/>
        <v>1</v>
      </c>
      <c r="BU41" s="529">
        <f t="shared" si="20"/>
        <v>0</v>
      </c>
      <c r="BV41" s="597">
        <f>SUM(BJ41:BU41)</f>
        <v>10</v>
      </c>
      <c r="BW41" s="604"/>
      <c r="BY41" s="529">
        <f t="shared" ref="BY41:CJ41" si="21">BY24+BY25+BY26+BY27+BY28+BY29</f>
        <v>0</v>
      </c>
      <c r="BZ41" s="529">
        <f t="shared" si="21"/>
        <v>0</v>
      </c>
      <c r="CA41" s="529">
        <f t="shared" si="21"/>
        <v>0</v>
      </c>
      <c r="CB41" s="529">
        <f t="shared" si="21"/>
        <v>1</v>
      </c>
      <c r="CC41" s="529">
        <f t="shared" si="21"/>
        <v>1</v>
      </c>
      <c r="CD41" s="529">
        <f t="shared" si="21"/>
        <v>4</v>
      </c>
      <c r="CE41" s="529">
        <f t="shared" si="21"/>
        <v>4</v>
      </c>
      <c r="CF41" s="529">
        <f t="shared" si="21"/>
        <v>0</v>
      </c>
      <c r="CG41" s="529">
        <f t="shared" si="21"/>
        <v>0</v>
      </c>
      <c r="CH41" s="529">
        <f t="shared" si="21"/>
        <v>4</v>
      </c>
      <c r="CI41" s="529">
        <f t="shared" si="21"/>
        <v>0</v>
      </c>
      <c r="CJ41" s="529">
        <f t="shared" si="21"/>
        <v>3</v>
      </c>
      <c r="CK41" s="597">
        <f>SUM(BY41:CJ41)</f>
        <v>17</v>
      </c>
      <c r="CL41" s="604"/>
    </row>
    <row r="42" spans="1:90">
      <c r="A42" s="481" t="s">
        <v>4</v>
      </c>
      <c r="B42" s="455">
        <f t="shared" si="10"/>
        <v>0</v>
      </c>
      <c r="C42" s="455">
        <f t="shared" si="11"/>
        <v>0</v>
      </c>
      <c r="D42" s="455">
        <f t="shared" si="12"/>
        <v>0</v>
      </c>
      <c r="E42" s="455"/>
      <c r="F42" s="208">
        <f>'Graduate Completions'!O47</f>
        <v>2.5189298202715129</v>
      </c>
      <c r="G42">
        <f t="shared" si="13"/>
        <v>0.96</v>
      </c>
      <c r="H42" s="226"/>
      <c r="I42" s="15" t="s">
        <v>640</v>
      </c>
      <c r="J42" s="15"/>
      <c r="K42" s="584">
        <f>K34</f>
        <v>0</v>
      </c>
      <c r="L42" s="584">
        <f>L34</f>
        <v>0</v>
      </c>
      <c r="M42" s="584">
        <f>M34</f>
        <v>0</v>
      </c>
      <c r="N42" s="584">
        <f>N34</f>
        <v>0</v>
      </c>
      <c r="O42" s="584">
        <f>O34</f>
        <v>0</v>
      </c>
      <c r="P42" s="15"/>
      <c r="Q42" s="584">
        <f t="shared" ref="Q42:AR42" si="22">Q34</f>
        <v>0</v>
      </c>
      <c r="R42" s="584"/>
      <c r="S42" s="584"/>
      <c r="T42" s="584"/>
      <c r="U42" s="584"/>
      <c r="V42" s="584"/>
      <c r="W42" s="584"/>
      <c r="X42" s="584"/>
      <c r="Y42" s="584"/>
      <c r="Z42" s="584"/>
      <c r="AA42" s="584"/>
      <c r="AB42" s="584"/>
      <c r="AC42" s="584"/>
      <c r="AD42" s="584"/>
      <c r="AE42" s="584"/>
      <c r="AF42" s="587">
        <f t="shared" si="22"/>
        <v>0</v>
      </c>
      <c r="AG42" s="587">
        <f t="shared" si="22"/>
        <v>0</v>
      </c>
      <c r="AH42" s="587">
        <f t="shared" si="22"/>
        <v>0</v>
      </c>
      <c r="AI42" s="587">
        <f t="shared" si="22"/>
        <v>0</v>
      </c>
      <c r="AJ42" s="587">
        <f t="shared" si="22"/>
        <v>0</v>
      </c>
      <c r="AK42" s="587">
        <f t="shared" si="22"/>
        <v>0</v>
      </c>
      <c r="AL42" s="587">
        <f t="shared" si="22"/>
        <v>0</v>
      </c>
      <c r="AM42" s="587">
        <f t="shared" si="22"/>
        <v>0</v>
      </c>
      <c r="AN42" s="587">
        <f t="shared" si="22"/>
        <v>0</v>
      </c>
      <c r="AO42" s="587">
        <f t="shared" si="22"/>
        <v>0</v>
      </c>
      <c r="AP42" s="587">
        <f t="shared" si="22"/>
        <v>0</v>
      </c>
      <c r="AQ42" s="587">
        <f t="shared" si="22"/>
        <v>0</v>
      </c>
      <c r="AR42" s="600">
        <f t="shared" si="22"/>
        <v>0</v>
      </c>
      <c r="AS42" s="593"/>
      <c r="AT42" s="593"/>
      <c r="AU42" s="593"/>
      <c r="AV42" s="587">
        <f t="shared" ref="AV42:BH42" si="23">AV34</f>
        <v>0</v>
      </c>
      <c r="AW42" s="587">
        <f t="shared" si="23"/>
        <v>0</v>
      </c>
      <c r="AX42" s="587">
        <f t="shared" si="23"/>
        <v>0</v>
      </c>
      <c r="AY42" s="587">
        <f t="shared" si="23"/>
        <v>0</v>
      </c>
      <c r="AZ42" s="587">
        <f t="shared" si="23"/>
        <v>0</v>
      </c>
      <c r="BA42" s="587">
        <f t="shared" si="23"/>
        <v>0</v>
      </c>
      <c r="BB42" s="587">
        <f t="shared" si="23"/>
        <v>0</v>
      </c>
      <c r="BC42" s="587">
        <f t="shared" si="23"/>
        <v>0</v>
      </c>
      <c r="BD42" s="587">
        <f t="shared" si="23"/>
        <v>0</v>
      </c>
      <c r="BE42" s="587">
        <f t="shared" si="23"/>
        <v>0</v>
      </c>
      <c r="BF42" s="587">
        <f t="shared" si="23"/>
        <v>0</v>
      </c>
      <c r="BG42" s="587">
        <f t="shared" si="23"/>
        <v>0</v>
      </c>
      <c r="BH42" s="600">
        <f t="shared" si="23"/>
        <v>0</v>
      </c>
      <c r="BI42" s="600"/>
      <c r="BJ42" s="587">
        <f t="shared" ref="BJ42:BU42" si="24">BJ34</f>
        <v>0</v>
      </c>
      <c r="BK42" s="587">
        <f t="shared" si="24"/>
        <v>0</v>
      </c>
      <c r="BL42" s="587">
        <f t="shared" si="24"/>
        <v>0</v>
      </c>
      <c r="BM42" s="587">
        <f t="shared" si="24"/>
        <v>0</v>
      </c>
      <c r="BN42" s="587">
        <f t="shared" si="24"/>
        <v>0</v>
      </c>
      <c r="BO42" s="587">
        <f t="shared" si="24"/>
        <v>0</v>
      </c>
      <c r="BP42" s="587">
        <f t="shared" si="24"/>
        <v>0</v>
      </c>
      <c r="BQ42" s="587">
        <f t="shared" si="24"/>
        <v>0</v>
      </c>
      <c r="BR42" s="587">
        <f t="shared" si="24"/>
        <v>0</v>
      </c>
      <c r="BS42" s="587">
        <f t="shared" si="24"/>
        <v>0</v>
      </c>
      <c r="BT42" s="587">
        <f t="shared" si="24"/>
        <v>0</v>
      </c>
      <c r="BU42" s="587">
        <f t="shared" si="24"/>
        <v>0</v>
      </c>
      <c r="BV42" s="605">
        <f>SUM(BJ42:BU42)</f>
        <v>0</v>
      </c>
      <c r="BW42" s="606"/>
      <c r="BY42" s="587">
        <f t="shared" ref="BY42:CJ42" si="25">BY34</f>
        <v>0</v>
      </c>
      <c r="BZ42" s="587">
        <f t="shared" si="25"/>
        <v>0</v>
      </c>
      <c r="CA42" s="587">
        <f t="shared" si="25"/>
        <v>0</v>
      </c>
      <c r="CB42" s="587">
        <f t="shared" si="25"/>
        <v>0</v>
      </c>
      <c r="CC42" s="587">
        <f t="shared" si="25"/>
        <v>0</v>
      </c>
      <c r="CD42" s="587">
        <f t="shared" si="25"/>
        <v>0</v>
      </c>
      <c r="CE42" s="587">
        <f t="shared" si="25"/>
        <v>0</v>
      </c>
      <c r="CF42" s="587">
        <f t="shared" si="25"/>
        <v>0</v>
      </c>
      <c r="CG42" s="587">
        <f t="shared" si="25"/>
        <v>0</v>
      </c>
      <c r="CH42" s="587">
        <f t="shared" si="25"/>
        <v>0</v>
      </c>
      <c r="CI42" s="587">
        <f t="shared" si="25"/>
        <v>0</v>
      </c>
      <c r="CJ42" s="587">
        <f t="shared" si="25"/>
        <v>0</v>
      </c>
      <c r="CK42" s="605">
        <f>SUM(BY42:CJ42)</f>
        <v>0</v>
      </c>
      <c r="CL42" s="606"/>
    </row>
    <row r="43" spans="1:90">
      <c r="A43" s="481" t="s">
        <v>14</v>
      </c>
      <c r="B43" s="455">
        <f>SUM(K77:M88)*F43*G43</f>
        <v>86.137266006920811</v>
      </c>
      <c r="C43" s="455">
        <f>SUM(L77:N88)*G43*F43</f>
        <v>83.58505071782686</v>
      </c>
      <c r="D43" s="455">
        <f>SUM(M77:O88)*F43*G43</f>
        <v>85.49921218464732</v>
      </c>
      <c r="E43" s="455"/>
      <c r="F43" s="208">
        <f>'Graduate Completions'!O48</f>
        <v>2.6585575928061984</v>
      </c>
      <c r="G43">
        <f t="shared" si="13"/>
        <v>0.23999999999999994</v>
      </c>
      <c r="H43" s="226"/>
    </row>
    <row r="44" spans="1:90">
      <c r="A44" s="483" t="s">
        <v>17</v>
      </c>
      <c r="B44" s="455">
        <f t="shared" si="10"/>
        <v>109.36112727270876</v>
      </c>
      <c r="C44" s="455">
        <f t="shared" si="11"/>
        <v>109.36112727270876</v>
      </c>
      <c r="D44" s="455">
        <f>$F44*$G44*SUM(M84:O84)</f>
        <v>111.34951140493982</v>
      </c>
      <c r="E44" s="455"/>
      <c r="F44" s="208">
        <f>'Graduate Completions'!O49</f>
        <v>2.0712334710740294</v>
      </c>
      <c r="G44">
        <f t="shared" si="13"/>
        <v>0.96</v>
      </c>
      <c r="H44" s="226"/>
      <c r="I44" s="14" t="s">
        <v>645</v>
      </c>
      <c r="J44" s="14"/>
      <c r="K44" s="580"/>
      <c r="L44" s="580"/>
      <c r="M44" s="580"/>
      <c r="N44" s="580"/>
      <c r="O44" s="14"/>
      <c r="P44" s="580"/>
      <c r="Q44" s="580"/>
      <c r="R44" s="590"/>
      <c r="S44" s="590"/>
      <c r="T44" s="590"/>
      <c r="U44" s="590"/>
      <c r="V44" s="590"/>
      <c r="W44" s="590"/>
      <c r="X44" s="590"/>
      <c r="Y44" s="590"/>
      <c r="Z44" s="590"/>
      <c r="AA44" s="590"/>
      <c r="AB44" s="590"/>
      <c r="AC44" s="590"/>
      <c r="AD44" s="590"/>
      <c r="AE44" s="590"/>
      <c r="AF44" s="590"/>
      <c r="AG44" s="590"/>
      <c r="AH44" s="590"/>
      <c r="AI44" s="590"/>
      <c r="AJ44" s="590"/>
      <c r="AK44" s="590"/>
      <c r="AL44" s="590"/>
      <c r="AM44" s="590"/>
      <c r="AN44" s="590"/>
      <c r="AO44" s="590"/>
      <c r="AP44" s="590"/>
      <c r="AQ44" s="590"/>
      <c r="AR44" s="590"/>
      <c r="AS44" s="590"/>
      <c r="AT44" s="590"/>
      <c r="AU44" s="586"/>
      <c r="AV44" s="586"/>
      <c r="AW44" s="586"/>
      <c r="AX44" s="586"/>
      <c r="AY44" s="586"/>
      <c r="AZ44" s="586"/>
      <c r="BA44" s="586"/>
      <c r="BB44" s="586"/>
      <c r="BC44" s="586"/>
      <c r="BD44" s="586"/>
      <c r="BE44" s="586"/>
      <c r="BF44" s="586"/>
      <c r="BG44" s="598">
        <f>BH15+BH36</f>
        <v>0</v>
      </c>
      <c r="BH44" s="598"/>
      <c r="BI44" s="586"/>
      <c r="BJ44" s="586"/>
      <c r="BK44" s="586"/>
      <c r="BL44" s="586"/>
      <c r="BM44" s="586"/>
      <c r="BN44" s="586"/>
      <c r="BO44" s="586"/>
      <c r="BP44" s="586"/>
      <c r="BQ44" s="586"/>
      <c r="BR44" s="586"/>
      <c r="BS44" s="586"/>
      <c r="BT44" s="586"/>
      <c r="BU44" s="598">
        <f>BV15+BV36</f>
        <v>0</v>
      </c>
      <c r="BV44" s="603"/>
      <c r="BX44" s="586"/>
      <c r="BY44" s="586"/>
      <c r="BZ44" s="586"/>
      <c r="CA44" s="586"/>
      <c r="CB44" s="586"/>
      <c r="CC44" s="586"/>
      <c r="CD44" s="586"/>
      <c r="CE44" s="586"/>
      <c r="CF44" s="586"/>
      <c r="CG44" s="586"/>
      <c r="CH44" s="586"/>
      <c r="CI44" s="586"/>
      <c r="CJ44" s="598">
        <f>CK15+CK36</f>
        <v>0</v>
      </c>
      <c r="CK44" s="603"/>
    </row>
    <row r="45" spans="1:90">
      <c r="A45" s="481" t="s">
        <v>324</v>
      </c>
      <c r="B45" s="455">
        <f t="shared" si="10"/>
        <v>0</v>
      </c>
      <c r="C45" s="455">
        <f t="shared" si="11"/>
        <v>0</v>
      </c>
      <c r="D45" s="455">
        <f t="shared" si="12"/>
        <v>0</v>
      </c>
      <c r="E45" s="455"/>
      <c r="F45" s="208">
        <f>'Graduate Completions'!O50</f>
        <v>2.7690000000000001</v>
      </c>
      <c r="G45">
        <f t="shared" si="13"/>
        <v>0.96</v>
      </c>
      <c r="H45" s="226"/>
      <c r="I45" s="62" t="s">
        <v>646</v>
      </c>
      <c r="J45" s="62"/>
      <c r="K45" s="530"/>
      <c r="L45" s="530"/>
      <c r="M45" s="530"/>
      <c r="N45" s="530"/>
      <c r="O45" s="62"/>
      <c r="P45" s="530"/>
      <c r="Q45" s="530"/>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29"/>
      <c r="AV45" s="529"/>
      <c r="AW45" s="529"/>
      <c r="AX45" s="529"/>
      <c r="AY45" s="529"/>
      <c r="AZ45" s="529"/>
      <c r="BA45" s="529"/>
      <c r="BB45" s="529"/>
      <c r="BC45" s="529"/>
      <c r="BD45" s="529"/>
      <c r="BE45" s="529"/>
      <c r="BF45" s="529"/>
      <c r="BG45" s="599">
        <v>13</v>
      </c>
      <c r="BH45" s="599"/>
      <c r="BI45" s="529"/>
      <c r="BJ45" s="529"/>
      <c r="BK45" s="529"/>
      <c r="BL45" s="529"/>
      <c r="BM45" s="529"/>
      <c r="BN45" s="529"/>
      <c r="BO45" s="529"/>
      <c r="BP45" s="529"/>
      <c r="BQ45" s="529"/>
      <c r="BR45" s="529"/>
      <c r="BS45" s="529"/>
      <c r="BT45" s="529"/>
      <c r="BU45" s="597">
        <v>12</v>
      </c>
      <c r="BV45" s="604"/>
      <c r="BX45" s="529"/>
      <c r="BY45" s="529"/>
      <c r="BZ45" s="529"/>
      <c r="CA45" s="529"/>
      <c r="CB45" s="529"/>
      <c r="CC45" s="529"/>
      <c r="CD45" s="529"/>
      <c r="CE45" s="529"/>
      <c r="CF45" s="529"/>
      <c r="CG45" s="529"/>
      <c r="CH45" s="529"/>
      <c r="CI45" s="529"/>
      <c r="CJ45" s="597">
        <v>12</v>
      </c>
      <c r="CK45" s="604"/>
    </row>
    <row r="46" spans="1:90">
      <c r="A46" s="481" t="s">
        <v>7</v>
      </c>
      <c r="B46" s="455">
        <f t="shared" si="10"/>
        <v>34.719176309579801</v>
      </c>
      <c r="C46" s="455">
        <f t="shared" si="11"/>
        <v>34.719176309579801</v>
      </c>
      <c r="D46" s="455">
        <f t="shared" si="12"/>
        <v>34.719176309579801</v>
      </c>
      <c r="E46" s="455"/>
      <c r="F46" s="208">
        <f>'Graduate Completions'!O51</f>
        <v>2.5832720468437356</v>
      </c>
      <c r="G46">
        <f t="shared" si="13"/>
        <v>0.96</v>
      </c>
      <c r="H46" s="226"/>
    </row>
    <row r="47" spans="1:90">
      <c r="A47" s="481" t="s">
        <v>9</v>
      </c>
      <c r="B47" s="455">
        <f t="shared" si="10"/>
        <v>0</v>
      </c>
      <c r="C47" s="455">
        <f t="shared" si="11"/>
        <v>2.1430902915839276</v>
      </c>
      <c r="D47" s="455">
        <f t="shared" si="12"/>
        <v>2.1430902915839276</v>
      </c>
      <c r="E47" s="455"/>
      <c r="F47" s="208">
        <f>'Graduate Completions'!O52</f>
        <v>2.2323857203999244</v>
      </c>
      <c r="G47">
        <f t="shared" si="13"/>
        <v>0.96</v>
      </c>
      <c r="H47" s="226"/>
    </row>
    <row r="48" spans="1:90">
      <c r="A48" s="483" t="s">
        <v>5</v>
      </c>
      <c r="B48" s="455">
        <f t="shared" si="10"/>
        <v>45.183807739098839</v>
      </c>
      <c r="C48" s="455">
        <f t="shared" si="11"/>
        <v>53.157420869528039</v>
      </c>
      <c r="D48" s="455">
        <f t="shared" si="12"/>
        <v>50.499549826051641</v>
      </c>
      <c r="E48" s="455"/>
      <c r="F48" s="208">
        <f>'Graduate Completions'!O53</f>
        <v>2.768615670287919</v>
      </c>
      <c r="G48">
        <f t="shared" si="13"/>
        <v>0.96</v>
      </c>
      <c r="H48" s="226"/>
    </row>
    <row r="49" spans="1:89">
      <c r="A49" s="481"/>
      <c r="B49" s="454"/>
      <c r="C49" s="454"/>
      <c r="D49" s="454"/>
      <c r="E49" s="454"/>
      <c r="H49" s="226"/>
    </row>
    <row r="50" spans="1:89" ht="19.5">
      <c r="A50" s="481" t="s">
        <v>541</v>
      </c>
      <c r="B50" s="455">
        <f t="shared" ref="B50:D54" si="26">$F50*$G50*SUM(K90:M90)</f>
        <v>0</v>
      </c>
      <c r="C50" s="455">
        <f t="shared" si="26"/>
        <v>0</v>
      </c>
      <c r="D50" s="455">
        <f t="shared" si="26"/>
        <v>0</v>
      </c>
      <c r="E50" s="455"/>
      <c r="F50">
        <v>0</v>
      </c>
      <c r="G50">
        <f t="shared" si="13"/>
        <v>0</v>
      </c>
      <c r="H50" s="226"/>
      <c r="I50" s="974" t="s">
        <v>592</v>
      </c>
      <c r="J50" s="220"/>
      <c r="K50" s="1532" t="s">
        <v>615</v>
      </c>
      <c r="L50" s="1532" t="s">
        <v>616</v>
      </c>
      <c r="M50" s="1532" t="s">
        <v>1355</v>
      </c>
      <c r="N50" s="1533" t="s">
        <v>1354</v>
      </c>
      <c r="O50" s="1533" t="s">
        <v>1353</v>
      </c>
    </row>
    <row r="51" spans="1:89">
      <c r="A51" s="481" t="s">
        <v>563</v>
      </c>
      <c r="B51" s="455">
        <f t="shared" si="26"/>
        <v>0</v>
      </c>
      <c r="C51" s="455">
        <f t="shared" si="26"/>
        <v>0</v>
      </c>
      <c r="D51" s="455">
        <f t="shared" si="26"/>
        <v>0</v>
      </c>
      <c r="E51" s="455"/>
      <c r="F51">
        <v>0</v>
      </c>
      <c r="G51">
        <f t="shared" si="13"/>
        <v>0</v>
      </c>
      <c r="H51" s="226"/>
      <c r="I51" s="1553"/>
    </row>
    <row r="52" spans="1:89">
      <c r="A52" s="483" t="s">
        <v>543</v>
      </c>
      <c r="B52" s="455">
        <f t="shared" si="26"/>
        <v>0</v>
      </c>
      <c r="C52" s="455">
        <f t="shared" si="26"/>
        <v>0</v>
      </c>
      <c r="D52" s="455">
        <f t="shared" si="26"/>
        <v>0</v>
      </c>
      <c r="E52" s="455"/>
      <c r="F52">
        <v>0</v>
      </c>
      <c r="G52">
        <f t="shared" si="13"/>
        <v>0</v>
      </c>
      <c r="H52" s="226"/>
      <c r="I52" s="481" t="s">
        <v>538</v>
      </c>
      <c r="K52">
        <v>0</v>
      </c>
      <c r="L52">
        <v>1</v>
      </c>
      <c r="M52">
        <v>3</v>
      </c>
      <c r="N52">
        <v>2</v>
      </c>
      <c r="O52" s="1299">
        <f>ROUND(AVERAGE(K52:N52),0)</f>
        <v>2</v>
      </c>
      <c r="Q52" t="s">
        <v>1356</v>
      </c>
      <c r="AF52">
        <f t="shared" ref="AF52:AR52" si="27">SUM(AF12:AF21)</f>
        <v>4</v>
      </c>
      <c r="AG52">
        <f t="shared" si="27"/>
        <v>0</v>
      </c>
      <c r="AH52">
        <f t="shared" si="27"/>
        <v>4</v>
      </c>
      <c r="AI52">
        <f t="shared" si="27"/>
        <v>3</v>
      </c>
      <c r="AJ52">
        <f t="shared" si="27"/>
        <v>0</v>
      </c>
      <c r="AK52">
        <f t="shared" si="27"/>
        <v>0</v>
      </c>
      <c r="AL52">
        <f t="shared" si="27"/>
        <v>1</v>
      </c>
      <c r="AM52">
        <f t="shared" si="27"/>
        <v>22</v>
      </c>
      <c r="AN52">
        <f t="shared" si="27"/>
        <v>0</v>
      </c>
      <c r="AO52">
        <f t="shared" si="27"/>
        <v>3</v>
      </c>
      <c r="AP52">
        <f t="shared" si="27"/>
        <v>1</v>
      </c>
      <c r="AQ52">
        <f t="shared" si="27"/>
        <v>7</v>
      </c>
      <c r="AR52">
        <f t="shared" si="27"/>
        <v>45</v>
      </c>
      <c r="AV52">
        <f t="shared" ref="AV52:BH52" si="28">SUM(AV12:AV21)</f>
        <v>9</v>
      </c>
      <c r="AW52">
        <f t="shared" si="28"/>
        <v>0</v>
      </c>
      <c r="AX52">
        <f t="shared" si="28"/>
        <v>0</v>
      </c>
      <c r="AY52">
        <f t="shared" si="28"/>
        <v>1</v>
      </c>
      <c r="AZ52">
        <f t="shared" si="28"/>
        <v>0</v>
      </c>
      <c r="BA52">
        <f t="shared" si="28"/>
        <v>0</v>
      </c>
      <c r="BB52">
        <f t="shared" si="28"/>
        <v>6</v>
      </c>
      <c r="BC52">
        <f t="shared" si="28"/>
        <v>15</v>
      </c>
      <c r="BD52">
        <f t="shared" si="28"/>
        <v>0</v>
      </c>
      <c r="BE52">
        <f t="shared" si="28"/>
        <v>7</v>
      </c>
      <c r="BF52">
        <f t="shared" si="28"/>
        <v>0</v>
      </c>
      <c r="BG52">
        <f t="shared" si="28"/>
        <v>6</v>
      </c>
      <c r="BH52">
        <f t="shared" si="28"/>
        <v>44</v>
      </c>
      <c r="BJ52">
        <f t="shared" ref="BJ52:BV52" si="29">SUM(BJ12:BJ21)</f>
        <v>4</v>
      </c>
      <c r="BK52">
        <f t="shared" si="29"/>
        <v>0</v>
      </c>
      <c r="BL52">
        <f t="shared" si="29"/>
        <v>1</v>
      </c>
      <c r="BM52">
        <f t="shared" si="29"/>
        <v>3</v>
      </c>
      <c r="BN52">
        <f t="shared" si="29"/>
        <v>0</v>
      </c>
      <c r="BO52">
        <f t="shared" si="29"/>
        <v>0</v>
      </c>
      <c r="BP52">
        <f t="shared" si="29"/>
        <v>5</v>
      </c>
      <c r="BQ52">
        <f t="shared" si="29"/>
        <v>18</v>
      </c>
      <c r="BR52">
        <f t="shared" si="29"/>
        <v>0</v>
      </c>
      <c r="BS52">
        <f t="shared" si="29"/>
        <v>4</v>
      </c>
      <c r="BT52">
        <f t="shared" si="29"/>
        <v>0</v>
      </c>
      <c r="BU52">
        <f t="shared" si="29"/>
        <v>7</v>
      </c>
      <c r="BV52">
        <f t="shared" si="29"/>
        <v>42</v>
      </c>
      <c r="BY52">
        <f t="shared" ref="BY52:CK52" si="30">SUM(BY12:BY21)</f>
        <v>5</v>
      </c>
      <c r="BZ52">
        <f t="shared" si="30"/>
        <v>0</v>
      </c>
      <c r="CA52">
        <f t="shared" si="30"/>
        <v>2</v>
      </c>
      <c r="CB52">
        <f t="shared" si="30"/>
        <v>0</v>
      </c>
      <c r="CC52">
        <f t="shared" si="30"/>
        <v>0</v>
      </c>
      <c r="CD52">
        <f t="shared" si="30"/>
        <v>0</v>
      </c>
      <c r="CE52">
        <f t="shared" si="30"/>
        <v>13</v>
      </c>
      <c r="CF52">
        <f t="shared" si="30"/>
        <v>22</v>
      </c>
      <c r="CG52">
        <f t="shared" si="30"/>
        <v>0</v>
      </c>
      <c r="CH52">
        <f t="shared" si="30"/>
        <v>3</v>
      </c>
      <c r="CI52">
        <f t="shared" si="30"/>
        <v>0</v>
      </c>
      <c r="CJ52">
        <f t="shared" si="30"/>
        <v>4</v>
      </c>
      <c r="CK52">
        <f t="shared" si="30"/>
        <v>49</v>
      </c>
    </row>
    <row r="53" spans="1:89">
      <c r="A53" s="481" t="s">
        <v>562</v>
      </c>
      <c r="B53" s="455">
        <f t="shared" si="26"/>
        <v>0</v>
      </c>
      <c r="C53" s="455">
        <f t="shared" si="26"/>
        <v>0</v>
      </c>
      <c r="D53" s="455">
        <f t="shared" si="26"/>
        <v>0</v>
      </c>
      <c r="E53" s="455"/>
      <c r="F53">
        <v>0</v>
      </c>
      <c r="G53">
        <f t="shared" si="13"/>
        <v>0</v>
      </c>
      <c r="H53" s="226"/>
      <c r="I53" s="481" t="s">
        <v>6</v>
      </c>
      <c r="K53">
        <v>0</v>
      </c>
      <c r="L53">
        <v>0</v>
      </c>
      <c r="M53">
        <v>0</v>
      </c>
      <c r="N53">
        <v>0</v>
      </c>
      <c r="O53" s="1299">
        <f t="shared" ref="O53:O63" si="31">ROUND(AVERAGE(K53:N53),0)</f>
        <v>0</v>
      </c>
      <c r="Q53" t="s">
        <v>1357</v>
      </c>
      <c r="AF53" s="475">
        <f t="shared" ref="AF53:AR53" si="32">SUM(AF24:AF29)</f>
        <v>2</v>
      </c>
      <c r="AG53" s="475">
        <f t="shared" si="32"/>
        <v>0</v>
      </c>
      <c r="AH53" s="475">
        <f t="shared" si="32"/>
        <v>0</v>
      </c>
      <c r="AI53" s="475">
        <f t="shared" si="32"/>
        <v>2</v>
      </c>
      <c r="AJ53" s="475">
        <f t="shared" si="32"/>
        <v>1</v>
      </c>
      <c r="AK53" s="475">
        <f t="shared" si="32"/>
        <v>1</v>
      </c>
      <c r="AL53" s="475">
        <f t="shared" si="32"/>
        <v>0</v>
      </c>
      <c r="AM53" s="475">
        <f t="shared" si="32"/>
        <v>0</v>
      </c>
      <c r="AN53" s="475">
        <f t="shared" si="32"/>
        <v>0</v>
      </c>
      <c r="AO53" s="475">
        <f t="shared" si="32"/>
        <v>1</v>
      </c>
      <c r="AP53" s="475">
        <f t="shared" si="32"/>
        <v>1</v>
      </c>
      <c r="AQ53" s="475">
        <f t="shared" si="32"/>
        <v>2</v>
      </c>
      <c r="AR53" s="475">
        <f t="shared" si="32"/>
        <v>10</v>
      </c>
      <c r="AV53" s="475">
        <f t="shared" ref="AV53:BH53" si="33">SUM(AV24:AV29)</f>
        <v>3</v>
      </c>
      <c r="AW53" s="475">
        <f t="shared" si="33"/>
        <v>0</v>
      </c>
      <c r="AX53" s="475">
        <f t="shared" si="33"/>
        <v>0</v>
      </c>
      <c r="AY53" s="475">
        <f t="shared" si="33"/>
        <v>1</v>
      </c>
      <c r="AZ53" s="475">
        <f t="shared" si="33"/>
        <v>0</v>
      </c>
      <c r="BA53" s="475">
        <f t="shared" si="33"/>
        <v>0</v>
      </c>
      <c r="BB53" s="475">
        <f t="shared" si="33"/>
        <v>6</v>
      </c>
      <c r="BC53" s="475">
        <f t="shared" si="33"/>
        <v>0</v>
      </c>
      <c r="BD53" s="475">
        <f t="shared" si="33"/>
        <v>1</v>
      </c>
      <c r="BE53" s="475">
        <f t="shared" si="33"/>
        <v>0</v>
      </c>
      <c r="BF53" s="475">
        <f t="shared" si="33"/>
        <v>0</v>
      </c>
      <c r="BG53" s="475">
        <f t="shared" si="33"/>
        <v>2</v>
      </c>
      <c r="BH53" s="475">
        <f t="shared" si="33"/>
        <v>13</v>
      </c>
      <c r="BJ53" s="475">
        <f t="shared" ref="BJ53:BV53" si="34">SUM(BJ24:BJ29)</f>
        <v>1</v>
      </c>
      <c r="BK53" s="475">
        <f t="shared" si="34"/>
        <v>0</v>
      </c>
      <c r="BL53" s="475">
        <f t="shared" si="34"/>
        <v>0</v>
      </c>
      <c r="BM53" s="475">
        <f t="shared" si="34"/>
        <v>0</v>
      </c>
      <c r="BN53" s="475">
        <f t="shared" si="34"/>
        <v>1</v>
      </c>
      <c r="BO53" s="475">
        <f t="shared" si="34"/>
        <v>0</v>
      </c>
      <c r="BP53" s="475">
        <f t="shared" si="34"/>
        <v>4</v>
      </c>
      <c r="BQ53" s="475">
        <f t="shared" si="34"/>
        <v>0</v>
      </c>
      <c r="BR53" s="475">
        <f t="shared" si="34"/>
        <v>2</v>
      </c>
      <c r="BS53" s="475">
        <f t="shared" si="34"/>
        <v>1</v>
      </c>
      <c r="BT53" s="475">
        <f t="shared" si="34"/>
        <v>1</v>
      </c>
      <c r="BU53" s="475">
        <f t="shared" si="34"/>
        <v>0</v>
      </c>
      <c r="BV53" s="475">
        <f t="shared" si="34"/>
        <v>10</v>
      </c>
      <c r="BY53" s="475">
        <f t="shared" ref="BY53:CK53" si="35">SUM(BY24:BY29)</f>
        <v>0</v>
      </c>
      <c r="BZ53" s="475">
        <f t="shared" si="35"/>
        <v>0</v>
      </c>
      <c r="CA53" s="475">
        <f t="shared" si="35"/>
        <v>0</v>
      </c>
      <c r="CB53" s="475">
        <f t="shared" si="35"/>
        <v>1</v>
      </c>
      <c r="CC53" s="475">
        <f t="shared" si="35"/>
        <v>1</v>
      </c>
      <c r="CD53" s="475">
        <f t="shared" si="35"/>
        <v>4</v>
      </c>
      <c r="CE53" s="475">
        <f t="shared" si="35"/>
        <v>4</v>
      </c>
      <c r="CF53" s="475">
        <f t="shared" si="35"/>
        <v>0</v>
      </c>
      <c r="CG53" s="475">
        <f t="shared" si="35"/>
        <v>0</v>
      </c>
      <c r="CH53" s="475">
        <f t="shared" si="35"/>
        <v>4</v>
      </c>
      <c r="CI53" s="475">
        <f t="shared" si="35"/>
        <v>0</v>
      </c>
      <c r="CJ53" s="475">
        <f t="shared" si="35"/>
        <v>3</v>
      </c>
      <c r="CK53" s="475">
        <f t="shared" si="35"/>
        <v>17</v>
      </c>
    </row>
    <row r="54" spans="1:89">
      <c r="A54" s="547" t="s">
        <v>545</v>
      </c>
      <c r="B54" s="455">
        <f t="shared" si="26"/>
        <v>0</v>
      </c>
      <c r="C54" s="455">
        <f t="shared" si="26"/>
        <v>0</v>
      </c>
      <c r="D54" s="455">
        <f t="shared" si="26"/>
        <v>0</v>
      </c>
      <c r="E54" s="455"/>
      <c r="F54">
        <v>0</v>
      </c>
      <c r="G54">
        <f t="shared" si="13"/>
        <v>0</v>
      </c>
      <c r="H54" s="226"/>
      <c r="I54" s="481" t="s">
        <v>8</v>
      </c>
      <c r="K54">
        <v>0</v>
      </c>
      <c r="L54">
        <v>0</v>
      </c>
      <c r="M54">
        <v>0</v>
      </c>
      <c r="N54">
        <v>0</v>
      </c>
      <c r="O54" s="1299">
        <f t="shared" si="31"/>
        <v>0</v>
      </c>
      <c r="Q54" t="s">
        <v>1358</v>
      </c>
      <c r="AF54">
        <f t="shared" ref="AF54:AR54" si="36">SUM(AF30:AF38)</f>
        <v>0</v>
      </c>
      <c r="AG54">
        <f t="shared" si="36"/>
        <v>0</v>
      </c>
      <c r="AH54">
        <f t="shared" si="36"/>
        <v>0</v>
      </c>
      <c r="AI54">
        <f t="shared" si="36"/>
        <v>0</v>
      </c>
      <c r="AJ54">
        <f t="shared" si="36"/>
        <v>0</v>
      </c>
      <c r="AK54">
        <f t="shared" si="36"/>
        <v>0</v>
      </c>
      <c r="AL54">
        <f t="shared" si="36"/>
        <v>0</v>
      </c>
      <c r="AM54">
        <f t="shared" si="36"/>
        <v>0</v>
      </c>
      <c r="AN54">
        <f t="shared" si="36"/>
        <v>0</v>
      </c>
      <c r="AO54">
        <f t="shared" si="36"/>
        <v>0</v>
      </c>
      <c r="AP54">
        <f t="shared" si="36"/>
        <v>0</v>
      </c>
      <c r="AQ54">
        <f t="shared" si="36"/>
        <v>0</v>
      </c>
      <c r="AR54">
        <f t="shared" si="36"/>
        <v>0</v>
      </c>
      <c r="AV54">
        <f t="shared" ref="AV54:BH54" si="37">SUM(AV30:AV38)</f>
        <v>0</v>
      </c>
      <c r="AW54">
        <f t="shared" si="37"/>
        <v>0</v>
      </c>
      <c r="AX54">
        <f t="shared" si="37"/>
        <v>0</v>
      </c>
      <c r="AY54">
        <f t="shared" si="37"/>
        <v>0</v>
      </c>
      <c r="AZ54">
        <f t="shared" si="37"/>
        <v>0</v>
      </c>
      <c r="BA54">
        <f t="shared" si="37"/>
        <v>0</v>
      </c>
      <c r="BB54">
        <f t="shared" si="37"/>
        <v>0</v>
      </c>
      <c r="BC54">
        <f t="shared" si="37"/>
        <v>0</v>
      </c>
      <c r="BD54">
        <f t="shared" si="37"/>
        <v>0</v>
      </c>
      <c r="BE54">
        <f t="shared" si="37"/>
        <v>0</v>
      </c>
      <c r="BF54">
        <f t="shared" si="37"/>
        <v>0</v>
      </c>
      <c r="BG54">
        <f t="shared" si="37"/>
        <v>0</v>
      </c>
      <c r="BH54">
        <f t="shared" si="37"/>
        <v>0</v>
      </c>
      <c r="BJ54">
        <f t="shared" ref="BJ54:BV54" si="38">SUM(BJ30:BJ38)</f>
        <v>0</v>
      </c>
      <c r="BK54">
        <f t="shared" si="38"/>
        <v>0</v>
      </c>
      <c r="BL54">
        <f t="shared" si="38"/>
        <v>0</v>
      </c>
      <c r="BM54">
        <f t="shared" si="38"/>
        <v>0</v>
      </c>
      <c r="BN54">
        <f t="shared" si="38"/>
        <v>0</v>
      </c>
      <c r="BO54">
        <f t="shared" si="38"/>
        <v>0</v>
      </c>
      <c r="BP54">
        <f t="shared" si="38"/>
        <v>0</v>
      </c>
      <c r="BQ54">
        <f t="shared" si="38"/>
        <v>0</v>
      </c>
      <c r="BR54">
        <f t="shared" si="38"/>
        <v>0</v>
      </c>
      <c r="BS54">
        <f t="shared" si="38"/>
        <v>0</v>
      </c>
      <c r="BT54">
        <f t="shared" si="38"/>
        <v>0</v>
      </c>
      <c r="BU54">
        <f t="shared" si="38"/>
        <v>0</v>
      </c>
      <c r="BV54">
        <f t="shared" si="38"/>
        <v>0</v>
      </c>
      <c r="BY54">
        <f t="shared" ref="BY54:CK54" si="39">SUM(BY30:BY38)</f>
        <v>0</v>
      </c>
      <c r="BZ54">
        <f t="shared" si="39"/>
        <v>0</v>
      </c>
      <c r="CA54">
        <f t="shared" si="39"/>
        <v>0</v>
      </c>
      <c r="CB54">
        <f t="shared" si="39"/>
        <v>0</v>
      </c>
      <c r="CC54">
        <f t="shared" si="39"/>
        <v>0</v>
      </c>
      <c r="CD54">
        <f t="shared" si="39"/>
        <v>0</v>
      </c>
      <c r="CE54">
        <f t="shared" si="39"/>
        <v>0</v>
      </c>
      <c r="CF54">
        <f t="shared" si="39"/>
        <v>0</v>
      </c>
      <c r="CG54">
        <f t="shared" si="39"/>
        <v>0</v>
      </c>
      <c r="CH54">
        <f t="shared" si="39"/>
        <v>0</v>
      </c>
      <c r="CI54">
        <f t="shared" si="39"/>
        <v>0</v>
      </c>
      <c r="CJ54">
        <f t="shared" si="39"/>
        <v>0</v>
      </c>
      <c r="CK54">
        <f t="shared" si="39"/>
        <v>0</v>
      </c>
    </row>
    <row r="55" spans="1:89">
      <c r="A55" s="550"/>
      <c r="B55" s="467">
        <f>SUM(B37:B54)</f>
        <v>336.45623443908835</v>
      </c>
      <c r="C55" s="489"/>
      <c r="D55" s="467">
        <f>SUM(D37:D54)</f>
        <v>356.93133523108122</v>
      </c>
      <c r="E55" s="458"/>
      <c r="H55" s="226"/>
      <c r="I55" s="483" t="s">
        <v>2</v>
      </c>
      <c r="K55">
        <v>1</v>
      </c>
      <c r="L55">
        <v>0</v>
      </c>
      <c r="M55">
        <v>1</v>
      </c>
      <c r="N55">
        <v>2</v>
      </c>
      <c r="O55" s="1299">
        <f t="shared" si="31"/>
        <v>1</v>
      </c>
    </row>
    <row r="56" spans="1:89">
      <c r="H56" s="226"/>
      <c r="I56" s="481" t="s">
        <v>10</v>
      </c>
      <c r="K56">
        <v>1</v>
      </c>
      <c r="L56">
        <v>1</v>
      </c>
      <c r="M56">
        <v>0</v>
      </c>
      <c r="N56">
        <v>1</v>
      </c>
      <c r="O56" s="1299">
        <f t="shared" si="31"/>
        <v>1</v>
      </c>
    </row>
    <row r="57" spans="1:89">
      <c r="H57" s="226"/>
      <c r="I57" s="481" t="s">
        <v>4</v>
      </c>
      <c r="K57">
        <v>4</v>
      </c>
      <c r="L57">
        <v>0</v>
      </c>
      <c r="M57">
        <v>0</v>
      </c>
      <c r="N57">
        <v>1</v>
      </c>
      <c r="O57" s="1299">
        <f t="shared" si="31"/>
        <v>1</v>
      </c>
    </row>
    <row r="58" spans="1:89">
      <c r="A58" s="220"/>
      <c r="B58" s="977" t="s">
        <v>596</v>
      </c>
      <c r="C58" s="977"/>
      <c r="D58" s="977"/>
      <c r="E58" s="552"/>
      <c r="H58" s="226"/>
      <c r="I58" s="481" t="s">
        <v>14</v>
      </c>
      <c r="K58">
        <v>4</v>
      </c>
      <c r="L58">
        <v>4</v>
      </c>
      <c r="M58">
        <v>6</v>
      </c>
      <c r="N58">
        <v>0</v>
      </c>
      <c r="O58" s="1299">
        <f t="shared" si="31"/>
        <v>4</v>
      </c>
    </row>
    <row r="59" spans="1:89" ht="38.25">
      <c r="A59" s="220"/>
      <c r="B59" s="480" t="s">
        <v>598</v>
      </c>
      <c r="C59" s="480"/>
      <c r="D59" s="480" t="s">
        <v>644</v>
      </c>
      <c r="E59" s="555"/>
      <c r="H59" s="226"/>
      <c r="I59" s="483" t="s">
        <v>17</v>
      </c>
      <c r="K59">
        <v>0</v>
      </c>
      <c r="L59">
        <v>0</v>
      </c>
      <c r="M59">
        <v>0</v>
      </c>
      <c r="N59">
        <v>0</v>
      </c>
      <c r="O59" s="1299">
        <f t="shared" si="31"/>
        <v>0</v>
      </c>
    </row>
    <row r="60" spans="1:89">
      <c r="A60" s="481" t="s">
        <v>538</v>
      </c>
      <c r="B60" s="455">
        <v>0</v>
      </c>
      <c r="C60" s="482"/>
      <c r="D60" s="455">
        <v>0</v>
      </c>
      <c r="E60" s="455"/>
      <c r="F60" s="208">
        <f>F37</f>
        <v>2.729632612875367</v>
      </c>
      <c r="G60" s="315">
        <v>0</v>
      </c>
      <c r="H60" s="226"/>
      <c r="I60" s="481" t="s">
        <v>324</v>
      </c>
      <c r="K60">
        <v>0</v>
      </c>
      <c r="L60">
        <v>2</v>
      </c>
      <c r="M60">
        <v>1</v>
      </c>
      <c r="N60">
        <v>0</v>
      </c>
      <c r="O60" s="1299">
        <f t="shared" si="31"/>
        <v>1</v>
      </c>
    </row>
    <row r="61" spans="1:89">
      <c r="A61" s="481" t="s">
        <v>6</v>
      </c>
      <c r="B61" s="455">
        <v>0</v>
      </c>
      <c r="C61" s="482"/>
      <c r="D61" s="455">
        <v>0</v>
      </c>
      <c r="E61" s="455"/>
      <c r="F61" s="208">
        <f t="shared" ref="F61:F77" si="40">F38</f>
        <v>1.7073273464509895</v>
      </c>
      <c r="G61" s="315">
        <v>0</v>
      </c>
      <c r="H61" s="226"/>
      <c r="I61" s="481" t="s">
        <v>7</v>
      </c>
      <c r="K61">
        <v>4</v>
      </c>
      <c r="L61">
        <v>1</v>
      </c>
      <c r="M61">
        <v>0</v>
      </c>
      <c r="N61">
        <v>1</v>
      </c>
      <c r="O61" s="1299">
        <f t="shared" si="31"/>
        <v>2</v>
      </c>
    </row>
    <row r="62" spans="1:89">
      <c r="A62" s="481" t="s">
        <v>8</v>
      </c>
      <c r="B62" s="455">
        <v>0</v>
      </c>
      <c r="C62" s="482"/>
      <c r="D62" s="455">
        <v>0</v>
      </c>
      <c r="E62" s="455"/>
      <c r="F62" s="208">
        <f t="shared" si="40"/>
        <v>1.4597833437439227</v>
      </c>
      <c r="G62" s="315">
        <v>0</v>
      </c>
      <c r="H62" s="226"/>
      <c r="I62" s="481" t="s">
        <v>9</v>
      </c>
      <c r="K62">
        <v>0</v>
      </c>
      <c r="L62">
        <v>1</v>
      </c>
      <c r="M62">
        <v>0</v>
      </c>
      <c r="N62">
        <v>1</v>
      </c>
      <c r="O62" s="1299">
        <f t="shared" si="31"/>
        <v>1</v>
      </c>
    </row>
    <row r="63" spans="1:89">
      <c r="A63" s="483" t="s">
        <v>2</v>
      </c>
      <c r="B63" s="455">
        <v>0</v>
      </c>
      <c r="C63" s="482"/>
      <c r="D63" s="455">
        <v>0</v>
      </c>
      <c r="E63" s="455"/>
      <c r="F63" s="208">
        <f t="shared" si="40"/>
        <v>2.5215181068519161</v>
      </c>
      <c r="G63" s="315">
        <v>0</v>
      </c>
      <c r="H63" s="226"/>
      <c r="I63" s="483" t="s">
        <v>5</v>
      </c>
      <c r="K63">
        <v>3</v>
      </c>
      <c r="L63">
        <v>0</v>
      </c>
      <c r="M63">
        <v>2</v>
      </c>
      <c r="N63">
        <v>2</v>
      </c>
      <c r="O63" s="1299">
        <f t="shared" si="31"/>
        <v>2</v>
      </c>
    </row>
    <row r="64" spans="1:89">
      <c r="A64" s="481" t="s">
        <v>10</v>
      </c>
      <c r="B64" s="455">
        <v>0</v>
      </c>
      <c r="C64" s="482"/>
      <c r="D64" s="455">
        <v>0</v>
      </c>
      <c r="E64" s="455"/>
      <c r="F64" s="208">
        <f t="shared" si="40"/>
        <v>2.7690000000000001</v>
      </c>
      <c r="G64" s="315">
        <v>0</v>
      </c>
      <c r="H64" s="226"/>
      <c r="I64" s="481"/>
    </row>
    <row r="65" spans="1:15">
      <c r="A65" s="481" t="s">
        <v>4</v>
      </c>
      <c r="B65" s="455">
        <v>0</v>
      </c>
      <c r="C65" s="482"/>
      <c r="D65" s="455">
        <v>0</v>
      </c>
      <c r="E65" s="455"/>
      <c r="F65" s="208">
        <f t="shared" si="40"/>
        <v>2.5189298202715129</v>
      </c>
      <c r="G65" s="315">
        <v>0</v>
      </c>
      <c r="H65" s="226"/>
      <c r="I65" s="481" t="s">
        <v>541</v>
      </c>
    </row>
    <row r="66" spans="1:15">
      <c r="A66" s="481" t="s">
        <v>14</v>
      </c>
      <c r="B66" s="455">
        <f>F66*G66*AQ42</f>
        <v>0</v>
      </c>
      <c r="C66" s="482"/>
      <c r="D66" s="455">
        <f>F66*G66*BE42</f>
        <v>0</v>
      </c>
      <c r="E66" s="455"/>
      <c r="F66" s="208">
        <f t="shared" si="40"/>
        <v>2.6585575928061984</v>
      </c>
      <c r="G66" s="315">
        <f>D4</f>
        <v>1.2</v>
      </c>
      <c r="H66" s="226"/>
      <c r="I66" s="481" t="s">
        <v>563</v>
      </c>
    </row>
    <row r="67" spans="1:15">
      <c r="A67" s="483" t="s">
        <v>17</v>
      </c>
      <c r="B67" s="455">
        <v>0</v>
      </c>
      <c r="C67" s="482"/>
      <c r="D67" s="455">
        <v>0</v>
      </c>
      <c r="E67" s="455"/>
      <c r="F67" s="208">
        <f t="shared" si="40"/>
        <v>2.0712334710740294</v>
      </c>
      <c r="G67" s="315">
        <v>0</v>
      </c>
      <c r="H67" s="226"/>
      <c r="I67" s="483" t="s">
        <v>543</v>
      </c>
    </row>
    <row r="68" spans="1:15">
      <c r="A68" s="481" t="s">
        <v>324</v>
      </c>
      <c r="B68" s="455">
        <v>0</v>
      </c>
      <c r="C68" s="482"/>
      <c r="D68" s="455">
        <v>0</v>
      </c>
      <c r="E68" s="455"/>
      <c r="F68" s="208">
        <f t="shared" si="40"/>
        <v>2.7690000000000001</v>
      </c>
      <c r="G68" s="315">
        <v>0</v>
      </c>
      <c r="H68" s="226"/>
      <c r="I68" s="481" t="s">
        <v>562</v>
      </c>
    </row>
    <row r="69" spans="1:15">
      <c r="A69" s="481" t="s">
        <v>7</v>
      </c>
      <c r="B69" s="455">
        <v>0</v>
      </c>
      <c r="C69" s="482"/>
      <c r="D69" s="455">
        <v>0</v>
      </c>
      <c r="E69" s="455"/>
      <c r="F69" s="208">
        <f t="shared" si="40"/>
        <v>2.5832720468437356</v>
      </c>
      <c r="G69" s="315">
        <v>0</v>
      </c>
      <c r="H69" s="226"/>
      <c r="I69" s="547" t="s">
        <v>545</v>
      </c>
    </row>
    <row r="70" spans="1:15">
      <c r="A70" s="481" t="s">
        <v>9</v>
      </c>
      <c r="B70" s="455">
        <v>0</v>
      </c>
      <c r="C70" s="482"/>
      <c r="D70" s="455">
        <v>0</v>
      </c>
      <c r="E70" s="455"/>
      <c r="F70" s="208">
        <f t="shared" si="40"/>
        <v>2.2323857203999244</v>
      </c>
      <c r="G70" s="315">
        <v>0</v>
      </c>
      <c r="H70" s="226"/>
      <c r="I70" s="548"/>
      <c r="K70">
        <f>SUM(K52:K69)</f>
        <v>17</v>
      </c>
      <c r="L70">
        <f>SUM(L52:L69)</f>
        <v>10</v>
      </c>
      <c r="M70">
        <f>SUM(M52:M69)</f>
        <v>13</v>
      </c>
      <c r="N70">
        <f>SUM(N52:N69)</f>
        <v>10</v>
      </c>
      <c r="O70" s="1299">
        <f>SUM(O52:O69)</f>
        <v>15</v>
      </c>
    </row>
    <row r="71" spans="1:15">
      <c r="A71" s="483" t="s">
        <v>5</v>
      </c>
      <c r="B71" s="455">
        <v>0</v>
      </c>
      <c r="C71" s="482"/>
      <c r="D71" s="455">
        <v>0</v>
      </c>
      <c r="E71" s="455"/>
      <c r="F71" s="208">
        <f t="shared" si="40"/>
        <v>2.768615670287919</v>
      </c>
      <c r="G71" s="315">
        <v>0</v>
      </c>
      <c r="H71" s="226"/>
      <c r="I71" s="46"/>
    </row>
    <row r="72" spans="1:15">
      <c r="A72" s="481"/>
      <c r="B72" s="454"/>
      <c r="C72" s="482"/>
      <c r="D72" s="454"/>
      <c r="E72" s="454"/>
      <c r="F72" s="208"/>
      <c r="G72" s="315"/>
      <c r="H72" s="226"/>
      <c r="I72" s="46"/>
    </row>
    <row r="73" spans="1:15">
      <c r="A73" s="481" t="s">
        <v>541</v>
      </c>
      <c r="B73" s="455">
        <v>0</v>
      </c>
      <c r="C73" s="482"/>
      <c r="D73" s="455">
        <v>0</v>
      </c>
      <c r="E73" s="455"/>
      <c r="F73" s="208">
        <f t="shared" si="40"/>
        <v>0</v>
      </c>
      <c r="G73" s="315">
        <f>G50</f>
        <v>0</v>
      </c>
      <c r="H73" s="226"/>
    </row>
    <row r="74" spans="1:15">
      <c r="A74" s="481" t="s">
        <v>563</v>
      </c>
      <c r="B74" s="455">
        <v>0</v>
      </c>
      <c r="C74" s="482"/>
      <c r="D74" s="455">
        <v>0</v>
      </c>
      <c r="E74" s="455"/>
      <c r="F74" s="208">
        <f t="shared" si="40"/>
        <v>0</v>
      </c>
      <c r="G74" s="315">
        <f>G51</f>
        <v>0</v>
      </c>
      <c r="H74" s="226"/>
    </row>
    <row r="75" spans="1:15">
      <c r="A75" s="483" t="s">
        <v>543</v>
      </c>
      <c r="B75" s="455">
        <v>0</v>
      </c>
      <c r="C75" s="482"/>
      <c r="D75" s="455">
        <v>0</v>
      </c>
      <c r="E75" s="455"/>
      <c r="F75" s="208">
        <f t="shared" si="40"/>
        <v>0</v>
      </c>
      <c r="G75" s="315">
        <f>G52</f>
        <v>0</v>
      </c>
      <c r="H75" s="226"/>
      <c r="I75" s="976" t="s">
        <v>593</v>
      </c>
      <c r="J75" s="220"/>
      <c r="K75" s="220"/>
      <c r="L75" s="220"/>
      <c r="M75" s="220"/>
      <c r="N75" s="220"/>
      <c r="O75" s="220"/>
    </row>
    <row r="76" spans="1:15">
      <c r="A76" s="481" t="s">
        <v>562</v>
      </c>
      <c r="B76" s="455">
        <v>0</v>
      </c>
      <c r="C76" s="482"/>
      <c r="D76" s="455">
        <v>0</v>
      </c>
      <c r="E76" s="455"/>
      <c r="F76" s="208">
        <f t="shared" si="40"/>
        <v>0</v>
      </c>
      <c r="G76" s="315">
        <f>G53</f>
        <v>0</v>
      </c>
      <c r="H76" s="226"/>
      <c r="I76" s="1553"/>
    </row>
    <row r="77" spans="1:15">
      <c r="A77" s="547" t="s">
        <v>545</v>
      </c>
      <c r="B77" s="455">
        <v>0</v>
      </c>
      <c r="C77" s="482"/>
      <c r="D77" s="455">
        <v>0</v>
      </c>
      <c r="E77" s="455"/>
      <c r="F77" s="208">
        <f t="shared" si="40"/>
        <v>0</v>
      </c>
      <c r="G77" s="315">
        <f>G54</f>
        <v>0</v>
      </c>
      <c r="H77" s="226"/>
      <c r="I77" s="481" t="s">
        <v>538</v>
      </c>
      <c r="K77">
        <v>5</v>
      </c>
      <c r="L77">
        <v>4</v>
      </c>
      <c r="M77">
        <v>9</v>
      </c>
      <c r="N77">
        <v>4</v>
      </c>
      <c r="O77" s="1299">
        <f t="shared" ref="O77:O88" si="41">ROUND(AVERAGE(K77:N77),0)</f>
        <v>6</v>
      </c>
    </row>
    <row r="78" spans="1:15">
      <c r="A78" s="550"/>
      <c r="B78" s="467">
        <f>SUM(B60:B77)</f>
        <v>0</v>
      </c>
      <c r="C78" s="489"/>
      <c r="D78" s="467">
        <f>SUM(D60:D77)</f>
        <v>0</v>
      </c>
      <c r="E78" s="458"/>
      <c r="H78" s="226"/>
      <c r="I78" s="481" t="s">
        <v>6</v>
      </c>
      <c r="K78">
        <v>0</v>
      </c>
      <c r="L78">
        <v>0</v>
      </c>
      <c r="M78">
        <v>0</v>
      </c>
      <c r="N78">
        <v>0</v>
      </c>
      <c r="O78" s="1299">
        <f t="shared" si="41"/>
        <v>0</v>
      </c>
    </row>
    <row r="79" spans="1:15">
      <c r="H79" s="226"/>
      <c r="I79" s="481" t="s">
        <v>8</v>
      </c>
      <c r="K79">
        <v>2</v>
      </c>
      <c r="L79">
        <v>1</v>
      </c>
      <c r="M79">
        <v>0</v>
      </c>
      <c r="N79">
        <v>4</v>
      </c>
      <c r="O79" s="1299">
        <f t="shared" si="41"/>
        <v>2</v>
      </c>
    </row>
    <row r="80" spans="1:15">
      <c r="H80" s="226"/>
      <c r="I80" s="483" t="s">
        <v>2</v>
      </c>
      <c r="K80">
        <v>0</v>
      </c>
      <c r="L80">
        <v>3</v>
      </c>
      <c r="M80">
        <v>1</v>
      </c>
      <c r="N80">
        <v>3</v>
      </c>
      <c r="O80" s="1299">
        <f t="shared" si="41"/>
        <v>2</v>
      </c>
    </row>
    <row r="81" spans="8:15">
      <c r="H81" s="226"/>
      <c r="I81" s="481" t="s">
        <v>10</v>
      </c>
      <c r="K81">
        <v>0</v>
      </c>
      <c r="L81">
        <v>0</v>
      </c>
      <c r="M81">
        <v>0</v>
      </c>
      <c r="N81">
        <v>0</v>
      </c>
      <c r="O81" s="1299">
        <f t="shared" si="41"/>
        <v>0</v>
      </c>
    </row>
    <row r="82" spans="8:15">
      <c r="H82" s="226"/>
      <c r="I82" s="481" t="s">
        <v>4</v>
      </c>
      <c r="K82">
        <v>0</v>
      </c>
      <c r="L82">
        <v>0</v>
      </c>
      <c r="M82">
        <v>0</v>
      </c>
      <c r="N82">
        <v>0</v>
      </c>
      <c r="O82" s="1299">
        <f t="shared" si="41"/>
        <v>0</v>
      </c>
    </row>
    <row r="83" spans="8:15">
      <c r="H83" s="226"/>
      <c r="I83" s="481" t="s">
        <v>14</v>
      </c>
      <c r="K83">
        <v>13</v>
      </c>
      <c r="L83">
        <v>5</v>
      </c>
      <c r="M83">
        <v>6</v>
      </c>
      <c r="N83">
        <v>1</v>
      </c>
      <c r="O83" s="1299">
        <f t="shared" si="41"/>
        <v>6</v>
      </c>
    </row>
    <row r="84" spans="8:15">
      <c r="H84" s="226"/>
      <c r="I84" s="483" t="s">
        <v>17</v>
      </c>
      <c r="K84">
        <v>22</v>
      </c>
      <c r="L84">
        <v>18</v>
      </c>
      <c r="M84">
        <v>15</v>
      </c>
      <c r="N84">
        <v>22</v>
      </c>
      <c r="O84" s="1299">
        <f t="shared" si="41"/>
        <v>19</v>
      </c>
    </row>
    <row r="85" spans="8:15">
      <c r="H85" s="226"/>
      <c r="I85" s="481" t="s">
        <v>324</v>
      </c>
      <c r="K85">
        <v>0</v>
      </c>
      <c r="L85">
        <v>0</v>
      </c>
      <c r="M85">
        <v>0</v>
      </c>
      <c r="N85">
        <v>0</v>
      </c>
      <c r="O85" s="1299">
        <f t="shared" si="41"/>
        <v>0</v>
      </c>
    </row>
    <row r="86" spans="8:15">
      <c r="H86" s="226"/>
      <c r="I86" s="481" t="s">
        <v>7</v>
      </c>
      <c r="K86">
        <v>3</v>
      </c>
      <c r="L86">
        <v>4</v>
      </c>
      <c r="M86">
        <v>7</v>
      </c>
      <c r="N86">
        <v>3</v>
      </c>
      <c r="O86" s="1299">
        <f t="shared" si="41"/>
        <v>4</v>
      </c>
    </row>
    <row r="87" spans="8:15">
      <c r="H87" s="226"/>
      <c r="I87" s="481" t="s">
        <v>9</v>
      </c>
      <c r="K87">
        <v>0</v>
      </c>
      <c r="L87">
        <v>0</v>
      </c>
      <c r="M87">
        <v>0</v>
      </c>
      <c r="N87">
        <v>1</v>
      </c>
      <c r="O87" s="1299">
        <f t="shared" si="41"/>
        <v>0</v>
      </c>
    </row>
    <row r="88" spans="8:15">
      <c r="H88" s="226"/>
      <c r="I88" s="483" t="s">
        <v>5</v>
      </c>
      <c r="K88">
        <v>4</v>
      </c>
      <c r="L88">
        <v>7</v>
      </c>
      <c r="M88">
        <v>6</v>
      </c>
      <c r="N88">
        <v>7</v>
      </c>
      <c r="O88" s="1299">
        <f t="shared" si="41"/>
        <v>6</v>
      </c>
    </row>
    <row r="89" spans="8:15">
      <c r="H89" s="226"/>
      <c r="I89" s="481"/>
    </row>
    <row r="90" spans="8:15">
      <c r="H90" s="226"/>
      <c r="I90" s="481" t="s">
        <v>541</v>
      </c>
    </row>
    <row r="91" spans="8:15">
      <c r="H91" s="226"/>
      <c r="I91" s="481" t="s">
        <v>563</v>
      </c>
    </row>
    <row r="92" spans="8:15">
      <c r="H92" s="226"/>
      <c r="I92" s="483" t="s">
        <v>543</v>
      </c>
    </row>
    <row r="93" spans="8:15">
      <c r="H93" s="226"/>
      <c r="I93" s="481" t="s">
        <v>562</v>
      </c>
    </row>
    <row r="94" spans="8:15">
      <c r="H94" s="226"/>
      <c r="I94" s="547" t="s">
        <v>545</v>
      </c>
    </row>
    <row r="95" spans="8:15">
      <c r="H95" s="226"/>
      <c r="I95" s="550"/>
      <c r="K95">
        <f>SUM(K77:K94)</f>
        <v>49</v>
      </c>
      <c r="L95">
        <f>SUM(L77:L94)</f>
        <v>42</v>
      </c>
      <c r="M95">
        <f>SUM(M77:M94)</f>
        <v>44</v>
      </c>
      <c r="N95">
        <f>SUM(N77:N94)</f>
        <v>45</v>
      </c>
      <c r="O95" s="1299">
        <f>SUM(O77:O94)</f>
        <v>45</v>
      </c>
    </row>
    <row r="96" spans="8:15">
      <c r="H96" s="226"/>
    </row>
    <row r="97" spans="8:15">
      <c r="H97" s="226"/>
      <c r="O97">
        <f>SUM(M95:O95)</f>
        <v>134</v>
      </c>
    </row>
    <row r="98" spans="8:15">
      <c r="H98" s="226"/>
      <c r="I98" s="14"/>
    </row>
    <row r="99" spans="8:15">
      <c r="H99" s="226"/>
      <c r="I99" s="220"/>
      <c r="J99" s="220"/>
      <c r="K99" s="220"/>
      <c r="L99" s="220"/>
      <c r="M99" s="220"/>
      <c r="N99" s="220"/>
      <c r="O99" s="220"/>
    </row>
    <row r="100" spans="8:15">
      <c r="H100" s="226"/>
      <c r="I100" s="481" t="s">
        <v>538</v>
      </c>
    </row>
    <row r="101" spans="8:15">
      <c r="H101" s="226"/>
      <c r="I101" s="481" t="s">
        <v>6</v>
      </c>
    </row>
    <row r="102" spans="8:15">
      <c r="H102" s="226"/>
      <c r="I102" s="481" t="s">
        <v>8</v>
      </c>
    </row>
    <row r="103" spans="8:15">
      <c r="H103" s="226"/>
      <c r="I103" s="483" t="s">
        <v>2</v>
      </c>
    </row>
    <row r="104" spans="8:15">
      <c r="H104" s="226"/>
      <c r="I104" s="481" t="s">
        <v>10</v>
      </c>
    </row>
    <row r="105" spans="8:15">
      <c r="H105" s="226"/>
      <c r="I105" s="481" t="s">
        <v>4</v>
      </c>
    </row>
    <row r="106" spans="8:15">
      <c r="H106" s="226"/>
      <c r="I106" s="481" t="s">
        <v>14</v>
      </c>
    </row>
    <row r="107" spans="8:15">
      <c r="H107" s="226"/>
      <c r="I107" s="483" t="s">
        <v>17</v>
      </c>
    </row>
    <row r="108" spans="8:15">
      <c r="H108" s="226"/>
      <c r="I108" s="481" t="s">
        <v>324</v>
      </c>
    </row>
    <row r="109" spans="8:15">
      <c r="H109" s="226"/>
      <c r="I109" s="481" t="s">
        <v>7</v>
      </c>
    </row>
    <row r="110" spans="8:15">
      <c r="H110" s="226"/>
      <c r="I110" s="481" t="s">
        <v>9</v>
      </c>
    </row>
    <row r="111" spans="8:15">
      <c r="H111" s="226"/>
      <c r="I111" s="483" t="s">
        <v>5</v>
      </c>
    </row>
    <row r="112" spans="8:15">
      <c r="H112" s="226"/>
      <c r="I112" s="481"/>
    </row>
    <row r="113" spans="8:14">
      <c r="H113" s="226"/>
      <c r="I113" s="481" t="s">
        <v>541</v>
      </c>
    </row>
    <row r="114" spans="8:14">
      <c r="H114" s="226"/>
      <c r="I114" s="481" t="s">
        <v>563</v>
      </c>
    </row>
    <row r="115" spans="8:14">
      <c r="H115" s="226"/>
      <c r="I115" s="483" t="s">
        <v>543</v>
      </c>
    </row>
    <row r="116" spans="8:14">
      <c r="H116" s="226"/>
      <c r="I116" s="481" t="s">
        <v>562</v>
      </c>
    </row>
    <row r="117" spans="8:14">
      <c r="H117" s="226"/>
      <c r="I117" s="547" t="s">
        <v>545</v>
      </c>
    </row>
    <row r="118" spans="8:14">
      <c r="H118" s="226"/>
      <c r="I118" s="550"/>
      <c r="K118">
        <f>SUM(K100:K117)</f>
        <v>0</v>
      </c>
      <c r="L118">
        <f>SUM(L100:L117)</f>
        <v>0</v>
      </c>
      <c r="M118">
        <f>SUM(M100:M117)</f>
        <v>0</v>
      </c>
      <c r="N118">
        <f>SUM(N100:N117)</f>
        <v>0</v>
      </c>
    </row>
  </sheetData>
  <pageMargins left="0.75" right="0.75" top="1" bottom="1" header="0.5" footer="0.5"/>
  <pageSetup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38"/>
  <sheetViews>
    <sheetView workbookViewId="0">
      <selection activeCell="AH8" sqref="AH8"/>
    </sheetView>
  </sheetViews>
  <sheetFormatPr defaultColWidth="11" defaultRowHeight="15.75"/>
  <cols>
    <col min="1" max="1" width="25" customWidth="1"/>
    <col min="3" max="4" width="11.5" customWidth="1"/>
    <col min="6" max="6" width="18.875" customWidth="1"/>
    <col min="10" max="10" width="11.375" customWidth="1"/>
    <col min="14" max="14" width="22.5" customWidth="1"/>
    <col min="18" max="18" width="14.5" customWidth="1"/>
    <col min="19" max="20" width="12.875" customWidth="1"/>
    <col min="21" max="22" width="14" customWidth="1"/>
    <col min="23" max="23" width="14.875" customWidth="1"/>
    <col min="24" max="24" width="13.125" customWidth="1"/>
    <col min="25" max="25" width="15" bestFit="1" customWidth="1"/>
    <col min="26" max="26" width="13.375" customWidth="1"/>
    <col min="29" max="29" width="12.125" customWidth="1"/>
    <col min="30" max="30" width="10.875" customWidth="1"/>
    <col min="34" max="34" width="10.875" customWidth="1"/>
    <col min="35" max="35" width="13.125" customWidth="1"/>
    <col min="36" max="36" width="13.625" bestFit="1" customWidth="1"/>
    <col min="38" max="38" width="19.625" customWidth="1"/>
    <col min="41" max="41" width="13.625" bestFit="1" customWidth="1"/>
    <col min="42" max="42" width="12" bestFit="1" customWidth="1"/>
    <col min="45" max="45" width="12.375" customWidth="1"/>
    <col min="46" max="46" width="11.875" customWidth="1"/>
  </cols>
  <sheetData>
    <row r="1" spans="1:46">
      <c r="A1" s="10" t="s">
        <v>603</v>
      </c>
    </row>
    <row r="2" spans="1:46">
      <c r="A2" t="s">
        <v>1011</v>
      </c>
    </row>
    <row r="3" spans="1:46" ht="16.5" thickBot="1">
      <c r="A3" t="s">
        <v>1012</v>
      </c>
      <c r="U3" t="s">
        <v>1013</v>
      </c>
    </row>
    <row r="4" spans="1:46">
      <c r="N4" s="217" t="s">
        <v>1339</v>
      </c>
      <c r="O4" s="217"/>
      <c r="P4" s="217"/>
      <c r="Q4" s="217"/>
      <c r="R4" s="217"/>
      <c r="S4" s="217"/>
      <c r="T4" s="217"/>
      <c r="U4" s="217"/>
      <c r="V4" s="217"/>
      <c r="W4" s="217"/>
      <c r="X4" s="217"/>
      <c r="Y4" s="270"/>
      <c r="Z4" s="399"/>
      <c r="AA4" s="399"/>
      <c r="AB4" s="400"/>
      <c r="AL4" s="217" t="s">
        <v>1340</v>
      </c>
      <c r="AM4" s="217"/>
      <c r="AN4" s="217"/>
      <c r="AO4" s="217"/>
      <c r="AP4" s="217"/>
      <c r="AQ4" s="217"/>
      <c r="AR4" s="217"/>
      <c r="AS4" s="217"/>
    </row>
    <row r="5" spans="1:46" ht="16.5" thickBot="1">
      <c r="A5" s="478" t="s">
        <v>906</v>
      </c>
      <c r="B5" s="217"/>
      <c r="C5" s="217"/>
      <c r="D5" s="217"/>
      <c r="F5" s="478" t="s">
        <v>907</v>
      </c>
      <c r="G5" s="217"/>
      <c r="H5" s="217"/>
      <c r="I5" s="217"/>
      <c r="K5" s="1249" t="s">
        <v>66</v>
      </c>
      <c r="L5" s="1249" t="s">
        <v>67</v>
      </c>
      <c r="O5" s="62"/>
      <c r="P5" s="62"/>
      <c r="Q5" s="62"/>
      <c r="R5" s="62"/>
      <c r="S5" s="62"/>
      <c r="T5" s="62"/>
      <c r="U5" s="62"/>
      <c r="V5" s="62"/>
      <c r="W5" s="62"/>
      <c r="X5" s="62"/>
      <c r="Y5" s="62">
        <v>1</v>
      </c>
      <c r="Z5" s="62">
        <v>2</v>
      </c>
      <c r="AA5" s="62">
        <v>3</v>
      </c>
      <c r="AB5" s="401">
        <v>4</v>
      </c>
      <c r="AG5" s="1242" t="s">
        <v>1343</v>
      </c>
      <c r="AH5" s="1242"/>
      <c r="AI5" s="1242"/>
      <c r="AJ5" s="1242"/>
      <c r="AM5" s="62">
        <v>1</v>
      </c>
      <c r="AN5" s="405">
        <v>2</v>
      </c>
      <c r="AO5" s="62">
        <v>3</v>
      </c>
      <c r="AP5" s="401">
        <v>4</v>
      </c>
    </row>
    <row r="6" spans="1:46" ht="31.5">
      <c r="A6" s="479"/>
      <c r="B6" s="480" t="s">
        <v>908</v>
      </c>
      <c r="C6" s="480" t="s">
        <v>909</v>
      </c>
      <c r="D6" s="480" t="s">
        <v>1335</v>
      </c>
      <c r="F6" s="479"/>
      <c r="G6" s="480" t="s">
        <v>908</v>
      </c>
      <c r="H6" s="480" t="s">
        <v>909</v>
      </c>
      <c r="I6" s="480" t="s">
        <v>1335</v>
      </c>
      <c r="K6" s="453" t="s">
        <v>1260</v>
      </c>
      <c r="L6" s="453" t="s">
        <v>1261</v>
      </c>
      <c r="N6" s="1115" t="s">
        <v>887</v>
      </c>
      <c r="O6" s="1284" t="s">
        <v>64</v>
      </c>
      <c r="P6" s="1284" t="s">
        <v>63</v>
      </c>
      <c r="Q6" s="1284" t="s">
        <v>426</v>
      </c>
      <c r="R6" s="1284" t="s">
        <v>863</v>
      </c>
      <c r="S6" s="1285" t="s">
        <v>1326</v>
      </c>
      <c r="T6" s="1285" t="s">
        <v>1748</v>
      </c>
      <c r="U6" s="1285" t="s">
        <v>1327</v>
      </c>
      <c r="V6" s="1278" t="s">
        <v>1328</v>
      </c>
      <c r="W6" s="542" t="s">
        <v>1333</v>
      </c>
      <c r="X6" s="527" t="s">
        <v>1310</v>
      </c>
      <c r="Y6" s="1561" t="s">
        <v>1305</v>
      </c>
      <c r="Z6" s="1561" t="s">
        <v>1033</v>
      </c>
      <c r="AA6" s="1561" t="s">
        <v>63</v>
      </c>
      <c r="AB6" s="1561" t="s">
        <v>426</v>
      </c>
      <c r="AC6" s="1561" t="s">
        <v>863</v>
      </c>
      <c r="AD6" s="1561" t="s">
        <v>898</v>
      </c>
      <c r="AE6" s="542" t="s">
        <v>1305</v>
      </c>
      <c r="AF6" s="1203"/>
      <c r="AG6" s="1235" t="s">
        <v>1341</v>
      </c>
      <c r="AH6" s="1235" t="s">
        <v>1342</v>
      </c>
      <c r="AI6" s="1116" t="s">
        <v>898</v>
      </c>
      <c r="AJ6" s="1116" t="s">
        <v>1305</v>
      </c>
      <c r="AL6" s="1115" t="s">
        <v>887</v>
      </c>
      <c r="AM6" s="1284" t="s">
        <v>1177</v>
      </c>
      <c r="AN6" s="1284" t="s">
        <v>64</v>
      </c>
      <c r="AO6" s="1284" t="s">
        <v>63</v>
      </c>
      <c r="AP6" s="1284" t="s">
        <v>426</v>
      </c>
      <c r="AQ6" s="1284" t="s">
        <v>863</v>
      </c>
      <c r="AR6" s="1284" t="s">
        <v>898</v>
      </c>
      <c r="AS6" s="1284" t="s">
        <v>1305</v>
      </c>
      <c r="AT6" s="1284" t="s">
        <v>1332</v>
      </c>
    </row>
    <row r="7" spans="1:46">
      <c r="A7" s="481" t="s">
        <v>538</v>
      </c>
      <c r="B7" s="455">
        <v>5520000</v>
      </c>
      <c r="C7" s="455">
        <f>6654500+K7</f>
        <v>6654500</v>
      </c>
      <c r="D7" s="664">
        <f>W8</f>
        <v>6845000</v>
      </c>
      <c r="F7" s="481" t="s">
        <v>538</v>
      </c>
      <c r="G7" s="455">
        <v>410000</v>
      </c>
      <c r="H7" s="455">
        <f>550000+L7</f>
        <v>550000</v>
      </c>
      <c r="I7" s="664">
        <f>AT8</f>
        <v>593000</v>
      </c>
      <c r="K7">
        <f>'What If Data'!H25*0.72*208+0.72*448*'What If Data'!I25</f>
        <v>0</v>
      </c>
      <c r="L7">
        <f>0.72*(201*'What If Data'!J25+457*'What If Data'!K25)</f>
        <v>0</v>
      </c>
      <c r="N7" s="1117"/>
      <c r="O7" s="62"/>
      <c r="P7" s="62"/>
      <c r="Q7" s="62"/>
      <c r="R7" s="62"/>
      <c r="S7" s="62"/>
      <c r="T7" s="62"/>
      <c r="U7" s="62"/>
      <c r="V7" s="62"/>
      <c r="W7" s="452"/>
      <c r="X7" s="452"/>
      <c r="Y7" s="452"/>
      <c r="Z7" s="154"/>
      <c r="AA7" s="154"/>
      <c r="AB7" s="154"/>
      <c r="AC7" s="154"/>
      <c r="AD7" s="154"/>
      <c r="AE7" s="154"/>
      <c r="AL7" s="1117"/>
    </row>
    <row r="8" spans="1:46">
      <c r="A8" s="481" t="s">
        <v>6</v>
      </c>
      <c r="B8" s="455">
        <v>3000000</v>
      </c>
      <c r="C8" s="455">
        <f>3000000+K8</f>
        <v>3000000</v>
      </c>
      <c r="D8" s="664">
        <f>W9</f>
        <v>4370000</v>
      </c>
      <c r="F8" s="481" t="s">
        <v>6</v>
      </c>
      <c r="G8" s="455">
        <v>484282</v>
      </c>
      <c r="H8" s="455">
        <f>528000+L8</f>
        <v>528000</v>
      </c>
      <c r="I8" s="664">
        <f>AT9</f>
        <v>471000</v>
      </c>
      <c r="K8">
        <f>'What If Data'!H26*0.72*208+0.72*448*'What If Data'!I26</f>
        <v>0</v>
      </c>
      <c r="L8">
        <f>0.72*(201*'What If Data'!J26+457*'What If Data'!K26)</f>
        <v>0</v>
      </c>
      <c r="N8" s="1118" t="s">
        <v>538</v>
      </c>
      <c r="O8" s="1119">
        <v>3717218</v>
      </c>
      <c r="P8" s="1119">
        <v>4191524</v>
      </c>
      <c r="Q8" s="1119">
        <v>4828168</v>
      </c>
      <c r="R8" s="1119">
        <v>5937897</v>
      </c>
      <c r="S8" s="1119">
        <v>6732236</v>
      </c>
      <c r="T8" s="1119"/>
      <c r="U8" s="1119">
        <v>7736835</v>
      </c>
      <c r="V8" s="1293">
        <v>7605533.965947317</v>
      </c>
      <c r="W8" s="1119">
        <f>ROUND(0.9*V8,-3)</f>
        <v>6845000</v>
      </c>
      <c r="X8" s="1266">
        <f>C7/U8</f>
        <v>0.8601062320703492</v>
      </c>
      <c r="Y8" s="1123">
        <f t="shared" ref="Y8:Y19" si="0">AE8*U8</f>
        <v>9530432.3935541585</v>
      </c>
      <c r="Z8" s="153">
        <f>X8*Y8</f>
        <v>8197184.2960210666</v>
      </c>
      <c r="AA8" s="436">
        <f t="shared" ref="AA8:AA17" si="1">P8/O8</f>
        <v>1.127597036278206</v>
      </c>
      <c r="AB8" s="436">
        <f>Q8/P8</f>
        <v>1.1518884300793697</v>
      </c>
      <c r="AC8" s="436">
        <f t="shared" ref="AC8:AC17" si="2">S8/Q8</f>
        <v>1.3943665589101291</v>
      </c>
      <c r="AD8" s="436">
        <f t="shared" ref="AD8:AD17" si="3">U8/S8</f>
        <v>1.1492221900717681</v>
      </c>
      <c r="AE8" s="648">
        <f>AVERAGE(AB8:AD8)</f>
        <v>1.2318257263537555</v>
      </c>
      <c r="AF8" s="16"/>
      <c r="AG8" s="16">
        <v>0.126</v>
      </c>
      <c r="AH8" s="16">
        <v>0.13600000000000001</v>
      </c>
      <c r="AI8" s="194">
        <f>(1+AG8)*R8</f>
        <v>6686072.0219999989</v>
      </c>
      <c r="AJ8" s="194">
        <f>(1+AH8)*AI8</f>
        <v>7595377.8169919997</v>
      </c>
      <c r="AL8" s="1118" t="s">
        <v>538</v>
      </c>
      <c r="AM8" s="1286">
        <v>367094</v>
      </c>
      <c r="AN8" s="1286">
        <v>513583</v>
      </c>
      <c r="AO8" s="1286">
        <v>491657</v>
      </c>
      <c r="AP8" s="1286">
        <v>385849</v>
      </c>
      <c r="AQ8" s="1286">
        <v>559794</v>
      </c>
      <c r="AR8" s="1286">
        <f>TREND(AO8:AQ8,AM$5:AO$5,AP$5)</f>
        <v>547237</v>
      </c>
      <c r="AS8" s="1286">
        <f>TREND(AP8:AR8,AM$5:AO$5,AP$5)</f>
        <v>659014.66666666674</v>
      </c>
      <c r="AT8" s="1286">
        <f>ROUND(0.9*AS8,-3)</f>
        <v>593000</v>
      </c>
    </row>
    <row r="9" spans="1:46">
      <c r="A9" s="481" t="s">
        <v>8</v>
      </c>
      <c r="B9" s="455">
        <v>1517899</v>
      </c>
      <c r="C9" s="455">
        <f>1600000+K9</f>
        <v>1600000</v>
      </c>
      <c r="D9" s="664">
        <f>W11</f>
        <v>1785000</v>
      </c>
      <c r="F9" s="481" t="s">
        <v>8</v>
      </c>
      <c r="G9" s="455">
        <v>155548</v>
      </c>
      <c r="H9" s="455">
        <f>83240+L9</f>
        <v>83240</v>
      </c>
      <c r="I9" s="664">
        <f>AT11</f>
        <v>32000</v>
      </c>
      <c r="K9">
        <f>'What If Data'!H27*0.72*208+0.72*448*'What If Data'!I27</f>
        <v>0</v>
      </c>
      <c r="L9">
        <f>0.72*(201*'What If Data'!J27+457*'What If Data'!K27)</f>
        <v>0</v>
      </c>
      <c r="N9" s="1118" t="s">
        <v>6</v>
      </c>
      <c r="O9" s="1119">
        <v>975688</v>
      </c>
      <c r="P9" s="1119">
        <v>1216575</v>
      </c>
      <c r="Q9" s="1119">
        <v>2221976</v>
      </c>
      <c r="R9" s="1119">
        <v>3085635</v>
      </c>
      <c r="S9" s="1119">
        <v>4043788.666666666</v>
      </c>
      <c r="T9" s="1119"/>
      <c r="U9" s="1119">
        <v>4938945.8888888881</v>
      </c>
      <c r="V9" s="1293">
        <v>4855127.5442632949</v>
      </c>
      <c r="W9" s="1119">
        <f t="shared" ref="W9:W26" si="4">ROUND(0.9*V9,-3)</f>
        <v>4370000</v>
      </c>
      <c r="X9" s="1266">
        <f>C8/U9</f>
        <v>0.60741706175584531</v>
      </c>
      <c r="Y9" s="1123">
        <f t="shared" si="0"/>
        <v>7510340.207229008</v>
      </c>
      <c r="Z9" s="153">
        <f t="shared" ref="Z9:Z19" si="5">X9*Y9</f>
        <v>4561908.7814618303</v>
      </c>
      <c r="AA9" s="436">
        <f t="shared" si="1"/>
        <v>1.2468893744721674</v>
      </c>
      <c r="AB9" s="436">
        <f t="shared" ref="AB9:AB17" si="6">Q9/P9</f>
        <v>1.8264192507654686</v>
      </c>
      <c r="AC9" s="436">
        <f t="shared" si="2"/>
        <v>1.8199065456452572</v>
      </c>
      <c r="AD9" s="436">
        <f t="shared" si="3"/>
        <v>1.2213659753292965</v>
      </c>
      <c r="AE9" s="648">
        <f>AVERAGE(AC9:AD9)</f>
        <v>1.5206362604872767</v>
      </c>
      <c r="AF9" s="16"/>
      <c r="AG9" s="16">
        <v>0.23</v>
      </c>
      <c r="AH9" s="16">
        <v>0.192</v>
      </c>
      <c r="AI9" s="194">
        <f t="shared" ref="AI9:AI18" si="7">(1+AG9)*R9</f>
        <v>3795331.05</v>
      </c>
      <c r="AJ9" s="194">
        <f t="shared" ref="AJ9:AJ19" si="8">(1+AH9)*AI9</f>
        <v>4524034.6115999995</v>
      </c>
      <c r="AL9" s="1118" t="s">
        <v>6</v>
      </c>
      <c r="AM9" s="1286">
        <v>703640</v>
      </c>
      <c r="AN9" s="1286">
        <v>843415</v>
      </c>
      <c r="AO9" s="1286">
        <v>644344</v>
      </c>
      <c r="AP9" s="1286">
        <v>667925</v>
      </c>
      <c r="AQ9" s="1286">
        <v>589485</v>
      </c>
      <c r="AR9" s="1286">
        <f t="shared" ref="AR9:AR26" si="9">TREND(AO9:AQ9,AM$5:AO$5,AP$5)</f>
        <v>579059</v>
      </c>
      <c r="AS9" s="1286">
        <f t="shared" ref="AS9:AS26" si="10">TREND(AP9:AR9,AM$5:AO$5,AP$5)</f>
        <v>523290.33333333331</v>
      </c>
      <c r="AT9" s="1286">
        <f t="shared" ref="AT9:AT26" si="11">ROUND(0.9*AS9,-3)</f>
        <v>471000</v>
      </c>
    </row>
    <row r="10" spans="1:46">
      <c r="A10" s="483" t="s">
        <v>2</v>
      </c>
      <c r="B10" s="455">
        <v>1050000</v>
      </c>
      <c r="C10" s="455">
        <f>1150000+K10</f>
        <v>1150000</v>
      </c>
      <c r="D10" s="664">
        <f>W13</f>
        <v>1475000</v>
      </c>
      <c r="F10" s="483" t="s">
        <v>2</v>
      </c>
      <c r="G10" s="455">
        <v>100000</v>
      </c>
      <c r="H10" s="455">
        <f>100000+L10</f>
        <v>100000</v>
      </c>
      <c r="I10" s="664">
        <f>AT13</f>
        <v>14000</v>
      </c>
      <c r="K10">
        <f>'What If Data'!H28*0.72*208+0.72*448*'What If Data'!I28</f>
        <v>0</v>
      </c>
      <c r="L10">
        <f>0.72*(201*'What If Data'!J28+457*'What If Data'!K28)</f>
        <v>0</v>
      </c>
      <c r="N10" s="1118" t="s">
        <v>888</v>
      </c>
      <c r="O10" s="1119">
        <v>1318094</v>
      </c>
      <c r="P10" s="1119">
        <v>1232525</v>
      </c>
      <c r="Q10" s="1119">
        <v>1316584</v>
      </c>
      <c r="R10" s="1119">
        <v>1306248</v>
      </c>
      <c r="S10" s="1119">
        <v>1358842</v>
      </c>
      <c r="T10" s="1119"/>
      <c r="U10" s="1119">
        <v>1369482.6666666667</v>
      </c>
      <c r="V10" s="1293">
        <v>1346241.3166507289</v>
      </c>
      <c r="W10" s="1119">
        <f t="shared" si="4"/>
        <v>1212000</v>
      </c>
      <c r="X10" s="1266">
        <f>C18/U10</f>
        <v>0.87624329187079886</v>
      </c>
      <c r="Y10" s="1123">
        <f t="shared" si="0"/>
        <v>1418842.4880576471</v>
      </c>
      <c r="Z10" s="153">
        <f t="shared" si="5"/>
        <v>1243251.2123817874</v>
      </c>
      <c r="AA10" s="436">
        <f t="shared" si="1"/>
        <v>0.9350812612757512</v>
      </c>
      <c r="AB10" s="436">
        <f t="shared" si="6"/>
        <v>1.0682006450173425</v>
      </c>
      <c r="AC10" s="436">
        <f t="shared" si="2"/>
        <v>1.0320966987294393</v>
      </c>
      <c r="AD10" s="436">
        <f t="shared" si="3"/>
        <v>1.0078306872076863</v>
      </c>
      <c r="AE10" s="648">
        <f>AVERAGE(AB10:AD10)</f>
        <v>1.0360426769848228</v>
      </c>
      <c r="AF10" s="16"/>
      <c r="AG10" s="16">
        <v>0.30299999999999999</v>
      </c>
      <c r="AH10" s="16">
        <v>0.09</v>
      </c>
      <c r="AI10" s="194">
        <f t="shared" si="7"/>
        <v>1702041.1439999999</v>
      </c>
      <c r="AJ10" s="194">
        <f t="shared" si="8"/>
        <v>1855224.84696</v>
      </c>
      <c r="AL10" s="1118" t="s">
        <v>888</v>
      </c>
      <c r="AM10" s="1286">
        <v>201196</v>
      </c>
      <c r="AN10" s="1286">
        <v>233382</v>
      </c>
      <c r="AO10" s="1286">
        <v>232658</v>
      </c>
      <c r="AP10" s="1286">
        <v>185463</v>
      </c>
      <c r="AQ10" s="1286">
        <v>208710</v>
      </c>
      <c r="AR10" s="1286">
        <f t="shared" si="9"/>
        <v>184995.66666666669</v>
      </c>
      <c r="AS10" s="1286">
        <f t="shared" si="10"/>
        <v>192588.88888888893</v>
      </c>
      <c r="AT10" s="1286">
        <f t="shared" si="11"/>
        <v>173000</v>
      </c>
    </row>
    <row r="11" spans="1:46">
      <c r="A11" s="481" t="s">
        <v>10</v>
      </c>
      <c r="B11" s="455">
        <v>30000</v>
      </c>
      <c r="C11" s="455">
        <f>0+K11</f>
        <v>0</v>
      </c>
      <c r="D11" s="664">
        <f>W15</f>
        <v>14000</v>
      </c>
      <c r="F11" s="481" t="s">
        <v>10</v>
      </c>
      <c r="G11" s="455">
        <v>75000</v>
      </c>
      <c r="H11" s="455">
        <f>80000+L11</f>
        <v>80000</v>
      </c>
      <c r="I11" s="664">
        <f>AT15</f>
        <v>101000</v>
      </c>
      <c r="K11">
        <f>'What If Data'!H29*0.72*208+0.72*448*'What If Data'!I29</f>
        <v>0</v>
      </c>
      <c r="L11">
        <f>0.72*(201*'What If Data'!J29+457*'What If Data'!K29)</f>
        <v>0</v>
      </c>
      <c r="N11" s="1118" t="s">
        <v>8</v>
      </c>
      <c r="O11" s="1119">
        <v>1448033</v>
      </c>
      <c r="P11" s="1119">
        <v>1472444</v>
      </c>
      <c r="Q11" s="1119">
        <v>1507080</v>
      </c>
      <c r="R11" s="1119">
        <v>1734127</v>
      </c>
      <c r="S11" s="1119">
        <v>1832900</v>
      </c>
      <c r="T11" s="1119"/>
      <c r="U11" s="1119">
        <v>2017189</v>
      </c>
      <c r="V11" s="1293">
        <v>1982955.4921664095</v>
      </c>
      <c r="W11" s="1119">
        <f t="shared" si="4"/>
        <v>1785000</v>
      </c>
      <c r="X11" s="1266">
        <f>C9/U11</f>
        <v>0.79318298880273486</v>
      </c>
      <c r="Y11" s="1123">
        <f t="shared" si="0"/>
        <v>2245979.0718440795</v>
      </c>
      <c r="Z11" s="153">
        <f t="shared" si="5"/>
        <v>1781472.3929936793</v>
      </c>
      <c r="AA11" s="436">
        <f t="shared" si="1"/>
        <v>1.0168580412186738</v>
      </c>
      <c r="AB11" s="436">
        <f t="shared" si="6"/>
        <v>1.023522796113129</v>
      </c>
      <c r="AC11" s="436">
        <f t="shared" si="2"/>
        <v>1.2161929028319665</v>
      </c>
      <c r="AD11" s="436">
        <f t="shared" si="3"/>
        <v>1.1005450379180532</v>
      </c>
      <c r="AE11" s="648">
        <f>AVERAGE(AB11:AD11)</f>
        <v>1.1134202456210496</v>
      </c>
      <c r="AF11" s="16"/>
      <c r="AG11" s="16">
        <v>0.17100000000000001</v>
      </c>
      <c r="AH11" s="16">
        <v>0.14399999999999999</v>
      </c>
      <c r="AI11" s="194">
        <f t="shared" si="7"/>
        <v>2030662.7170000002</v>
      </c>
      <c r="AJ11" s="194">
        <f t="shared" si="8"/>
        <v>2323078.1482480001</v>
      </c>
      <c r="AL11" s="1118" t="s">
        <v>8</v>
      </c>
      <c r="AM11" s="1287">
        <v>255666</v>
      </c>
      <c r="AN11" s="1287">
        <v>217718</v>
      </c>
      <c r="AO11" s="1287">
        <v>223536</v>
      </c>
      <c r="AP11" s="1287">
        <v>155548</v>
      </c>
      <c r="AQ11" s="1287">
        <v>99984</v>
      </c>
      <c r="AR11" s="1286">
        <f t="shared" si="9"/>
        <v>36137.333333333372</v>
      </c>
      <c r="AS11" s="1286">
        <v>35000</v>
      </c>
      <c r="AT11" s="1286">
        <f t="shared" si="11"/>
        <v>32000</v>
      </c>
    </row>
    <row r="12" spans="1:46">
      <c r="A12" s="481" t="s">
        <v>4</v>
      </c>
      <c r="B12" s="455">
        <v>3900000</v>
      </c>
      <c r="C12" s="455">
        <f>4200000+K12</f>
        <v>4200000</v>
      </c>
      <c r="D12" s="664">
        <f>W17</f>
        <v>4644000</v>
      </c>
      <c r="F12" s="481" t="s">
        <v>4</v>
      </c>
      <c r="G12" s="455">
        <v>2200000</v>
      </c>
      <c r="H12" s="455">
        <f>1900000+L12</f>
        <v>1900000</v>
      </c>
      <c r="I12" s="664">
        <f>AT17</f>
        <v>1960000</v>
      </c>
      <c r="K12">
        <f>'What If Data'!H30*0.72*208+0.72*448*'What If Data'!I30</f>
        <v>0</v>
      </c>
      <c r="L12">
        <f>0.72*(201*'What If Data'!J30+457*'What If Data'!K30)</f>
        <v>0</v>
      </c>
      <c r="N12" s="1118" t="s">
        <v>7</v>
      </c>
      <c r="O12" s="1119">
        <v>4706757</v>
      </c>
      <c r="P12" s="1119">
        <v>8420641</v>
      </c>
      <c r="Q12" s="1119">
        <v>10119519</v>
      </c>
      <c r="R12" s="1119">
        <v>11795739</v>
      </c>
      <c r="S12" s="1119">
        <v>13487064.333333334</v>
      </c>
      <c r="T12" s="1119"/>
      <c r="U12" s="1119">
        <v>15168319.444444444</v>
      </c>
      <c r="V12" s="1293">
        <v>14910899.449330557</v>
      </c>
      <c r="W12" s="1119">
        <f t="shared" si="4"/>
        <v>13420000</v>
      </c>
      <c r="X12" s="1266">
        <f>C16/U12</f>
        <v>0.7911225791328601</v>
      </c>
      <c r="Y12" s="1123">
        <f t="shared" si="0"/>
        <v>18501232.530989964</v>
      </c>
      <c r="Z12" s="153">
        <f t="shared" si="5"/>
        <v>14636742.797053553</v>
      </c>
      <c r="AA12" s="436">
        <f t="shared" si="1"/>
        <v>1.7890536945077045</v>
      </c>
      <c r="AB12" s="436">
        <f t="shared" si="6"/>
        <v>1.2017516243715889</v>
      </c>
      <c r="AC12" s="436">
        <f t="shared" si="2"/>
        <v>1.3327772133570117</v>
      </c>
      <c r="AD12" s="436">
        <f t="shared" si="3"/>
        <v>1.1246568615347878</v>
      </c>
      <c r="AE12" s="648">
        <f>AVERAGE(AB12:AD12)</f>
        <v>1.2197285664211295</v>
      </c>
      <c r="AF12" s="16"/>
      <c r="AG12" s="16">
        <v>0.17100000000000001</v>
      </c>
      <c r="AH12" s="16">
        <v>0.11600000000000001</v>
      </c>
      <c r="AI12" s="194">
        <f t="shared" si="7"/>
        <v>13812810.369000001</v>
      </c>
      <c r="AJ12" s="194">
        <f t="shared" si="8"/>
        <v>15415096.371804003</v>
      </c>
      <c r="AL12" s="1118" t="s">
        <v>7</v>
      </c>
      <c r="AM12" s="1286">
        <v>818828</v>
      </c>
      <c r="AN12" s="1286">
        <v>969148</v>
      </c>
      <c r="AO12" s="1286">
        <v>986601</v>
      </c>
      <c r="AP12" s="1286">
        <v>1166975</v>
      </c>
      <c r="AQ12" s="1286">
        <v>1617970</v>
      </c>
      <c r="AR12" s="1286">
        <f t="shared" si="9"/>
        <v>1888551</v>
      </c>
      <c r="AS12" s="1286">
        <f t="shared" si="10"/>
        <v>2279408</v>
      </c>
      <c r="AT12" s="1286">
        <f t="shared" si="11"/>
        <v>2051000</v>
      </c>
    </row>
    <row r="13" spans="1:46">
      <c r="A13" s="481" t="s">
        <v>14</v>
      </c>
      <c r="B13" s="455"/>
      <c r="C13" s="455">
        <f>100000+K13</f>
        <v>100000</v>
      </c>
      <c r="D13" s="664">
        <f>W19</f>
        <v>222000</v>
      </c>
      <c r="F13" s="481" t="s">
        <v>14</v>
      </c>
      <c r="G13" s="455">
        <v>80000</v>
      </c>
      <c r="H13" s="455">
        <f>90000+L13</f>
        <v>90000</v>
      </c>
      <c r="I13" s="664">
        <f>AT19</f>
        <v>136000</v>
      </c>
      <c r="K13">
        <f>'What If Data'!H31*0.72*208+0.72*448*'What If Data'!I31</f>
        <v>0</v>
      </c>
      <c r="L13">
        <f>0.72*(201*'What If Data'!J31+457*'What If Data'!K31)</f>
        <v>0</v>
      </c>
      <c r="N13" s="1118" t="s">
        <v>889</v>
      </c>
      <c r="O13" s="1119">
        <v>940073</v>
      </c>
      <c r="P13" s="1119">
        <v>979717</v>
      </c>
      <c r="Q13" s="1119">
        <v>1094180</v>
      </c>
      <c r="R13" s="1119">
        <v>1317598</v>
      </c>
      <c r="S13" s="1119">
        <v>1468379.3333333333</v>
      </c>
      <c r="T13" s="1119"/>
      <c r="U13" s="1119">
        <v>1667585.111111111</v>
      </c>
      <c r="V13" s="1293">
        <v>1639284.6950547074</v>
      </c>
      <c r="W13" s="1119">
        <f t="shared" si="4"/>
        <v>1475000</v>
      </c>
      <c r="X13" s="1266">
        <f>C10/U13</f>
        <v>0.68961997341998071</v>
      </c>
      <c r="Y13" s="1123">
        <f t="shared" si="0"/>
        <v>1998037.7092308956</v>
      </c>
      <c r="Z13" s="153">
        <f t="shared" si="5"/>
        <v>1377886.7119319295</v>
      </c>
      <c r="AA13" s="436">
        <f t="shared" si="1"/>
        <v>1.0421711930881963</v>
      </c>
      <c r="AB13" s="436">
        <f t="shared" si="6"/>
        <v>1.1168327180195914</v>
      </c>
      <c r="AC13" s="436">
        <f t="shared" si="2"/>
        <v>1.3419906535792403</v>
      </c>
      <c r="AD13" s="436">
        <f t="shared" si="3"/>
        <v>1.1356637030062018</v>
      </c>
      <c r="AE13" s="648">
        <f>AVERAGE(AB13:AD13)</f>
        <v>1.1981623582016778</v>
      </c>
      <c r="AF13" s="16"/>
      <c r="AG13" s="16">
        <v>8.3000000000000004E-2</v>
      </c>
      <c r="AH13" s="16">
        <v>0.13200000000000001</v>
      </c>
      <c r="AI13" s="194">
        <f t="shared" si="7"/>
        <v>1426958.6339999998</v>
      </c>
      <c r="AJ13" s="194">
        <f t="shared" si="8"/>
        <v>1615317.1736880001</v>
      </c>
      <c r="AL13" s="1118" t="s">
        <v>889</v>
      </c>
      <c r="AM13" s="1288">
        <v>160737</v>
      </c>
      <c r="AN13" s="1288">
        <v>244908</v>
      </c>
      <c r="AO13" s="1288">
        <v>185850</v>
      </c>
      <c r="AP13" s="1288">
        <v>94860</v>
      </c>
      <c r="AQ13" s="1288">
        <v>95695</v>
      </c>
      <c r="AR13" s="1286">
        <f t="shared" si="9"/>
        <v>35313.333333333343</v>
      </c>
      <c r="AS13" s="1286">
        <f t="shared" si="10"/>
        <v>15742.77777777781</v>
      </c>
      <c r="AT13" s="1286">
        <f t="shared" si="11"/>
        <v>14000</v>
      </c>
    </row>
    <row r="14" spans="1:46">
      <c r="A14" s="483" t="s">
        <v>17</v>
      </c>
      <c r="B14" s="455">
        <v>9962806</v>
      </c>
      <c r="C14" s="455">
        <f>12500000+K14</f>
        <v>12500000</v>
      </c>
      <c r="D14" s="664">
        <f>W14</f>
        <v>12243000</v>
      </c>
      <c r="F14" s="483" t="s">
        <v>17</v>
      </c>
      <c r="G14" s="455">
        <v>1125003</v>
      </c>
      <c r="H14" s="455">
        <f>970000+L14</f>
        <v>970000</v>
      </c>
      <c r="I14" s="664">
        <f>AT14</f>
        <v>813000</v>
      </c>
      <c r="K14">
        <f>'What If Data'!H32*0.72*208+0.72*448*'What If Data'!I32</f>
        <v>0</v>
      </c>
      <c r="L14">
        <f>0.72*(201*'What If Data'!J32+457*'What If Data'!K32)</f>
        <v>0</v>
      </c>
      <c r="N14" s="1118" t="s">
        <v>17</v>
      </c>
      <c r="O14" s="1119">
        <v>8601805</v>
      </c>
      <c r="P14" s="1119">
        <v>8962806</v>
      </c>
      <c r="Q14" s="1119">
        <v>9966051</v>
      </c>
      <c r="R14" s="1119">
        <v>11377603</v>
      </c>
      <c r="S14" s="1119">
        <v>12516950.333333334</v>
      </c>
      <c r="T14" s="1119"/>
      <c r="U14" s="1119">
        <v>13837767.444444446</v>
      </c>
      <c r="V14" s="1293">
        <v>13602928.110991413</v>
      </c>
      <c r="W14" s="1119">
        <f>ROUND(0.9*V14,-3)</f>
        <v>12243000</v>
      </c>
      <c r="X14" s="1266">
        <f>C14/U14</f>
        <v>0.90332490773419305</v>
      </c>
      <c r="Y14" s="1123">
        <f t="shared" si="0"/>
        <v>16021438.271708403</v>
      </c>
      <c r="Z14" s="153">
        <f t="shared" si="5"/>
        <v>14472564.248560062</v>
      </c>
      <c r="AA14" s="436">
        <f t="shared" si="1"/>
        <v>1.041968052054191</v>
      </c>
      <c r="AB14" s="436">
        <f t="shared" si="6"/>
        <v>1.1119342536254828</v>
      </c>
      <c r="AC14" s="436">
        <f t="shared" si="2"/>
        <v>1.2559588881627572</v>
      </c>
      <c r="AD14" s="436">
        <f t="shared" si="3"/>
        <v>1.1055222778661751</v>
      </c>
      <c r="AE14" s="648">
        <f>AVERAGE(AB14:AD14)</f>
        <v>1.157805139884805</v>
      </c>
      <c r="AF14" s="16"/>
      <c r="AG14" s="16">
        <v>4.4999999999999998E-2</v>
      </c>
      <c r="AH14" s="16">
        <v>0.08</v>
      </c>
      <c r="AI14" s="194">
        <f t="shared" si="7"/>
        <v>11889595.135</v>
      </c>
      <c r="AJ14" s="194">
        <f t="shared" si="8"/>
        <v>12840762.7458</v>
      </c>
      <c r="AL14" s="1118" t="s">
        <v>17</v>
      </c>
      <c r="AM14" s="1286">
        <v>1399222</v>
      </c>
      <c r="AN14" s="1286">
        <v>1414935</v>
      </c>
      <c r="AO14" s="1286">
        <v>1218156</v>
      </c>
      <c r="AP14" s="1286">
        <v>1125003</v>
      </c>
      <c r="AQ14" s="1286">
        <v>1059231</v>
      </c>
      <c r="AR14" s="1286">
        <f t="shared" si="9"/>
        <v>975205</v>
      </c>
      <c r="AS14" s="1286">
        <f t="shared" si="10"/>
        <v>903348.33333333326</v>
      </c>
      <c r="AT14" s="1286">
        <f t="shared" si="11"/>
        <v>813000</v>
      </c>
    </row>
    <row r="15" spans="1:46">
      <c r="A15" s="481" t="s">
        <v>324</v>
      </c>
      <c r="B15" s="455"/>
      <c r="C15" s="455">
        <f>0+L10</f>
        <v>0</v>
      </c>
      <c r="D15" s="664">
        <f>W18</f>
        <v>0</v>
      </c>
      <c r="F15" s="481" t="s">
        <v>324</v>
      </c>
      <c r="G15" s="455">
        <v>0</v>
      </c>
      <c r="H15" s="455">
        <f>1.04*1.01*G15+L15</f>
        <v>0</v>
      </c>
      <c r="I15" s="664">
        <f>AT18</f>
        <v>0</v>
      </c>
      <c r="K15">
        <f>'What If Data'!H33*0.72*208+0.72*448*'What If Data'!I33</f>
        <v>0</v>
      </c>
      <c r="L15">
        <f>0.72*(201*'What If Data'!J33+457*'What If Data'!K33)</f>
        <v>0</v>
      </c>
      <c r="N15" s="1118" t="s">
        <v>10</v>
      </c>
      <c r="O15" s="1119">
        <v>40710</v>
      </c>
      <c r="P15" s="1119">
        <v>28344</v>
      </c>
      <c r="Q15" s="1119">
        <v>30888</v>
      </c>
      <c r="R15" s="1119">
        <v>22464</v>
      </c>
      <c r="S15" s="1119">
        <v>21352</v>
      </c>
      <c r="T15" s="1119"/>
      <c r="U15" s="1119">
        <v>15365.333333333332</v>
      </c>
      <c r="V15" s="1293">
        <v>15104.569835697564</v>
      </c>
      <c r="W15" s="1119">
        <f t="shared" si="4"/>
        <v>14000</v>
      </c>
      <c r="X15" s="1266">
        <v>0</v>
      </c>
      <c r="Y15" s="1123">
        <f t="shared" si="0"/>
        <v>11057.206277840221</v>
      </c>
      <c r="Z15" s="153">
        <f t="shared" si="5"/>
        <v>0</v>
      </c>
      <c r="AA15" s="436">
        <f t="shared" si="1"/>
        <v>0.69624170965364773</v>
      </c>
      <c r="AB15" s="436">
        <f t="shared" si="6"/>
        <v>1.0897544453852668</v>
      </c>
      <c r="AC15" s="436">
        <f t="shared" si="2"/>
        <v>0.6912716912716913</v>
      </c>
      <c r="AD15" s="436">
        <f t="shared" si="3"/>
        <v>0.71962033220931676</v>
      </c>
      <c r="AE15" s="648">
        <f>AVERAGE(AD15)</f>
        <v>0.71962033220931676</v>
      </c>
      <c r="AF15" s="16"/>
      <c r="AG15" s="16">
        <v>0.2</v>
      </c>
      <c r="AH15" s="16">
        <v>1.2E-2</v>
      </c>
      <c r="AI15" s="194">
        <f t="shared" si="7"/>
        <v>26956.799999999999</v>
      </c>
      <c r="AJ15" s="194">
        <f t="shared" si="8"/>
        <v>27280.281599999998</v>
      </c>
      <c r="AL15" s="1118" t="s">
        <v>10</v>
      </c>
      <c r="AM15" s="1287">
        <v>48715</v>
      </c>
      <c r="AN15" s="1287">
        <v>64522</v>
      </c>
      <c r="AO15" s="1287">
        <v>69667</v>
      </c>
      <c r="AP15" s="1287">
        <v>75810</v>
      </c>
      <c r="AQ15" s="1287">
        <v>90516</v>
      </c>
      <c r="AR15" s="1286">
        <f t="shared" si="9"/>
        <v>99513.333333333314</v>
      </c>
      <c r="AS15" s="1286">
        <f t="shared" si="10"/>
        <v>112316.44444444444</v>
      </c>
      <c r="AT15" s="1286">
        <f t="shared" si="11"/>
        <v>101000</v>
      </c>
    </row>
    <row r="16" spans="1:46">
      <c r="A16" s="481" t="s">
        <v>7</v>
      </c>
      <c r="B16" s="455">
        <v>10000000</v>
      </c>
      <c r="C16" s="455">
        <f>12000000+K16</f>
        <v>12000000</v>
      </c>
      <c r="D16" s="664">
        <f>W12</f>
        <v>13420000</v>
      </c>
      <c r="F16" s="481" t="s">
        <v>7</v>
      </c>
      <c r="G16" s="455">
        <v>1000000</v>
      </c>
      <c r="H16" s="455">
        <f>1500000+L16</f>
        <v>1500000</v>
      </c>
      <c r="I16" s="664">
        <f>AT12</f>
        <v>2051000</v>
      </c>
      <c r="K16">
        <f>'What If Data'!H34*0.72*208+0.72*448*'What If Data'!I34</f>
        <v>0</v>
      </c>
      <c r="L16">
        <f>0.72*(201*'What If Data'!J34+457*'What If Data'!K34)</f>
        <v>0</v>
      </c>
      <c r="N16" s="1118" t="s">
        <v>890</v>
      </c>
      <c r="O16" s="1119">
        <v>2022047</v>
      </c>
      <c r="P16" s="1119">
        <v>2195358</v>
      </c>
      <c r="Q16" s="1119">
        <v>2500276</v>
      </c>
      <c r="R16" s="1119">
        <v>2855981</v>
      </c>
      <c r="S16" s="1119">
        <v>3177828</v>
      </c>
      <c r="T16" s="1119"/>
      <c r="U16" s="1119">
        <v>3522246.9999999995</v>
      </c>
      <c r="V16" s="1293">
        <v>3462471.3070598044</v>
      </c>
      <c r="W16" s="1119">
        <f t="shared" si="4"/>
        <v>3116000</v>
      </c>
      <c r="X16" s="1266">
        <f>C17/U16</f>
        <v>0.85172902411443618</v>
      </c>
      <c r="Y16" s="1123">
        <f t="shared" si="0"/>
        <v>4130732.6918056672</v>
      </c>
      <c r="Z16" s="153">
        <f t="shared" si="5"/>
        <v>3518264.9244692391</v>
      </c>
      <c r="AA16" s="436">
        <f t="shared" si="1"/>
        <v>1.0857106684463813</v>
      </c>
      <c r="AB16" s="436">
        <f t="shared" si="6"/>
        <v>1.138892153352665</v>
      </c>
      <c r="AC16" s="436">
        <f t="shared" si="2"/>
        <v>1.2709908826065603</v>
      </c>
      <c r="AD16" s="436">
        <f t="shared" si="3"/>
        <v>1.1083818885100136</v>
      </c>
      <c r="AE16" s="648">
        <f>AVERAGE(AB16:AD16)</f>
        <v>1.1727549748230797</v>
      </c>
      <c r="AF16" s="16"/>
      <c r="AG16" s="16">
        <v>0.24199999999999999</v>
      </c>
      <c r="AH16" s="16">
        <v>0.115</v>
      </c>
      <c r="AI16" s="194">
        <f t="shared" si="7"/>
        <v>3547128.4019999998</v>
      </c>
      <c r="AJ16" s="194">
        <f t="shared" si="8"/>
        <v>3955048.1682299995</v>
      </c>
      <c r="AL16" s="1118" t="s">
        <v>890</v>
      </c>
      <c r="AM16" s="1286">
        <v>824767</v>
      </c>
      <c r="AN16" s="1286">
        <v>950323</v>
      </c>
      <c r="AO16" s="1286">
        <v>798222</v>
      </c>
      <c r="AP16" s="1286">
        <v>746791</v>
      </c>
      <c r="AQ16" s="1286">
        <v>667750</v>
      </c>
      <c r="AR16" s="1286">
        <f t="shared" si="9"/>
        <v>607115.66666666663</v>
      </c>
      <c r="AS16" s="1286">
        <f t="shared" si="10"/>
        <v>534210.22222222213</v>
      </c>
      <c r="AT16" s="1286">
        <f t="shared" si="11"/>
        <v>481000</v>
      </c>
    </row>
    <row r="17" spans="1:46">
      <c r="A17" s="481" t="s">
        <v>9</v>
      </c>
      <c r="B17" s="455">
        <v>2500000</v>
      </c>
      <c r="C17" s="455">
        <f>3000000+K17</f>
        <v>3000000</v>
      </c>
      <c r="D17" s="664">
        <f>W16</f>
        <v>3116000</v>
      </c>
      <c r="F17" s="481" t="s">
        <v>9</v>
      </c>
      <c r="G17" s="455">
        <v>707627</v>
      </c>
      <c r="H17" s="455">
        <f>650000+L17</f>
        <v>650000</v>
      </c>
      <c r="I17" s="664">
        <f>AT16</f>
        <v>481000</v>
      </c>
      <c r="K17">
        <f>'What If Data'!H35*0.72*208+0.72*448*'What If Data'!I35</f>
        <v>0</v>
      </c>
      <c r="L17">
        <f>0.72*(201*'What If Data'!J35+457*'What If Data'!K35)</f>
        <v>0</v>
      </c>
      <c r="N17" s="1118" t="s">
        <v>4</v>
      </c>
      <c r="O17" s="1119">
        <v>3505835</v>
      </c>
      <c r="P17" s="1119">
        <v>3680894</v>
      </c>
      <c r="Q17" s="1119">
        <v>3914074</v>
      </c>
      <c r="R17" s="1119">
        <v>4448154</v>
      </c>
      <c r="S17" s="1119">
        <v>4781634</v>
      </c>
      <c r="T17" s="1119"/>
      <c r="U17" s="1119">
        <v>5248847.333333333</v>
      </c>
      <c r="V17" s="1293">
        <v>5159769.6830472238</v>
      </c>
      <c r="W17" s="1119">
        <f t="shared" si="4"/>
        <v>4644000</v>
      </c>
      <c r="X17" s="1266">
        <f>C12/U17</f>
        <v>0.80017568301662678</v>
      </c>
      <c r="Y17" s="1123">
        <f t="shared" si="0"/>
        <v>5918442.9964981452</v>
      </c>
      <c r="Z17" s="153">
        <f t="shared" si="5"/>
        <v>4735794.1671178741</v>
      </c>
      <c r="AA17" s="436">
        <f t="shared" si="1"/>
        <v>1.0499336106804797</v>
      </c>
      <c r="AB17" s="436">
        <f t="shared" si="6"/>
        <v>1.0633487408222024</v>
      </c>
      <c r="AC17" s="436">
        <f t="shared" si="2"/>
        <v>1.2216514046489668</v>
      </c>
      <c r="AD17" s="436">
        <f t="shared" si="3"/>
        <v>1.097709973898741</v>
      </c>
      <c r="AE17" s="648">
        <f>AVERAGE(AB17:AD17)</f>
        <v>1.1275700397899702</v>
      </c>
      <c r="AF17" s="16"/>
      <c r="AG17" s="16">
        <v>6.5000000000000002E-2</v>
      </c>
      <c r="AH17" s="16">
        <v>8.2000000000000003E-2</v>
      </c>
      <c r="AI17" s="194">
        <f t="shared" si="7"/>
        <v>4737284.01</v>
      </c>
      <c r="AJ17" s="194">
        <f t="shared" si="8"/>
        <v>5125741.2988200001</v>
      </c>
      <c r="AL17" s="1118" t="s">
        <v>4</v>
      </c>
      <c r="AM17" s="1286">
        <v>2421210</v>
      </c>
      <c r="AN17" s="1286">
        <v>2532539</v>
      </c>
      <c r="AO17" s="1286">
        <v>2463900</v>
      </c>
      <c r="AP17" s="1286">
        <v>2217904</v>
      </c>
      <c r="AQ17" s="1286">
        <v>2302578</v>
      </c>
      <c r="AR17" s="1286">
        <f t="shared" si="9"/>
        <v>2166805.3333333335</v>
      </c>
      <c r="AS17" s="1286">
        <f t="shared" si="10"/>
        <v>2177997.1111111115</v>
      </c>
      <c r="AT17" s="1286">
        <f t="shared" si="11"/>
        <v>1960000</v>
      </c>
    </row>
    <row r="18" spans="1:46">
      <c r="A18" s="483" t="s">
        <v>5</v>
      </c>
      <c r="B18" s="455">
        <v>1100000</v>
      </c>
      <c r="C18" s="455">
        <f>1200000+K18</f>
        <v>1200000</v>
      </c>
      <c r="D18" s="664">
        <f>W10</f>
        <v>1212000</v>
      </c>
      <c r="F18" s="483" t="s">
        <v>5</v>
      </c>
      <c r="G18" s="455">
        <v>133687</v>
      </c>
      <c r="H18" s="455">
        <f>145000+L18</f>
        <v>145000</v>
      </c>
      <c r="I18" s="664">
        <f>AT10</f>
        <v>173000</v>
      </c>
      <c r="K18">
        <f>'What If Data'!H36*0.72*208+0.72*448*'What If Data'!I36</f>
        <v>0</v>
      </c>
      <c r="L18">
        <f>0.72*(201*'What If Data'!J36+457*'What If Data'!K36)</f>
        <v>0</v>
      </c>
      <c r="N18" s="1118" t="s">
        <v>324</v>
      </c>
      <c r="O18" s="1119">
        <v>0</v>
      </c>
      <c r="P18" s="1119">
        <v>0</v>
      </c>
      <c r="Q18" s="1119">
        <v>0</v>
      </c>
      <c r="R18" s="1119">
        <v>0</v>
      </c>
      <c r="S18" s="1119">
        <v>0</v>
      </c>
      <c r="T18" s="1119"/>
      <c r="U18" s="1119">
        <v>0</v>
      </c>
      <c r="V18" s="1119">
        <v>0</v>
      </c>
      <c r="W18" s="1119">
        <f t="shared" si="4"/>
        <v>0</v>
      </c>
      <c r="X18" s="1266"/>
      <c r="Y18" s="1123">
        <f t="shared" si="0"/>
        <v>0</v>
      </c>
      <c r="Z18" s="153">
        <f t="shared" si="5"/>
        <v>0</v>
      </c>
      <c r="AA18" s="436"/>
      <c r="AB18" s="436"/>
      <c r="AC18" s="436"/>
      <c r="AD18" s="154"/>
      <c r="AE18" s="154"/>
      <c r="AG18" s="16">
        <v>0</v>
      </c>
      <c r="AH18" s="16">
        <v>0.01</v>
      </c>
      <c r="AI18" s="194">
        <f t="shared" si="7"/>
        <v>0</v>
      </c>
      <c r="AJ18" s="194">
        <f t="shared" si="8"/>
        <v>0</v>
      </c>
      <c r="AL18" s="1118" t="s">
        <v>324</v>
      </c>
      <c r="AM18" s="1286">
        <v>0</v>
      </c>
      <c r="AN18" s="1286">
        <v>0</v>
      </c>
      <c r="AO18" s="1286">
        <v>0</v>
      </c>
      <c r="AP18" s="1286">
        <v>0</v>
      </c>
      <c r="AQ18" s="1286">
        <v>0</v>
      </c>
      <c r="AR18" s="1286">
        <f t="shared" si="9"/>
        <v>0</v>
      </c>
      <c r="AS18" s="1286">
        <f t="shared" si="10"/>
        <v>0</v>
      </c>
      <c r="AT18" s="1286">
        <f t="shared" si="11"/>
        <v>0</v>
      </c>
    </row>
    <row r="19" spans="1:46">
      <c r="A19" s="481"/>
      <c r="B19" s="454"/>
      <c r="C19" s="454"/>
      <c r="D19" s="666"/>
      <c r="F19" s="481"/>
      <c r="G19" s="454"/>
      <c r="H19" s="454"/>
      <c r="I19" s="666"/>
      <c r="N19" s="1120" t="s">
        <v>891</v>
      </c>
      <c r="O19" s="1119">
        <v>53905</v>
      </c>
      <c r="P19" s="1119">
        <v>59385</v>
      </c>
      <c r="Q19" s="1119">
        <v>83856</v>
      </c>
      <c r="R19" s="1119">
        <v>152748</v>
      </c>
      <c r="S19" s="1265">
        <v>192026</v>
      </c>
      <c r="T19" s="1265"/>
      <c r="U19" s="1119">
        <v>251046.66666666666</v>
      </c>
      <c r="V19" s="1293">
        <v>246786.17940943391</v>
      </c>
      <c r="W19" s="1119">
        <f t="shared" si="4"/>
        <v>222000</v>
      </c>
      <c r="X19" s="1266">
        <f>C13/U19</f>
        <v>0.39833231537297181</v>
      </c>
      <c r="Y19" s="1123">
        <f t="shared" si="0"/>
        <v>328207.78876008681</v>
      </c>
      <c r="Z19" s="153">
        <f t="shared" si="5"/>
        <v>130735.76842024861</v>
      </c>
      <c r="AA19" s="436">
        <f>P19/O19</f>
        <v>1.10166032835544</v>
      </c>
      <c r="AB19" s="436">
        <f>Q19/P19</f>
        <v>1.4120737559989895</v>
      </c>
      <c r="AC19" s="436">
        <f>S19/Q19</f>
        <v>2.2899494371303186</v>
      </c>
      <c r="AD19" s="436">
        <f>U19/S19</f>
        <v>1.3073576842024863</v>
      </c>
      <c r="AE19" s="648">
        <f>AD19</f>
        <v>1.3073576842024863</v>
      </c>
      <c r="AF19" s="16"/>
      <c r="AG19" s="16">
        <v>0.1</v>
      </c>
      <c r="AH19" s="16">
        <v>0.23599999999999999</v>
      </c>
      <c r="AI19" s="194">
        <f>(1+AG19)*R19</f>
        <v>168022.80000000002</v>
      </c>
      <c r="AJ19" s="194">
        <f t="shared" si="8"/>
        <v>207676.18080000003</v>
      </c>
      <c r="AL19" s="1120" t="s">
        <v>891</v>
      </c>
      <c r="AM19" s="1286">
        <v>58958</v>
      </c>
      <c r="AN19" s="1286">
        <v>103085</v>
      </c>
      <c r="AO19" s="1286">
        <v>85733</v>
      </c>
      <c r="AP19" s="1286">
        <v>84625</v>
      </c>
      <c r="AQ19" s="1286">
        <v>116559</v>
      </c>
      <c r="AR19" s="1286">
        <f t="shared" si="9"/>
        <v>126465</v>
      </c>
      <c r="AS19" s="1286">
        <f t="shared" si="10"/>
        <v>151056.33333333331</v>
      </c>
      <c r="AT19" s="1286">
        <f t="shared" si="11"/>
        <v>136000</v>
      </c>
    </row>
    <row r="20" spans="1:46">
      <c r="A20" s="481" t="s">
        <v>541</v>
      </c>
      <c r="B20" s="455"/>
      <c r="C20" s="455">
        <v>0</v>
      </c>
      <c r="D20" s="664"/>
      <c r="F20" s="481" t="s">
        <v>541</v>
      </c>
      <c r="G20" s="455"/>
      <c r="H20" s="455">
        <f>1.04*1.01*G20</f>
        <v>0</v>
      </c>
      <c r="I20" s="664">
        <f>1.04*1.01*H20</f>
        <v>0</v>
      </c>
      <c r="N20" s="1120" t="s">
        <v>892</v>
      </c>
      <c r="O20" s="452">
        <v>0</v>
      </c>
      <c r="P20" s="1119">
        <v>0</v>
      </c>
      <c r="Q20" s="452">
        <v>0</v>
      </c>
      <c r="R20" s="1119">
        <v>0</v>
      </c>
      <c r="S20" s="1265">
        <v>0</v>
      </c>
      <c r="T20" s="1265"/>
      <c r="U20" s="1119">
        <v>0</v>
      </c>
      <c r="V20" s="1119">
        <v>0</v>
      </c>
      <c r="W20" s="1119">
        <f t="shared" si="4"/>
        <v>0</v>
      </c>
      <c r="X20" s="1266"/>
      <c r="Y20" s="452"/>
      <c r="Z20" s="154"/>
      <c r="AA20" s="154"/>
      <c r="AB20" s="154"/>
      <c r="AC20" s="154"/>
      <c r="AD20" s="154"/>
      <c r="AE20" s="154"/>
      <c r="AG20" s="16">
        <v>0</v>
      </c>
      <c r="AH20" s="16">
        <v>0</v>
      </c>
      <c r="AI20" s="194">
        <v>0.01</v>
      </c>
      <c r="AL20" s="1120" t="s">
        <v>892</v>
      </c>
      <c r="AM20" s="1287">
        <v>5280</v>
      </c>
      <c r="AN20" s="1287">
        <v>26338</v>
      </c>
      <c r="AO20" s="1287">
        <v>35408</v>
      </c>
      <c r="AP20" s="1287">
        <v>53246</v>
      </c>
      <c r="AQ20" s="1287">
        <v>69373</v>
      </c>
      <c r="AR20" s="1286">
        <f t="shared" si="9"/>
        <v>86640.666666666657</v>
      </c>
      <c r="AS20" s="1286">
        <f t="shared" si="10"/>
        <v>103147.88888888888</v>
      </c>
      <c r="AT20" s="1286">
        <f t="shared" si="11"/>
        <v>93000</v>
      </c>
    </row>
    <row r="21" spans="1:46" ht="30">
      <c r="A21" s="481" t="s">
        <v>563</v>
      </c>
      <c r="B21" s="455"/>
      <c r="C21" s="455">
        <v>0</v>
      </c>
      <c r="D21" s="664"/>
      <c r="F21" s="481" t="s">
        <v>563</v>
      </c>
      <c r="G21" s="455"/>
      <c r="H21" s="455">
        <f>1.04*1.01*G21</f>
        <v>0</v>
      </c>
      <c r="I21" s="664">
        <f>AT20</f>
        <v>93000</v>
      </c>
      <c r="N21" s="1120" t="s">
        <v>893</v>
      </c>
      <c r="O21" s="452">
        <v>0</v>
      </c>
      <c r="P21" s="452">
        <v>0</v>
      </c>
      <c r="Q21" s="452">
        <v>0</v>
      </c>
      <c r="R21" s="1119">
        <v>0</v>
      </c>
      <c r="S21" s="1265">
        <v>0</v>
      </c>
      <c r="T21" s="1265"/>
      <c r="U21" s="1119">
        <v>0</v>
      </c>
      <c r="V21" s="1119">
        <v>0</v>
      </c>
      <c r="W21" s="1119">
        <f t="shared" si="4"/>
        <v>0</v>
      </c>
      <c r="X21" s="1266"/>
      <c r="Y21" s="452"/>
      <c r="Z21" s="154"/>
      <c r="AA21" s="154"/>
      <c r="AB21" s="154"/>
      <c r="AC21" s="154"/>
      <c r="AD21" s="154"/>
      <c r="AE21" s="154"/>
      <c r="AG21" s="16">
        <v>0</v>
      </c>
      <c r="AH21" s="16">
        <v>0</v>
      </c>
      <c r="AI21" s="194">
        <v>0.01</v>
      </c>
      <c r="AJ21" s="194">
        <f t="shared" ref="AJ21:AJ26" si="12">(1+AH21)*AI21</f>
        <v>0.01</v>
      </c>
      <c r="AL21" s="1120" t="s">
        <v>893</v>
      </c>
      <c r="AM21" s="1286">
        <v>0</v>
      </c>
      <c r="AN21" s="1286">
        <v>0</v>
      </c>
      <c r="AO21" s="1286">
        <v>0</v>
      </c>
      <c r="AP21" s="1286">
        <v>0</v>
      </c>
      <c r="AQ21" s="1286">
        <v>0</v>
      </c>
      <c r="AR21" s="1286">
        <f t="shared" si="9"/>
        <v>0</v>
      </c>
      <c r="AS21" s="1286">
        <f t="shared" si="10"/>
        <v>0</v>
      </c>
      <c r="AT21" s="1286">
        <f t="shared" si="11"/>
        <v>0</v>
      </c>
    </row>
    <row r="22" spans="1:46">
      <c r="A22" s="483" t="s">
        <v>543</v>
      </c>
      <c r="B22" s="455"/>
      <c r="C22" s="455">
        <f>0+K22</f>
        <v>0</v>
      </c>
      <c r="D22" s="664"/>
      <c r="F22" s="483" t="s">
        <v>543</v>
      </c>
      <c r="G22" s="455">
        <v>1037</v>
      </c>
      <c r="H22" s="455">
        <f>1000+L22</f>
        <v>1000</v>
      </c>
      <c r="I22" s="664">
        <f>AT25</f>
        <v>1000</v>
      </c>
      <c r="K22">
        <f>'What If Data'!H40*0.72*208+0.72*448*'What If Data'!I40</f>
        <v>0</v>
      </c>
      <c r="L22">
        <f>0.72*(201*'What If Data'!J40+457*'What If Data'!K40)</f>
        <v>0</v>
      </c>
      <c r="N22" s="1118" t="s">
        <v>894</v>
      </c>
      <c r="O22" s="452">
        <v>0</v>
      </c>
      <c r="P22" s="452">
        <v>0</v>
      </c>
      <c r="Q22" s="452">
        <v>0</v>
      </c>
      <c r="R22" s="1119">
        <v>0</v>
      </c>
      <c r="S22" s="1265">
        <v>0</v>
      </c>
      <c r="T22" s="1265"/>
      <c r="U22" s="1119">
        <v>0</v>
      </c>
      <c r="V22" s="1119">
        <v>0</v>
      </c>
      <c r="W22" s="1119">
        <f t="shared" si="4"/>
        <v>0</v>
      </c>
      <c r="X22" s="1266"/>
      <c r="Y22" s="452"/>
      <c r="Z22" s="154"/>
      <c r="AA22" s="154"/>
      <c r="AB22" s="154"/>
      <c r="AC22" s="154"/>
      <c r="AD22" s="154"/>
      <c r="AE22" s="154"/>
      <c r="AG22" s="16">
        <v>0</v>
      </c>
      <c r="AH22" s="16">
        <v>0</v>
      </c>
      <c r="AI22" s="194">
        <v>0.01</v>
      </c>
      <c r="AJ22" s="194">
        <f t="shared" si="12"/>
        <v>0.01</v>
      </c>
      <c r="AL22" s="1118" t="s">
        <v>894</v>
      </c>
      <c r="AM22" s="1286">
        <v>0</v>
      </c>
      <c r="AN22" s="1286">
        <v>0</v>
      </c>
      <c r="AO22" s="1286">
        <v>0</v>
      </c>
      <c r="AP22" s="1286">
        <v>0</v>
      </c>
      <c r="AQ22" s="1286">
        <v>0</v>
      </c>
      <c r="AR22" s="1286">
        <f t="shared" si="9"/>
        <v>0</v>
      </c>
      <c r="AS22" s="1286">
        <f t="shared" si="10"/>
        <v>0</v>
      </c>
      <c r="AT22" s="1286">
        <f t="shared" si="11"/>
        <v>0</v>
      </c>
    </row>
    <row r="23" spans="1:46">
      <c r="A23" s="481" t="s">
        <v>562</v>
      </c>
      <c r="B23" s="455"/>
      <c r="C23" s="455">
        <v>76687</v>
      </c>
      <c r="D23" s="664">
        <f>W24</f>
        <v>67000</v>
      </c>
      <c r="F23" s="481" t="s">
        <v>562</v>
      </c>
      <c r="G23" s="455">
        <v>47000</v>
      </c>
      <c r="H23" s="455">
        <v>51700</v>
      </c>
      <c r="I23" s="664">
        <f>AT24</f>
        <v>24000</v>
      </c>
      <c r="N23" s="1118" t="s">
        <v>895</v>
      </c>
      <c r="O23" s="452">
        <v>0</v>
      </c>
      <c r="P23" s="452">
        <v>0</v>
      </c>
      <c r="Q23" s="452">
        <v>0</v>
      </c>
      <c r="R23" s="1119">
        <v>0</v>
      </c>
      <c r="S23" s="1265">
        <v>0</v>
      </c>
      <c r="T23" s="1265"/>
      <c r="U23" s="1119">
        <v>0</v>
      </c>
      <c r="V23" s="1119">
        <v>0</v>
      </c>
      <c r="W23" s="1119">
        <f t="shared" si="4"/>
        <v>0</v>
      </c>
      <c r="X23" s="1266"/>
      <c r="Y23" s="452"/>
      <c r="Z23" s="154"/>
      <c r="AA23" s="154"/>
      <c r="AB23" s="154"/>
      <c r="AC23" s="154"/>
      <c r="AD23" s="154"/>
      <c r="AE23" s="154"/>
      <c r="AG23" s="16">
        <v>0</v>
      </c>
      <c r="AH23" s="16">
        <v>0.01</v>
      </c>
      <c r="AI23" s="194">
        <v>0.01</v>
      </c>
      <c r="AJ23" s="194">
        <f t="shared" si="12"/>
        <v>1.01E-2</v>
      </c>
      <c r="AL23" s="1118" t="s">
        <v>895</v>
      </c>
      <c r="AM23" s="1289">
        <v>0</v>
      </c>
      <c r="AN23" s="1289">
        <v>0</v>
      </c>
      <c r="AO23" s="1289">
        <v>0</v>
      </c>
      <c r="AP23" s="1289">
        <v>0</v>
      </c>
      <c r="AQ23" s="1289">
        <v>0</v>
      </c>
      <c r="AR23" s="1286">
        <f t="shared" si="9"/>
        <v>0</v>
      </c>
      <c r="AS23" s="1286">
        <f t="shared" si="10"/>
        <v>0</v>
      </c>
      <c r="AT23" s="1286">
        <f t="shared" si="11"/>
        <v>0</v>
      </c>
    </row>
    <row r="24" spans="1:46">
      <c r="A24" s="487" t="s">
        <v>545</v>
      </c>
      <c r="B24" s="455"/>
      <c r="C24" s="455">
        <v>0</v>
      </c>
      <c r="D24" s="664"/>
      <c r="F24" s="487" t="s">
        <v>545</v>
      </c>
      <c r="G24" s="455"/>
      <c r="H24" s="455">
        <f>1.04*1.01*G24</f>
        <v>0</v>
      </c>
      <c r="I24" s="664">
        <f>AT26</f>
        <v>186000</v>
      </c>
      <c r="N24" s="1118" t="s">
        <v>483</v>
      </c>
      <c r="O24" s="452">
        <v>30130</v>
      </c>
      <c r="P24" s="452">
        <v>47612</v>
      </c>
      <c r="Q24" s="452">
        <v>61056</v>
      </c>
      <c r="R24" s="1119">
        <v>62496</v>
      </c>
      <c r="S24" s="1265">
        <v>71938.666666666672</v>
      </c>
      <c r="T24" s="1265"/>
      <c r="U24" s="1119">
        <v>76046.222222222234</v>
      </c>
      <c r="V24" s="1293">
        <v>74755.649576744094</v>
      </c>
      <c r="W24" s="1119">
        <f t="shared" si="4"/>
        <v>67000</v>
      </c>
      <c r="X24" s="1266">
        <f>C23/U24</f>
        <v>1.0084261618664669</v>
      </c>
      <c r="Y24" s="1123">
        <f>AE24*U24</f>
        <v>80388.311074317113</v>
      </c>
      <c r="Z24" s="153">
        <f>X24*Y24</f>
        <v>81065.67599560121</v>
      </c>
      <c r="AA24" s="436">
        <f>P24/O24</f>
        <v>1.5802190507799536</v>
      </c>
      <c r="AB24" s="436">
        <f>Q24/P24</f>
        <v>1.2823657901369403</v>
      </c>
      <c r="AC24" s="436">
        <f>S24/Q24</f>
        <v>1.1782407407407409</v>
      </c>
      <c r="AD24" s="436">
        <f>U24/S24</f>
        <v>1.0570980217716328</v>
      </c>
      <c r="AE24" s="648">
        <f>AD24</f>
        <v>1.0570980217716328</v>
      </c>
      <c r="AF24" s="16"/>
      <c r="AG24" s="16">
        <v>0</v>
      </c>
      <c r="AH24" s="16">
        <v>0</v>
      </c>
      <c r="AI24" s="194">
        <f>(1+AG24)*R24</f>
        <v>62496</v>
      </c>
      <c r="AJ24" s="194">
        <f t="shared" si="12"/>
        <v>62496</v>
      </c>
      <c r="AL24" s="1118" t="s">
        <v>483</v>
      </c>
      <c r="AM24" s="12">
        <v>82173</v>
      </c>
      <c r="AN24" s="12">
        <v>62870</v>
      </c>
      <c r="AO24" s="12">
        <v>73286</v>
      </c>
      <c r="AP24" s="12">
        <v>52909</v>
      </c>
      <c r="AQ24" s="12">
        <v>49207</v>
      </c>
      <c r="AR24" s="1286">
        <f t="shared" si="9"/>
        <v>34388.333333333328</v>
      </c>
      <c r="AS24" s="1286">
        <f t="shared" si="10"/>
        <v>26980.777777777766</v>
      </c>
      <c r="AT24" s="1286">
        <f t="shared" si="11"/>
        <v>24000</v>
      </c>
    </row>
    <row r="25" spans="1:46">
      <c r="A25" s="488"/>
      <c r="B25" s="467">
        <f>SUM(B7:B24)</f>
        <v>38580705</v>
      </c>
      <c r="C25" s="467">
        <f>SUM(C7:C24)</f>
        <v>45481187</v>
      </c>
      <c r="D25" s="1273">
        <f>SUM(D7:D24)</f>
        <v>49413000</v>
      </c>
      <c r="F25" s="488"/>
      <c r="G25" s="467">
        <f>SUM(G7:G24)</f>
        <v>6519184</v>
      </c>
      <c r="H25" s="467">
        <f>SUM(H7:H24)</f>
        <v>6648940</v>
      </c>
      <c r="I25" s="1273">
        <f>SUM(I7:I24)</f>
        <v>7129000</v>
      </c>
      <c r="N25" s="1118" t="s">
        <v>896</v>
      </c>
      <c r="O25" s="452">
        <v>0</v>
      </c>
      <c r="P25" s="452">
        <v>0</v>
      </c>
      <c r="Q25" s="452">
        <v>0</v>
      </c>
      <c r="R25" s="452">
        <v>0</v>
      </c>
      <c r="S25" s="452">
        <v>0</v>
      </c>
      <c r="T25" s="452"/>
      <c r="U25" s="452">
        <v>0</v>
      </c>
      <c r="V25" s="452">
        <v>0</v>
      </c>
      <c r="W25" s="1119">
        <f t="shared" si="4"/>
        <v>0</v>
      </c>
      <c r="X25" s="452"/>
      <c r="Y25" s="452"/>
      <c r="Z25" s="154"/>
      <c r="AA25" s="154"/>
      <c r="AB25" s="154"/>
      <c r="AC25" s="154"/>
      <c r="AD25" s="154"/>
      <c r="AE25" s="154"/>
      <c r="AG25" s="16">
        <v>0</v>
      </c>
      <c r="AH25" s="16">
        <v>0</v>
      </c>
      <c r="AI25" s="194">
        <v>0.01</v>
      </c>
      <c r="AJ25" s="194">
        <f t="shared" si="12"/>
        <v>0.01</v>
      </c>
      <c r="AL25" s="1118" t="s">
        <v>1208</v>
      </c>
      <c r="AM25" s="12">
        <v>7419</v>
      </c>
      <c r="AN25" s="12">
        <v>1416</v>
      </c>
      <c r="AO25" s="12">
        <v>1372</v>
      </c>
      <c r="AP25" s="12">
        <v>1037</v>
      </c>
      <c r="AQ25" s="12">
        <v>1193</v>
      </c>
      <c r="AR25" s="1286">
        <f t="shared" si="9"/>
        <v>1021.6666666666667</v>
      </c>
      <c r="AS25" s="1286">
        <f t="shared" si="10"/>
        <v>1068.5555555555557</v>
      </c>
      <c r="AT25" s="1286">
        <f t="shared" si="11"/>
        <v>1000</v>
      </c>
    </row>
    <row r="26" spans="1:46">
      <c r="D26" s="354"/>
      <c r="N26" s="1118" t="s">
        <v>897</v>
      </c>
      <c r="O26" s="452">
        <v>0</v>
      </c>
      <c r="P26" s="452">
        <v>0</v>
      </c>
      <c r="Q26" s="452">
        <v>0</v>
      </c>
      <c r="R26" s="452">
        <v>0</v>
      </c>
      <c r="S26" s="452">
        <v>0</v>
      </c>
      <c r="T26" s="452"/>
      <c r="U26" s="452">
        <v>0</v>
      </c>
      <c r="V26" s="452">
        <v>0</v>
      </c>
      <c r="W26" s="1119">
        <f t="shared" si="4"/>
        <v>0</v>
      </c>
      <c r="X26" s="452"/>
      <c r="Y26" s="452"/>
      <c r="Z26" s="154"/>
      <c r="AA26" s="154"/>
      <c r="AB26" s="154"/>
      <c r="AC26" s="154"/>
      <c r="AD26" s="154"/>
      <c r="AE26" s="154"/>
      <c r="AG26" s="16">
        <v>0</v>
      </c>
      <c r="AH26" s="16">
        <v>0</v>
      </c>
      <c r="AI26" s="194">
        <v>0.01</v>
      </c>
      <c r="AJ26" s="194">
        <f t="shared" si="12"/>
        <v>0.01</v>
      </c>
      <c r="AL26" s="1118" t="s">
        <v>1329</v>
      </c>
      <c r="AM26" s="12">
        <v>1320</v>
      </c>
      <c r="AN26" s="12">
        <v>3682</v>
      </c>
      <c r="AO26" s="12">
        <v>0</v>
      </c>
      <c r="AP26" s="12">
        <v>58796</v>
      </c>
      <c r="AQ26" s="12">
        <v>104234</v>
      </c>
      <c r="AR26" s="1286">
        <f t="shared" si="9"/>
        <v>158577.33333333334</v>
      </c>
      <c r="AS26" s="1286">
        <f t="shared" si="10"/>
        <v>206983.77777777781</v>
      </c>
      <c r="AT26" s="1286">
        <f t="shared" si="11"/>
        <v>186000</v>
      </c>
    </row>
    <row r="27" spans="1:46" ht="16.5" thickBot="1">
      <c r="A27" s="14" t="s">
        <v>1336</v>
      </c>
      <c r="B27" s="1554"/>
      <c r="C27" s="1554"/>
      <c r="D27" s="1555">
        <f>W29</f>
        <v>5488857.9633333385</v>
      </c>
      <c r="E27" s="455"/>
      <c r="F27" s="1554"/>
      <c r="G27" s="586">
        <v>604124</v>
      </c>
      <c r="H27" s="586">
        <v>634571.84959999996</v>
      </c>
      <c r="I27" s="1554">
        <f>AT29</f>
        <v>793154.11111111194</v>
      </c>
      <c r="N27" s="1121"/>
      <c r="O27" s="1119">
        <f t="shared" ref="O27:W27" si="13">SUM(O8:O26)</f>
        <v>27360295</v>
      </c>
      <c r="P27" s="1119">
        <f t="shared" si="13"/>
        <v>32487825</v>
      </c>
      <c r="Q27" s="1119">
        <f t="shared" si="13"/>
        <v>37643708</v>
      </c>
      <c r="R27" s="1119">
        <f t="shared" si="13"/>
        <v>44096690</v>
      </c>
      <c r="S27" s="1119">
        <f t="shared" si="13"/>
        <v>49684939.333333328</v>
      </c>
      <c r="T27" s="1119"/>
      <c r="U27" s="1119">
        <f t="shared" si="13"/>
        <v>55849677.111111119</v>
      </c>
      <c r="V27" s="1293">
        <f t="shared" si="13"/>
        <v>54901857.963333338</v>
      </c>
      <c r="W27" s="1119">
        <f t="shared" si="13"/>
        <v>49413000</v>
      </c>
      <c r="X27" s="1119"/>
      <c r="Y27" s="1119">
        <f>SUM(Y8:Y26)</f>
        <v>67695131.6670302</v>
      </c>
      <c r="Z27" s="1119">
        <f>SUM(Z8:Z26)</f>
        <v>54736870.976406872</v>
      </c>
      <c r="AA27" s="436">
        <f>P27/O27</f>
        <v>1.1874077015616973</v>
      </c>
      <c r="AB27" s="436">
        <f>Q27/P27</f>
        <v>1.158702006059193</v>
      </c>
      <c r="AC27" s="436">
        <f>S27/Q27</f>
        <v>1.3198736780482234</v>
      </c>
      <c r="AD27" s="436">
        <f>U27/S27</f>
        <v>1.1240765886100601</v>
      </c>
      <c r="AE27" s="648">
        <f>AD27</f>
        <v>1.1240765886100601</v>
      </c>
      <c r="AF27" s="16"/>
      <c r="AG27" s="1175">
        <v>0.122</v>
      </c>
      <c r="AH27" s="16">
        <v>0.105</v>
      </c>
      <c r="AI27" s="194">
        <f>(1+AG27)*R27</f>
        <v>49476486.179999992</v>
      </c>
      <c r="AJ27" s="194">
        <f>(1+AH27)*AI27</f>
        <v>54671517.228899993</v>
      </c>
      <c r="AL27" s="1290" t="s">
        <v>13</v>
      </c>
      <c r="AM27" s="1291">
        <f>SUM(AM7:AM26)</f>
        <v>7356225</v>
      </c>
      <c r="AN27" s="1291">
        <f t="shared" ref="AN27:AT27" si="14">SUM(AN7:AN26)</f>
        <v>8181864</v>
      </c>
      <c r="AO27" s="1291">
        <f t="shared" si="14"/>
        <v>7510390</v>
      </c>
      <c r="AP27" s="1291">
        <f t="shared" si="14"/>
        <v>7072741</v>
      </c>
      <c r="AQ27" s="1291">
        <f t="shared" si="14"/>
        <v>7632279</v>
      </c>
      <c r="AR27" s="1291">
        <f t="shared" si="14"/>
        <v>7527025.6666666679</v>
      </c>
      <c r="AS27" s="1291">
        <f t="shared" si="14"/>
        <v>7922154.1111111119</v>
      </c>
      <c r="AT27" s="1291">
        <f t="shared" si="14"/>
        <v>7129000</v>
      </c>
    </row>
    <row r="28" spans="1:46" ht="16.5" thickTop="1">
      <c r="A28" s="62" t="s">
        <v>1337</v>
      </c>
      <c r="B28" s="455">
        <v>19021801</v>
      </c>
      <c r="C28" s="455">
        <f>S30+S31</f>
        <v>0</v>
      </c>
      <c r="D28" s="664">
        <f>W31+W30</f>
        <v>23340948.036666662</v>
      </c>
      <c r="E28" s="455"/>
      <c r="F28" s="455"/>
      <c r="G28" s="455">
        <v>3029623</v>
      </c>
      <c r="H28" s="455">
        <f>1.04*1.01*G28</f>
        <v>3182315.9992</v>
      </c>
      <c r="I28" s="455">
        <f>SUM(AT30,AT31)</f>
        <v>3150477.888888889</v>
      </c>
      <c r="N28" s="62"/>
      <c r="O28" s="62"/>
      <c r="P28" s="1122">
        <f>P27/O27</f>
        <v>1.1874077015616973</v>
      </c>
      <c r="Q28" s="1122">
        <f>Q27/P27</f>
        <v>1.158702006059193</v>
      </c>
      <c r="R28" s="1122">
        <f>R27/Q27</f>
        <v>1.1714225920570842</v>
      </c>
      <c r="S28" s="1122"/>
      <c r="T28" s="1122"/>
      <c r="U28" s="1123">
        <f>1.19*R27</f>
        <v>52475061.099999994</v>
      </c>
      <c r="V28" s="1123"/>
      <c r="W28" s="1123"/>
      <c r="X28" s="1123"/>
      <c r="Y28" s="1267">
        <f>U27*AE27</f>
        <v>62779314.522031143</v>
      </c>
      <c r="AI28" s="12">
        <f>SUM(AI8:AI26)</f>
        <v>49885359.142999984</v>
      </c>
    </row>
    <row r="29" spans="1:46">
      <c r="A29" s="62" t="s">
        <v>1338</v>
      </c>
      <c r="B29" s="455">
        <v>18785225</v>
      </c>
      <c r="C29" s="455">
        <f>S32</f>
        <v>0</v>
      </c>
      <c r="D29" s="664">
        <f>W32</f>
        <v>25196853</v>
      </c>
      <c r="E29" s="455"/>
      <c r="F29" s="455"/>
      <c r="G29" s="62"/>
      <c r="H29" s="62"/>
      <c r="I29" s="62"/>
      <c r="N29" s="1559" t="s">
        <v>1334</v>
      </c>
      <c r="O29" s="14"/>
      <c r="P29" s="14"/>
      <c r="Q29" s="14"/>
      <c r="R29" s="14"/>
      <c r="S29" s="14"/>
      <c r="T29" s="14"/>
      <c r="U29" s="14"/>
      <c r="V29" s="14"/>
      <c r="W29" s="1119">
        <f>V27-W27</f>
        <v>5488857.9633333385</v>
      </c>
      <c r="X29" s="62"/>
      <c r="Y29" s="62"/>
      <c r="AL29" s="1118" t="s">
        <v>1331</v>
      </c>
      <c r="AT29" s="12">
        <f>AS27-AT27</f>
        <v>793154.11111111194</v>
      </c>
    </row>
    <row r="30" spans="1:46">
      <c r="A30" s="62"/>
      <c r="B30" s="455"/>
      <c r="C30" s="455"/>
      <c r="D30" s="664"/>
      <c r="E30" s="455"/>
      <c r="F30" s="455"/>
      <c r="G30" s="455"/>
      <c r="H30" s="455"/>
      <c r="I30" s="455"/>
      <c r="N30" s="62" t="s">
        <v>899</v>
      </c>
      <c r="O30" s="62"/>
      <c r="P30" s="62"/>
      <c r="Q30" s="62"/>
      <c r="R30" s="62"/>
      <c r="S30" s="62"/>
      <c r="T30" s="62"/>
      <c r="U30" s="1119"/>
      <c r="V30" s="1119">
        <v>7824281</v>
      </c>
      <c r="W30" s="1119">
        <f>V30</f>
        <v>7824281</v>
      </c>
      <c r="X30" s="1119"/>
      <c r="Y30" s="1268">
        <f>0.1*(Y35-Y32)</f>
        <v>0</v>
      </c>
      <c r="AL30" s="62" t="s">
        <v>899</v>
      </c>
      <c r="AS30" s="12">
        <f>0.1*AS33</f>
        <v>1107263.2</v>
      </c>
      <c r="AT30" s="12">
        <f>AS30</f>
        <v>1107263.2</v>
      </c>
    </row>
    <row r="31" spans="1:46">
      <c r="A31" s="62"/>
      <c r="B31" s="455"/>
      <c r="C31" s="455"/>
      <c r="D31" s="664"/>
      <c r="E31" s="455"/>
      <c r="F31" s="455"/>
      <c r="G31" s="455"/>
      <c r="H31" s="455"/>
      <c r="I31" s="455"/>
      <c r="N31" s="62" t="s">
        <v>1330</v>
      </c>
      <c r="O31" s="62"/>
      <c r="P31" s="62"/>
      <c r="Q31" s="62"/>
      <c r="R31" s="62"/>
      <c r="S31" s="62"/>
      <c r="T31" s="62"/>
      <c r="U31" s="1119"/>
      <c r="V31" s="1119">
        <f>78242806-V30-V27</f>
        <v>15516667.036666662</v>
      </c>
      <c r="W31" s="1119">
        <f>V31</f>
        <v>15516667.036666662</v>
      </c>
      <c r="X31" s="1119"/>
      <c r="Y31" s="1268">
        <f>0.1*0.9*(Y35-Y32)</f>
        <v>0</v>
      </c>
      <c r="AL31" s="62" t="s">
        <v>1330</v>
      </c>
      <c r="AS31" s="12">
        <f>AS33-AS30-AS27</f>
        <v>2043214.6888888888</v>
      </c>
      <c r="AT31" s="12">
        <f>AS31</f>
        <v>2043214.6888888888</v>
      </c>
    </row>
    <row r="32" spans="1:46">
      <c r="A32" s="1556" t="s">
        <v>910</v>
      </c>
      <c r="B32" s="1557">
        <f>SUM(B25:B31)</f>
        <v>76387731</v>
      </c>
      <c r="C32" s="1557">
        <f>SUM(C25:C31)</f>
        <v>45481187</v>
      </c>
      <c r="D32" s="1558">
        <f>SUM(D25:D31)</f>
        <v>103439659</v>
      </c>
      <c r="E32" s="458"/>
      <c r="F32" s="1557"/>
      <c r="G32" s="1557">
        <f>SUM(G25:G31)</f>
        <v>10152931</v>
      </c>
      <c r="H32" s="1557">
        <f>SUM(H25:H31)</f>
        <v>10465827.8488</v>
      </c>
      <c r="I32" s="1557">
        <f>SUM(I25:I31)</f>
        <v>11072632</v>
      </c>
      <c r="N32" s="62" t="s">
        <v>900</v>
      </c>
      <c r="O32" s="62"/>
      <c r="P32" s="62"/>
      <c r="Q32" s="62"/>
      <c r="R32" s="62"/>
      <c r="S32" s="62"/>
      <c r="T32" s="62"/>
      <c r="U32" s="1119"/>
      <c r="V32" s="1119">
        <v>25196853</v>
      </c>
      <c r="W32" s="1119">
        <f>V32</f>
        <v>25196853</v>
      </c>
      <c r="X32" s="1119"/>
      <c r="Y32" s="42">
        <f>0.2394*Y35</f>
        <v>0</v>
      </c>
      <c r="AL32" s="62" t="s">
        <v>900</v>
      </c>
    </row>
    <row r="33" spans="1:46">
      <c r="B33" s="455"/>
      <c r="C33" s="455"/>
      <c r="D33" s="455"/>
      <c r="E33" s="455"/>
      <c r="F33" s="455"/>
      <c r="G33" s="455"/>
      <c r="H33" s="455"/>
      <c r="I33" s="455"/>
      <c r="N33" s="15" t="s">
        <v>901</v>
      </c>
      <c r="O33" s="15"/>
      <c r="P33" s="15"/>
      <c r="Q33" s="15"/>
      <c r="R33" s="15"/>
      <c r="S33" s="15"/>
      <c r="T33" s="15"/>
      <c r="U33" s="1560"/>
      <c r="V33" s="1560">
        <f>SUM(V27:V32)</f>
        <v>103439659</v>
      </c>
      <c r="W33" s="1119">
        <f>SUM(W27:W32)</f>
        <v>103439659</v>
      </c>
      <c r="X33" s="1119"/>
      <c r="Y33" s="1267">
        <f>SUM(Y28:Y32)</f>
        <v>62779314.522031143</v>
      </c>
      <c r="AL33" s="62" t="s">
        <v>901</v>
      </c>
      <c r="AS33" s="12">
        <v>11072632</v>
      </c>
      <c r="AT33" s="12">
        <f>SUM(AT27:AT31)</f>
        <v>11072632</v>
      </c>
    </row>
    <row r="34" spans="1:46">
      <c r="A34" t="s">
        <v>911</v>
      </c>
      <c r="B34" s="455">
        <f>B29/B32</f>
        <v>0.24591940032883031</v>
      </c>
      <c r="C34" s="455">
        <f>C29/C32</f>
        <v>0</v>
      </c>
      <c r="D34" s="455"/>
      <c r="E34" s="455"/>
      <c r="F34" s="455"/>
      <c r="G34" s="455"/>
      <c r="H34" s="455"/>
      <c r="I34" s="455"/>
      <c r="N34" s="62"/>
      <c r="O34" s="62"/>
      <c r="P34" s="62"/>
      <c r="Q34" s="62"/>
      <c r="R34" s="62"/>
      <c r="S34" s="62"/>
      <c r="T34" s="62"/>
      <c r="U34" s="62"/>
      <c r="V34" s="1267"/>
      <c r="W34" s="62"/>
      <c r="X34" s="62"/>
      <c r="Y34" s="1562"/>
      <c r="AS34" s="12">
        <f>SUM(AS27:AS31)</f>
        <v>11072632</v>
      </c>
    </row>
    <row r="35" spans="1:46">
      <c r="A35" t="s">
        <v>912</v>
      </c>
      <c r="B35" s="455">
        <f>B28/B32</f>
        <v>0.24901644218231853</v>
      </c>
      <c r="C35" s="455">
        <f>C28/C32</f>
        <v>0</v>
      </c>
      <c r="D35" s="455"/>
      <c r="E35" s="455"/>
      <c r="F35" s="455"/>
      <c r="G35" s="455"/>
      <c r="H35" s="455"/>
      <c r="I35" s="455"/>
      <c r="N35" s="62"/>
      <c r="O35" s="62"/>
      <c r="P35" s="62"/>
      <c r="Q35" s="62"/>
      <c r="R35" s="62"/>
      <c r="S35" s="62"/>
      <c r="T35" s="62"/>
      <c r="U35" s="62"/>
      <c r="V35" s="1267"/>
      <c r="W35" s="62"/>
      <c r="X35" s="62"/>
      <c r="Y35" s="276"/>
      <c r="AS35" s="1089"/>
    </row>
    <row r="36" spans="1:46">
      <c r="B36" s="455"/>
      <c r="C36" s="455"/>
      <c r="D36" s="455"/>
      <c r="E36" s="455"/>
      <c r="F36" s="455"/>
      <c r="G36" s="455"/>
      <c r="H36" s="455"/>
      <c r="I36" s="455"/>
      <c r="N36" s="62"/>
      <c r="O36" s="62"/>
      <c r="P36" s="62"/>
      <c r="Q36" s="62"/>
      <c r="R36" s="62" t="s">
        <v>902</v>
      </c>
      <c r="S36" s="62" t="s">
        <v>903</v>
      </c>
      <c r="T36" s="62"/>
      <c r="U36" s="62"/>
      <c r="V36" s="62"/>
      <c r="W36" s="62"/>
      <c r="X36" s="62"/>
    </row>
    <row r="37" spans="1:46" ht="31.5">
      <c r="A37" s="188" t="s">
        <v>913</v>
      </c>
      <c r="B37" s="455">
        <f>B25+G25</f>
        <v>45099889</v>
      </c>
      <c r="C37" s="455">
        <f>C25+H25</f>
        <v>52130127</v>
      </c>
      <c r="D37" s="455">
        <f>D25+I25</f>
        <v>56542000</v>
      </c>
      <c r="E37" s="455"/>
      <c r="F37" s="455"/>
      <c r="G37" s="455"/>
      <c r="H37" s="455"/>
      <c r="I37" s="455"/>
      <c r="R37" t="s">
        <v>904</v>
      </c>
      <c r="S37" t="s">
        <v>905</v>
      </c>
    </row>
    <row r="38" spans="1:46">
      <c r="V38" s="1292"/>
    </row>
  </sheetData>
  <pageMargins left="0.75" right="0.75" top="1" bottom="1" header="0.5" footer="0.5"/>
  <pageSetup orientation="portrait" horizontalDpi="4294967292" verticalDpi="42949672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131"/>
  <sheetViews>
    <sheetView workbookViewId="0">
      <selection activeCell="O18" sqref="O18"/>
    </sheetView>
  </sheetViews>
  <sheetFormatPr defaultColWidth="11" defaultRowHeight="15.75"/>
  <cols>
    <col min="1" max="1" width="25" customWidth="1"/>
    <col min="6" max="6" width="18.875" customWidth="1"/>
    <col min="17" max="17" width="18.375" customWidth="1"/>
    <col min="29" max="29" width="19" customWidth="1"/>
  </cols>
  <sheetData>
    <row r="1" spans="1:29">
      <c r="A1" s="10" t="s">
        <v>609</v>
      </c>
      <c r="E1" s="46"/>
      <c r="K1" s="961" t="s">
        <v>814</v>
      </c>
      <c r="L1" s="46"/>
      <c r="M1" s="46"/>
      <c r="O1" s="46"/>
      <c r="P1" s="46"/>
    </row>
    <row r="2" spans="1:29" ht="16.5" thickBot="1">
      <c r="A2" s="10"/>
      <c r="E2" s="46"/>
      <c r="J2" s="321"/>
      <c r="K2" t="s">
        <v>855</v>
      </c>
      <c r="P2" s="46"/>
    </row>
    <row r="3" spans="1:29">
      <c r="A3" s="561" t="s">
        <v>298</v>
      </c>
      <c r="B3" s="562"/>
      <c r="C3" s="562"/>
      <c r="D3" s="563"/>
      <c r="E3" s="564"/>
      <c r="F3" s="154"/>
      <c r="G3" s="616" t="s">
        <v>648</v>
      </c>
      <c r="H3" s="399"/>
      <c r="I3" s="399"/>
      <c r="J3" s="962"/>
      <c r="K3" s="965"/>
      <c r="L3" s="399"/>
      <c r="M3" s="399"/>
      <c r="N3" s="400"/>
      <c r="Q3" t="s">
        <v>797</v>
      </c>
      <c r="T3" s="857">
        <f>(0.58*K35+0.83*K60+K83+K106)/(K128+K106+K83+K60+K35)</f>
        <v>0.80372548070941774</v>
      </c>
    </row>
    <row r="4" spans="1:29">
      <c r="A4" s="445" t="s">
        <v>846</v>
      </c>
      <c r="B4" s="574" t="s">
        <v>610</v>
      </c>
      <c r="C4" s="574"/>
      <c r="D4" s="560"/>
      <c r="E4" s="565">
        <f>1-E3</f>
        <v>1</v>
      </c>
      <c r="F4" s="154"/>
      <c r="G4" s="617" t="s">
        <v>613</v>
      </c>
      <c r="H4" s="62"/>
      <c r="I4" s="62"/>
      <c r="J4" s="963">
        <f>'Dashboard-Academic Allocation'!B36</f>
        <v>0.3</v>
      </c>
      <c r="K4" s="966">
        <f>M83</f>
        <v>1958.7</v>
      </c>
      <c r="L4" s="881">
        <f>K4/K$9</f>
        <v>0.27859721388562536</v>
      </c>
      <c r="M4" s="455">
        <f>L4*D$9</f>
        <v>1810930.2424452405</v>
      </c>
      <c r="N4" s="967">
        <f>M4/((R83+S83+T83)/3)</f>
        <v>885.97369982643863</v>
      </c>
      <c r="O4" s="16"/>
      <c r="Q4" t="s">
        <v>798</v>
      </c>
      <c r="T4" s="650">
        <f>1-T3</f>
        <v>0.19627451929058226</v>
      </c>
    </row>
    <row r="5" spans="1:29" ht="16.5" thickBot="1">
      <c r="A5" s="511"/>
      <c r="B5" s="512"/>
      <c r="C5" s="512"/>
      <c r="D5" s="513"/>
      <c r="E5" s="514"/>
      <c r="F5" s="154"/>
      <c r="G5" s="617" t="s">
        <v>296</v>
      </c>
      <c r="H5" s="62"/>
      <c r="I5" s="62"/>
      <c r="J5" s="963">
        <f>'Dashboard-Academic Allocation'!B34</f>
        <v>1.4</v>
      </c>
      <c r="K5" s="966">
        <f>M60</f>
        <v>2386.9999999999995</v>
      </c>
      <c r="L5" s="881">
        <f>K5/K$9</f>
        <v>0.33951679662275369</v>
      </c>
      <c r="M5" s="455">
        <f>L5*D$9</f>
        <v>2206918.1031892523</v>
      </c>
      <c r="N5" s="967">
        <f>M5/((R60+S60+T60)/3)</f>
        <v>5140.3371968693764</v>
      </c>
      <c r="O5" s="882"/>
      <c r="P5" s="154"/>
    </row>
    <row r="6" spans="1:29">
      <c r="E6" s="46"/>
      <c r="G6" s="617" t="s">
        <v>611</v>
      </c>
      <c r="H6" s="62"/>
      <c r="I6" s="62"/>
      <c r="J6" s="963">
        <f>'Dashboard-Academic Allocation'!B35</f>
        <v>1.2</v>
      </c>
      <c r="K6" s="966">
        <f>M35</f>
        <v>2684.88</v>
      </c>
      <c r="L6" s="881">
        <f>K6/K$9</f>
        <v>0.38188598949162089</v>
      </c>
      <c r="M6" s="455">
        <f>L6*D$9</f>
        <v>2482325.2102600588</v>
      </c>
      <c r="N6" s="967">
        <f>M6/((R35+S35+T35)/3)</f>
        <v>5808.8733469424151</v>
      </c>
      <c r="S6" s="46"/>
    </row>
    <row r="7" spans="1:29">
      <c r="G7" s="617" t="s">
        <v>149</v>
      </c>
      <c r="H7" s="62"/>
      <c r="I7" s="62"/>
      <c r="J7" s="963">
        <f>'Dashboard-Academic Allocation'!B38</f>
        <v>0</v>
      </c>
      <c r="K7" s="966">
        <f>K128</f>
        <v>0</v>
      </c>
      <c r="L7" s="881">
        <f>K7/K$9</f>
        <v>0</v>
      </c>
      <c r="M7" s="455">
        <f>L7*D$9</f>
        <v>0</v>
      </c>
      <c r="N7" s="967">
        <f>M7/((R128+S128+T128)/3)</f>
        <v>0</v>
      </c>
      <c r="Q7" s="10"/>
    </row>
    <row r="8" spans="1:29" ht="16.5" thickBot="1">
      <c r="E8" s="46"/>
      <c r="G8" s="618" t="s">
        <v>649</v>
      </c>
      <c r="H8" s="405"/>
      <c r="I8" s="405"/>
      <c r="J8" s="964">
        <f>'Dashboard-Academic Allocation'!B38</f>
        <v>0</v>
      </c>
      <c r="K8" s="966">
        <f>K106</f>
        <v>0</v>
      </c>
      <c r="L8" s="881">
        <f>K8/K$9</f>
        <v>0</v>
      </c>
      <c r="M8" s="455">
        <f>L8*D$9</f>
        <v>0</v>
      </c>
      <c r="N8" s="967">
        <f>M8/((R106+S106+T106)/3)</f>
        <v>0</v>
      </c>
      <c r="U8" s="474"/>
      <c r="V8" s="474"/>
      <c r="W8" s="474"/>
      <c r="X8" s="474"/>
      <c r="Y8" s="474"/>
      <c r="Z8" s="474"/>
      <c r="AA8" s="474"/>
    </row>
    <row r="9" spans="1:29" ht="16.5" thickBot="1">
      <c r="A9" s="497" t="s">
        <v>647</v>
      </c>
      <c r="B9" s="498"/>
      <c r="C9" s="498"/>
      <c r="D9" s="938">
        <f>'Dashboard-Academic Allocation'!D33</f>
        <v>6500173.5558945518</v>
      </c>
      <c r="E9" s="46"/>
      <c r="K9" s="968">
        <f>K3+K4+K5+K6+K7+K8</f>
        <v>7030.58</v>
      </c>
      <c r="L9" s="969">
        <f>L3+L4+L5+L6+L7+L8</f>
        <v>1</v>
      </c>
      <c r="M9" s="970">
        <f>M3+M4+M5+M6+M7+M8</f>
        <v>6500173.5558945518</v>
      </c>
      <c r="N9" s="971"/>
      <c r="O9" s="16"/>
      <c r="Q9" s="452"/>
      <c r="R9" s="475"/>
      <c r="S9" s="475"/>
    </row>
    <row r="10" spans="1:29">
      <c r="E10" s="46"/>
      <c r="L10" s="46"/>
      <c r="M10" s="46"/>
      <c r="Q10" s="454"/>
      <c r="R10" s="154"/>
      <c r="S10" s="154"/>
      <c r="T10" s="154"/>
      <c r="U10" s="154"/>
      <c r="V10" s="154"/>
      <c r="W10" s="154"/>
      <c r="X10" s="154"/>
      <c r="Y10" s="154"/>
      <c r="Z10" s="154"/>
      <c r="AA10" s="154"/>
    </row>
    <row r="11" spans="1:29">
      <c r="E11" s="46"/>
      <c r="L11" s="46"/>
      <c r="M11" s="46"/>
      <c r="Q11" s="454"/>
      <c r="R11" s="455"/>
      <c r="S11" s="455"/>
      <c r="T11" s="455"/>
      <c r="U11" s="455"/>
      <c r="V11" s="455"/>
      <c r="W11" s="455"/>
      <c r="X11" s="455"/>
      <c r="Y11" s="455"/>
      <c r="Z11" s="455"/>
      <c r="AA11" s="455"/>
    </row>
    <row r="12" spans="1:29">
      <c r="E12" s="46"/>
      <c r="L12" s="46"/>
      <c r="M12" s="46"/>
      <c r="Q12" s="454"/>
      <c r="R12" s="454"/>
      <c r="S12" s="454"/>
      <c r="T12" s="454"/>
      <c r="U12" s="454"/>
      <c r="V12" s="454"/>
      <c r="W12" s="454"/>
      <c r="X12" s="454"/>
      <c r="Y12" s="454"/>
      <c r="Z12" s="454"/>
      <c r="AA12" s="454"/>
    </row>
    <row r="13" spans="1:29">
      <c r="E13" s="46"/>
      <c r="L13" s="46"/>
      <c r="M13" s="46"/>
    </row>
    <row r="14" spans="1:29">
      <c r="E14" s="46"/>
      <c r="L14" s="46"/>
      <c r="M14" s="46"/>
      <c r="O14" s="395" t="s">
        <v>601</v>
      </c>
      <c r="Q14" s="154"/>
      <c r="R14" s="517"/>
      <c r="S14" s="517"/>
      <c r="T14" s="517"/>
      <c r="U14" s="517"/>
      <c r="V14" s="517"/>
      <c r="W14" s="517"/>
      <c r="X14" s="517"/>
      <c r="Y14" s="517"/>
      <c r="Z14" s="517"/>
      <c r="AA14" s="517"/>
    </row>
    <row r="15" spans="1:29">
      <c r="A15" s="478" t="s">
        <v>584</v>
      </c>
      <c r="B15" s="217"/>
      <c r="C15" s="217"/>
      <c r="D15" s="217"/>
      <c r="E15" s="46"/>
      <c r="F15" s="478" t="s">
        <v>651</v>
      </c>
      <c r="G15" s="478"/>
      <c r="H15" s="478"/>
      <c r="I15" s="478"/>
      <c r="J15" s="553"/>
      <c r="K15" s="478" t="s">
        <v>854</v>
      </c>
      <c r="L15" s="478"/>
      <c r="M15" s="478"/>
      <c r="Q15" s="569" t="s">
        <v>611</v>
      </c>
      <c r="R15" s="460"/>
      <c r="S15" s="460"/>
      <c r="T15" s="460"/>
      <c r="U15" s="566"/>
      <c r="V15" s="566"/>
      <c r="W15" s="566"/>
      <c r="X15" s="566"/>
      <c r="Y15" s="566"/>
      <c r="Z15" s="566"/>
      <c r="AA15" s="566"/>
    </row>
    <row r="16" spans="1:29" ht="25.5">
      <c r="A16" s="479"/>
      <c r="B16" s="480" t="s">
        <v>847</v>
      </c>
      <c r="C16" s="480" t="s">
        <v>942</v>
      </c>
      <c r="D16" s="480" t="s">
        <v>1396</v>
      </c>
      <c r="E16" s="496"/>
      <c r="F16" s="479"/>
      <c r="G16" s="480" t="s">
        <v>838</v>
      </c>
      <c r="H16" s="480" t="s">
        <v>944</v>
      </c>
      <c r="I16" s="480" t="s">
        <v>1400</v>
      </c>
      <c r="J16" s="558"/>
      <c r="K16" s="480" t="s">
        <v>849</v>
      </c>
      <c r="L16" s="480" t="s">
        <v>943</v>
      </c>
      <c r="M16" s="480" t="s">
        <v>1399</v>
      </c>
      <c r="O16" s="46"/>
      <c r="Q16" s="570"/>
      <c r="R16" s="571" t="s">
        <v>532</v>
      </c>
      <c r="S16" s="571" t="s">
        <v>533</v>
      </c>
      <c r="T16" s="572" t="s">
        <v>534</v>
      </c>
      <c r="U16" s="571" t="s">
        <v>555</v>
      </c>
      <c r="V16" s="571" t="s">
        <v>874</v>
      </c>
      <c r="W16" s="571" t="s">
        <v>883</v>
      </c>
      <c r="X16" s="571" t="s">
        <v>1034</v>
      </c>
      <c r="Y16" s="1067" t="s">
        <v>1313</v>
      </c>
      <c r="Z16" s="1067" t="s">
        <v>1748</v>
      </c>
      <c r="AA16" s="1067" t="s">
        <v>1275</v>
      </c>
      <c r="AC16" t="s">
        <v>650</v>
      </c>
    </row>
    <row r="17" spans="1:33">
      <c r="A17" s="481" t="s">
        <v>538</v>
      </c>
      <c r="B17" s="455">
        <f>B42*D$9</f>
        <v>542721.94575141475</v>
      </c>
      <c r="C17" s="455">
        <f>C42*D$9</f>
        <v>518845.08116826043</v>
      </c>
      <c r="D17" s="455">
        <f>D42*D$9</f>
        <v>450721.64864045277</v>
      </c>
      <c r="E17" s="46"/>
      <c r="F17" s="481" t="s">
        <v>538</v>
      </c>
      <c r="G17" s="455">
        <f>K17+K42+K65+K88+K110</f>
        <v>483.2</v>
      </c>
      <c r="H17" s="455">
        <f>L17+L42+L65+L88+L110</f>
        <v>508.9</v>
      </c>
      <c r="I17" s="455">
        <f>M17+M42+M65+M88+M110</f>
        <v>487.5</v>
      </c>
      <c r="J17" s="192"/>
      <c r="K17" s="455">
        <f>O17*(V17+S17+T17)</f>
        <v>84</v>
      </c>
      <c r="L17" s="482">
        <f>O17*(T17+V17+X17)</f>
        <v>99.6</v>
      </c>
      <c r="M17" s="455">
        <f>O17*(X17+Z17+V17+AA17)</f>
        <v>99.6</v>
      </c>
      <c r="O17" s="524">
        <f>J6</f>
        <v>1.2</v>
      </c>
      <c r="Q17" s="481" t="s">
        <v>538</v>
      </c>
      <c r="R17" s="536">
        <v>25</v>
      </c>
      <c r="S17" s="536">
        <v>24</v>
      </c>
      <c r="T17" s="536">
        <v>22</v>
      </c>
      <c r="U17" s="1039">
        <v>23.333333333333332</v>
      </c>
      <c r="V17" s="536">
        <v>24</v>
      </c>
      <c r="W17" s="1039">
        <v>23</v>
      </c>
      <c r="X17" s="517">
        <v>37</v>
      </c>
      <c r="Y17" s="1301">
        <v>29.975654946796936</v>
      </c>
      <c r="Z17" s="1655">
        <v>22</v>
      </c>
      <c r="AA17" s="1039">
        <f>3*'What If Data'!Q25</f>
        <v>0</v>
      </c>
      <c r="AC17" s="613">
        <v>1</v>
      </c>
      <c r="AD17" s="580">
        <v>2</v>
      </c>
      <c r="AE17" s="580">
        <v>3</v>
      </c>
      <c r="AF17" s="580">
        <v>4</v>
      </c>
      <c r="AG17" s="614"/>
    </row>
    <row r="18" spans="1:33">
      <c r="A18" s="481" t="s">
        <v>6</v>
      </c>
      <c r="B18" s="455">
        <f t="shared" ref="B18:B28" si="0">B43*D$9</f>
        <v>1110490.8687177643</v>
      </c>
      <c r="C18" s="455">
        <f t="shared" ref="C18:C28" si="1">C43*D$9</f>
        <v>1053798.9308223894</v>
      </c>
      <c r="D18" s="455">
        <f t="shared" ref="D18:D28" si="2">D43*D$9</f>
        <v>1090237.8832345062</v>
      </c>
      <c r="E18" s="46"/>
      <c r="F18" s="481" t="s">
        <v>6</v>
      </c>
      <c r="G18" s="455">
        <f t="shared" ref="G18:H28" si="3">K18+K43+K66+K89+K111</f>
        <v>988.69999999999993</v>
      </c>
      <c r="H18" s="455">
        <f t="shared" si="3"/>
        <v>1033.5999999999999</v>
      </c>
      <c r="I18" s="455">
        <f t="shared" ref="I18:I28" si="4">M18+M43+M66+M89+M111</f>
        <v>1179.1999999999998</v>
      </c>
      <c r="J18" s="192"/>
      <c r="K18" s="455">
        <f t="shared" ref="K18:K28" si="5">O18*(V18+S18+T18)</f>
        <v>517.19999999999993</v>
      </c>
      <c r="L18" s="482">
        <f t="shared" ref="L18:L28" si="6">O18*(T18+V18+X18)</f>
        <v>595.19999999999993</v>
      </c>
      <c r="M18" s="455">
        <f t="shared" ref="M18:M28" si="7">O18*(X18+Z18+V18+AA18)</f>
        <v>667.19999999999993</v>
      </c>
      <c r="O18" s="524">
        <f>O17</f>
        <v>1.2</v>
      </c>
      <c r="Q18" s="481" t="s">
        <v>6</v>
      </c>
      <c r="R18" s="536">
        <v>64</v>
      </c>
      <c r="S18" s="536">
        <v>125</v>
      </c>
      <c r="T18" s="536">
        <v>145</v>
      </c>
      <c r="U18" s="1039">
        <v>165</v>
      </c>
      <c r="V18" s="536">
        <v>161</v>
      </c>
      <c r="W18" s="1039">
        <v>179.66666666666663</v>
      </c>
      <c r="X18" s="517">
        <v>190</v>
      </c>
      <c r="Y18" s="1301">
        <v>184.30083564300469</v>
      </c>
      <c r="Z18" s="1655">
        <v>205</v>
      </c>
      <c r="AA18" s="1039">
        <f>3*'What If Data'!Q26</f>
        <v>0</v>
      </c>
      <c r="AC18" s="615"/>
      <c r="AD18" s="15"/>
      <c r="AE18" s="15"/>
      <c r="AF18" s="15"/>
      <c r="AG18" s="346"/>
    </row>
    <row r="19" spans="1:33">
      <c r="A19" s="481" t="s">
        <v>8</v>
      </c>
      <c r="B19" s="455">
        <f t="shared" si="0"/>
        <v>109398.0081046933</v>
      </c>
      <c r="C19" s="455">
        <f t="shared" si="1"/>
        <v>102667.91053968131</v>
      </c>
      <c r="D19" s="455">
        <f t="shared" si="2"/>
        <v>98650.256225510355</v>
      </c>
      <c r="E19" s="46"/>
      <c r="F19" s="481" t="s">
        <v>8</v>
      </c>
      <c r="G19" s="455">
        <f t="shared" si="3"/>
        <v>97.4</v>
      </c>
      <c r="H19" s="455">
        <f t="shared" si="3"/>
        <v>100.69999999999999</v>
      </c>
      <c r="I19" s="455">
        <f t="shared" si="4"/>
        <v>106.69999999999999</v>
      </c>
      <c r="J19" s="192"/>
      <c r="K19" s="455">
        <f t="shared" si="5"/>
        <v>4.8</v>
      </c>
      <c r="L19" s="482">
        <f t="shared" si="6"/>
        <v>2.4</v>
      </c>
      <c r="M19" s="455">
        <f t="shared" si="7"/>
        <v>2.4</v>
      </c>
      <c r="O19" s="524">
        <f t="shared" ref="O19:O28" si="8">O18</f>
        <v>1.2</v>
      </c>
      <c r="Q19" s="481" t="s">
        <v>8</v>
      </c>
      <c r="R19" s="525">
        <v>2</v>
      </c>
      <c r="S19" s="525">
        <v>2</v>
      </c>
      <c r="T19" s="525">
        <v>1</v>
      </c>
      <c r="U19" s="1036">
        <v>1.6666666666666667</v>
      </c>
      <c r="V19" s="528">
        <v>1</v>
      </c>
      <c r="W19" s="1036">
        <v>1.3333333333333333</v>
      </c>
      <c r="X19" s="528">
        <v>0</v>
      </c>
      <c r="Y19" s="1301">
        <v>1.0470885921402375</v>
      </c>
      <c r="Z19" s="1656">
        <v>1</v>
      </c>
      <c r="AA19" s="1039">
        <f>3*'What If Data'!Q27</f>
        <v>0</v>
      </c>
    </row>
    <row r="20" spans="1:33">
      <c r="A20" s="483" t="s">
        <v>2</v>
      </c>
      <c r="B20" s="455">
        <f t="shared" si="0"/>
        <v>164658.60357441514</v>
      </c>
      <c r="C20" s="455">
        <f t="shared" si="1"/>
        <v>153237.20907759786</v>
      </c>
      <c r="D20" s="455">
        <f t="shared" si="2"/>
        <v>152736.8540623647</v>
      </c>
      <c r="E20" s="46"/>
      <c r="F20" s="483" t="s">
        <v>2</v>
      </c>
      <c r="G20" s="455">
        <f t="shared" si="3"/>
        <v>146.6</v>
      </c>
      <c r="H20" s="455">
        <f t="shared" si="3"/>
        <v>150.30000000000001</v>
      </c>
      <c r="I20" s="455">
        <f t="shared" si="4"/>
        <v>165.2</v>
      </c>
      <c r="J20" s="192"/>
      <c r="K20" s="455">
        <f t="shared" si="5"/>
        <v>24</v>
      </c>
      <c r="L20" s="482">
        <f t="shared" si="6"/>
        <v>26.4</v>
      </c>
      <c r="M20" s="455">
        <f t="shared" si="7"/>
        <v>36</v>
      </c>
      <c r="O20" s="524">
        <f t="shared" si="8"/>
        <v>1.2</v>
      </c>
      <c r="Q20" s="483" t="s">
        <v>2</v>
      </c>
      <c r="R20" s="463">
        <v>5</v>
      </c>
      <c r="S20" s="463">
        <v>5</v>
      </c>
      <c r="T20" s="463">
        <v>5</v>
      </c>
      <c r="U20" s="1019">
        <v>5</v>
      </c>
      <c r="V20" s="463">
        <v>10</v>
      </c>
      <c r="W20" s="1019">
        <v>6.666666666666667</v>
      </c>
      <c r="X20" s="599">
        <v>7</v>
      </c>
      <c r="Y20" s="1301">
        <v>8.946765199351205</v>
      </c>
      <c r="Z20" s="1657">
        <v>13</v>
      </c>
      <c r="AA20" s="1039">
        <f>3*'What If Data'!Q28</f>
        <v>0</v>
      </c>
    </row>
    <row r="21" spans="1:33">
      <c r="A21" s="481" t="s">
        <v>10</v>
      </c>
      <c r="B21" s="455">
        <f t="shared" si="0"/>
        <v>72220.656274453577</v>
      </c>
      <c r="C21" s="455">
        <f t="shared" si="1"/>
        <v>63109.668941472431</v>
      </c>
      <c r="D21" s="455">
        <f t="shared" si="2"/>
        <v>55935.712292815158</v>
      </c>
      <c r="E21" s="46"/>
      <c r="F21" s="481" t="s">
        <v>10</v>
      </c>
      <c r="G21" s="455">
        <f t="shared" si="3"/>
        <v>64.3</v>
      </c>
      <c r="H21" s="455">
        <f t="shared" si="3"/>
        <v>61.899999999999991</v>
      </c>
      <c r="I21" s="455">
        <f t="shared" si="4"/>
        <v>60.5</v>
      </c>
      <c r="J21" s="192"/>
      <c r="K21" s="455">
        <f t="shared" si="5"/>
        <v>24</v>
      </c>
      <c r="L21" s="482">
        <f t="shared" si="6"/>
        <v>21.599999999999998</v>
      </c>
      <c r="M21" s="455">
        <f t="shared" si="7"/>
        <v>16.8</v>
      </c>
      <c r="O21" s="524">
        <f t="shared" si="8"/>
        <v>1.2</v>
      </c>
      <c r="Q21" s="481" t="s">
        <v>10</v>
      </c>
      <c r="R21" s="536">
        <v>10</v>
      </c>
      <c r="S21" s="536">
        <v>6</v>
      </c>
      <c r="T21" s="536">
        <v>8</v>
      </c>
      <c r="U21" s="1039">
        <v>8</v>
      </c>
      <c r="V21" s="536">
        <v>6</v>
      </c>
      <c r="W21" s="1039">
        <v>6.666666666666667</v>
      </c>
      <c r="X21" s="528">
        <v>4</v>
      </c>
      <c r="Y21" s="1301">
        <v>4.8991318351799054</v>
      </c>
      <c r="Z21" s="1656">
        <v>4</v>
      </c>
      <c r="AA21" s="1039">
        <f>3*'What If Data'!Q29</f>
        <v>0</v>
      </c>
    </row>
    <row r="22" spans="1:33">
      <c r="A22" s="481" t="s">
        <v>4</v>
      </c>
      <c r="B22" s="455">
        <f t="shared" si="0"/>
        <v>604609.31994616415</v>
      </c>
      <c r="C22" s="455">
        <f t="shared" si="1"/>
        <v>595922.47974621388</v>
      </c>
      <c r="D22" s="455">
        <f t="shared" si="2"/>
        <v>602903.76836602902</v>
      </c>
      <c r="E22" s="46"/>
      <c r="F22" s="481" t="s">
        <v>4</v>
      </c>
      <c r="G22" s="455">
        <f t="shared" si="3"/>
        <v>538.29999999999995</v>
      </c>
      <c r="H22" s="455">
        <f t="shared" si="3"/>
        <v>584.5</v>
      </c>
      <c r="I22" s="455">
        <f t="shared" si="4"/>
        <v>652.09999999999991</v>
      </c>
      <c r="J22" s="192"/>
      <c r="K22" s="455">
        <f t="shared" si="5"/>
        <v>140.4</v>
      </c>
      <c r="L22" s="482">
        <f t="shared" si="6"/>
        <v>151.19999999999999</v>
      </c>
      <c r="M22" s="455">
        <f t="shared" si="7"/>
        <v>176.4</v>
      </c>
      <c r="O22" s="524">
        <f t="shared" si="8"/>
        <v>1.2</v>
      </c>
      <c r="Q22" s="481" t="s">
        <v>4</v>
      </c>
      <c r="R22" s="536">
        <v>36</v>
      </c>
      <c r="S22" s="536">
        <v>36</v>
      </c>
      <c r="T22" s="536">
        <v>39</v>
      </c>
      <c r="U22" s="1039">
        <v>40</v>
      </c>
      <c r="V22" s="536">
        <v>42</v>
      </c>
      <c r="W22" s="1039">
        <v>45</v>
      </c>
      <c r="X22" s="517">
        <v>45</v>
      </c>
      <c r="Y22" s="1301">
        <v>44.955402329647349</v>
      </c>
      <c r="Z22" s="1655">
        <v>60</v>
      </c>
      <c r="AA22" s="1039">
        <f>3*'What If Data'!Q30</f>
        <v>0</v>
      </c>
    </row>
    <row r="23" spans="1:33">
      <c r="A23" s="481" t="s">
        <v>14</v>
      </c>
      <c r="B23" s="455">
        <f t="shared" si="0"/>
        <v>62336.647328649662</v>
      </c>
      <c r="C23" s="455">
        <f t="shared" si="1"/>
        <v>61886.218170393797</v>
      </c>
      <c r="D23" s="455">
        <f t="shared" si="2"/>
        <v>65920.930355003642</v>
      </c>
      <c r="E23" s="46"/>
      <c r="F23" s="481" t="s">
        <v>14</v>
      </c>
      <c r="G23" s="455">
        <f t="shared" si="3"/>
        <v>55.499999999999993</v>
      </c>
      <c r="H23" s="455">
        <f t="shared" si="3"/>
        <v>60.699999999999989</v>
      </c>
      <c r="I23" s="455">
        <f t="shared" si="4"/>
        <v>71.3</v>
      </c>
      <c r="J23" s="192"/>
      <c r="K23" s="455">
        <f t="shared" si="5"/>
        <v>27.599999999999998</v>
      </c>
      <c r="L23" s="482">
        <f t="shared" si="6"/>
        <v>27.599999999999998</v>
      </c>
      <c r="M23" s="455">
        <f t="shared" si="7"/>
        <v>40.799999999999997</v>
      </c>
      <c r="O23" s="524">
        <f>O22</f>
        <v>1.2</v>
      </c>
      <c r="Q23" s="481" t="s">
        <v>14</v>
      </c>
      <c r="R23" s="472">
        <v>10</v>
      </c>
      <c r="S23" s="472">
        <v>12</v>
      </c>
      <c r="T23" s="472">
        <v>5</v>
      </c>
      <c r="U23" s="1039">
        <v>9</v>
      </c>
      <c r="V23" s="536">
        <v>6</v>
      </c>
      <c r="W23" s="1039">
        <v>7.666666666666667</v>
      </c>
      <c r="X23" s="528">
        <v>12</v>
      </c>
      <c r="Y23" s="1301">
        <v>9.527200813053442</v>
      </c>
      <c r="Z23" s="1656">
        <v>16</v>
      </c>
      <c r="AA23" s="1039">
        <f>3*'What If Data'!Q31</f>
        <v>0</v>
      </c>
    </row>
    <row r="24" spans="1:33">
      <c r="A24" s="483" t="s">
        <v>17</v>
      </c>
      <c r="B24" s="455">
        <f t="shared" si="0"/>
        <v>1167863.0479168172</v>
      </c>
      <c r="C24" s="455">
        <f t="shared" si="1"/>
        <v>1126777.7693172295</v>
      </c>
      <c r="D24" s="455">
        <f t="shared" si="2"/>
        <v>1090774.126426735</v>
      </c>
      <c r="E24" s="46"/>
      <c r="F24" s="483" t="s">
        <v>17</v>
      </c>
      <c r="G24" s="455">
        <f t="shared" si="3"/>
        <v>1039.78</v>
      </c>
      <c r="H24" s="455">
        <f t="shared" si="3"/>
        <v>1105.18</v>
      </c>
      <c r="I24" s="455">
        <f t="shared" si="4"/>
        <v>1179.78</v>
      </c>
      <c r="J24" s="192"/>
      <c r="K24" s="455">
        <f t="shared" si="5"/>
        <v>137.28</v>
      </c>
      <c r="L24" s="482">
        <f t="shared" si="6"/>
        <v>178.08</v>
      </c>
      <c r="M24" s="455">
        <f t="shared" si="7"/>
        <v>215.28</v>
      </c>
      <c r="O24" s="524">
        <f t="shared" si="8"/>
        <v>1.2</v>
      </c>
      <c r="Q24" s="483" t="s">
        <v>17</v>
      </c>
      <c r="R24" s="463">
        <v>15</v>
      </c>
      <c r="S24" s="463">
        <v>25</v>
      </c>
      <c r="T24" s="463">
        <v>46</v>
      </c>
      <c r="U24" s="1019">
        <v>59.666666666666664</v>
      </c>
      <c r="V24" s="463">
        <v>43.400000000000006</v>
      </c>
      <c r="W24" s="1019">
        <v>56.533333333333331</v>
      </c>
      <c r="X24" s="595">
        <v>59</v>
      </c>
      <c r="Y24" s="1301">
        <v>51.763197705924838</v>
      </c>
      <c r="Z24" s="1658">
        <v>77</v>
      </c>
      <c r="AA24" s="1039">
        <f>3*'What If Data'!Q32</f>
        <v>0</v>
      </c>
    </row>
    <row r="25" spans="1:33">
      <c r="A25" s="481" t="s">
        <v>324</v>
      </c>
      <c r="B25" s="455">
        <f t="shared" si="0"/>
        <v>35717.214145064136</v>
      </c>
      <c r="C25" s="455">
        <f t="shared" si="1"/>
        <v>33848.804666508644</v>
      </c>
      <c r="D25" s="455">
        <f t="shared" si="2"/>
        <v>17381.675886031815</v>
      </c>
      <c r="E25" s="46"/>
      <c r="F25" s="481" t="s">
        <v>324</v>
      </c>
      <c r="G25" s="455">
        <f t="shared" si="3"/>
        <v>31.8</v>
      </c>
      <c r="H25" s="455">
        <f t="shared" si="3"/>
        <v>33.200000000000003</v>
      </c>
      <c r="I25" s="455">
        <f t="shared" si="4"/>
        <v>18.799999999999997</v>
      </c>
      <c r="J25" s="192"/>
      <c r="K25" s="455">
        <f t="shared" si="5"/>
        <v>12</v>
      </c>
      <c r="L25" s="482">
        <f t="shared" si="6"/>
        <v>13.2</v>
      </c>
      <c r="M25" s="455">
        <f t="shared" si="7"/>
        <v>3.5999999999999996</v>
      </c>
      <c r="O25" s="524">
        <f t="shared" si="8"/>
        <v>1.2</v>
      </c>
      <c r="Q25" s="481" t="s">
        <v>324</v>
      </c>
      <c r="R25" s="472">
        <v>1</v>
      </c>
      <c r="S25" s="472">
        <v>2</v>
      </c>
      <c r="T25" s="472">
        <v>8</v>
      </c>
      <c r="U25" s="1039">
        <v>3.6666666666666665</v>
      </c>
      <c r="V25" s="536">
        <v>0</v>
      </c>
      <c r="W25" s="1039">
        <v>3.3333333333333335</v>
      </c>
      <c r="X25" s="528">
        <v>3</v>
      </c>
      <c r="Y25" s="1301">
        <v>1.6189976689976691</v>
      </c>
      <c r="Z25" s="1656">
        <v>0</v>
      </c>
      <c r="AA25" s="1039">
        <f>3*'What If Data'!Q33</f>
        <v>0</v>
      </c>
    </row>
    <row r="26" spans="1:33">
      <c r="A26" s="481" t="s">
        <v>7</v>
      </c>
      <c r="B26" s="455">
        <f t="shared" si="0"/>
        <v>1585597.2078172024</v>
      </c>
      <c r="C26" s="455">
        <f t="shared" si="1"/>
        <v>1768396.13536323</v>
      </c>
      <c r="D26" s="455">
        <f t="shared" si="2"/>
        <v>1885264.643574866</v>
      </c>
      <c r="E26" s="46"/>
      <c r="F26" s="481" t="s">
        <v>7</v>
      </c>
      <c r="G26" s="455">
        <f t="shared" si="3"/>
        <v>1411.7</v>
      </c>
      <c r="H26" s="455">
        <f t="shared" si="3"/>
        <v>1734.5</v>
      </c>
      <c r="I26" s="455">
        <f t="shared" si="4"/>
        <v>2039.1</v>
      </c>
      <c r="J26" s="192"/>
      <c r="K26" s="455">
        <f t="shared" si="5"/>
        <v>859.19999999999993</v>
      </c>
      <c r="L26" s="482">
        <f t="shared" si="6"/>
        <v>1090.8</v>
      </c>
      <c r="M26" s="455">
        <f>O26*(X26+Z26+V26+AA26)</f>
        <v>1314</v>
      </c>
      <c r="O26" s="524">
        <f t="shared" si="8"/>
        <v>1.2</v>
      </c>
      <c r="Q26" s="481" t="s">
        <v>7</v>
      </c>
      <c r="R26" s="536">
        <v>116</v>
      </c>
      <c r="S26" s="536">
        <v>187</v>
      </c>
      <c r="T26" s="536">
        <v>231</v>
      </c>
      <c r="U26" s="1039">
        <v>293</v>
      </c>
      <c r="V26" s="536">
        <v>298</v>
      </c>
      <c r="W26" s="1039">
        <v>349.66666666666663</v>
      </c>
      <c r="X26" s="517">
        <v>380</v>
      </c>
      <c r="Y26" s="1301">
        <v>367.5064423971919</v>
      </c>
      <c r="Z26" s="1655">
        <v>417</v>
      </c>
      <c r="AA26" s="1039">
        <f>3*'What If Data'!Q34</f>
        <v>0</v>
      </c>
    </row>
    <row r="27" spans="1:33">
      <c r="A27" s="481" t="s">
        <v>9</v>
      </c>
      <c r="B27" s="455">
        <f t="shared" si="0"/>
        <v>870915.97006549453</v>
      </c>
      <c r="C27" s="455">
        <f t="shared" si="1"/>
        <v>873136.0336264458</v>
      </c>
      <c r="D27" s="455">
        <f t="shared" si="2"/>
        <v>849020.9024544158</v>
      </c>
      <c r="E27" s="46"/>
      <c r="F27" s="481" t="s">
        <v>9</v>
      </c>
      <c r="G27" s="455">
        <f t="shared" si="3"/>
        <v>775.4</v>
      </c>
      <c r="H27" s="455">
        <f t="shared" si="3"/>
        <v>856.4</v>
      </c>
      <c r="I27" s="455">
        <f t="shared" si="4"/>
        <v>918.3</v>
      </c>
      <c r="J27" s="192"/>
      <c r="K27" s="455">
        <f t="shared" si="5"/>
        <v>64.8</v>
      </c>
      <c r="L27" s="482">
        <f t="shared" si="6"/>
        <v>78</v>
      </c>
      <c r="M27" s="455">
        <f t="shared" si="7"/>
        <v>74.399999999999991</v>
      </c>
      <c r="O27" s="524">
        <f t="shared" si="8"/>
        <v>1.2</v>
      </c>
      <c r="Q27" s="481" t="s">
        <v>9</v>
      </c>
      <c r="R27" s="536">
        <v>14</v>
      </c>
      <c r="S27" s="536">
        <v>16</v>
      </c>
      <c r="T27" s="536">
        <v>20</v>
      </c>
      <c r="U27" s="1039">
        <v>16.666666666666668</v>
      </c>
      <c r="V27" s="536">
        <v>18</v>
      </c>
      <c r="W27" s="1039">
        <v>18</v>
      </c>
      <c r="X27" s="517">
        <v>27</v>
      </c>
      <c r="Y27" s="1301">
        <v>21.195875867433305</v>
      </c>
      <c r="Z27" s="1655">
        <v>17</v>
      </c>
      <c r="AA27" s="1039">
        <f>3*'What If Data'!Q35</f>
        <v>0</v>
      </c>
    </row>
    <row r="28" spans="1:33">
      <c r="A28" s="483" t="s">
        <v>5</v>
      </c>
      <c r="B28" s="455">
        <f t="shared" si="0"/>
        <v>173644.06625241871</v>
      </c>
      <c r="C28" s="455">
        <f t="shared" si="1"/>
        <v>146100.41291297253</v>
      </c>
      <c r="D28" s="455">
        <f t="shared" si="2"/>
        <v>138406.21702866824</v>
      </c>
      <c r="E28" s="46"/>
      <c r="F28" s="483" t="s">
        <v>5</v>
      </c>
      <c r="G28" s="455">
        <f t="shared" si="3"/>
        <v>154.6</v>
      </c>
      <c r="H28" s="455">
        <f t="shared" si="3"/>
        <v>143.30000000000001</v>
      </c>
      <c r="I28" s="455">
        <f t="shared" si="4"/>
        <v>149.69999999999999</v>
      </c>
      <c r="J28" s="192"/>
      <c r="K28" s="455">
        <f t="shared" si="5"/>
        <v>31.2</v>
      </c>
      <c r="L28" s="482">
        <f t="shared" si="6"/>
        <v>32.4</v>
      </c>
      <c r="M28" s="455">
        <f t="shared" si="7"/>
        <v>36</v>
      </c>
      <c r="O28" s="524">
        <f t="shared" si="8"/>
        <v>1.2</v>
      </c>
      <c r="Q28" s="483" t="s">
        <v>5</v>
      </c>
      <c r="R28" s="463">
        <v>3</v>
      </c>
      <c r="S28" s="463">
        <v>4</v>
      </c>
      <c r="T28" s="463">
        <v>7</v>
      </c>
      <c r="U28" s="1019">
        <v>4.666666666666667</v>
      </c>
      <c r="V28" s="463">
        <v>15</v>
      </c>
      <c r="W28" s="1019">
        <v>8.6666666666666661</v>
      </c>
      <c r="X28" s="463">
        <v>5</v>
      </c>
      <c r="Y28" s="1301">
        <v>9.6568092435307555</v>
      </c>
      <c r="Z28" s="1650">
        <v>10</v>
      </c>
      <c r="AA28" s="1039">
        <f>3*'What If Data'!Q36</f>
        <v>0</v>
      </c>
    </row>
    <row r="29" spans="1:33">
      <c r="A29" s="481"/>
      <c r="B29" s="454"/>
      <c r="C29" s="454"/>
      <c r="D29" s="454"/>
      <c r="E29" s="46"/>
      <c r="F29" s="481"/>
      <c r="G29" s="543"/>
      <c r="H29" s="543"/>
      <c r="I29" s="543"/>
      <c r="J29" s="192"/>
      <c r="K29" s="454"/>
      <c r="L29" s="482"/>
      <c r="M29" s="455">
        <f>O29*(S29+T29+V29)</f>
        <v>0</v>
      </c>
      <c r="Q29" s="481"/>
      <c r="R29" s="472"/>
      <c r="S29" s="472"/>
      <c r="T29" s="472"/>
      <c r="U29" s="536"/>
      <c r="V29" s="536"/>
      <c r="W29" s="536"/>
      <c r="X29" s="536"/>
      <c r="Y29" s="1301"/>
      <c r="Z29" s="1301"/>
      <c r="AA29" s="536"/>
    </row>
    <row r="30" spans="1:33">
      <c r="A30" s="481" t="s">
        <v>541</v>
      </c>
      <c r="B30" s="455">
        <f>B55*D$9</f>
        <v>0</v>
      </c>
      <c r="C30" s="455">
        <f>C55*D$9</f>
        <v>0</v>
      </c>
      <c r="D30" s="455">
        <f>D55*D$9</f>
        <v>0</v>
      </c>
      <c r="E30" s="46"/>
      <c r="F30" s="481" t="s">
        <v>541</v>
      </c>
      <c r="G30" s="455">
        <f t="shared" ref="G30:I34" si="9">K30+K55+K78+K101+K123</f>
        <v>0</v>
      </c>
      <c r="H30" s="455">
        <f t="shared" si="9"/>
        <v>0</v>
      </c>
      <c r="I30" s="455">
        <f t="shared" si="9"/>
        <v>0</v>
      </c>
      <c r="J30" s="192"/>
      <c r="K30" s="455">
        <f>O30*(V30+S30+T30)</f>
        <v>0</v>
      </c>
      <c r="L30" s="482">
        <f>O30*(T30+V30+X30)</f>
        <v>0</v>
      </c>
      <c r="M30" s="455">
        <f t="shared" ref="M30:M34" si="10">O30*(X30+Z30+V30+AA30)</f>
        <v>0</v>
      </c>
      <c r="O30" s="524">
        <f>O28</f>
        <v>1.2</v>
      </c>
      <c r="Q30" s="481" t="s">
        <v>541</v>
      </c>
      <c r="R30" s="472"/>
      <c r="S30" s="472"/>
      <c r="T30" s="472"/>
      <c r="U30" s="536"/>
      <c r="V30" s="536"/>
      <c r="W30" s="536"/>
      <c r="X30" s="536"/>
      <c r="Y30" s="1301"/>
      <c r="Z30" s="1301"/>
      <c r="AA30" s="536"/>
    </row>
    <row r="31" spans="1:33">
      <c r="A31" s="481" t="s">
        <v>563</v>
      </c>
      <c r="B31" s="455">
        <f>B56*D$9</f>
        <v>0</v>
      </c>
      <c r="C31" s="455">
        <f>C56*D$9</f>
        <v>0</v>
      </c>
      <c r="D31" s="455">
        <f>D56*D$9</f>
        <v>0</v>
      </c>
      <c r="E31" s="46"/>
      <c r="F31" s="481" t="s">
        <v>563</v>
      </c>
      <c r="G31" s="455">
        <f t="shared" si="9"/>
        <v>0</v>
      </c>
      <c r="H31" s="455">
        <f t="shared" si="9"/>
        <v>0</v>
      </c>
      <c r="I31" s="455">
        <f t="shared" si="9"/>
        <v>0</v>
      </c>
      <c r="J31" s="192"/>
      <c r="K31" s="455">
        <f>O31*(V31+S31+T31)</f>
        <v>0</v>
      </c>
      <c r="L31" s="482">
        <f>O31*(T31+V31+X31)</f>
        <v>0</v>
      </c>
      <c r="M31" s="455">
        <f t="shared" si="10"/>
        <v>0</v>
      </c>
      <c r="O31" s="524">
        <f>O30</f>
        <v>1.2</v>
      </c>
      <c r="Q31" s="481" t="s">
        <v>563</v>
      </c>
      <c r="R31" s="536"/>
      <c r="S31" s="536"/>
      <c r="T31" s="536"/>
      <c r="U31" s="528"/>
      <c r="V31" s="528"/>
      <c r="W31" s="528"/>
      <c r="X31" s="528"/>
      <c r="Y31" s="1302"/>
      <c r="Z31" s="1302"/>
      <c r="AA31" s="528"/>
    </row>
    <row r="32" spans="1:33">
      <c r="A32" s="483" t="s">
        <v>543</v>
      </c>
      <c r="B32" s="455">
        <f>B57*D$9</f>
        <v>0</v>
      </c>
      <c r="C32" s="455">
        <f>C57*D$9</f>
        <v>2446.9015421572512</v>
      </c>
      <c r="D32" s="455">
        <f>D57*D$9</f>
        <v>2218.937347152998</v>
      </c>
      <c r="E32" s="46"/>
      <c r="F32" s="483" t="s">
        <v>543</v>
      </c>
      <c r="G32" s="455">
        <f t="shared" si="9"/>
        <v>0</v>
      </c>
      <c r="H32" s="455">
        <f t="shared" si="9"/>
        <v>2.4</v>
      </c>
      <c r="I32" s="455">
        <f t="shared" si="9"/>
        <v>2.4</v>
      </c>
      <c r="J32" s="192"/>
      <c r="K32" s="455">
        <f>O32*(V32+S32+T32)</f>
        <v>0</v>
      </c>
      <c r="L32" s="482">
        <f>O32*(T32+V32+X32)</f>
        <v>2.4</v>
      </c>
      <c r="M32" s="455">
        <f t="shared" si="10"/>
        <v>2.4</v>
      </c>
      <c r="O32" s="524">
        <f t="shared" ref="O32:O34" si="11">O31</f>
        <v>1.2</v>
      </c>
      <c r="Q32" s="483" t="s">
        <v>543</v>
      </c>
      <c r="R32" s="464"/>
      <c r="S32" s="464"/>
      <c r="T32" s="464"/>
      <c r="U32" s="599"/>
      <c r="V32" s="599"/>
      <c r="W32" s="599"/>
      <c r="X32" s="599">
        <v>2</v>
      </c>
      <c r="Y32" s="1303">
        <v>1.4109514047146186</v>
      </c>
      <c r="Z32" s="1303"/>
      <c r="AA32" s="1039">
        <f>3*'What If Data'!Q40</f>
        <v>0</v>
      </c>
    </row>
    <row r="33" spans="1:33">
      <c r="A33" s="481" t="s">
        <v>562</v>
      </c>
      <c r="B33" s="455">
        <f>B58*D$9</f>
        <v>0</v>
      </c>
      <c r="C33" s="455">
        <f>C58*D$9</f>
        <v>0</v>
      </c>
      <c r="D33" s="455">
        <f>D58*D$9</f>
        <v>0</v>
      </c>
      <c r="E33" s="46"/>
      <c r="F33" s="481" t="s">
        <v>562</v>
      </c>
      <c r="G33" s="455">
        <f t="shared" si="9"/>
        <v>0</v>
      </c>
      <c r="H33" s="455">
        <f t="shared" si="9"/>
        <v>0</v>
      </c>
      <c r="I33" s="455">
        <f t="shared" si="9"/>
        <v>0</v>
      </c>
      <c r="J33" s="192"/>
      <c r="K33" s="455">
        <f>O33*(V33+S33+T33)</f>
        <v>0</v>
      </c>
      <c r="L33" s="482">
        <f>O33*(T33+V33+X33)</f>
        <v>0</v>
      </c>
      <c r="M33" s="455">
        <f t="shared" si="10"/>
        <v>0</v>
      </c>
      <c r="O33" s="524">
        <f t="shared" si="11"/>
        <v>1.2</v>
      </c>
      <c r="Q33" s="481" t="s">
        <v>562</v>
      </c>
      <c r="R33" s="536"/>
      <c r="S33" s="536"/>
      <c r="T33" s="536"/>
      <c r="U33" s="528"/>
      <c r="V33" s="528"/>
      <c r="W33" s="528"/>
      <c r="X33" s="1270"/>
      <c r="Y33" s="1270"/>
      <c r="Z33" s="1270"/>
      <c r="AA33" s="528"/>
    </row>
    <row r="34" spans="1:33">
      <c r="A34" s="487" t="s">
        <v>545</v>
      </c>
      <c r="B34" s="455">
        <f>B59*D$9</f>
        <v>0</v>
      </c>
      <c r="C34" s="455">
        <f>C59*D$9</f>
        <v>0</v>
      </c>
      <c r="D34" s="455">
        <f>D59*D$9</f>
        <v>0</v>
      </c>
      <c r="E34" s="46"/>
      <c r="F34" s="487" t="s">
        <v>545</v>
      </c>
      <c r="G34" s="455">
        <f t="shared" si="9"/>
        <v>0</v>
      </c>
      <c r="H34" s="455">
        <f t="shared" si="9"/>
        <v>0</v>
      </c>
      <c r="I34" s="455">
        <f t="shared" si="9"/>
        <v>0</v>
      </c>
      <c r="J34" s="192"/>
      <c r="K34" s="455">
        <f>O34*(V34+S34+T34)</f>
        <v>0</v>
      </c>
      <c r="L34" s="482">
        <f>O34*(T34+V34+X34)</f>
        <v>0</v>
      </c>
      <c r="M34" s="455">
        <f t="shared" si="10"/>
        <v>0</v>
      </c>
      <c r="O34" s="524">
        <f t="shared" si="11"/>
        <v>1.2</v>
      </c>
      <c r="Q34" s="487" t="s">
        <v>545</v>
      </c>
      <c r="R34" s="472"/>
      <c r="S34" s="472"/>
      <c r="T34" s="472"/>
      <c r="U34" s="528"/>
      <c r="V34" s="528"/>
      <c r="W34" s="528"/>
      <c r="X34" s="1270"/>
      <c r="Y34" s="1270"/>
      <c r="Z34" s="1270"/>
      <c r="AA34" s="528"/>
    </row>
    <row r="35" spans="1:33">
      <c r="A35" s="488"/>
      <c r="B35" s="467">
        <f>SUM(B17:B34)</f>
        <v>6500173.5558945527</v>
      </c>
      <c r="C35" s="467">
        <f>SUM(C17:C34)</f>
        <v>6500173.5558945518</v>
      </c>
      <c r="D35" s="467">
        <f>SUM(D17:D34)</f>
        <v>6500173.5558945518</v>
      </c>
      <c r="E35" s="338"/>
      <c r="F35" s="488"/>
      <c r="G35" s="467">
        <f>SUM(G17:G34)</f>
        <v>5787.28</v>
      </c>
      <c r="H35" s="467">
        <f>SUM(H17:H34)</f>
        <v>6375.579999999999</v>
      </c>
      <c r="I35" s="467">
        <f>SUM(I17:I34)</f>
        <v>7030.58</v>
      </c>
      <c r="J35" s="192"/>
      <c r="K35" s="467">
        <f>SUM(K17:K34)</f>
        <v>1926.4799999999998</v>
      </c>
      <c r="L35" s="467">
        <f>SUM(L17:L34)</f>
        <v>2318.88</v>
      </c>
      <c r="M35" s="467">
        <f>SUM(M17:M34)</f>
        <v>2684.88</v>
      </c>
      <c r="Q35" s="466"/>
      <c r="R35" s="573">
        <f t="shared" ref="R35:Z35" si="12">SUM(R17:R34)</f>
        <v>301</v>
      </c>
      <c r="S35" s="573">
        <f t="shared" si="12"/>
        <v>444</v>
      </c>
      <c r="T35" s="573">
        <f t="shared" si="12"/>
        <v>537</v>
      </c>
      <c r="U35" s="573">
        <f t="shared" si="12"/>
        <v>629.66666666666663</v>
      </c>
      <c r="V35" s="573">
        <f t="shared" si="12"/>
        <v>624.4</v>
      </c>
      <c r="W35" s="573">
        <f t="shared" si="12"/>
        <v>706.19999999999993</v>
      </c>
      <c r="X35" s="1272">
        <f t="shared" si="12"/>
        <v>771</v>
      </c>
      <c r="Y35" s="1272">
        <f t="shared" si="12"/>
        <v>736.80435364696689</v>
      </c>
      <c r="Z35" s="1272">
        <f t="shared" si="12"/>
        <v>842</v>
      </c>
      <c r="AA35" s="972"/>
    </row>
    <row r="36" spans="1:33">
      <c r="E36" s="46"/>
    </row>
    <row r="37" spans="1:33">
      <c r="E37" s="46"/>
      <c r="L37" s="46"/>
      <c r="M37" s="46"/>
    </row>
    <row r="38" spans="1:33">
      <c r="E38" s="46"/>
      <c r="L38" s="46"/>
      <c r="M38" s="46"/>
      <c r="Q38" s="454"/>
      <c r="R38" s="454"/>
      <c r="S38" s="454"/>
      <c r="T38" s="454"/>
      <c r="U38" s="455"/>
      <c r="V38" s="455"/>
      <c r="W38" s="455"/>
      <c r="X38" s="455"/>
      <c r="Y38" s="455"/>
      <c r="Z38" s="455"/>
      <c r="AA38" s="455"/>
    </row>
    <row r="39" spans="1:33">
      <c r="L39" s="46"/>
      <c r="M39" s="46"/>
    </row>
    <row r="40" spans="1:33">
      <c r="A40" s="478" t="s">
        <v>652</v>
      </c>
      <c r="B40" s="217"/>
      <c r="C40" s="217"/>
      <c r="D40" s="217"/>
      <c r="K40" s="478" t="s">
        <v>853</v>
      </c>
      <c r="L40" s="478"/>
      <c r="M40" s="478"/>
      <c r="Q40" s="569" t="s">
        <v>612</v>
      </c>
      <c r="R40" s="217"/>
      <c r="S40" s="217"/>
      <c r="T40" s="217"/>
      <c r="U40" s="217"/>
      <c r="V40" s="217"/>
      <c r="W40" s="217"/>
      <c r="X40" s="217"/>
      <c r="Y40" s="217"/>
      <c r="Z40" s="217"/>
      <c r="AA40" s="217"/>
    </row>
    <row r="41" spans="1:33" ht="25.5">
      <c r="A41" s="479"/>
      <c r="B41" s="480" t="s">
        <v>845</v>
      </c>
      <c r="C41" s="480" t="s">
        <v>941</v>
      </c>
      <c r="D41" s="480" t="s">
        <v>1317</v>
      </c>
      <c r="K41" s="480" t="s">
        <v>849</v>
      </c>
      <c r="L41" s="480" t="s">
        <v>943</v>
      </c>
      <c r="M41" s="480" t="s">
        <v>1399</v>
      </c>
      <c r="Q41" s="570"/>
      <c r="R41" s="571" t="s">
        <v>532</v>
      </c>
      <c r="S41" s="571" t="s">
        <v>533</v>
      </c>
      <c r="T41" s="572" t="s">
        <v>534</v>
      </c>
      <c r="U41" s="571" t="s">
        <v>555</v>
      </c>
      <c r="V41" s="571" t="s">
        <v>874</v>
      </c>
      <c r="W41" s="571" t="s">
        <v>883</v>
      </c>
      <c r="X41" s="571" t="s">
        <v>1034</v>
      </c>
      <c r="Y41" s="1067" t="s">
        <v>1313</v>
      </c>
      <c r="Z41" s="1067" t="s">
        <v>1748</v>
      </c>
      <c r="AA41" s="1067"/>
      <c r="AC41" s="570"/>
      <c r="AD41" s="1067" t="s">
        <v>1046</v>
      </c>
      <c r="AE41" s="1067" t="s">
        <v>1047</v>
      </c>
      <c r="AF41" s="1067" t="s">
        <v>1048</v>
      </c>
    </row>
    <row r="42" spans="1:33">
      <c r="A42" s="481" t="s">
        <v>538</v>
      </c>
      <c r="B42" s="543">
        <f>G17/G$35</f>
        <v>8.3493454610801626E-2</v>
      </c>
      <c r="C42" s="543">
        <f>H17/H$35</f>
        <v>7.9820188908303252E-2</v>
      </c>
      <c r="D42" s="543">
        <f>I17/I$35</f>
        <v>6.9339940659234378E-2</v>
      </c>
      <c r="I42" s="475"/>
      <c r="K42" s="455">
        <f>O42*(V42+S42+T42)</f>
        <v>186.2</v>
      </c>
      <c r="L42" s="482">
        <f>O42*(T42+V42+X42)</f>
        <v>196</v>
      </c>
      <c r="M42" s="455">
        <f>O42*(X42+Z42+V42+AA42)</f>
        <v>176.39999999999998</v>
      </c>
      <c r="O42" s="524">
        <f>J5</f>
        <v>1.4</v>
      </c>
      <c r="Q42" s="481" t="s">
        <v>538</v>
      </c>
      <c r="R42" s="536">
        <v>36</v>
      </c>
      <c r="S42" s="536">
        <v>43</v>
      </c>
      <c r="T42" s="536">
        <v>53</v>
      </c>
      <c r="U42" s="1032">
        <v>44</v>
      </c>
      <c r="V42" s="517">
        <v>37</v>
      </c>
      <c r="W42" s="1032">
        <v>44.333333333333336</v>
      </c>
      <c r="X42" s="517">
        <v>50</v>
      </c>
      <c r="Y42" s="1301">
        <v>43.840529554129787</v>
      </c>
      <c r="Z42" s="1655">
        <v>39</v>
      </c>
      <c r="AA42" s="1032">
        <f>3*'What If Data'!R25</f>
        <v>0</v>
      </c>
      <c r="AC42" s="481" t="s">
        <v>538</v>
      </c>
      <c r="AD42" s="1171">
        <f>D17*(M17/I17)/(M17/O17/3)</f>
        <v>3328.4060207294974</v>
      </c>
      <c r="AE42" s="1171">
        <f>D17*M42/I17/(M42/O42/3)</f>
        <v>3883.1403575177469</v>
      </c>
      <c r="AF42" s="1171">
        <f>D17*M65/I17/(M65/O65/3)</f>
        <v>832.10150518237435</v>
      </c>
      <c r="AG42">
        <f>SUM(AD42:AF42)</f>
        <v>8043.6478834296186</v>
      </c>
    </row>
    <row r="43" spans="1:33">
      <c r="A43" s="481" t="s">
        <v>6</v>
      </c>
      <c r="B43" s="543">
        <f t="shared" ref="B43:B53" si="13">G18/G$35</f>
        <v>0.17084018744557028</v>
      </c>
      <c r="C43" s="543">
        <f t="shared" ref="C43:D53" si="14">H18/H$35</f>
        <v>0.16211858372101048</v>
      </c>
      <c r="D43" s="543">
        <f t="shared" si="14"/>
        <v>0.16772442671870597</v>
      </c>
      <c r="K43" s="455">
        <f t="shared" ref="K43:K53" si="15">O43*(V43+S43+T43)</f>
        <v>244.99999999999997</v>
      </c>
      <c r="L43" s="482">
        <f t="shared" ref="L43:L53" si="16">O43*(T43+V43+X43)</f>
        <v>233.79999999999998</v>
      </c>
      <c r="M43" s="455">
        <f t="shared" ref="M43:M53" si="17">O43*(X43+Z43+V43+AA43)</f>
        <v>303.79999999999995</v>
      </c>
      <c r="O43" s="524">
        <f>O42</f>
        <v>1.4</v>
      </c>
      <c r="Q43" s="481" t="s">
        <v>6</v>
      </c>
      <c r="R43" s="536">
        <v>69</v>
      </c>
      <c r="S43" s="536">
        <v>68</v>
      </c>
      <c r="T43" s="536">
        <v>45</v>
      </c>
      <c r="U43" s="1032">
        <v>60.666666666666664</v>
      </c>
      <c r="V43" s="517">
        <v>62</v>
      </c>
      <c r="W43" s="1032">
        <v>58.333333333333336</v>
      </c>
      <c r="X43" s="517">
        <v>60</v>
      </c>
      <c r="Y43" s="1301">
        <v>63.490517365285832</v>
      </c>
      <c r="Z43" s="1655">
        <v>95</v>
      </c>
      <c r="AA43" s="1032">
        <f>3*'What If Data'!R26</f>
        <v>0</v>
      </c>
      <c r="AC43" s="481" t="s">
        <v>6</v>
      </c>
      <c r="AD43" s="1171">
        <f t="shared" ref="AD43:AD53" si="18">D18*(M18/I18)/(M18/O18/3)</f>
        <v>3328.4060207294965</v>
      </c>
      <c r="AE43" s="1171">
        <f t="shared" ref="AE43:AE53" si="19">D18*M43/I18/(M43/O43/3)</f>
        <v>3883.1403575177465</v>
      </c>
      <c r="AF43" s="1171">
        <f t="shared" ref="AF43:AF53" si="20">D18*M66/I18/(M66/O66/3)</f>
        <v>832.10150518237424</v>
      </c>
    </row>
    <row r="44" spans="1:33">
      <c r="A44" s="481" t="s">
        <v>8</v>
      </c>
      <c r="B44" s="543">
        <f t="shared" si="13"/>
        <v>1.6830013408717051E-2</v>
      </c>
      <c r="C44" s="543">
        <f t="shared" si="14"/>
        <v>1.5794641428701389E-2</v>
      </c>
      <c r="D44" s="543">
        <f t="shared" si="14"/>
        <v>1.5176557268390373E-2</v>
      </c>
      <c r="K44" s="455">
        <f t="shared" si="15"/>
        <v>60.199999999999996</v>
      </c>
      <c r="L44" s="482">
        <f t="shared" si="16"/>
        <v>64.399999999999991</v>
      </c>
      <c r="M44" s="455">
        <f t="shared" si="17"/>
        <v>68.599999999999994</v>
      </c>
      <c r="O44" s="524">
        <f t="shared" ref="O44:O53" si="21">O43</f>
        <v>1.4</v>
      </c>
      <c r="Q44" s="481" t="s">
        <v>8</v>
      </c>
      <c r="R44" s="525">
        <v>13</v>
      </c>
      <c r="S44" s="525">
        <v>15</v>
      </c>
      <c r="T44" s="525">
        <v>15</v>
      </c>
      <c r="U44" s="1036">
        <v>14.333333333333334</v>
      </c>
      <c r="V44" s="528">
        <v>13</v>
      </c>
      <c r="W44" s="1036">
        <v>14.333333333333334</v>
      </c>
      <c r="X44" s="528">
        <v>18</v>
      </c>
      <c r="Y44" s="1301">
        <v>16.393272353380279</v>
      </c>
      <c r="Z44" s="1656">
        <v>18</v>
      </c>
      <c r="AA44" s="1032">
        <f>3*'What If Data'!R27</f>
        <v>0</v>
      </c>
      <c r="AC44" s="481" t="s">
        <v>8</v>
      </c>
      <c r="AD44" s="1171">
        <f t="shared" si="18"/>
        <v>3328.4060207294965</v>
      </c>
      <c r="AE44" s="1171">
        <f t="shared" si="19"/>
        <v>3883.1403575177465</v>
      </c>
      <c r="AF44" s="1171">
        <f t="shared" si="20"/>
        <v>832.10150518237424</v>
      </c>
    </row>
    <row r="45" spans="1:33">
      <c r="A45" s="483" t="s">
        <v>2</v>
      </c>
      <c r="B45" s="543">
        <f t="shared" si="13"/>
        <v>2.5331416485810259E-2</v>
      </c>
      <c r="C45" s="543">
        <f t="shared" si="14"/>
        <v>2.3574325786830379E-2</v>
      </c>
      <c r="D45" s="543">
        <f t="shared" si="14"/>
        <v>2.34973501474985E-2</v>
      </c>
      <c r="K45" s="455">
        <f t="shared" si="15"/>
        <v>47.599999999999994</v>
      </c>
      <c r="L45" s="482">
        <f t="shared" si="16"/>
        <v>46.199999999999996</v>
      </c>
      <c r="M45" s="455">
        <f t="shared" si="17"/>
        <v>47.599999999999994</v>
      </c>
      <c r="O45" s="524">
        <f t="shared" si="21"/>
        <v>1.4</v>
      </c>
      <c r="Q45" s="483" t="s">
        <v>2</v>
      </c>
      <c r="R45" s="463">
        <v>8</v>
      </c>
      <c r="S45" s="463">
        <v>13</v>
      </c>
      <c r="T45" s="463">
        <v>9</v>
      </c>
      <c r="U45" s="1040">
        <v>10</v>
      </c>
      <c r="V45" s="599">
        <v>12</v>
      </c>
      <c r="W45" s="1040">
        <v>11.333333333333334</v>
      </c>
      <c r="X45" s="599">
        <v>12</v>
      </c>
      <c r="Y45" s="1301">
        <v>12.550398668502355</v>
      </c>
      <c r="Z45" s="1657">
        <v>10</v>
      </c>
      <c r="AA45" s="1032">
        <f>3*'What If Data'!R28</f>
        <v>0</v>
      </c>
      <c r="AC45" s="483" t="s">
        <v>2</v>
      </c>
      <c r="AD45" s="1171">
        <f t="shared" si="18"/>
        <v>3328.4060207294979</v>
      </c>
      <c r="AE45" s="1171">
        <f t="shared" si="19"/>
        <v>3883.140357517746</v>
      </c>
      <c r="AF45" s="1171">
        <f t="shared" si="20"/>
        <v>832.10150518237424</v>
      </c>
    </row>
    <row r="46" spans="1:33">
      <c r="A46" s="481" t="s">
        <v>10</v>
      </c>
      <c r="B46" s="543">
        <f t="shared" si="13"/>
        <v>1.1110573533680761E-2</v>
      </c>
      <c r="C46" s="543">
        <f t="shared" si="14"/>
        <v>9.7089206001650056E-3</v>
      </c>
      <c r="D46" s="543">
        <f t="shared" si="14"/>
        <v>8.6052644305306247E-3</v>
      </c>
      <c r="K46" s="455">
        <f t="shared" si="15"/>
        <v>19.599999999999998</v>
      </c>
      <c r="L46" s="482">
        <f t="shared" si="16"/>
        <v>19.599999999999998</v>
      </c>
      <c r="M46" s="455">
        <f t="shared" si="17"/>
        <v>22.4</v>
      </c>
      <c r="O46" s="524">
        <f t="shared" si="21"/>
        <v>1.4</v>
      </c>
      <c r="Q46" s="481" t="s">
        <v>10</v>
      </c>
      <c r="R46" s="536">
        <v>5</v>
      </c>
      <c r="S46" s="536">
        <v>7</v>
      </c>
      <c r="T46" s="536">
        <v>5</v>
      </c>
      <c r="U46" s="1036">
        <v>5.666666666666667</v>
      </c>
      <c r="V46" s="528">
        <v>2</v>
      </c>
      <c r="W46" s="1036">
        <v>4.666666666666667</v>
      </c>
      <c r="X46" s="528">
        <v>7</v>
      </c>
      <c r="Y46" s="1301">
        <v>7.8918141779368609</v>
      </c>
      <c r="Z46" s="1656">
        <v>7</v>
      </c>
      <c r="AA46" s="1032">
        <f>3*'What If Data'!R29</f>
        <v>0</v>
      </c>
      <c r="AC46" s="481" t="s">
        <v>10</v>
      </c>
      <c r="AD46" s="1171">
        <f t="shared" si="18"/>
        <v>3328.406020729497</v>
      </c>
      <c r="AE46" s="1171">
        <f t="shared" si="19"/>
        <v>3883.140357517746</v>
      </c>
      <c r="AF46" s="1171">
        <f t="shared" si="20"/>
        <v>832.10150518237424</v>
      </c>
    </row>
    <row r="47" spans="1:33">
      <c r="A47" s="481" t="s">
        <v>4</v>
      </c>
      <c r="B47" s="543">
        <f t="shared" si="13"/>
        <v>9.3014334886164132E-2</v>
      </c>
      <c r="C47" s="543">
        <f t="shared" si="14"/>
        <v>9.1677933615451471E-2</v>
      </c>
      <c r="D47" s="543">
        <f t="shared" si="14"/>
        <v>9.2751949341306109E-2</v>
      </c>
      <c r="K47" s="455">
        <f t="shared" si="15"/>
        <v>179.2</v>
      </c>
      <c r="L47" s="482">
        <f t="shared" si="16"/>
        <v>208.6</v>
      </c>
      <c r="M47" s="455">
        <f t="shared" si="17"/>
        <v>253.39999999999998</v>
      </c>
      <c r="O47" s="524">
        <f t="shared" si="21"/>
        <v>1.4</v>
      </c>
      <c r="Q47" s="481" t="s">
        <v>4</v>
      </c>
      <c r="R47" s="536">
        <v>41</v>
      </c>
      <c r="S47" s="536">
        <v>29</v>
      </c>
      <c r="T47" s="536">
        <v>45</v>
      </c>
      <c r="U47" s="1032">
        <v>42.333333333333336</v>
      </c>
      <c r="V47" s="517">
        <v>54</v>
      </c>
      <c r="W47" s="1032">
        <v>67.666666666666671</v>
      </c>
      <c r="X47" s="517">
        <v>50</v>
      </c>
      <c r="Y47" s="1301">
        <v>52.665850904621763</v>
      </c>
      <c r="Z47" s="1655">
        <v>77</v>
      </c>
      <c r="AA47" s="1032">
        <f>3*'What If Data'!R30</f>
        <v>0</v>
      </c>
      <c r="AC47" s="481" t="s">
        <v>4</v>
      </c>
      <c r="AD47" s="1171">
        <f t="shared" si="18"/>
        <v>3328.4060207294974</v>
      </c>
      <c r="AE47" s="1171">
        <f t="shared" si="19"/>
        <v>3883.1403575177455</v>
      </c>
      <c r="AF47" s="1171">
        <f t="shared" si="20"/>
        <v>832.10150518237413</v>
      </c>
    </row>
    <row r="48" spans="1:33">
      <c r="A48" s="481" t="s">
        <v>14</v>
      </c>
      <c r="B48" s="543">
        <f t="shared" si="13"/>
        <v>9.5899973735502683E-3</v>
      </c>
      <c r="C48" s="543">
        <f t="shared" si="14"/>
        <v>9.5207024302102709E-3</v>
      </c>
      <c r="D48" s="543">
        <f t="shared" si="14"/>
        <v>1.0141410808212124E-2</v>
      </c>
      <c r="K48" s="455">
        <f t="shared" si="15"/>
        <v>21</v>
      </c>
      <c r="L48" s="482">
        <f t="shared" si="16"/>
        <v>23.799999999999997</v>
      </c>
      <c r="M48" s="455">
        <f t="shared" si="17"/>
        <v>22.4</v>
      </c>
      <c r="O48" s="524">
        <f>O47</f>
        <v>1.4</v>
      </c>
      <c r="Q48" s="481" t="s">
        <v>14</v>
      </c>
      <c r="R48" s="472">
        <v>3</v>
      </c>
      <c r="S48" s="472">
        <v>3</v>
      </c>
      <c r="T48" s="472">
        <v>5</v>
      </c>
      <c r="U48" s="1036">
        <v>3.6666666666666665</v>
      </c>
      <c r="V48" s="528">
        <v>7</v>
      </c>
      <c r="W48" s="1036">
        <v>5</v>
      </c>
      <c r="X48" s="528">
        <f>W48</f>
        <v>5</v>
      </c>
      <c r="Y48" s="1301">
        <v>6.3344117113642104</v>
      </c>
      <c r="Z48" s="1656">
        <v>4</v>
      </c>
      <c r="AA48" s="1032">
        <f>3*'What If Data'!R31</f>
        <v>0</v>
      </c>
      <c r="AC48" s="481" t="s">
        <v>14</v>
      </c>
      <c r="AD48" s="1171">
        <f t="shared" si="18"/>
        <v>3328.406020729496</v>
      </c>
      <c r="AE48" s="1171">
        <f t="shared" si="19"/>
        <v>3883.140357517746</v>
      </c>
      <c r="AF48" s="1171">
        <f t="shared" si="20"/>
        <v>832.10150518237424</v>
      </c>
    </row>
    <row r="49" spans="1:32">
      <c r="A49" s="483" t="s">
        <v>17</v>
      </c>
      <c r="B49" s="543">
        <f t="shared" si="13"/>
        <v>0.17966644088414593</v>
      </c>
      <c r="C49" s="543">
        <f t="shared" si="14"/>
        <v>0.17334579755881038</v>
      </c>
      <c r="D49" s="543">
        <f t="shared" si="14"/>
        <v>0.16780692346861853</v>
      </c>
      <c r="K49" s="455">
        <f t="shared" si="15"/>
        <v>489.99999999999994</v>
      </c>
      <c r="L49" s="482">
        <f t="shared" si="16"/>
        <v>506.79999999999995</v>
      </c>
      <c r="M49" s="455">
        <f t="shared" si="17"/>
        <v>546</v>
      </c>
      <c r="O49" s="524">
        <f t="shared" si="21"/>
        <v>1.4</v>
      </c>
      <c r="Q49" s="483" t="s">
        <v>17</v>
      </c>
      <c r="R49" s="463">
        <v>94</v>
      </c>
      <c r="S49" s="463">
        <v>119</v>
      </c>
      <c r="T49" s="463">
        <v>111</v>
      </c>
      <c r="U49" s="1066">
        <v>125.00000000000001</v>
      </c>
      <c r="V49" s="595">
        <v>120</v>
      </c>
      <c r="W49" s="1066">
        <v>117.66666666666667</v>
      </c>
      <c r="X49" s="595">
        <v>131</v>
      </c>
      <c r="Y49" s="1301">
        <v>124.71614784443999</v>
      </c>
      <c r="Z49" s="1658">
        <v>139</v>
      </c>
      <c r="AA49" s="1032">
        <f>3*'What If Data'!R32</f>
        <v>0</v>
      </c>
      <c r="AC49" s="483" t="s">
        <v>17</v>
      </c>
      <c r="AD49" s="1171">
        <f t="shared" si="18"/>
        <v>3328.406020729497</v>
      </c>
      <c r="AE49" s="1171">
        <f t="shared" si="19"/>
        <v>3883.1403575177465</v>
      </c>
      <c r="AF49" s="1171">
        <f t="shared" si="20"/>
        <v>832.10150518237424</v>
      </c>
    </row>
    <row r="50" spans="1:32">
      <c r="A50" s="481" t="s">
        <v>324</v>
      </c>
      <c r="B50" s="543">
        <f t="shared" si="13"/>
        <v>5.4948093059261002E-3</v>
      </c>
      <c r="C50" s="543">
        <f t="shared" si="14"/>
        <v>5.2073693687476287E-3</v>
      </c>
      <c r="D50" s="543">
        <f t="shared" si="14"/>
        <v>2.6740325833714993E-3</v>
      </c>
      <c r="K50" s="455">
        <f t="shared" si="15"/>
        <v>12.6</v>
      </c>
      <c r="L50" s="482">
        <f t="shared" si="16"/>
        <v>14</v>
      </c>
      <c r="M50" s="455">
        <f t="shared" si="17"/>
        <v>9.7999999999999989</v>
      </c>
      <c r="O50" s="524">
        <f t="shared" si="21"/>
        <v>1.4</v>
      </c>
      <c r="Q50" s="481" t="s">
        <v>324</v>
      </c>
      <c r="R50" s="472">
        <v>3</v>
      </c>
      <c r="S50" s="472">
        <v>4</v>
      </c>
      <c r="T50" s="472">
        <v>5</v>
      </c>
      <c r="U50" s="1036">
        <v>4</v>
      </c>
      <c r="V50" s="528">
        <v>0</v>
      </c>
      <c r="W50" s="1036">
        <v>3</v>
      </c>
      <c r="X50" s="528">
        <v>5</v>
      </c>
      <c r="Y50" s="1301">
        <v>2.6983294483294489</v>
      </c>
      <c r="Z50" s="1656">
        <v>2</v>
      </c>
      <c r="AA50" s="1032">
        <f>3*'What If Data'!R33</f>
        <v>0</v>
      </c>
      <c r="AC50" s="481" t="s">
        <v>324</v>
      </c>
      <c r="AD50" s="1171">
        <f t="shared" si="18"/>
        <v>3328.4060207294965</v>
      </c>
      <c r="AE50" s="1171">
        <f t="shared" si="19"/>
        <v>3883.140357517746</v>
      </c>
      <c r="AF50" s="1171">
        <f t="shared" si="20"/>
        <v>832.10150518237413</v>
      </c>
    </row>
    <row r="51" spans="1:32">
      <c r="A51" s="481" t="s">
        <v>7</v>
      </c>
      <c r="B51" s="543">
        <f t="shared" si="13"/>
        <v>0.24393151877911559</v>
      </c>
      <c r="C51" s="543">
        <f t="shared" si="14"/>
        <v>0.27205367982207113</v>
      </c>
      <c r="D51" s="543">
        <f t="shared" si="14"/>
        <v>0.29003297025280989</v>
      </c>
      <c r="K51" s="455">
        <f t="shared" si="15"/>
        <v>240.79999999999998</v>
      </c>
      <c r="L51" s="482">
        <f t="shared" si="16"/>
        <v>329</v>
      </c>
      <c r="M51" s="455">
        <f t="shared" si="17"/>
        <v>403.2</v>
      </c>
      <c r="O51" s="524">
        <f t="shared" si="21"/>
        <v>1.4</v>
      </c>
      <c r="Q51" s="481" t="s">
        <v>7</v>
      </c>
      <c r="R51" s="536">
        <v>45</v>
      </c>
      <c r="S51" s="536">
        <v>47</v>
      </c>
      <c r="T51" s="536">
        <v>57</v>
      </c>
      <c r="U51" s="1032">
        <v>61.666666666666664</v>
      </c>
      <c r="V51" s="517">
        <v>68</v>
      </c>
      <c r="W51" s="1032">
        <v>78.333333333333343</v>
      </c>
      <c r="X51" s="517">
        <v>110</v>
      </c>
      <c r="Y51" s="1301">
        <v>99.190866798902235</v>
      </c>
      <c r="Z51" s="1655">
        <v>110</v>
      </c>
      <c r="AA51" s="1032">
        <f>3*'What If Data'!R34</f>
        <v>0</v>
      </c>
      <c r="AC51" s="481" t="s">
        <v>7</v>
      </c>
      <c r="AD51" s="1171">
        <f t="shared" si="18"/>
        <v>3328.406020729497</v>
      </c>
      <c r="AE51" s="1171">
        <f t="shared" si="19"/>
        <v>3883.1403575177465</v>
      </c>
      <c r="AF51" s="1171">
        <f t="shared" si="20"/>
        <v>832.10150518237424</v>
      </c>
    </row>
    <row r="52" spans="1:32">
      <c r="A52" s="481" t="s">
        <v>9</v>
      </c>
      <c r="B52" s="543">
        <f t="shared" si="13"/>
        <v>0.13398349483695277</v>
      </c>
      <c r="C52" s="543">
        <f t="shared" si="14"/>
        <v>0.13432503395769485</v>
      </c>
      <c r="D52" s="543">
        <f t="shared" si="14"/>
        <v>0.13061511283564087</v>
      </c>
      <c r="K52" s="455">
        <f t="shared" si="15"/>
        <v>362.59999999999997</v>
      </c>
      <c r="L52" s="482">
        <f t="shared" si="16"/>
        <v>421.4</v>
      </c>
      <c r="M52" s="455">
        <f>O52*(X52+Z52+V52+AA52)</f>
        <v>487.2</v>
      </c>
      <c r="O52" s="524">
        <f t="shared" si="21"/>
        <v>1.4</v>
      </c>
      <c r="Q52" s="481" t="s">
        <v>9</v>
      </c>
      <c r="R52" s="536">
        <v>73</v>
      </c>
      <c r="S52" s="536">
        <v>83</v>
      </c>
      <c r="T52" s="536">
        <v>76</v>
      </c>
      <c r="U52" s="1032">
        <v>80.333333333333329</v>
      </c>
      <c r="V52" s="517">
        <v>100</v>
      </c>
      <c r="W52" s="1032">
        <v>103.33333333333331</v>
      </c>
      <c r="X52" s="517">
        <v>125</v>
      </c>
      <c r="Y52" s="1301">
        <v>104.51551156732626</v>
      </c>
      <c r="Z52" s="1655">
        <v>123</v>
      </c>
      <c r="AA52" s="1032">
        <f>3*'What If Data'!R35</f>
        <v>0</v>
      </c>
      <c r="AC52" s="481" t="s">
        <v>9</v>
      </c>
      <c r="AD52" s="1171">
        <f t="shared" si="18"/>
        <v>3328.4060207294974</v>
      </c>
      <c r="AE52" s="1171">
        <f t="shared" si="19"/>
        <v>3883.1403575177469</v>
      </c>
      <c r="AF52" s="1171">
        <f t="shared" si="20"/>
        <v>832.10150518237413</v>
      </c>
    </row>
    <row r="53" spans="1:32">
      <c r="A53" s="483" t="s">
        <v>5</v>
      </c>
      <c r="B53" s="543">
        <f t="shared" si="13"/>
        <v>2.6713758449565254E-2</v>
      </c>
      <c r="C53" s="543">
        <f t="shared" si="14"/>
        <v>2.2476386462094433E-2</v>
      </c>
      <c r="D53" s="543">
        <f t="shared" si="14"/>
        <v>2.1292695623974123E-2</v>
      </c>
      <c r="K53" s="455">
        <f t="shared" si="15"/>
        <v>57.4</v>
      </c>
      <c r="L53" s="482">
        <f t="shared" si="16"/>
        <v>43.4</v>
      </c>
      <c r="M53" s="455">
        <f t="shared" si="17"/>
        <v>46.199999999999996</v>
      </c>
      <c r="O53" s="524">
        <f t="shared" si="21"/>
        <v>1.4</v>
      </c>
      <c r="Q53" s="483" t="s">
        <v>5</v>
      </c>
      <c r="R53" s="463">
        <v>16</v>
      </c>
      <c r="S53" s="463">
        <v>17</v>
      </c>
      <c r="T53" s="463">
        <v>8</v>
      </c>
      <c r="U53" s="1019">
        <v>13.666666666666666</v>
      </c>
      <c r="V53" s="463">
        <v>16</v>
      </c>
      <c r="W53" s="1019">
        <v>13.666666666666666</v>
      </c>
      <c r="X53" s="463">
        <v>7</v>
      </c>
      <c r="Y53" s="1301">
        <v>11.756996428662273</v>
      </c>
      <c r="Z53" s="1650">
        <v>10</v>
      </c>
      <c r="AA53" s="1032">
        <f>3*'What If Data'!R36</f>
        <v>0</v>
      </c>
      <c r="AC53" s="483" t="s">
        <v>5</v>
      </c>
      <c r="AD53" s="1171">
        <f t="shared" si="18"/>
        <v>3328.406020729497</v>
      </c>
      <c r="AE53" s="1171">
        <f t="shared" si="19"/>
        <v>3883.140357517746</v>
      </c>
      <c r="AF53" s="1171">
        <f t="shared" si="20"/>
        <v>832.10150518237424</v>
      </c>
    </row>
    <row r="54" spans="1:32">
      <c r="A54" s="481"/>
      <c r="B54" s="454"/>
      <c r="C54" s="454"/>
      <c r="D54" s="454"/>
      <c r="K54" s="454"/>
      <c r="L54" s="482"/>
      <c r="M54" s="455">
        <f>O54*(S54+T54+V54)</f>
        <v>0</v>
      </c>
      <c r="Q54" s="481"/>
      <c r="R54" s="472"/>
      <c r="S54" s="472"/>
      <c r="T54" s="472"/>
      <c r="U54" s="536"/>
      <c r="V54" s="536"/>
      <c r="W54" s="536"/>
      <c r="X54" s="1269"/>
      <c r="Y54" s="1269"/>
      <c r="Z54" s="1269"/>
      <c r="AA54" s="536"/>
      <c r="AC54" s="481"/>
    </row>
    <row r="55" spans="1:32">
      <c r="A55" s="481" t="s">
        <v>541</v>
      </c>
      <c r="B55" s="543">
        <f t="shared" ref="B55:D59" si="22">G30/G$35</f>
        <v>0</v>
      </c>
      <c r="C55" s="543">
        <f t="shared" si="22"/>
        <v>0</v>
      </c>
      <c r="D55" s="543">
        <f t="shared" si="22"/>
        <v>0</v>
      </c>
      <c r="K55" s="455">
        <f>O55*(V55+S55+T55)</f>
        <v>0</v>
      </c>
      <c r="L55" s="482">
        <f>O55*(T55+V55+X55)</f>
        <v>0</v>
      </c>
      <c r="M55" s="455">
        <f>O55*(X55+Y55+V55+AA55)</f>
        <v>0</v>
      </c>
      <c r="O55" s="524">
        <f>O53</f>
        <v>1.4</v>
      </c>
      <c r="Q55" s="481" t="s">
        <v>541</v>
      </c>
      <c r="R55" s="472"/>
      <c r="S55" s="472"/>
      <c r="T55" s="472"/>
      <c r="U55" s="536"/>
      <c r="V55" s="536"/>
      <c r="W55" s="536"/>
      <c r="X55" s="1269"/>
      <c r="Y55" s="1269"/>
      <c r="Z55" s="1269"/>
      <c r="AA55" s="536"/>
      <c r="AC55" s="481" t="s">
        <v>541</v>
      </c>
    </row>
    <row r="56" spans="1:32">
      <c r="A56" s="481" t="s">
        <v>563</v>
      </c>
      <c r="B56" s="543">
        <f t="shared" si="22"/>
        <v>0</v>
      </c>
      <c r="C56" s="543">
        <f t="shared" si="22"/>
        <v>0</v>
      </c>
      <c r="D56" s="543">
        <f t="shared" si="22"/>
        <v>0</v>
      </c>
      <c r="K56" s="455">
        <f>O56*(V56+S56+T56)</f>
        <v>0</v>
      </c>
      <c r="L56" s="482">
        <f>O56*(T56+V56+X56)</f>
        <v>0</v>
      </c>
      <c r="M56" s="455">
        <f>O56*(X56+Y56+V56+AA56)</f>
        <v>0</v>
      </c>
      <c r="O56" s="524">
        <f>O55</f>
        <v>1.4</v>
      </c>
      <c r="Q56" s="481" t="s">
        <v>563</v>
      </c>
      <c r="R56" s="536"/>
      <c r="S56" s="536"/>
      <c r="T56" s="536"/>
      <c r="U56" s="528"/>
      <c r="V56" s="528"/>
      <c r="W56" s="528"/>
      <c r="X56" s="1270"/>
      <c r="Y56" s="1270"/>
      <c r="Z56" s="1270"/>
      <c r="AA56" s="528"/>
      <c r="AC56" s="481" t="s">
        <v>563</v>
      </c>
    </row>
    <row r="57" spans="1:32">
      <c r="A57" s="483" t="s">
        <v>543</v>
      </c>
      <c r="B57" s="543">
        <f t="shared" si="22"/>
        <v>0</v>
      </c>
      <c r="C57" s="543">
        <f t="shared" si="22"/>
        <v>3.7643633990946712E-4</v>
      </c>
      <c r="D57" s="543">
        <f t="shared" si="22"/>
        <v>3.4136586170699997E-4</v>
      </c>
      <c r="K57" s="455">
        <f>O57*(V57+S57+T57)</f>
        <v>0</v>
      </c>
      <c r="L57" s="482">
        <f>O57*(T57+V57+X57)</f>
        <v>0</v>
      </c>
      <c r="M57" s="455">
        <f>O57*(X57+Y57+V57+AA57)</f>
        <v>0</v>
      </c>
      <c r="O57" s="524">
        <f t="shared" ref="O57:O59" si="23">O56</f>
        <v>1.4</v>
      </c>
      <c r="Q57" s="483" t="s">
        <v>543</v>
      </c>
      <c r="R57" s="464"/>
      <c r="S57" s="464"/>
      <c r="T57" s="464"/>
      <c r="U57" s="599"/>
      <c r="V57" s="599"/>
      <c r="W57" s="599"/>
      <c r="X57" s="1271"/>
      <c r="Y57" s="1271"/>
      <c r="Z57" s="1271"/>
      <c r="AA57" s="1032">
        <f>3*'What If Data'!R40</f>
        <v>0</v>
      </c>
      <c r="AC57" s="483" t="s">
        <v>543</v>
      </c>
    </row>
    <row r="58" spans="1:32">
      <c r="A58" s="481" t="s">
        <v>562</v>
      </c>
      <c r="B58" s="543">
        <f t="shared" si="22"/>
        <v>0</v>
      </c>
      <c r="C58" s="543">
        <f t="shared" si="22"/>
        <v>0</v>
      </c>
      <c r="D58" s="543">
        <f t="shared" si="22"/>
        <v>0</v>
      </c>
      <c r="K58" s="455">
        <f>O58*(V58+S58+T58)</f>
        <v>0</v>
      </c>
      <c r="L58" s="482">
        <f>O58*(T58+V58+X58)</f>
        <v>0</v>
      </c>
      <c r="M58" s="455">
        <f>O58*(X58+Y58+V58+AA58)</f>
        <v>0</v>
      </c>
      <c r="O58" s="524">
        <f t="shared" si="23"/>
        <v>1.4</v>
      </c>
      <c r="Q58" s="481" t="s">
        <v>562</v>
      </c>
      <c r="R58" s="536"/>
      <c r="S58" s="536"/>
      <c r="T58" s="536"/>
      <c r="U58" s="528"/>
      <c r="V58" s="528"/>
      <c r="W58" s="528"/>
      <c r="X58" s="1270"/>
      <c r="Y58" s="1270"/>
      <c r="Z58" s="1270"/>
      <c r="AA58" s="528"/>
      <c r="AC58" s="481" t="s">
        <v>562</v>
      </c>
    </row>
    <row r="59" spans="1:32">
      <c r="A59" s="487" t="s">
        <v>545</v>
      </c>
      <c r="B59" s="543">
        <f t="shared" si="22"/>
        <v>0</v>
      </c>
      <c r="C59" s="543">
        <f t="shared" si="22"/>
        <v>0</v>
      </c>
      <c r="D59" s="543">
        <f t="shared" si="22"/>
        <v>0</v>
      </c>
      <c r="K59" s="455">
        <f>O59*(V59+S59+T59)</f>
        <v>0</v>
      </c>
      <c r="L59" s="482">
        <f>O59*(T59+V59+X59)</f>
        <v>0</v>
      </c>
      <c r="M59" s="455">
        <f>O59*(X59+Y59+V59+AA59)</f>
        <v>0</v>
      </c>
      <c r="O59" s="524">
        <f t="shared" si="23"/>
        <v>1.4</v>
      </c>
      <c r="Q59" s="487" t="s">
        <v>545</v>
      </c>
      <c r="R59" s="472"/>
      <c r="S59" s="472"/>
      <c r="T59" s="472"/>
      <c r="U59" s="528"/>
      <c r="V59" s="528"/>
      <c r="W59" s="528"/>
      <c r="X59" s="1270"/>
      <c r="Y59" s="1270"/>
      <c r="Z59" s="1270"/>
      <c r="AA59" s="528"/>
      <c r="AC59" s="487" t="s">
        <v>545</v>
      </c>
    </row>
    <row r="60" spans="1:32">
      <c r="A60" s="488"/>
      <c r="B60" s="491">
        <f>SUM(B42:B59)</f>
        <v>0.99999999999999989</v>
      </c>
      <c r="C60" s="491">
        <f>SUM(C42:C59)</f>
        <v>1.0000000000000002</v>
      </c>
      <c r="D60" s="491">
        <f>SUM(D42:D59)</f>
        <v>0.99999999999999989</v>
      </c>
      <c r="K60" s="467">
        <f>SUM(K42:K59)</f>
        <v>1922.1999999999998</v>
      </c>
      <c r="L60" s="467">
        <f>SUM(L42:L59)</f>
        <v>2107</v>
      </c>
      <c r="M60" s="467">
        <f>SUM(M42:M59)</f>
        <v>2386.9999999999995</v>
      </c>
      <c r="Q60" s="466"/>
      <c r="R60" s="573">
        <f t="shared" ref="R60:Z60" si="24">SUM(R42:R59)</f>
        <v>406</v>
      </c>
      <c r="S60" s="573">
        <f t="shared" si="24"/>
        <v>448</v>
      </c>
      <c r="T60" s="573">
        <f t="shared" si="24"/>
        <v>434</v>
      </c>
      <c r="U60" s="573">
        <f t="shared" si="24"/>
        <v>465.33333333333337</v>
      </c>
      <c r="V60" s="573">
        <f t="shared" si="24"/>
        <v>491</v>
      </c>
      <c r="W60" s="573">
        <f t="shared" si="24"/>
        <v>521.66666666666674</v>
      </c>
      <c r="X60" s="1272">
        <f t="shared" si="24"/>
        <v>580</v>
      </c>
      <c r="Y60" s="1272">
        <f t="shared" si="24"/>
        <v>546.0446468228813</v>
      </c>
      <c r="Z60" s="1272">
        <f t="shared" si="24"/>
        <v>634</v>
      </c>
      <c r="AA60" s="972"/>
      <c r="AC60" s="466"/>
    </row>
    <row r="61" spans="1:32">
      <c r="Q61" s="468"/>
      <c r="R61" s="536"/>
      <c r="S61" s="536"/>
      <c r="T61" s="536"/>
      <c r="U61" s="536"/>
      <c r="V61" s="536"/>
      <c r="W61" s="536"/>
      <c r="X61" s="536"/>
      <c r="Y61" s="536"/>
      <c r="Z61" s="536"/>
      <c r="AA61" s="536"/>
    </row>
    <row r="62" spans="1:32">
      <c r="E62" s="46"/>
    </row>
    <row r="63" spans="1:32">
      <c r="K63" s="478" t="s">
        <v>852</v>
      </c>
      <c r="L63" s="478"/>
      <c r="M63" s="478"/>
      <c r="Q63" s="569" t="s">
        <v>613</v>
      </c>
      <c r="R63" s="217"/>
      <c r="S63" s="217"/>
      <c r="T63" s="217"/>
      <c r="U63" s="217"/>
      <c r="V63" s="217"/>
      <c r="W63" s="217"/>
      <c r="X63" s="217"/>
      <c r="Y63" s="217"/>
      <c r="Z63" s="217"/>
      <c r="AA63" s="217"/>
    </row>
    <row r="64" spans="1:32" ht="25.5">
      <c r="K64" s="480" t="s">
        <v>849</v>
      </c>
      <c r="L64" s="480" t="s">
        <v>943</v>
      </c>
      <c r="M64" s="480" t="s">
        <v>1399</v>
      </c>
      <c r="Q64" s="570"/>
      <c r="R64" s="571" t="s">
        <v>532</v>
      </c>
      <c r="S64" s="571" t="s">
        <v>533</v>
      </c>
      <c r="T64" s="572" t="s">
        <v>534</v>
      </c>
      <c r="U64" s="571" t="s">
        <v>555</v>
      </c>
      <c r="V64" s="571" t="s">
        <v>874</v>
      </c>
      <c r="W64" s="571" t="s">
        <v>883</v>
      </c>
      <c r="X64" s="571" t="s">
        <v>1034</v>
      </c>
      <c r="Y64" s="1067" t="s">
        <v>1313</v>
      </c>
      <c r="Z64" s="1067" t="s">
        <v>1748</v>
      </c>
      <c r="AA64" s="1067"/>
    </row>
    <row r="65" spans="11:27">
      <c r="K65" s="455">
        <f>O65*(V65+S65+T65)</f>
        <v>213</v>
      </c>
      <c r="L65" s="482">
        <f>O65*(T65+V65+X65)</f>
        <v>213.29999999999998</v>
      </c>
      <c r="M65" s="455">
        <f>O65*(X65+Z65+V65+AA65)</f>
        <v>211.5</v>
      </c>
      <c r="O65" s="524">
        <f>J4</f>
        <v>0.3</v>
      </c>
      <c r="Q65" s="481" t="s">
        <v>538</v>
      </c>
      <c r="R65" s="536">
        <v>185</v>
      </c>
      <c r="S65" s="536">
        <v>238</v>
      </c>
      <c r="T65" s="536">
        <v>221</v>
      </c>
      <c r="U65" s="1032">
        <v>250.66666666666666</v>
      </c>
      <c r="V65" s="517">
        <v>251</v>
      </c>
      <c r="W65" s="1032">
        <v>249.66666666666666</v>
      </c>
      <c r="X65" s="517">
        <v>239</v>
      </c>
      <c r="Y65" s="1301">
        <v>240.30067176483851</v>
      </c>
      <c r="Z65" s="1655">
        <f>156+57+2</f>
        <v>215</v>
      </c>
      <c r="AA65" s="517">
        <f>3*'What If Data'!P25</f>
        <v>0</v>
      </c>
    </row>
    <row r="66" spans="11:27">
      <c r="K66" s="455">
        <f t="shared" ref="K66:K76" si="25">O66*(V66+S66+T66)</f>
        <v>226.5</v>
      </c>
      <c r="L66" s="482">
        <f t="shared" ref="L66:L76" si="26">O66*(T66+V66+X66)</f>
        <v>204.6</v>
      </c>
      <c r="M66" s="455">
        <f>O66*(X66+Z66+V66+AA66)</f>
        <v>208.2</v>
      </c>
      <c r="O66" s="524">
        <f>O65</f>
        <v>0.3</v>
      </c>
      <c r="Q66" s="481" t="s">
        <v>6</v>
      </c>
      <c r="R66" s="536">
        <v>241</v>
      </c>
      <c r="S66" s="536">
        <v>255</v>
      </c>
      <c r="T66" s="536">
        <v>245</v>
      </c>
      <c r="U66" s="1032">
        <v>251</v>
      </c>
      <c r="V66" s="517">
        <v>255</v>
      </c>
      <c r="W66" s="1032">
        <v>251.66666666666666</v>
      </c>
      <c r="X66" s="517">
        <v>182</v>
      </c>
      <c r="Y66" s="1301">
        <v>229.54749566942141</v>
      </c>
      <c r="Z66" s="1655">
        <f>237+20</f>
        <v>257</v>
      </c>
      <c r="AA66" s="517">
        <f>3*'What If Data'!P26</f>
        <v>0</v>
      </c>
    </row>
    <row r="67" spans="11:27">
      <c r="K67" s="455">
        <f t="shared" si="25"/>
        <v>32.4</v>
      </c>
      <c r="L67" s="482">
        <f t="shared" si="26"/>
        <v>33.9</v>
      </c>
      <c r="M67" s="455">
        <f t="shared" ref="M67:M76" si="27">O67*(X67+Z67+V67+AA67)</f>
        <v>35.699999999999996</v>
      </c>
      <c r="O67" s="524">
        <f t="shared" ref="O67:O76" si="28">O66</f>
        <v>0.3</v>
      </c>
      <c r="Q67" s="481" t="s">
        <v>8</v>
      </c>
      <c r="R67" s="525">
        <v>35</v>
      </c>
      <c r="S67" s="525">
        <v>39</v>
      </c>
      <c r="T67" s="525">
        <v>35</v>
      </c>
      <c r="U67" s="1036">
        <v>36.333333333333336</v>
      </c>
      <c r="V67" s="528">
        <v>34</v>
      </c>
      <c r="W67" s="1036">
        <v>36</v>
      </c>
      <c r="X67" s="528">
        <v>44</v>
      </c>
      <c r="Y67" s="1301">
        <v>39.956100353580652</v>
      </c>
      <c r="Z67" s="1656">
        <f>35+6</f>
        <v>41</v>
      </c>
      <c r="AA67" s="517">
        <f>3*'What If Data'!P27</f>
        <v>0</v>
      </c>
    </row>
    <row r="68" spans="11:27">
      <c r="K68" s="455">
        <f t="shared" si="25"/>
        <v>75</v>
      </c>
      <c r="L68" s="482">
        <f t="shared" si="26"/>
        <v>77.7</v>
      </c>
      <c r="M68" s="455">
        <f t="shared" si="27"/>
        <v>81.599999999999994</v>
      </c>
      <c r="O68" s="524">
        <f t="shared" si="28"/>
        <v>0.3</v>
      </c>
      <c r="Q68" s="483" t="s">
        <v>2</v>
      </c>
      <c r="R68" s="463">
        <v>82</v>
      </c>
      <c r="S68" s="463">
        <v>75</v>
      </c>
      <c r="T68" s="463">
        <v>85</v>
      </c>
      <c r="U68" s="1040">
        <v>80.666666666666671</v>
      </c>
      <c r="V68" s="599">
        <v>90</v>
      </c>
      <c r="W68" s="1040">
        <v>83.333333333333329</v>
      </c>
      <c r="X68" s="599">
        <v>84</v>
      </c>
      <c r="Y68" s="1301">
        <v>90.562289528502305</v>
      </c>
      <c r="Z68" s="1657">
        <f>61+37</f>
        <v>98</v>
      </c>
      <c r="AA68" s="517">
        <f>3*'What If Data'!P28</f>
        <v>0</v>
      </c>
    </row>
    <row r="69" spans="11:27">
      <c r="K69" s="455">
        <f t="shared" si="25"/>
        <v>20.7</v>
      </c>
      <c r="L69" s="482">
        <f t="shared" si="26"/>
        <v>20.7</v>
      </c>
      <c r="M69" s="455">
        <f t="shared" si="27"/>
        <v>21.3</v>
      </c>
      <c r="O69" s="524">
        <f t="shared" si="28"/>
        <v>0.3</v>
      </c>
      <c r="Q69" s="481" t="s">
        <v>10</v>
      </c>
      <c r="R69" s="536">
        <v>15</v>
      </c>
      <c r="S69" s="536">
        <v>19</v>
      </c>
      <c r="T69" s="536">
        <v>22</v>
      </c>
      <c r="U69" s="1036">
        <v>18.666666666666668</v>
      </c>
      <c r="V69" s="528">
        <v>28</v>
      </c>
      <c r="W69" s="1036">
        <v>23</v>
      </c>
      <c r="X69" s="528">
        <v>19</v>
      </c>
      <c r="Y69" s="1301">
        <v>23.043654039228556</v>
      </c>
      <c r="Z69" s="1656">
        <f>24+0</f>
        <v>24</v>
      </c>
      <c r="AA69" s="517">
        <f>3*'What If Data'!P29</f>
        <v>0</v>
      </c>
    </row>
    <row r="70" spans="11:27">
      <c r="K70" s="455">
        <f t="shared" si="25"/>
        <v>218.7</v>
      </c>
      <c r="L70" s="482">
        <f t="shared" si="26"/>
        <v>224.7</v>
      </c>
      <c r="M70" s="455">
        <f t="shared" si="27"/>
        <v>222.29999999999998</v>
      </c>
      <c r="O70" s="524">
        <f t="shared" si="28"/>
        <v>0.3</v>
      </c>
      <c r="Q70" s="481" t="s">
        <v>4</v>
      </c>
      <c r="R70" s="536">
        <v>221</v>
      </c>
      <c r="S70" s="536">
        <v>221</v>
      </c>
      <c r="T70" s="536">
        <v>256</v>
      </c>
      <c r="U70" s="1032">
        <v>267.66666666666663</v>
      </c>
      <c r="V70" s="517">
        <v>252</v>
      </c>
      <c r="W70" s="1032">
        <v>274</v>
      </c>
      <c r="X70" s="517">
        <v>241</v>
      </c>
      <c r="Y70" s="1301">
        <v>252.0503018589126</v>
      </c>
      <c r="Z70" s="1655">
        <f>248+0</f>
        <v>248</v>
      </c>
      <c r="AA70" s="517">
        <f>3*'What If Data'!P30</f>
        <v>0</v>
      </c>
    </row>
    <row r="71" spans="11:27">
      <c r="K71" s="455">
        <f t="shared" si="25"/>
        <v>6.8999999999999995</v>
      </c>
      <c r="L71" s="482">
        <f t="shared" si="26"/>
        <v>9.2999999999999989</v>
      </c>
      <c r="M71" s="455">
        <f t="shared" si="27"/>
        <v>8.1</v>
      </c>
      <c r="O71" s="524">
        <f>O70</f>
        <v>0.3</v>
      </c>
      <c r="Q71" s="481" t="s">
        <v>14</v>
      </c>
      <c r="R71" s="472">
        <v>6</v>
      </c>
      <c r="S71" s="472">
        <v>6</v>
      </c>
      <c r="T71" s="472">
        <v>10</v>
      </c>
      <c r="U71" s="1036">
        <v>7.333333333333333</v>
      </c>
      <c r="V71" s="528">
        <v>7</v>
      </c>
      <c r="W71" s="1036">
        <v>7.666666666666667</v>
      </c>
      <c r="X71" s="528">
        <v>14</v>
      </c>
      <c r="Y71" s="1301">
        <v>11.819459655291864</v>
      </c>
      <c r="Z71" s="1656">
        <f>6+0</f>
        <v>6</v>
      </c>
      <c r="AA71" s="517">
        <f>3*'What If Data'!P31</f>
        <v>0</v>
      </c>
    </row>
    <row r="72" spans="11:27">
      <c r="K72" s="455">
        <f t="shared" si="25"/>
        <v>412.5</v>
      </c>
      <c r="L72" s="482">
        <f t="shared" si="26"/>
        <v>420.3</v>
      </c>
      <c r="M72" s="455">
        <f t="shared" si="27"/>
        <v>418.5</v>
      </c>
      <c r="O72" s="524">
        <f t="shared" si="28"/>
        <v>0.3</v>
      </c>
      <c r="Q72" s="483" t="s">
        <v>17</v>
      </c>
      <c r="R72" s="463">
        <v>405</v>
      </c>
      <c r="S72" s="463">
        <v>453</v>
      </c>
      <c r="T72" s="463">
        <v>464</v>
      </c>
      <c r="U72" s="1066">
        <v>499.66666666666669</v>
      </c>
      <c r="V72" s="595">
        <v>458</v>
      </c>
      <c r="W72" s="1066">
        <v>463.33333333333331</v>
      </c>
      <c r="X72" s="595">
        <v>479</v>
      </c>
      <c r="Y72" s="1301">
        <v>477.76220299193068</v>
      </c>
      <c r="Z72" s="1658">
        <f>327+131</f>
        <v>458</v>
      </c>
      <c r="AA72" s="517">
        <f>3*'What If Data'!P32</f>
        <v>0</v>
      </c>
    </row>
    <row r="73" spans="11:27">
      <c r="K73" s="455">
        <f t="shared" si="25"/>
        <v>7.1999999999999993</v>
      </c>
      <c r="L73" s="482">
        <f t="shared" si="26"/>
        <v>6</v>
      </c>
      <c r="M73" s="455">
        <f t="shared" si="27"/>
        <v>5.3999999999999995</v>
      </c>
      <c r="O73" s="524">
        <f t="shared" si="28"/>
        <v>0.3</v>
      </c>
      <c r="Q73" s="481" t="s">
        <v>324</v>
      </c>
      <c r="R73" s="472">
        <v>5</v>
      </c>
      <c r="S73" s="472">
        <v>8</v>
      </c>
      <c r="T73" s="472">
        <v>10</v>
      </c>
      <c r="U73" s="1036">
        <v>7.666666666666667</v>
      </c>
      <c r="V73" s="528">
        <v>6</v>
      </c>
      <c r="W73" s="1036">
        <v>8</v>
      </c>
      <c r="X73" s="528">
        <v>4</v>
      </c>
      <c r="Y73" s="1301">
        <v>5.0781675519380443</v>
      </c>
      <c r="Z73" s="1656">
        <f>8+0</f>
        <v>8</v>
      </c>
      <c r="AA73" s="517">
        <f>3*'What If Data'!P33</f>
        <v>0</v>
      </c>
    </row>
    <row r="74" spans="11:27">
      <c r="K74" s="455">
        <f t="shared" si="25"/>
        <v>311.7</v>
      </c>
      <c r="L74" s="482">
        <f t="shared" si="26"/>
        <v>314.7</v>
      </c>
      <c r="M74" s="455">
        <f>O74*(X74+Z74+V74+AA74)</f>
        <v>321.89999999999998</v>
      </c>
      <c r="O74" s="524">
        <f t="shared" si="28"/>
        <v>0.3</v>
      </c>
      <c r="Q74" s="481" t="s">
        <v>7</v>
      </c>
      <c r="R74" s="536">
        <v>282</v>
      </c>
      <c r="S74" s="536">
        <v>365</v>
      </c>
      <c r="T74" s="536">
        <v>333</v>
      </c>
      <c r="U74" s="1032">
        <v>326.66666666666669</v>
      </c>
      <c r="V74" s="517">
        <v>341</v>
      </c>
      <c r="W74" s="1032">
        <v>346.33333333333331</v>
      </c>
      <c r="X74" s="517">
        <v>375</v>
      </c>
      <c r="Y74" s="1301">
        <v>392.76949834977245</v>
      </c>
      <c r="Z74" s="1655">
        <f>349+8</f>
        <v>357</v>
      </c>
      <c r="AA74" s="517">
        <f>3*'What If Data'!P34</f>
        <v>0</v>
      </c>
    </row>
    <row r="75" spans="11:27">
      <c r="K75" s="455">
        <f t="shared" si="25"/>
        <v>348</v>
      </c>
      <c r="L75" s="482">
        <f t="shared" si="26"/>
        <v>357</v>
      </c>
      <c r="M75" s="455">
        <f t="shared" si="27"/>
        <v>356.7</v>
      </c>
      <c r="O75" s="524">
        <f t="shared" si="28"/>
        <v>0.3</v>
      </c>
      <c r="Q75" s="481" t="s">
        <v>9</v>
      </c>
      <c r="R75" s="536">
        <v>329</v>
      </c>
      <c r="S75" s="536">
        <v>384</v>
      </c>
      <c r="T75" s="536">
        <v>357</v>
      </c>
      <c r="U75" s="1032">
        <v>384.66666666666669</v>
      </c>
      <c r="V75" s="517">
        <v>419</v>
      </c>
      <c r="W75" s="1032">
        <v>421.66666666666669</v>
      </c>
      <c r="X75" s="517">
        <v>414</v>
      </c>
      <c r="Y75" s="1301">
        <v>391.82757368296467</v>
      </c>
      <c r="Z75" s="1655">
        <f>52+304</f>
        <v>356</v>
      </c>
      <c r="AA75" s="517">
        <f>3*'What If Data'!P35</f>
        <v>0</v>
      </c>
    </row>
    <row r="76" spans="11:27">
      <c r="K76" s="455">
        <f t="shared" si="25"/>
        <v>66</v>
      </c>
      <c r="L76" s="482">
        <f t="shared" si="26"/>
        <v>67.5</v>
      </c>
      <c r="M76" s="455">
        <f t="shared" si="27"/>
        <v>67.5</v>
      </c>
      <c r="O76" s="524">
        <f t="shared" si="28"/>
        <v>0.3</v>
      </c>
      <c r="Q76" s="483" t="s">
        <v>5</v>
      </c>
      <c r="R76" s="463">
        <v>79</v>
      </c>
      <c r="S76" s="463">
        <v>72</v>
      </c>
      <c r="T76" s="463">
        <v>74</v>
      </c>
      <c r="U76" s="1019">
        <v>75</v>
      </c>
      <c r="V76" s="463">
        <v>74</v>
      </c>
      <c r="W76" s="1019">
        <v>73.333333333333329</v>
      </c>
      <c r="X76" s="463">
        <v>77</v>
      </c>
      <c r="Y76" s="1301">
        <v>79.388426200662636</v>
      </c>
      <c r="Z76" s="1650">
        <f>24+50</f>
        <v>74</v>
      </c>
      <c r="AA76" s="517">
        <f>3*'What If Data'!P36</f>
        <v>0</v>
      </c>
    </row>
    <row r="77" spans="11:27">
      <c r="K77" s="454"/>
      <c r="L77" s="482"/>
      <c r="M77" s="455">
        <f>O77*(S77+T77+V77)</f>
        <v>0</v>
      </c>
      <c r="Q77" s="481"/>
      <c r="R77" s="472"/>
      <c r="S77" s="472"/>
      <c r="T77" s="472"/>
      <c r="U77" s="536"/>
      <c r="V77" s="536"/>
      <c r="W77" s="536"/>
      <c r="X77" s="536"/>
      <c r="Y77" s="1269"/>
      <c r="Z77" s="1269"/>
      <c r="AA77" s="536"/>
    </row>
    <row r="78" spans="11:27">
      <c r="K78" s="455">
        <f>O78*(V78+S78+T78)</f>
        <v>0</v>
      </c>
      <c r="L78" s="482">
        <f>O78*(T78+V78+X78)</f>
        <v>0</v>
      </c>
      <c r="M78" s="455">
        <f>O78*(X78+Y78+V78+AA78)</f>
        <v>0</v>
      </c>
      <c r="O78" s="524">
        <f>O76</f>
        <v>0.3</v>
      </c>
      <c r="Q78" s="481" t="s">
        <v>541</v>
      </c>
      <c r="R78" s="472"/>
      <c r="S78" s="472"/>
      <c r="T78" s="472"/>
      <c r="U78" s="536"/>
      <c r="V78" s="536"/>
      <c r="W78" s="536"/>
      <c r="X78" s="536"/>
      <c r="Y78" s="1269"/>
      <c r="Z78" s="1269"/>
      <c r="AA78" s="536"/>
    </row>
    <row r="79" spans="11:27">
      <c r="K79" s="455">
        <f>O79*(V79+S79+T79)</f>
        <v>0</v>
      </c>
      <c r="L79" s="482">
        <f>O79*(T79+V79+X79)</f>
        <v>0</v>
      </c>
      <c r="M79" s="455">
        <f>O79*(X79+Y79+V79+AA79)</f>
        <v>0</v>
      </c>
      <c r="O79" s="524">
        <f>O78</f>
        <v>0.3</v>
      </c>
      <c r="Q79" s="481" t="s">
        <v>563</v>
      </c>
      <c r="R79" s="536"/>
      <c r="S79" s="536"/>
      <c r="T79" s="536"/>
      <c r="U79" s="528"/>
      <c r="V79" s="528"/>
      <c r="W79" s="528"/>
      <c r="X79" s="528"/>
      <c r="Y79" s="1270"/>
      <c r="Z79" s="1270"/>
      <c r="AA79" s="528"/>
    </row>
    <row r="80" spans="11:27">
      <c r="K80" s="455">
        <f>O80*(V80+S80+T80)</f>
        <v>0</v>
      </c>
      <c r="L80" s="482">
        <f>O80*(T80+V80+X80)</f>
        <v>0</v>
      </c>
      <c r="M80" s="455">
        <f>O80*(X80+Y80+V80+AA80)</f>
        <v>0</v>
      </c>
      <c r="O80" s="524">
        <f t="shared" ref="O80:O82" si="29">O79</f>
        <v>0.3</v>
      </c>
      <c r="Q80" s="483" t="s">
        <v>543</v>
      </c>
      <c r="R80" s="464"/>
      <c r="S80" s="464"/>
      <c r="T80" s="464"/>
      <c r="U80" s="599"/>
      <c r="V80" s="599"/>
      <c r="W80" s="599"/>
      <c r="X80" s="599"/>
      <c r="Y80" s="1271"/>
      <c r="Z80" s="1271"/>
      <c r="AA80" s="517">
        <f>3*'What If Data'!P40</f>
        <v>0</v>
      </c>
    </row>
    <row r="81" spans="1:28">
      <c r="K81" s="455">
        <f>O81*(V81+S81+T81)</f>
        <v>0</v>
      </c>
      <c r="L81" s="482">
        <f>O81*(T81+V81+X81)</f>
        <v>0</v>
      </c>
      <c r="M81" s="455">
        <f>O81*(X81+Y81+V81+AA81)</f>
        <v>0</v>
      </c>
      <c r="O81" s="524">
        <f t="shared" si="29"/>
        <v>0.3</v>
      </c>
      <c r="Q81" s="481" t="s">
        <v>562</v>
      </c>
      <c r="R81" s="536"/>
      <c r="S81" s="536"/>
      <c r="T81" s="536"/>
      <c r="U81" s="528"/>
      <c r="V81" s="528"/>
      <c r="W81" s="528"/>
      <c r="X81" s="528"/>
      <c r="Y81" s="1270"/>
      <c r="Z81" s="1270"/>
      <c r="AA81" s="528"/>
    </row>
    <row r="82" spans="1:28">
      <c r="K82" s="455">
        <f>O82*(V82+S82+T82)</f>
        <v>0</v>
      </c>
      <c r="L82" s="482">
        <f>O82*(T82+V82+X82)</f>
        <v>0</v>
      </c>
      <c r="M82" s="455">
        <f>O82*(X82+Y82+V82+AA82)</f>
        <v>0</v>
      </c>
      <c r="O82" s="524">
        <f t="shared" si="29"/>
        <v>0.3</v>
      </c>
      <c r="Q82" s="487" t="s">
        <v>545</v>
      </c>
      <c r="R82" s="472"/>
      <c r="S82" s="472"/>
      <c r="T82" s="472"/>
      <c r="U82" s="528"/>
      <c r="V82" s="528"/>
      <c r="W82" s="528"/>
      <c r="X82" s="528"/>
      <c r="Y82" s="1270"/>
      <c r="Z82" s="1270"/>
      <c r="AA82" s="528"/>
    </row>
    <row r="83" spans="1:28">
      <c r="K83" s="467">
        <f>SUM(K65:K82)</f>
        <v>1938.6</v>
      </c>
      <c r="L83" s="467">
        <f>SUM(L65:L82)</f>
        <v>1949.7</v>
      </c>
      <c r="M83" s="467">
        <f>SUM(M65:M82)</f>
        <v>1958.7</v>
      </c>
      <c r="Q83" s="466"/>
      <c r="R83" s="573">
        <f t="shared" ref="R83:Z83" si="30">SUM(R65:R82)</f>
        <v>1885</v>
      </c>
      <c r="S83" s="573">
        <f t="shared" si="30"/>
        <v>2135</v>
      </c>
      <c r="T83" s="573">
        <f t="shared" si="30"/>
        <v>2112</v>
      </c>
      <c r="U83" s="1305">
        <f t="shared" si="30"/>
        <v>2206</v>
      </c>
      <c r="V83" s="573">
        <f t="shared" si="30"/>
        <v>2215</v>
      </c>
      <c r="W83" s="1305">
        <f t="shared" si="30"/>
        <v>2238</v>
      </c>
      <c r="X83" s="573">
        <f t="shared" si="30"/>
        <v>2172</v>
      </c>
      <c r="Y83" s="1304">
        <f>SUM(Y65:Y82)</f>
        <v>2234.1058416470446</v>
      </c>
      <c r="Z83" s="573">
        <f t="shared" si="30"/>
        <v>2142</v>
      </c>
      <c r="AA83" s="972"/>
    </row>
    <row r="84" spans="1:28">
      <c r="Q84" s="567"/>
      <c r="R84" s="568"/>
      <c r="S84" s="568"/>
      <c r="T84" s="568"/>
      <c r="U84" s="568"/>
      <c r="V84" s="536"/>
      <c r="W84" s="536"/>
      <c r="X84" s="536"/>
      <c r="Y84" s="536"/>
      <c r="Z84" s="536"/>
      <c r="AA84" s="536"/>
    </row>
    <row r="86" spans="1:28">
      <c r="A86" s="1041"/>
      <c r="B86" s="1041"/>
      <c r="C86" s="1041"/>
      <c r="D86" s="1041"/>
      <c r="E86" s="1041"/>
      <c r="F86" s="1041"/>
      <c r="G86" s="1041"/>
      <c r="H86" s="1041"/>
      <c r="I86" s="1041"/>
      <c r="J86" s="1041"/>
      <c r="K86" s="1042" t="s">
        <v>851</v>
      </c>
      <c r="L86" s="1042"/>
      <c r="M86" s="1042"/>
      <c r="N86" s="1041"/>
      <c r="O86" s="1041"/>
      <c r="P86" s="1041"/>
      <c r="Q86" s="1043" t="s">
        <v>614</v>
      </c>
      <c r="R86" s="1041"/>
      <c r="S86" s="1041"/>
      <c r="T86" s="1041"/>
      <c r="U86" s="1041"/>
      <c r="V86" s="1041"/>
      <c r="W86" s="1041"/>
      <c r="X86" s="1041"/>
      <c r="Y86" s="1041"/>
      <c r="Z86" s="1041"/>
      <c r="AA86" s="1041"/>
      <c r="AB86" s="1041"/>
    </row>
    <row r="87" spans="1:28" ht="25.5">
      <c r="A87" s="1041"/>
      <c r="B87" s="1041"/>
      <c r="C87" s="1041"/>
      <c r="D87" s="1041"/>
      <c r="E87" s="1041"/>
      <c r="F87" s="1041"/>
      <c r="G87" s="1041"/>
      <c r="H87" s="1041"/>
      <c r="I87" s="1041"/>
      <c r="J87" s="1041"/>
      <c r="K87" s="1044" t="s">
        <v>848</v>
      </c>
      <c r="L87" s="1044"/>
      <c r="M87" s="1044" t="s">
        <v>849</v>
      </c>
      <c r="N87" s="1041"/>
      <c r="O87" s="1041"/>
      <c r="P87" s="1041"/>
      <c r="Q87" s="1045"/>
      <c r="R87" s="1046" t="s">
        <v>532</v>
      </c>
      <c r="S87" s="1046" t="s">
        <v>533</v>
      </c>
      <c r="T87" s="1047" t="s">
        <v>534</v>
      </c>
      <c r="U87" s="1046" t="s">
        <v>555</v>
      </c>
      <c r="V87" s="1048"/>
      <c r="W87" s="1048"/>
      <c r="X87" s="1048"/>
      <c r="Y87" s="1048"/>
      <c r="Z87" s="1048"/>
      <c r="AA87" s="1048"/>
      <c r="AB87" s="1041"/>
    </row>
    <row r="88" spans="1:28">
      <c r="A88" s="1041"/>
      <c r="B88" s="1041"/>
      <c r="C88" s="1041"/>
      <c r="D88" s="1041"/>
      <c r="E88" s="1041"/>
      <c r="F88" s="1041"/>
      <c r="G88" s="1041"/>
      <c r="H88" s="1041"/>
      <c r="I88" s="1041"/>
      <c r="J88" s="1041"/>
      <c r="K88" s="1049">
        <f>O88*(R88+S88+T88)</f>
        <v>0</v>
      </c>
      <c r="L88" s="1050"/>
      <c r="M88" s="1049">
        <f>O88*(S88+T88+U88)</f>
        <v>0</v>
      </c>
      <c r="N88" s="1041"/>
      <c r="O88" s="1051">
        <f>J8</f>
        <v>0</v>
      </c>
      <c r="P88" s="1041"/>
      <c r="Q88" s="1052" t="s">
        <v>538</v>
      </c>
      <c r="R88" s="1049">
        <v>53</v>
      </c>
      <c r="S88" s="1049">
        <v>70</v>
      </c>
      <c r="T88" s="1049">
        <v>96</v>
      </c>
      <c r="U88" s="1053">
        <f t="shared" ref="U88:U99" si="31">MAX(AVERAGE(R88:T88),TREND(R88:T88,AC$17:AE$17,AF$17))</f>
        <v>116</v>
      </c>
      <c r="V88" s="1053"/>
      <c r="W88" s="1053"/>
      <c r="X88" s="1053"/>
      <c r="Y88" s="1053"/>
      <c r="Z88" s="1053"/>
      <c r="AA88" s="1053"/>
      <c r="AB88" s="1041"/>
    </row>
    <row r="89" spans="1:28">
      <c r="A89" s="1041"/>
      <c r="B89" s="1041"/>
      <c r="C89" s="1041"/>
      <c r="D89" s="1041"/>
      <c r="E89" s="1041"/>
      <c r="F89" s="1041"/>
      <c r="G89" s="1041"/>
      <c r="H89" s="1041"/>
      <c r="I89" s="1041"/>
      <c r="J89" s="1041"/>
      <c r="K89" s="1049">
        <f t="shared" ref="K89:K97" si="32">O89*(R89+S89+T89)</f>
        <v>0</v>
      </c>
      <c r="L89" s="1050"/>
      <c r="M89" s="1049">
        <f t="shared" ref="M89:M97" si="33">O89*(S89+T89+U89)</f>
        <v>0</v>
      </c>
      <c r="N89" s="1041"/>
      <c r="O89" s="1051">
        <f>O$88</f>
        <v>0</v>
      </c>
      <c r="P89" s="1041"/>
      <c r="Q89" s="1052" t="s">
        <v>6</v>
      </c>
      <c r="R89" s="1049">
        <v>108</v>
      </c>
      <c r="S89" s="1049">
        <v>138</v>
      </c>
      <c r="T89" s="1049">
        <v>117</v>
      </c>
      <c r="U89" s="1053">
        <f t="shared" si="31"/>
        <v>130</v>
      </c>
      <c r="V89" s="1053"/>
      <c r="W89" s="1053"/>
      <c r="X89" s="1053"/>
      <c r="Y89" s="1053"/>
      <c r="Z89" s="1053"/>
      <c r="AA89" s="1053"/>
      <c r="AB89" s="1041"/>
    </row>
    <row r="90" spans="1:28">
      <c r="A90" s="1041"/>
      <c r="B90" s="1041"/>
      <c r="C90" s="1041"/>
      <c r="D90" s="1041"/>
      <c r="E90" s="1041"/>
      <c r="F90" s="1041"/>
      <c r="G90" s="1041"/>
      <c r="H90" s="1041"/>
      <c r="I90" s="1041"/>
      <c r="J90" s="1041"/>
      <c r="K90" s="1049">
        <f t="shared" si="32"/>
        <v>0</v>
      </c>
      <c r="L90" s="1050"/>
      <c r="M90" s="1049">
        <f t="shared" si="33"/>
        <v>0</v>
      </c>
      <c r="N90" s="1041"/>
      <c r="O90" s="1051">
        <f t="shared" ref="O90:O99" si="34">O$88</f>
        <v>0</v>
      </c>
      <c r="P90" s="1041"/>
      <c r="Q90" s="1052" t="s">
        <v>8</v>
      </c>
      <c r="R90" s="1054">
        <v>22</v>
      </c>
      <c r="S90" s="1054">
        <v>20</v>
      </c>
      <c r="T90" s="1054">
        <v>11</v>
      </c>
      <c r="U90" s="1055">
        <f t="shared" si="31"/>
        <v>17.666666666666668</v>
      </c>
      <c r="V90" s="1055"/>
      <c r="W90" s="1055"/>
      <c r="X90" s="1055"/>
      <c r="Y90" s="1055"/>
      <c r="Z90" s="1055"/>
      <c r="AA90" s="1055"/>
      <c r="AB90" s="1041"/>
    </row>
    <row r="91" spans="1:28">
      <c r="A91" s="1041"/>
      <c r="B91" s="1041"/>
      <c r="C91" s="1041"/>
      <c r="D91" s="1041"/>
      <c r="E91" s="1041"/>
      <c r="F91" s="1041"/>
      <c r="G91" s="1041"/>
      <c r="H91" s="1041"/>
      <c r="I91" s="1041"/>
      <c r="J91" s="1041"/>
      <c r="K91" s="1049">
        <f t="shared" si="32"/>
        <v>0</v>
      </c>
      <c r="L91" s="1050"/>
      <c r="M91" s="1049">
        <f t="shared" si="33"/>
        <v>0</v>
      </c>
      <c r="N91" s="1041"/>
      <c r="O91" s="1051">
        <f t="shared" si="34"/>
        <v>0</v>
      </c>
      <c r="P91" s="1041"/>
      <c r="Q91" s="1056" t="s">
        <v>2</v>
      </c>
      <c r="R91" s="1049">
        <v>19</v>
      </c>
      <c r="S91" s="1049">
        <v>16</v>
      </c>
      <c r="T91" s="1049">
        <v>13</v>
      </c>
      <c r="U91" s="1055">
        <f t="shared" si="31"/>
        <v>16</v>
      </c>
      <c r="V91" s="1055"/>
      <c r="W91" s="1055"/>
      <c r="X91" s="1055"/>
      <c r="Y91" s="1055"/>
      <c r="Z91" s="1055"/>
      <c r="AA91" s="1055"/>
      <c r="AB91" s="1041"/>
    </row>
    <row r="92" spans="1:28">
      <c r="A92" s="1041"/>
      <c r="B92" s="1041"/>
      <c r="C92" s="1041"/>
      <c r="D92" s="1041"/>
      <c r="E92" s="1041"/>
      <c r="F92" s="1041"/>
      <c r="G92" s="1041"/>
      <c r="H92" s="1041"/>
      <c r="I92" s="1041"/>
      <c r="J92" s="1041"/>
      <c r="K92" s="1049">
        <f t="shared" si="32"/>
        <v>0</v>
      </c>
      <c r="L92" s="1050"/>
      <c r="M92" s="1049">
        <f t="shared" si="33"/>
        <v>0</v>
      </c>
      <c r="N92" s="1041"/>
      <c r="O92" s="1051">
        <f t="shared" si="34"/>
        <v>0</v>
      </c>
      <c r="P92" s="1041"/>
      <c r="Q92" s="1052" t="s">
        <v>10</v>
      </c>
      <c r="R92" s="1049">
        <v>0</v>
      </c>
      <c r="S92" s="1049">
        <v>0</v>
      </c>
      <c r="T92" s="1049">
        <v>0</v>
      </c>
      <c r="U92" s="1055">
        <f t="shared" si="31"/>
        <v>0</v>
      </c>
      <c r="V92" s="1055"/>
      <c r="W92" s="1055"/>
      <c r="X92" s="1055"/>
      <c r="Y92" s="1055"/>
      <c r="Z92" s="1055"/>
      <c r="AA92" s="1055"/>
      <c r="AB92" s="1041"/>
    </row>
    <row r="93" spans="1:28">
      <c r="A93" s="1041"/>
      <c r="B93" s="1041"/>
      <c r="C93" s="1041"/>
      <c r="D93" s="1041"/>
      <c r="E93" s="1041"/>
      <c r="F93" s="1041"/>
      <c r="G93" s="1041"/>
      <c r="H93" s="1041"/>
      <c r="I93" s="1041"/>
      <c r="J93" s="1041"/>
      <c r="K93" s="1049">
        <f t="shared" si="32"/>
        <v>0</v>
      </c>
      <c r="L93" s="1050"/>
      <c r="M93" s="1049">
        <f t="shared" si="33"/>
        <v>0</v>
      </c>
      <c r="N93" s="1041"/>
      <c r="O93" s="1051">
        <f t="shared" si="34"/>
        <v>0</v>
      </c>
      <c r="P93" s="1041"/>
      <c r="Q93" s="1052" t="s">
        <v>4</v>
      </c>
      <c r="R93" s="1049">
        <v>146</v>
      </c>
      <c r="S93" s="1049">
        <v>206</v>
      </c>
      <c r="T93" s="1049">
        <v>191</v>
      </c>
      <c r="U93" s="1053">
        <f t="shared" si="31"/>
        <v>225.99999999999997</v>
      </c>
      <c r="V93" s="1053"/>
      <c r="W93" s="1053"/>
      <c r="X93" s="1053"/>
      <c r="Y93" s="1053"/>
      <c r="Z93" s="1053"/>
      <c r="AA93" s="1053"/>
      <c r="AB93" s="1041"/>
    </row>
    <row r="94" spans="1:28">
      <c r="A94" s="1041"/>
      <c r="B94" s="1041"/>
      <c r="C94" s="1041"/>
      <c r="D94" s="1041"/>
      <c r="E94" s="1041"/>
      <c r="F94" s="1041"/>
      <c r="G94" s="1041"/>
      <c r="H94" s="1041"/>
      <c r="I94" s="1041"/>
      <c r="J94" s="1041"/>
      <c r="K94" s="1049">
        <f t="shared" si="32"/>
        <v>0</v>
      </c>
      <c r="L94" s="1050"/>
      <c r="M94" s="1049">
        <f t="shared" si="33"/>
        <v>0</v>
      </c>
      <c r="N94" s="1041"/>
      <c r="O94" s="1051">
        <f t="shared" si="34"/>
        <v>0</v>
      </c>
      <c r="P94" s="1041"/>
      <c r="Q94" s="1052" t="s">
        <v>14</v>
      </c>
      <c r="R94" s="1057">
        <v>0</v>
      </c>
      <c r="S94" s="1057">
        <v>0</v>
      </c>
      <c r="T94" s="1057">
        <v>0</v>
      </c>
      <c r="U94" s="1055">
        <f t="shared" si="31"/>
        <v>0</v>
      </c>
      <c r="V94" s="1055"/>
      <c r="W94" s="1055"/>
      <c r="X94" s="1055"/>
      <c r="Y94" s="1055"/>
      <c r="Z94" s="1055"/>
      <c r="AA94" s="1055"/>
      <c r="AB94" s="1041"/>
    </row>
    <row r="95" spans="1:28">
      <c r="A95" s="1041"/>
      <c r="B95" s="1041"/>
      <c r="C95" s="1041"/>
      <c r="D95" s="1041"/>
      <c r="E95" s="1041"/>
      <c r="F95" s="1041"/>
      <c r="G95" s="1041"/>
      <c r="H95" s="1041"/>
      <c r="I95" s="1041"/>
      <c r="J95" s="1041"/>
      <c r="K95" s="1049">
        <f t="shared" si="32"/>
        <v>0</v>
      </c>
      <c r="L95" s="1050"/>
      <c r="M95" s="1049">
        <f t="shared" si="33"/>
        <v>0</v>
      </c>
      <c r="N95" s="1041"/>
      <c r="O95" s="1051">
        <f t="shared" si="34"/>
        <v>0</v>
      </c>
      <c r="P95" s="1041"/>
      <c r="Q95" s="1056" t="s">
        <v>17</v>
      </c>
      <c r="R95" s="1049">
        <v>116</v>
      </c>
      <c r="S95" s="1049">
        <v>130</v>
      </c>
      <c r="T95" s="1049">
        <v>109</v>
      </c>
      <c r="U95" s="1053">
        <f t="shared" si="31"/>
        <v>118.33333333333333</v>
      </c>
      <c r="V95" s="1053"/>
      <c r="W95" s="1053"/>
      <c r="X95" s="1053"/>
      <c r="Y95" s="1053"/>
      <c r="Z95" s="1053"/>
      <c r="AA95" s="1053"/>
      <c r="AB95" s="1041"/>
    </row>
    <row r="96" spans="1:28">
      <c r="A96" s="1041"/>
      <c r="B96" s="1041"/>
      <c r="C96" s="1041"/>
      <c r="D96" s="1041"/>
      <c r="E96" s="1041"/>
      <c r="F96" s="1041"/>
      <c r="G96" s="1041"/>
      <c r="H96" s="1041"/>
      <c r="I96" s="1041"/>
      <c r="J96" s="1041"/>
      <c r="K96" s="1049">
        <f t="shared" si="32"/>
        <v>0</v>
      </c>
      <c r="L96" s="1050"/>
      <c r="M96" s="1049">
        <f t="shared" si="33"/>
        <v>0</v>
      </c>
      <c r="N96" s="1041"/>
      <c r="O96" s="1051">
        <f t="shared" si="34"/>
        <v>0</v>
      </c>
      <c r="P96" s="1041"/>
      <c r="Q96" s="1052" t="s">
        <v>324</v>
      </c>
      <c r="R96" s="1057">
        <v>0</v>
      </c>
      <c r="S96" s="1057">
        <v>0</v>
      </c>
      <c r="T96" s="1057">
        <v>0</v>
      </c>
      <c r="U96" s="1055">
        <f t="shared" si="31"/>
        <v>0</v>
      </c>
      <c r="V96" s="1055"/>
      <c r="W96" s="1055"/>
      <c r="X96" s="1055"/>
      <c r="Y96" s="1055"/>
      <c r="Z96" s="1055"/>
      <c r="AA96" s="1055"/>
      <c r="AB96" s="1041"/>
    </row>
    <row r="97" spans="1:28">
      <c r="A97" s="1041"/>
      <c r="B97" s="1041"/>
      <c r="C97" s="1041"/>
      <c r="D97" s="1041"/>
      <c r="E97" s="1041"/>
      <c r="F97" s="1041"/>
      <c r="G97" s="1041"/>
      <c r="H97" s="1041"/>
      <c r="I97" s="1041"/>
      <c r="J97" s="1041"/>
      <c r="K97" s="1049">
        <f t="shared" si="32"/>
        <v>0</v>
      </c>
      <c r="L97" s="1050"/>
      <c r="M97" s="1049">
        <f t="shared" si="33"/>
        <v>0</v>
      </c>
      <c r="N97" s="1041"/>
      <c r="O97" s="1051">
        <f t="shared" si="34"/>
        <v>0</v>
      </c>
      <c r="P97" s="1041"/>
      <c r="Q97" s="1052" t="s">
        <v>7</v>
      </c>
      <c r="R97" s="1049">
        <v>211</v>
      </c>
      <c r="S97" s="1049">
        <v>265</v>
      </c>
      <c r="T97" s="1049">
        <v>235</v>
      </c>
      <c r="U97" s="1053">
        <f t="shared" si="31"/>
        <v>261</v>
      </c>
      <c r="V97" s="1053"/>
      <c r="W97" s="1053"/>
      <c r="X97" s="1053"/>
      <c r="Y97" s="1053"/>
      <c r="Z97" s="1053"/>
      <c r="AA97" s="1053"/>
      <c r="AB97" s="1041"/>
    </row>
    <row r="98" spans="1:28">
      <c r="A98" s="1041"/>
      <c r="B98" s="1041"/>
      <c r="C98" s="1041"/>
      <c r="D98" s="1041"/>
      <c r="E98" s="1041"/>
      <c r="F98" s="1041"/>
      <c r="G98" s="1041"/>
      <c r="H98" s="1041"/>
      <c r="I98" s="1041"/>
      <c r="J98" s="1041"/>
      <c r="K98" s="1049">
        <f>O98*(R98+S98+T98)</f>
        <v>0</v>
      </c>
      <c r="L98" s="1050"/>
      <c r="M98" s="1049">
        <f>O98*(S98+T98+U98)</f>
        <v>0</v>
      </c>
      <c r="N98" s="1041"/>
      <c r="O98" s="1051">
        <f t="shared" si="34"/>
        <v>0</v>
      </c>
      <c r="P98" s="1041"/>
      <c r="Q98" s="1052" t="s">
        <v>9</v>
      </c>
      <c r="R98" s="1049">
        <v>145</v>
      </c>
      <c r="S98" s="1049">
        <v>144</v>
      </c>
      <c r="T98" s="1049">
        <v>133</v>
      </c>
      <c r="U98" s="1053">
        <f t="shared" si="31"/>
        <v>140.66666666666666</v>
      </c>
      <c r="V98" s="1053"/>
      <c r="W98" s="1053"/>
      <c r="X98" s="1053"/>
      <c r="Y98" s="1053"/>
      <c r="Z98" s="1053"/>
      <c r="AA98" s="1053"/>
      <c r="AB98" s="1041"/>
    </row>
    <row r="99" spans="1:28">
      <c r="A99" s="1041"/>
      <c r="B99" s="1041"/>
      <c r="C99" s="1041"/>
      <c r="D99" s="1041"/>
      <c r="E99" s="1041"/>
      <c r="F99" s="1041"/>
      <c r="G99" s="1041"/>
      <c r="H99" s="1041"/>
      <c r="I99" s="1041"/>
      <c r="J99" s="1041"/>
      <c r="K99" s="1049">
        <f>O99*(R99+S99+T99)</f>
        <v>0</v>
      </c>
      <c r="L99" s="1050"/>
      <c r="M99" s="1049">
        <f>O99*(S99+T99+U99)</f>
        <v>0</v>
      </c>
      <c r="N99" s="1041"/>
      <c r="O99" s="1051">
        <f t="shared" si="34"/>
        <v>0</v>
      </c>
      <c r="P99" s="1041"/>
      <c r="Q99" s="1056" t="s">
        <v>5</v>
      </c>
      <c r="R99" s="1049">
        <v>26</v>
      </c>
      <c r="S99" s="1049">
        <v>22</v>
      </c>
      <c r="T99" s="1049">
        <v>16</v>
      </c>
      <c r="U99" s="1049">
        <f t="shared" si="31"/>
        <v>21.333333333333332</v>
      </c>
      <c r="V99" s="1049"/>
      <c r="W99" s="1049"/>
      <c r="X99" s="1049"/>
      <c r="Y99" s="1049"/>
      <c r="Z99" s="1049"/>
      <c r="AA99" s="1049"/>
      <c r="AB99" s="1041"/>
    </row>
    <row r="100" spans="1:28">
      <c r="A100" s="1041"/>
      <c r="B100" s="1041"/>
      <c r="C100" s="1041"/>
      <c r="D100" s="1041"/>
      <c r="E100" s="1041"/>
      <c r="F100" s="1041"/>
      <c r="G100" s="1041"/>
      <c r="H100" s="1041"/>
      <c r="I100" s="1041"/>
      <c r="J100" s="1041"/>
      <c r="K100" s="1057"/>
      <c r="L100" s="1050"/>
      <c r="M100" s="1057"/>
      <c r="N100" s="1041"/>
      <c r="O100" s="1041"/>
      <c r="P100" s="1041"/>
      <c r="Q100" s="1052"/>
      <c r="R100" s="1057"/>
      <c r="S100" s="1057"/>
      <c r="T100" s="1057"/>
      <c r="U100" s="1049"/>
      <c r="V100" s="1049"/>
      <c r="W100" s="1049"/>
      <c r="X100" s="1049"/>
      <c r="Y100" s="1049"/>
      <c r="Z100" s="1049"/>
      <c r="AA100" s="1049"/>
      <c r="AB100" s="1041"/>
    </row>
    <row r="101" spans="1:28">
      <c r="A101" s="1041"/>
      <c r="B101" s="1041"/>
      <c r="C101" s="1041"/>
      <c r="D101" s="1041"/>
      <c r="E101" s="1041"/>
      <c r="F101" s="1041"/>
      <c r="G101" s="1041"/>
      <c r="H101" s="1041"/>
      <c r="I101" s="1041"/>
      <c r="J101" s="1041"/>
      <c r="K101" s="1049">
        <f>O101*(R101+S101+T101)</f>
        <v>0</v>
      </c>
      <c r="L101" s="1050"/>
      <c r="M101" s="1049">
        <f>O101*(S101+T101+U101)</f>
        <v>0</v>
      </c>
      <c r="N101" s="1041"/>
      <c r="O101" s="1051">
        <f>O$88</f>
        <v>0</v>
      </c>
      <c r="P101" s="1041"/>
      <c r="Q101" s="1052" t="s">
        <v>541</v>
      </c>
      <c r="R101" s="1057"/>
      <c r="S101" s="1057"/>
      <c r="T101" s="1057"/>
      <c r="U101" s="1049"/>
      <c r="V101" s="1049"/>
      <c r="W101" s="1049"/>
      <c r="X101" s="1049"/>
      <c r="Y101" s="1049"/>
      <c r="Z101" s="1049"/>
      <c r="AA101" s="1049"/>
      <c r="AB101" s="1041"/>
    </row>
    <row r="102" spans="1:28">
      <c r="A102" s="1041"/>
      <c r="B102" s="1041"/>
      <c r="C102" s="1041"/>
      <c r="D102" s="1041"/>
      <c r="E102" s="1041"/>
      <c r="F102" s="1041"/>
      <c r="G102" s="1041"/>
      <c r="H102" s="1041"/>
      <c r="I102" s="1041"/>
      <c r="J102" s="1041"/>
      <c r="K102" s="1049">
        <f>O102*(R102+S102+T102)</f>
        <v>0</v>
      </c>
      <c r="L102" s="1050"/>
      <c r="M102" s="1049">
        <f>O102*(S102+T102+U102)</f>
        <v>0</v>
      </c>
      <c r="N102" s="1041"/>
      <c r="O102" s="1051">
        <f>O$88</f>
        <v>0</v>
      </c>
      <c r="P102" s="1041"/>
      <c r="Q102" s="1052" t="s">
        <v>563</v>
      </c>
      <c r="R102" s="1049"/>
      <c r="S102" s="1049"/>
      <c r="T102" s="1049"/>
      <c r="U102" s="1055"/>
      <c r="V102" s="1055"/>
      <c r="W102" s="1055"/>
      <c r="X102" s="1055"/>
      <c r="Y102" s="1055"/>
      <c r="Z102" s="1055"/>
      <c r="AA102" s="1055"/>
      <c r="AB102" s="1041"/>
    </row>
    <row r="103" spans="1:28">
      <c r="A103" s="1041"/>
      <c r="B103" s="1041"/>
      <c r="C103" s="1041"/>
      <c r="D103" s="1041"/>
      <c r="E103" s="1041"/>
      <c r="F103" s="1041"/>
      <c r="G103" s="1041"/>
      <c r="H103" s="1041"/>
      <c r="I103" s="1041"/>
      <c r="J103" s="1041"/>
      <c r="K103" s="1049">
        <f>O103*(R103+S103+T103)</f>
        <v>0</v>
      </c>
      <c r="L103" s="1050"/>
      <c r="M103" s="1049">
        <f>O103*(S103+T103+U103)</f>
        <v>0</v>
      </c>
      <c r="N103" s="1041"/>
      <c r="O103" s="1051">
        <f>O$88</f>
        <v>0</v>
      </c>
      <c r="P103" s="1041"/>
      <c r="Q103" s="1056" t="s">
        <v>543</v>
      </c>
      <c r="R103" s="1057"/>
      <c r="S103" s="1057"/>
      <c r="T103" s="1057"/>
      <c r="U103" s="1055"/>
      <c r="V103" s="1055"/>
      <c r="W103" s="1055"/>
      <c r="X103" s="1055"/>
      <c r="Y103" s="1055"/>
      <c r="Z103" s="1055"/>
      <c r="AA103" s="1055"/>
      <c r="AB103" s="1041"/>
    </row>
    <row r="104" spans="1:28">
      <c r="A104" s="1041"/>
      <c r="B104" s="1041"/>
      <c r="C104" s="1041"/>
      <c r="D104" s="1041"/>
      <c r="E104" s="1041"/>
      <c r="F104" s="1041"/>
      <c r="G104" s="1041"/>
      <c r="H104" s="1041"/>
      <c r="I104" s="1041"/>
      <c r="J104" s="1041"/>
      <c r="K104" s="1049">
        <f>O104*(R104+S104+T104)</f>
        <v>0</v>
      </c>
      <c r="L104" s="1050"/>
      <c r="M104" s="1049">
        <f>O104*(S104+T104+U104)</f>
        <v>0</v>
      </c>
      <c r="N104" s="1041"/>
      <c r="O104" s="1051">
        <f>O$88</f>
        <v>0</v>
      </c>
      <c r="P104" s="1041"/>
      <c r="Q104" s="1052" t="s">
        <v>562</v>
      </c>
      <c r="R104" s="1049"/>
      <c r="S104" s="1049"/>
      <c r="T104" s="1049"/>
      <c r="U104" s="1055"/>
      <c r="V104" s="1055"/>
      <c r="W104" s="1055"/>
      <c r="X104" s="1055"/>
      <c r="Y104" s="1055"/>
      <c r="Z104" s="1055"/>
      <c r="AA104" s="1055"/>
      <c r="AB104" s="1041"/>
    </row>
    <row r="105" spans="1:28">
      <c r="A105" s="1041"/>
      <c r="B105" s="1041"/>
      <c r="C105" s="1041"/>
      <c r="D105" s="1041"/>
      <c r="E105" s="1041"/>
      <c r="F105" s="1041"/>
      <c r="G105" s="1041"/>
      <c r="H105" s="1041"/>
      <c r="I105" s="1041"/>
      <c r="J105" s="1041"/>
      <c r="K105" s="1049">
        <f>O105*(R105+S105+T105)</f>
        <v>0</v>
      </c>
      <c r="L105" s="1050"/>
      <c r="M105" s="1049">
        <f>O105*(S105+T105+U105)</f>
        <v>0</v>
      </c>
      <c r="N105" s="1041"/>
      <c r="O105" s="1051">
        <f>O$88</f>
        <v>0</v>
      </c>
      <c r="P105" s="1041"/>
      <c r="Q105" s="1058" t="s">
        <v>545</v>
      </c>
      <c r="R105" s="1057"/>
      <c r="S105" s="1057"/>
      <c r="T105" s="1057"/>
      <c r="U105" s="1055"/>
      <c r="V105" s="1055"/>
      <c r="W105" s="1055"/>
      <c r="X105" s="1055"/>
      <c r="Y105" s="1055"/>
      <c r="Z105" s="1055"/>
      <c r="AA105" s="1055"/>
      <c r="AB105" s="1041"/>
    </row>
    <row r="106" spans="1:28">
      <c r="A106" s="1041"/>
      <c r="B106" s="1041"/>
      <c r="C106" s="1041"/>
      <c r="D106" s="1041"/>
      <c r="E106" s="1041"/>
      <c r="F106" s="1041"/>
      <c r="G106" s="1041"/>
      <c r="H106" s="1041"/>
      <c r="I106" s="1041"/>
      <c r="J106" s="1041"/>
      <c r="K106" s="1059">
        <f>SUM(K88:K105)</f>
        <v>0</v>
      </c>
      <c r="L106" s="1060"/>
      <c r="M106" s="1059">
        <f>SUM(M88:M105)</f>
        <v>0</v>
      </c>
      <c r="N106" s="1041"/>
      <c r="O106" s="1041"/>
      <c r="P106" s="1041"/>
      <c r="Q106" s="1061"/>
      <c r="R106" s="1059">
        <f>SUM(R88:R105)</f>
        <v>846</v>
      </c>
      <c r="S106" s="1059">
        <f>SUM(S88:S105)</f>
        <v>1011</v>
      </c>
      <c r="T106" s="1059">
        <f>SUM(T88:T105)</f>
        <v>921</v>
      </c>
      <c r="U106" s="1059">
        <f>SUM(U88:U105)</f>
        <v>1047</v>
      </c>
      <c r="V106" s="1062"/>
      <c r="W106" s="1062"/>
      <c r="X106" s="1062"/>
      <c r="Y106" s="1062"/>
      <c r="Z106" s="1062"/>
      <c r="AA106" s="1062"/>
      <c r="AB106" s="1041"/>
    </row>
    <row r="107" spans="1:28">
      <c r="A107" s="1041"/>
      <c r="B107" s="1041"/>
      <c r="C107" s="1041"/>
      <c r="D107" s="1041"/>
      <c r="E107" s="1041"/>
      <c r="F107" s="1041"/>
      <c r="G107" s="1041"/>
      <c r="H107" s="1041"/>
      <c r="I107" s="1041"/>
      <c r="J107" s="1041"/>
      <c r="K107" s="1041"/>
      <c r="L107" s="1041"/>
      <c r="M107" s="1041"/>
      <c r="N107" s="1041"/>
      <c r="O107" s="1041"/>
      <c r="P107" s="1041"/>
      <c r="Q107" s="1041"/>
      <c r="R107" s="1041"/>
      <c r="S107" s="1041"/>
      <c r="T107" s="1041"/>
      <c r="U107" s="1041"/>
      <c r="V107" s="1041"/>
      <c r="W107" s="1041"/>
      <c r="X107" s="1041"/>
      <c r="Y107" s="1041"/>
      <c r="Z107" s="1041"/>
      <c r="AA107" s="1041"/>
      <c r="AB107" s="1041"/>
    </row>
    <row r="108" spans="1:28">
      <c r="A108" s="1041"/>
      <c r="B108" s="1041"/>
      <c r="C108" s="1041"/>
      <c r="D108" s="1041"/>
      <c r="E108" s="1041"/>
      <c r="F108" s="1041"/>
      <c r="G108" s="1041"/>
      <c r="H108" s="1041"/>
      <c r="I108" s="1041"/>
      <c r="J108" s="1041"/>
      <c r="K108" s="1042" t="s">
        <v>850</v>
      </c>
      <c r="L108" s="1042"/>
      <c r="M108" s="1042"/>
      <c r="N108" s="1041"/>
      <c r="O108" s="1041"/>
      <c r="P108" s="1041"/>
      <c r="Q108" s="1063" t="s">
        <v>592</v>
      </c>
      <c r="R108" s="1064"/>
      <c r="S108" s="1064"/>
      <c r="T108" s="1064"/>
      <c r="U108" s="1064"/>
      <c r="V108" s="1065"/>
      <c r="W108" s="1065"/>
      <c r="X108" s="1065"/>
      <c r="Y108" s="1065"/>
      <c r="Z108" s="1065"/>
      <c r="AA108" s="1065"/>
      <c r="AB108" s="1041"/>
    </row>
    <row r="109" spans="1:28" ht="25.5">
      <c r="A109" s="1041"/>
      <c r="B109" s="1041"/>
      <c r="C109" s="1041"/>
      <c r="D109" s="1041"/>
      <c r="E109" s="1041"/>
      <c r="F109" s="1041"/>
      <c r="G109" s="1041"/>
      <c r="H109" s="1041"/>
      <c r="I109" s="1041"/>
      <c r="J109" s="1041"/>
      <c r="K109" s="1044" t="s">
        <v>848</v>
      </c>
      <c r="L109" s="1044"/>
      <c r="M109" s="1044" t="s">
        <v>849</v>
      </c>
      <c r="N109" s="1041"/>
      <c r="O109" s="1041"/>
      <c r="P109" s="1041"/>
      <c r="Q109" s="1045"/>
      <c r="R109" s="1046" t="s">
        <v>532</v>
      </c>
      <c r="S109" s="1046" t="s">
        <v>533</v>
      </c>
      <c r="T109" s="1047" t="s">
        <v>534</v>
      </c>
      <c r="U109" s="1046" t="s">
        <v>555</v>
      </c>
      <c r="V109" s="1048"/>
      <c r="W109" s="1048"/>
      <c r="X109" s="1048"/>
      <c r="Y109" s="1048"/>
      <c r="Z109" s="1048"/>
      <c r="AA109" s="1048"/>
      <c r="AB109" s="1041"/>
    </row>
    <row r="110" spans="1:28">
      <c r="A110" s="1041"/>
      <c r="B110" s="1041"/>
      <c r="C110" s="1041"/>
      <c r="D110" s="1041"/>
      <c r="E110" s="1041"/>
      <c r="F110" s="1041"/>
      <c r="G110" s="1041"/>
      <c r="H110" s="1041"/>
      <c r="I110" s="1041"/>
      <c r="J110" s="1041"/>
      <c r="K110" s="1049">
        <f>O110*(R110+S110+T110)</f>
        <v>0</v>
      </c>
      <c r="L110" s="1050"/>
      <c r="M110" s="1049">
        <f>O110*(S110+T110+U110)</f>
        <v>0</v>
      </c>
      <c r="N110" s="1041"/>
      <c r="O110" s="1051">
        <f>J7</f>
        <v>0</v>
      </c>
      <c r="P110" s="1041"/>
      <c r="Q110" s="1052" t="s">
        <v>538</v>
      </c>
      <c r="R110" s="1049">
        <v>20</v>
      </c>
      <c r="S110" s="1049">
        <v>20</v>
      </c>
      <c r="T110" s="1049">
        <v>20</v>
      </c>
      <c r="U110" s="1053">
        <v>23.94971631034387</v>
      </c>
      <c r="V110" s="1053"/>
      <c r="W110" s="1053"/>
      <c r="X110" s="1053"/>
      <c r="Y110" s="1053"/>
      <c r="Z110" s="1053"/>
      <c r="AA110" s="1053"/>
      <c r="AB110" s="1041"/>
    </row>
    <row r="111" spans="1:28">
      <c r="A111" s="1041"/>
      <c r="B111" s="1041"/>
      <c r="C111" s="1041"/>
      <c r="D111" s="1041"/>
      <c r="E111" s="1041"/>
      <c r="F111" s="1041"/>
      <c r="G111" s="1041"/>
      <c r="H111" s="1041"/>
      <c r="I111" s="1041"/>
      <c r="J111" s="1041"/>
      <c r="K111" s="1049">
        <f t="shared" ref="K111:K119" si="35">O111*(R111+S111+T111)</f>
        <v>0</v>
      </c>
      <c r="L111" s="1050"/>
      <c r="M111" s="1049">
        <f t="shared" ref="M111:M119" si="36">O111*(S111+T111+U111)</f>
        <v>0</v>
      </c>
      <c r="N111" s="1041"/>
      <c r="O111" s="1051">
        <f>O$110</f>
        <v>0</v>
      </c>
      <c r="P111" s="1041"/>
      <c r="Q111" s="1052" t="s">
        <v>6</v>
      </c>
      <c r="R111" s="1049">
        <v>2</v>
      </c>
      <c r="S111" s="1049">
        <v>4</v>
      </c>
      <c r="T111" s="1049">
        <v>4</v>
      </c>
      <c r="U111" s="1053">
        <v>3.2924801356857105</v>
      </c>
      <c r="V111" s="1053"/>
      <c r="W111" s="1053"/>
      <c r="X111" s="1053"/>
      <c r="Y111" s="1053"/>
      <c r="Z111" s="1053"/>
      <c r="AA111" s="1053"/>
      <c r="AB111" s="1041"/>
    </row>
    <row r="112" spans="1:28">
      <c r="A112" s="1041"/>
      <c r="B112" s="1041"/>
      <c r="C112" s="1041"/>
      <c r="D112" s="1041"/>
      <c r="E112" s="1041"/>
      <c r="F112" s="1041"/>
      <c r="G112" s="1041"/>
      <c r="H112" s="1041"/>
      <c r="I112" s="1041"/>
      <c r="J112" s="1041"/>
      <c r="K112" s="1049">
        <f t="shared" si="35"/>
        <v>0</v>
      </c>
      <c r="L112" s="1050"/>
      <c r="M112" s="1049">
        <f t="shared" si="36"/>
        <v>0</v>
      </c>
      <c r="N112" s="1041"/>
      <c r="O112" s="1051">
        <f t="shared" ref="O112:O121" si="37">O$110</f>
        <v>0</v>
      </c>
      <c r="P112" s="1041"/>
      <c r="Q112" s="1052" t="s">
        <v>8</v>
      </c>
      <c r="R112" s="1054">
        <v>25</v>
      </c>
      <c r="S112" s="1054">
        <v>16</v>
      </c>
      <c r="T112" s="1054">
        <v>27</v>
      </c>
      <c r="U112" s="1055">
        <v>21.243563685636857</v>
      </c>
      <c r="V112" s="1055"/>
      <c r="W112" s="1055"/>
      <c r="X112" s="1055"/>
      <c r="Y112" s="1055"/>
      <c r="Z112" s="1055"/>
      <c r="AA112" s="1055"/>
      <c r="AB112" s="1041"/>
    </row>
    <row r="113" spans="1:28">
      <c r="A113" s="1041"/>
      <c r="B113" s="1041"/>
      <c r="C113" s="1041"/>
      <c r="D113" s="1041"/>
      <c r="E113" s="1041"/>
      <c r="F113" s="1041"/>
      <c r="G113" s="1041"/>
      <c r="H113" s="1041"/>
      <c r="I113" s="1041"/>
      <c r="J113" s="1041"/>
      <c r="K113" s="1049">
        <f t="shared" si="35"/>
        <v>0</v>
      </c>
      <c r="L113" s="1050"/>
      <c r="M113" s="1049">
        <f t="shared" si="36"/>
        <v>0</v>
      </c>
      <c r="N113" s="1041"/>
      <c r="O113" s="1051">
        <f t="shared" si="37"/>
        <v>0</v>
      </c>
      <c r="P113" s="1041"/>
      <c r="Q113" s="1056" t="s">
        <v>2</v>
      </c>
      <c r="R113" s="1049">
        <v>10</v>
      </c>
      <c r="S113" s="1049">
        <v>6</v>
      </c>
      <c r="T113" s="1049">
        <v>11</v>
      </c>
      <c r="U113" s="1055">
        <v>10.377449370552819</v>
      </c>
      <c r="V113" s="1055"/>
      <c r="W113" s="1055"/>
      <c r="X113" s="1055"/>
      <c r="Y113" s="1055"/>
      <c r="Z113" s="1055"/>
      <c r="AA113" s="1055"/>
      <c r="AB113" s="1041"/>
    </row>
    <row r="114" spans="1:28">
      <c r="A114" s="1041"/>
      <c r="B114" s="1041"/>
      <c r="C114" s="1041"/>
      <c r="D114" s="1041"/>
      <c r="E114" s="1041"/>
      <c r="F114" s="1041"/>
      <c r="G114" s="1041"/>
      <c r="H114" s="1041"/>
      <c r="I114" s="1041"/>
      <c r="J114" s="1041"/>
      <c r="K114" s="1049">
        <f t="shared" si="35"/>
        <v>0</v>
      </c>
      <c r="L114" s="1050"/>
      <c r="M114" s="1049">
        <f t="shared" si="36"/>
        <v>0</v>
      </c>
      <c r="N114" s="1041"/>
      <c r="O114" s="1051">
        <f t="shared" si="37"/>
        <v>0</v>
      </c>
      <c r="P114" s="1041"/>
      <c r="Q114" s="1052" t="s">
        <v>10</v>
      </c>
      <c r="R114" s="1049">
        <v>7</v>
      </c>
      <c r="S114" s="1049">
        <v>4</v>
      </c>
      <c r="T114" s="1049">
        <v>4</v>
      </c>
      <c r="U114" s="1055">
        <v>5.1409496676163347</v>
      </c>
      <c r="V114" s="1055"/>
      <c r="W114" s="1055"/>
      <c r="X114" s="1055"/>
      <c r="Y114" s="1055"/>
      <c r="Z114" s="1055"/>
      <c r="AA114" s="1055"/>
      <c r="AB114" s="1041"/>
    </row>
    <row r="115" spans="1:28">
      <c r="A115" s="1041"/>
      <c r="B115" s="1041"/>
      <c r="C115" s="1041"/>
      <c r="D115" s="1041"/>
      <c r="E115" s="1041"/>
      <c r="F115" s="1041"/>
      <c r="G115" s="1041"/>
      <c r="H115" s="1041"/>
      <c r="I115" s="1041"/>
      <c r="J115" s="1041"/>
      <c r="K115" s="1049">
        <f t="shared" si="35"/>
        <v>0</v>
      </c>
      <c r="L115" s="1050"/>
      <c r="M115" s="1049">
        <f t="shared" si="36"/>
        <v>0</v>
      </c>
      <c r="N115" s="1041"/>
      <c r="O115" s="1051">
        <f t="shared" si="37"/>
        <v>0</v>
      </c>
      <c r="P115" s="1041"/>
      <c r="Q115" s="1052" t="s">
        <v>4</v>
      </c>
      <c r="R115" s="1049">
        <v>42</v>
      </c>
      <c r="S115" s="1049">
        <v>29</v>
      </c>
      <c r="T115" s="1049">
        <v>37</v>
      </c>
      <c r="U115" s="1053">
        <v>48.390574843537642</v>
      </c>
      <c r="V115" s="1053"/>
      <c r="W115" s="1053"/>
      <c r="X115" s="1053"/>
      <c r="Y115" s="1053"/>
      <c r="Z115" s="1053"/>
      <c r="AA115" s="1053"/>
      <c r="AB115" s="1041"/>
    </row>
    <row r="116" spans="1:28">
      <c r="A116" s="1041"/>
      <c r="B116" s="1041"/>
      <c r="C116" s="1041"/>
      <c r="D116" s="1041"/>
      <c r="E116" s="1041"/>
      <c r="F116" s="1041"/>
      <c r="G116" s="1041"/>
      <c r="H116" s="1041"/>
      <c r="I116" s="1041"/>
      <c r="J116" s="1041"/>
      <c r="K116" s="1049">
        <f t="shared" si="35"/>
        <v>0</v>
      </c>
      <c r="L116" s="1050"/>
      <c r="M116" s="1049">
        <f t="shared" si="36"/>
        <v>0</v>
      </c>
      <c r="N116" s="1041"/>
      <c r="O116" s="1051">
        <f t="shared" si="37"/>
        <v>0</v>
      </c>
      <c r="P116" s="1041"/>
      <c r="Q116" s="1052" t="s">
        <v>14</v>
      </c>
      <c r="R116" s="1057">
        <v>20</v>
      </c>
      <c r="S116" s="1057">
        <v>19</v>
      </c>
      <c r="T116" s="1057">
        <v>15</v>
      </c>
      <c r="U116" s="1055">
        <v>20.133439468936036</v>
      </c>
      <c r="V116" s="1055"/>
      <c r="W116" s="1055"/>
      <c r="X116" s="1055"/>
      <c r="Y116" s="1055"/>
      <c r="Z116" s="1055"/>
      <c r="AA116" s="1055"/>
      <c r="AB116" s="1041"/>
    </row>
    <row r="117" spans="1:28">
      <c r="A117" s="1041"/>
      <c r="B117" s="1041"/>
      <c r="C117" s="1041"/>
      <c r="D117" s="1041"/>
      <c r="E117" s="1041"/>
      <c r="F117" s="1041"/>
      <c r="G117" s="1041"/>
      <c r="H117" s="1041"/>
      <c r="I117" s="1041"/>
      <c r="J117" s="1041"/>
      <c r="K117" s="1049">
        <f t="shared" si="35"/>
        <v>0</v>
      </c>
      <c r="L117" s="1050"/>
      <c r="M117" s="1049">
        <f t="shared" si="36"/>
        <v>0</v>
      </c>
      <c r="N117" s="1041"/>
      <c r="O117" s="1051">
        <f t="shared" si="37"/>
        <v>0</v>
      </c>
      <c r="P117" s="1041"/>
      <c r="Q117" s="1056" t="s">
        <v>17</v>
      </c>
      <c r="R117" s="1049">
        <v>2</v>
      </c>
      <c r="S117" s="1049">
        <v>1</v>
      </c>
      <c r="T117" s="1049">
        <v>4</v>
      </c>
      <c r="U117" s="1053">
        <v>3.1420582003988038</v>
      </c>
      <c r="V117" s="1053"/>
      <c r="W117" s="1053"/>
      <c r="X117" s="1053"/>
      <c r="Y117" s="1053"/>
      <c r="Z117" s="1053"/>
      <c r="AA117" s="1053"/>
      <c r="AB117" s="1041"/>
    </row>
    <row r="118" spans="1:28">
      <c r="A118" s="1041"/>
      <c r="B118" s="1041"/>
      <c r="C118" s="1041"/>
      <c r="D118" s="1041"/>
      <c r="E118" s="1041"/>
      <c r="F118" s="1041"/>
      <c r="G118" s="1041"/>
      <c r="H118" s="1041"/>
      <c r="I118" s="1041"/>
      <c r="J118" s="1041"/>
      <c r="K118" s="1049">
        <f t="shared" si="35"/>
        <v>0</v>
      </c>
      <c r="L118" s="1050"/>
      <c r="M118" s="1049">
        <f t="shared" si="36"/>
        <v>0</v>
      </c>
      <c r="N118" s="1041"/>
      <c r="O118" s="1051">
        <f t="shared" si="37"/>
        <v>0</v>
      </c>
      <c r="P118" s="1041"/>
      <c r="Q118" s="1052" t="s">
        <v>324</v>
      </c>
      <c r="R118" s="1057">
        <v>0</v>
      </c>
      <c r="S118" s="1057">
        <v>0</v>
      </c>
      <c r="T118" s="1057">
        <v>0</v>
      </c>
      <c r="U118" s="1055">
        <v>0</v>
      </c>
      <c r="V118" s="1055"/>
      <c r="W118" s="1055"/>
      <c r="X118" s="1055"/>
      <c r="Y118" s="1055"/>
      <c r="Z118" s="1055"/>
      <c r="AA118" s="1055"/>
      <c r="AB118" s="1041"/>
    </row>
    <row r="119" spans="1:28">
      <c r="A119" s="1041"/>
      <c r="B119" s="1041"/>
      <c r="C119" s="1041"/>
      <c r="D119" s="1041"/>
      <c r="E119" s="1041"/>
      <c r="F119" s="1041"/>
      <c r="G119" s="1041"/>
      <c r="H119" s="1041"/>
      <c r="I119" s="1041"/>
      <c r="J119" s="1041"/>
      <c r="K119" s="1049">
        <f t="shared" si="35"/>
        <v>0</v>
      </c>
      <c r="L119" s="1050"/>
      <c r="M119" s="1049">
        <f t="shared" si="36"/>
        <v>0</v>
      </c>
      <c r="N119" s="1041"/>
      <c r="O119" s="1051">
        <f t="shared" si="37"/>
        <v>0</v>
      </c>
      <c r="P119" s="1041"/>
      <c r="Q119" s="1052" t="s">
        <v>7</v>
      </c>
      <c r="R119" s="1049">
        <v>60</v>
      </c>
      <c r="S119" s="1049">
        <v>67</v>
      </c>
      <c r="T119" s="1049">
        <v>60</v>
      </c>
      <c r="U119" s="1053">
        <v>82.238956898125039</v>
      </c>
      <c r="V119" s="1053"/>
      <c r="W119" s="1053"/>
      <c r="X119" s="1053"/>
      <c r="Y119" s="1053"/>
      <c r="Z119" s="1053"/>
      <c r="AA119" s="1053"/>
      <c r="AB119" s="1041"/>
    </row>
    <row r="120" spans="1:28">
      <c r="A120" s="1041"/>
      <c r="B120" s="1041"/>
      <c r="C120" s="1041"/>
      <c r="D120" s="1041"/>
      <c r="E120" s="1041"/>
      <c r="F120" s="1041"/>
      <c r="G120" s="1041"/>
      <c r="H120" s="1041"/>
      <c r="I120" s="1041"/>
      <c r="J120" s="1041"/>
      <c r="K120" s="1049">
        <f>O120*(R120+S120+T120)</f>
        <v>0</v>
      </c>
      <c r="L120" s="1050"/>
      <c r="M120" s="1049">
        <f>O120*(S120+T120+U120)</f>
        <v>0</v>
      </c>
      <c r="N120" s="1041"/>
      <c r="O120" s="1051">
        <f t="shared" si="37"/>
        <v>0</v>
      </c>
      <c r="P120" s="1041"/>
      <c r="Q120" s="1052" t="s">
        <v>9</v>
      </c>
      <c r="R120" s="1049">
        <v>18</v>
      </c>
      <c r="S120" s="1049">
        <v>14</v>
      </c>
      <c r="T120" s="1049">
        <v>16</v>
      </c>
      <c r="U120" s="1053">
        <v>17.331527042031318</v>
      </c>
      <c r="V120" s="1053"/>
      <c r="W120" s="1053"/>
      <c r="X120" s="1053"/>
      <c r="Y120" s="1053"/>
      <c r="Z120" s="1053"/>
      <c r="AA120" s="1053"/>
      <c r="AB120" s="1041"/>
    </row>
    <row r="121" spans="1:28">
      <c r="A121" s="1041"/>
      <c r="B121" s="1041"/>
      <c r="C121" s="1041"/>
      <c r="D121" s="1041"/>
      <c r="E121" s="1041"/>
      <c r="F121" s="1041"/>
      <c r="G121" s="1041"/>
      <c r="H121" s="1041"/>
      <c r="I121" s="1041"/>
      <c r="J121" s="1041"/>
      <c r="K121" s="1049">
        <f>O121*(R121+S121+T121)</f>
        <v>0</v>
      </c>
      <c r="L121" s="1050"/>
      <c r="M121" s="1049">
        <f>O121*(S121+T121+U121)</f>
        <v>0</v>
      </c>
      <c r="N121" s="1041"/>
      <c r="O121" s="1051">
        <f t="shared" si="37"/>
        <v>0</v>
      </c>
      <c r="P121" s="1041"/>
      <c r="Q121" s="1056" t="s">
        <v>5</v>
      </c>
      <c r="R121" s="1049">
        <v>7</v>
      </c>
      <c r="S121" s="1049">
        <v>16</v>
      </c>
      <c r="T121" s="1049">
        <v>15</v>
      </c>
      <c r="U121" s="1049">
        <v>15.392360190303927</v>
      </c>
      <c r="V121" s="1049"/>
      <c r="W121" s="1049"/>
      <c r="X121" s="1049"/>
      <c r="Y121" s="1049"/>
      <c r="Z121" s="1049"/>
      <c r="AA121" s="1049"/>
      <c r="AB121" s="1041"/>
    </row>
    <row r="122" spans="1:28">
      <c r="A122" s="1041"/>
      <c r="B122" s="1041"/>
      <c r="C122" s="1041"/>
      <c r="D122" s="1041"/>
      <c r="E122" s="1041"/>
      <c r="F122" s="1041"/>
      <c r="G122" s="1041"/>
      <c r="H122" s="1041"/>
      <c r="I122" s="1041"/>
      <c r="J122" s="1041"/>
      <c r="K122" s="1057"/>
      <c r="L122" s="1050"/>
      <c r="M122" s="1057"/>
      <c r="N122" s="1041"/>
      <c r="O122" s="1041"/>
      <c r="P122" s="1041"/>
      <c r="Q122" s="1052"/>
      <c r="R122" s="1057"/>
      <c r="S122" s="1057"/>
      <c r="T122" s="1057"/>
      <c r="U122" s="1049"/>
      <c r="V122" s="1049"/>
      <c r="W122" s="1049"/>
      <c r="X122" s="1049"/>
      <c r="Y122" s="1049"/>
      <c r="Z122" s="1049"/>
      <c r="AA122" s="1049"/>
      <c r="AB122" s="1041"/>
    </row>
    <row r="123" spans="1:28">
      <c r="A123" s="1041"/>
      <c r="B123" s="1041"/>
      <c r="C123" s="1041"/>
      <c r="D123" s="1041"/>
      <c r="E123" s="1041"/>
      <c r="F123" s="1041"/>
      <c r="G123" s="1041"/>
      <c r="H123" s="1041"/>
      <c r="I123" s="1041"/>
      <c r="J123" s="1041"/>
      <c r="K123" s="1049">
        <f>O123*(R123+S123+T123)</f>
        <v>0</v>
      </c>
      <c r="L123" s="1050"/>
      <c r="M123" s="1049">
        <f>O123*(S123+T123+U123)</f>
        <v>0</v>
      </c>
      <c r="N123" s="1041"/>
      <c r="O123" s="1051">
        <f>O$110</f>
        <v>0</v>
      </c>
      <c r="P123" s="1041"/>
      <c r="Q123" s="1052" t="s">
        <v>541</v>
      </c>
      <c r="R123" s="1057"/>
      <c r="S123" s="1057"/>
      <c r="T123" s="1057"/>
      <c r="U123" s="1049"/>
      <c r="V123" s="1049"/>
      <c r="W123" s="1049"/>
      <c r="X123" s="1049"/>
      <c r="Y123" s="1049"/>
      <c r="Z123" s="1049"/>
      <c r="AA123" s="1049"/>
      <c r="AB123" s="1041"/>
    </row>
    <row r="124" spans="1:28">
      <c r="A124" s="1041"/>
      <c r="B124" s="1041"/>
      <c r="C124" s="1041"/>
      <c r="D124" s="1041"/>
      <c r="E124" s="1041"/>
      <c r="F124" s="1041"/>
      <c r="G124" s="1041"/>
      <c r="H124" s="1041"/>
      <c r="I124" s="1041"/>
      <c r="J124" s="1041"/>
      <c r="K124" s="1049">
        <f>O124*(R124+S124+T124)</f>
        <v>0</v>
      </c>
      <c r="L124" s="1050"/>
      <c r="M124" s="1049">
        <f>O124*(S124+T124+U124)</f>
        <v>0</v>
      </c>
      <c r="N124" s="1041"/>
      <c r="O124" s="1051">
        <f>O$110</f>
        <v>0</v>
      </c>
      <c r="P124" s="1041"/>
      <c r="Q124" s="1052" t="s">
        <v>563</v>
      </c>
      <c r="R124" s="1049"/>
      <c r="S124" s="1049"/>
      <c r="T124" s="1049"/>
      <c r="U124" s="1055"/>
      <c r="V124" s="1055"/>
      <c r="W124" s="1055"/>
      <c r="X124" s="1055"/>
      <c r="Y124" s="1055"/>
      <c r="Z124" s="1055"/>
      <c r="AA124" s="1055"/>
      <c r="AB124" s="1041"/>
    </row>
    <row r="125" spans="1:28">
      <c r="A125" s="1041"/>
      <c r="B125" s="1041"/>
      <c r="C125" s="1041"/>
      <c r="D125" s="1041"/>
      <c r="E125" s="1041"/>
      <c r="F125" s="1041"/>
      <c r="G125" s="1041"/>
      <c r="H125" s="1041"/>
      <c r="I125" s="1041"/>
      <c r="J125" s="1041"/>
      <c r="K125" s="1049">
        <f>O125*(R125+S125+T125)</f>
        <v>0</v>
      </c>
      <c r="L125" s="1050"/>
      <c r="M125" s="1049">
        <f>O125*(S125+T125+U125)</f>
        <v>0</v>
      </c>
      <c r="N125" s="1041"/>
      <c r="O125" s="1051">
        <f>O$110</f>
        <v>0</v>
      </c>
      <c r="P125" s="1041"/>
      <c r="Q125" s="1056" t="s">
        <v>543</v>
      </c>
      <c r="R125" s="1057"/>
      <c r="S125" s="1057"/>
      <c r="T125" s="1057"/>
      <c r="U125" s="1055"/>
      <c r="V125" s="1055"/>
      <c r="W125" s="1055"/>
      <c r="X125" s="1055"/>
      <c r="Y125" s="1055"/>
      <c r="Z125" s="1055"/>
      <c r="AA125" s="1055"/>
      <c r="AB125" s="1041"/>
    </row>
    <row r="126" spans="1:28">
      <c r="A126" s="1041"/>
      <c r="B126" s="1041"/>
      <c r="C126" s="1041"/>
      <c r="D126" s="1041"/>
      <c r="E126" s="1041"/>
      <c r="F126" s="1041"/>
      <c r="G126" s="1041"/>
      <c r="H126" s="1041"/>
      <c r="I126" s="1041"/>
      <c r="J126" s="1041"/>
      <c r="K126" s="1049">
        <f>O126*(R126+S126+T126)</f>
        <v>0</v>
      </c>
      <c r="L126" s="1050"/>
      <c r="M126" s="1049">
        <f>O126*(S126+T126+U126)</f>
        <v>0</v>
      </c>
      <c r="N126" s="1041"/>
      <c r="O126" s="1051">
        <f>O$110</f>
        <v>0</v>
      </c>
      <c r="P126" s="1041"/>
      <c r="Q126" s="1052" t="s">
        <v>562</v>
      </c>
      <c r="R126" s="1049"/>
      <c r="S126" s="1049"/>
      <c r="T126" s="1049"/>
      <c r="U126" s="1055"/>
      <c r="V126" s="1055"/>
      <c r="W126" s="1055"/>
      <c r="X126" s="1055"/>
      <c r="Y126" s="1055"/>
      <c r="Z126" s="1055"/>
      <c r="AA126" s="1055"/>
      <c r="AB126" s="1041"/>
    </row>
    <row r="127" spans="1:28">
      <c r="A127" s="1041"/>
      <c r="B127" s="1041"/>
      <c r="C127" s="1041"/>
      <c r="D127" s="1041"/>
      <c r="E127" s="1041"/>
      <c r="F127" s="1041"/>
      <c r="G127" s="1041"/>
      <c r="H127" s="1041"/>
      <c r="I127" s="1041"/>
      <c r="J127" s="1041"/>
      <c r="K127" s="1049">
        <f>O127*(R127+S127+T127)</f>
        <v>0</v>
      </c>
      <c r="L127" s="1050"/>
      <c r="M127" s="1049">
        <f>O127*(S127+T127+U127)</f>
        <v>0</v>
      </c>
      <c r="N127" s="1041"/>
      <c r="O127" s="1051">
        <f>O$110</f>
        <v>0</v>
      </c>
      <c r="P127" s="1041"/>
      <c r="Q127" s="1058" t="s">
        <v>545</v>
      </c>
      <c r="R127" s="1057"/>
      <c r="S127" s="1057"/>
      <c r="T127" s="1057"/>
      <c r="U127" s="1055"/>
      <c r="V127" s="1055"/>
      <c r="W127" s="1055"/>
      <c r="X127" s="1055"/>
      <c r="Y127" s="1055"/>
      <c r="Z127" s="1055"/>
      <c r="AA127" s="1055"/>
      <c r="AB127" s="1041"/>
    </row>
    <row r="128" spans="1:28">
      <c r="A128" s="1041"/>
      <c r="B128" s="1041"/>
      <c r="C128" s="1041"/>
      <c r="D128" s="1041"/>
      <c r="E128" s="1041"/>
      <c r="F128" s="1041"/>
      <c r="G128" s="1041"/>
      <c r="H128" s="1041"/>
      <c r="I128" s="1041"/>
      <c r="J128" s="1041"/>
      <c r="K128" s="1059">
        <f>SUM(K110:K127)</f>
        <v>0</v>
      </c>
      <c r="L128" s="1060"/>
      <c r="M128" s="1059">
        <f>SUM(M110:M127)</f>
        <v>0</v>
      </c>
      <c r="N128" s="1041"/>
      <c r="O128" s="1041"/>
      <c r="P128" s="1041"/>
      <c r="Q128" s="1061"/>
      <c r="R128" s="1059">
        <f>SUM(R110:R127)</f>
        <v>213</v>
      </c>
      <c r="S128" s="1059">
        <f>SUM(S110:S127)</f>
        <v>196</v>
      </c>
      <c r="T128" s="1059">
        <f>SUM(T110:T127)</f>
        <v>213</v>
      </c>
      <c r="U128" s="1059">
        <f>SUM(U110:U127)</f>
        <v>250.63307581316838</v>
      </c>
      <c r="V128" s="1062"/>
      <c r="W128" s="1062"/>
      <c r="X128" s="1062"/>
      <c r="Y128" s="1062"/>
      <c r="Z128" s="1062"/>
      <c r="AA128" s="1062"/>
      <c r="AB128" s="1041"/>
    </row>
    <row r="129" spans="1:28">
      <c r="A129" s="1041"/>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1"/>
      <c r="X129" s="1041"/>
      <c r="Y129" s="1041"/>
      <c r="Z129" s="1041"/>
      <c r="AA129" s="1041"/>
      <c r="AB129" s="1041"/>
    </row>
    <row r="130" spans="1:28">
      <c r="A130" s="1041"/>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1"/>
      <c r="X130" s="1041"/>
      <c r="Y130" s="1041"/>
      <c r="Z130" s="1041"/>
      <c r="AA130" s="1041"/>
      <c r="AB130" s="1041"/>
    </row>
    <row r="131" spans="1:28">
      <c r="A131" s="1041"/>
      <c r="B131" s="1041"/>
      <c r="C131" s="1041"/>
      <c r="D131" s="1041"/>
      <c r="E131" s="1041"/>
      <c r="F131" s="1041"/>
      <c r="G131" s="1041"/>
      <c r="H131" s="1041"/>
      <c r="I131" s="1041"/>
      <c r="J131" s="1041"/>
      <c r="K131" s="1041"/>
      <c r="L131" s="1041"/>
      <c r="M131" s="1041"/>
      <c r="N131" s="1041"/>
      <c r="O131" s="1041"/>
      <c r="P131" s="1041"/>
      <c r="Q131" s="1041"/>
      <c r="R131" s="1041"/>
      <c r="S131" s="1041"/>
      <c r="T131" s="1041"/>
      <c r="U131" s="1041"/>
      <c r="V131" s="1041"/>
      <c r="W131" s="1041"/>
      <c r="X131" s="1041"/>
      <c r="Y131" s="1041"/>
      <c r="Z131" s="1041"/>
      <c r="AA131" s="1041"/>
      <c r="AB131" s="1041"/>
    </row>
  </sheetData>
  <pageMargins left="0.75" right="0.75" top="1" bottom="1" header="0.5" footer="0.5"/>
  <pageSetup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8"/>
  <sheetViews>
    <sheetView workbookViewId="0">
      <selection activeCell="I30" sqref="I30:I34"/>
    </sheetView>
  </sheetViews>
  <sheetFormatPr defaultColWidth="11" defaultRowHeight="15.75"/>
  <cols>
    <col min="1" max="1" width="21.375" customWidth="1"/>
    <col min="5" max="5" width="8.125" customWidth="1"/>
    <col min="10" max="10" width="11.875" customWidth="1"/>
  </cols>
  <sheetData>
    <row r="1" spans="1:21">
      <c r="A1" s="10" t="s">
        <v>661</v>
      </c>
      <c r="D1" s="46"/>
      <c r="I1" s="46"/>
    </row>
    <row r="2" spans="1:21">
      <c r="A2" s="10"/>
      <c r="D2" s="46"/>
      <c r="I2" s="46"/>
      <c r="K2" s="1023"/>
    </row>
    <row r="3" spans="1:21">
      <c r="E3" s="154"/>
      <c r="F3" s="154"/>
      <c r="I3" s="441"/>
    </row>
    <row r="4" spans="1:21">
      <c r="E4" s="154"/>
      <c r="F4" s="154"/>
    </row>
    <row r="5" spans="1:21">
      <c r="E5" s="154"/>
      <c r="F5" s="154"/>
    </row>
    <row r="6" spans="1:21">
      <c r="D6" s="46"/>
    </row>
    <row r="7" spans="1:21">
      <c r="D7" s="46"/>
      <c r="E7" s="10"/>
    </row>
    <row r="8" spans="1:21" ht="16.5" thickBot="1">
      <c r="D8" s="46"/>
    </row>
    <row r="9" spans="1:21" ht="16.5" thickBot="1">
      <c r="A9" s="497" t="s">
        <v>662</v>
      </c>
      <c r="B9" s="498"/>
      <c r="C9" s="499">
        <f>'Dashboard-Academic Allocation'!D39</f>
        <v>812521.69448681897</v>
      </c>
      <c r="D9" s="46"/>
    </row>
    <row r="10" spans="1:21">
      <c r="D10" s="46"/>
    </row>
    <row r="11" spans="1:21">
      <c r="D11" s="46"/>
    </row>
    <row r="12" spans="1:21">
      <c r="D12" s="46"/>
      <c r="J12" s="454"/>
      <c r="K12" s="454"/>
      <c r="L12" s="454"/>
      <c r="M12" s="454"/>
      <c r="N12" s="454"/>
    </row>
    <row r="13" spans="1:21">
      <c r="D13" s="46"/>
    </row>
    <row r="14" spans="1:21">
      <c r="D14" s="46"/>
    </row>
    <row r="15" spans="1:21">
      <c r="A15" s="478" t="s">
        <v>584</v>
      </c>
      <c r="B15" s="217"/>
      <c r="C15" s="217"/>
      <c r="D15" s="217"/>
      <c r="E15" s="46"/>
      <c r="F15" s="478" t="s">
        <v>665</v>
      </c>
      <c r="G15" s="478"/>
      <c r="H15" s="478"/>
      <c r="I15" s="478"/>
      <c r="K15" s="557" t="s">
        <v>663</v>
      </c>
      <c r="L15" s="556"/>
      <c r="M15" s="556"/>
      <c r="N15" s="556"/>
      <c r="O15" s="556"/>
    </row>
    <row r="16" spans="1:21" ht="38.25">
      <c r="A16" s="479"/>
      <c r="B16" s="480" t="s">
        <v>847</v>
      </c>
      <c r="C16" s="480" t="s">
        <v>942</v>
      </c>
      <c r="D16" s="480" t="s">
        <v>1396</v>
      </c>
      <c r="E16" s="496"/>
      <c r="F16" s="479"/>
      <c r="G16" s="480" t="s">
        <v>845</v>
      </c>
      <c r="H16" s="480" t="s">
        <v>941</v>
      </c>
      <c r="I16" s="480" t="s">
        <v>1317</v>
      </c>
      <c r="K16" s="500"/>
      <c r="L16" s="515" t="s">
        <v>0</v>
      </c>
      <c r="M16" s="515" t="s">
        <v>12</v>
      </c>
      <c r="N16" s="515" t="s">
        <v>573</v>
      </c>
      <c r="O16" s="515" t="s">
        <v>885</v>
      </c>
      <c r="P16" s="515" t="s">
        <v>664</v>
      </c>
      <c r="Q16" s="515" t="s">
        <v>875</v>
      </c>
      <c r="R16" s="515" t="s">
        <v>1034</v>
      </c>
      <c r="S16" s="515" t="s">
        <v>1347</v>
      </c>
      <c r="T16" s="1031" t="s">
        <v>1750</v>
      </c>
      <c r="U16" s="1031" t="s">
        <v>1045</v>
      </c>
    </row>
    <row r="17" spans="1:21">
      <c r="A17" s="481" t="s">
        <v>538</v>
      </c>
      <c r="B17" s="455">
        <f t="shared" ref="B17:B28" si="0">G17*C$9</f>
        <v>37203.222050817742</v>
      </c>
      <c r="C17" s="455">
        <f>H17*C$9</f>
        <v>40737.44238265873</v>
      </c>
      <c r="D17" s="455">
        <f t="shared" ref="D17:D28" si="1">I17*C$9</f>
        <v>42187.268630905368</v>
      </c>
      <c r="E17" s="46"/>
      <c r="F17" s="481" t="s">
        <v>538</v>
      </c>
      <c r="G17" s="543">
        <f>(M18+N18+O18)/(O$36+M$36+N$36)</f>
        <v>4.5787358421629523E-2</v>
      </c>
      <c r="H17" s="543">
        <f>(N18+O18+R18)/(R$36+N$36+O$36)</f>
        <v>5.0137051920057484E-2</v>
      </c>
      <c r="I17" s="543">
        <f>(O18+R18+T18)/(T$36+O$36+R$36)</f>
        <v>5.1921405812493965E-2</v>
      </c>
    </row>
    <row r="18" spans="1:21">
      <c r="A18" s="481" t="s">
        <v>6</v>
      </c>
      <c r="B18" s="455">
        <f t="shared" si="0"/>
        <v>124256.1492306916</v>
      </c>
      <c r="C18" s="455">
        <f t="shared" ref="C18:C28" si="2">H18*C$9</f>
        <v>123196.16665350216</v>
      </c>
      <c r="D18" s="455">
        <f t="shared" si="1"/>
        <v>114676.41082515279</v>
      </c>
      <c r="E18" s="46"/>
      <c r="F18" s="481" t="s">
        <v>6</v>
      </c>
      <c r="G18" s="543">
        <f t="shared" ref="G18:G28" si="3">(M19+N19+O19)/(O$36+M$36+N$36)</f>
        <v>0.15292656192911946</v>
      </c>
      <c r="H18" s="543">
        <f t="shared" ref="H18:H34" si="4">(N19+O19+R19)/(R$36+N$36+O$36)</f>
        <v>0.15162200282087446</v>
      </c>
      <c r="I18" s="543">
        <f t="shared" ref="I18:I28" si="5">(O19+R19+T19)/(T$36+O$36+R$36)</f>
        <v>0.14113642946799265</v>
      </c>
      <c r="K18" s="481" t="s">
        <v>538</v>
      </c>
      <c r="L18" s="455">
        <v>688</v>
      </c>
      <c r="M18" s="455">
        <v>684</v>
      </c>
      <c r="N18" s="455">
        <v>982</v>
      </c>
      <c r="O18" s="455">
        <v>1467</v>
      </c>
      <c r="P18" s="455">
        <v>1078.6666666666665</v>
      </c>
      <c r="Q18" s="1274">
        <v>1496.5410000000002</v>
      </c>
      <c r="R18" s="455">
        <v>1319</v>
      </c>
      <c r="S18" s="1274">
        <v>1856.3337825468734</v>
      </c>
      <c r="T18" s="455">
        <v>1516</v>
      </c>
      <c r="U18" s="208">
        <f>D17/((N18+O18+Q18)/3)</f>
        <v>32.077174180350958</v>
      </c>
    </row>
    <row r="19" spans="1:21">
      <c r="A19" s="481" t="s">
        <v>8</v>
      </c>
      <c r="B19" s="455">
        <f t="shared" si="0"/>
        <v>140690.63991640235</v>
      </c>
      <c r="C19" s="455">
        <f t="shared" si="2"/>
        <v>138883.54162622982</v>
      </c>
      <c r="D19" s="455">
        <f t="shared" si="1"/>
        <v>134151.98393091245</v>
      </c>
      <c r="E19" s="46"/>
      <c r="F19" s="481" t="s">
        <v>8</v>
      </c>
      <c r="G19" s="543">
        <f t="shared" si="3"/>
        <v>0.17315308732188528</v>
      </c>
      <c r="H19" s="543">
        <f t="shared" si="4"/>
        <v>0.17092902573382654</v>
      </c>
      <c r="I19" s="543">
        <f t="shared" si="5"/>
        <v>0.16510572559621511</v>
      </c>
      <c r="K19" s="481" t="s">
        <v>6</v>
      </c>
      <c r="L19" s="455">
        <v>2159</v>
      </c>
      <c r="M19" s="455">
        <v>2901</v>
      </c>
      <c r="N19" s="455">
        <v>3560</v>
      </c>
      <c r="O19" s="455">
        <v>4003</v>
      </c>
      <c r="P19" s="455">
        <v>4274.3333333333339</v>
      </c>
      <c r="Q19" s="1274">
        <v>3397.6290000000004</v>
      </c>
      <c r="R19" s="455">
        <v>3832</v>
      </c>
      <c r="S19" s="1274">
        <v>3754.1056300969217</v>
      </c>
      <c r="T19" s="455">
        <v>3859</v>
      </c>
      <c r="U19" s="208">
        <f t="shared" ref="U19:U35" si="6">D18/((N19+O19+Q19)/3)</f>
        <v>31.387727152835698</v>
      </c>
    </row>
    <row r="20" spans="1:21">
      <c r="A20" s="483" t="s">
        <v>2</v>
      </c>
      <c r="B20" s="455">
        <f t="shared" si="0"/>
        <v>46631.679857504394</v>
      </c>
      <c r="C20" s="455">
        <f t="shared" si="2"/>
        <v>40067.134148124533</v>
      </c>
      <c r="D20" s="455">
        <f t="shared" si="1"/>
        <v>33292.835193380692</v>
      </c>
      <c r="E20" s="46"/>
      <c r="F20" s="483" t="s">
        <v>2</v>
      </c>
      <c r="G20" s="544">
        <f t="shared" si="3"/>
        <v>5.7391304347826085E-2</v>
      </c>
      <c r="H20" s="544">
        <f t="shared" si="4"/>
        <v>4.9312079197381377E-2</v>
      </c>
      <c r="I20" s="544">
        <f t="shared" si="5"/>
        <v>4.0974703099353096E-2</v>
      </c>
      <c r="K20" s="481" t="s">
        <v>8</v>
      </c>
      <c r="L20" s="455">
        <v>3681</v>
      </c>
      <c r="M20" s="455">
        <v>3850</v>
      </c>
      <c r="N20" s="455">
        <v>3849</v>
      </c>
      <c r="O20" s="455">
        <v>4149</v>
      </c>
      <c r="P20" s="455">
        <v>3961.3333333333335</v>
      </c>
      <c r="Q20" s="1274">
        <v>4800.8130000000001</v>
      </c>
      <c r="R20" s="455">
        <v>4848</v>
      </c>
      <c r="S20" s="1274">
        <v>4701.5026496486098</v>
      </c>
      <c r="T20" s="455">
        <v>4683</v>
      </c>
      <c r="U20" s="208">
        <f t="shared" si="6"/>
        <v>31.444787246499921</v>
      </c>
    </row>
    <row r="21" spans="1:21">
      <c r="A21" s="481" t="s">
        <v>10</v>
      </c>
      <c r="B21" s="455">
        <f t="shared" si="0"/>
        <v>0</v>
      </c>
      <c r="C21" s="455">
        <f t="shared" si="2"/>
        <v>0</v>
      </c>
      <c r="D21" s="455">
        <f t="shared" si="1"/>
        <v>0</v>
      </c>
      <c r="E21" s="46"/>
      <c r="F21" s="481" t="s">
        <v>10</v>
      </c>
      <c r="G21" s="543">
        <f t="shared" si="3"/>
        <v>0</v>
      </c>
      <c r="H21" s="543">
        <f t="shared" si="4"/>
        <v>0</v>
      </c>
      <c r="I21" s="543">
        <f t="shared" si="5"/>
        <v>0</v>
      </c>
      <c r="K21" s="483" t="s">
        <v>2</v>
      </c>
      <c r="L21" s="463">
        <v>877</v>
      </c>
      <c r="M21" s="463">
        <v>1156</v>
      </c>
      <c r="N21" s="463">
        <v>1533</v>
      </c>
      <c r="O21" s="463">
        <v>1238</v>
      </c>
      <c r="P21" s="463">
        <v>1844.6666666666667</v>
      </c>
      <c r="Q21" s="1275">
        <v>953.37300000000005</v>
      </c>
      <c r="R21" s="463">
        <v>935</v>
      </c>
      <c r="S21" s="1275">
        <v>1137.5451395849973</v>
      </c>
      <c r="T21" s="463">
        <v>1222</v>
      </c>
      <c r="U21" s="208">
        <f t="shared" si="6"/>
        <v>26.81753561744274</v>
      </c>
    </row>
    <row r="22" spans="1:21">
      <c r="A22" s="481" t="s">
        <v>4</v>
      </c>
      <c r="B22" s="455">
        <f t="shared" si="0"/>
        <v>72257.135709934868</v>
      </c>
      <c r="C22" s="455">
        <f t="shared" si="2"/>
        <v>87496.847452987538</v>
      </c>
      <c r="D22" s="455">
        <f t="shared" si="1"/>
        <v>110812.67678503736</v>
      </c>
      <c r="E22" s="46"/>
      <c r="F22" s="481" t="s">
        <v>4</v>
      </c>
      <c r="G22" s="543">
        <f t="shared" si="3"/>
        <v>8.8929484837413225E-2</v>
      </c>
      <c r="H22" s="543">
        <f t="shared" si="4"/>
        <v>0.10768555233254384</v>
      </c>
      <c r="I22" s="543">
        <f t="shared" si="5"/>
        <v>0.13638119146470987</v>
      </c>
      <c r="K22" s="481" t="s">
        <v>10</v>
      </c>
      <c r="L22" s="454">
        <v>0</v>
      </c>
      <c r="M22" s="454">
        <v>0</v>
      </c>
      <c r="N22" s="454">
        <v>0</v>
      </c>
      <c r="O22" s="454">
        <v>0</v>
      </c>
      <c r="P22" s="454">
        <v>0</v>
      </c>
      <c r="Q22" s="1276">
        <v>0</v>
      </c>
      <c r="R22" s="454">
        <v>0</v>
      </c>
      <c r="S22" s="1276">
        <v>0</v>
      </c>
      <c r="T22" s="454">
        <v>0</v>
      </c>
      <c r="U22" s="208"/>
    </row>
    <row r="23" spans="1:21">
      <c r="A23" s="481" t="s">
        <v>14</v>
      </c>
      <c r="B23" s="455">
        <f t="shared" si="0"/>
        <v>0</v>
      </c>
      <c r="C23" s="455">
        <f t="shared" si="2"/>
        <v>0</v>
      </c>
      <c r="D23" s="455">
        <f t="shared" si="1"/>
        <v>0</v>
      </c>
      <c r="E23" s="46"/>
      <c r="F23" s="481" t="s">
        <v>14</v>
      </c>
      <c r="G23" s="543">
        <f t="shared" si="3"/>
        <v>0</v>
      </c>
      <c r="H23" s="543">
        <f t="shared" si="4"/>
        <v>0</v>
      </c>
      <c r="I23" s="543">
        <f t="shared" si="5"/>
        <v>0</v>
      </c>
      <c r="K23" s="481" t="s">
        <v>4</v>
      </c>
      <c r="L23" s="455">
        <v>1511</v>
      </c>
      <c r="M23" s="455">
        <v>1779</v>
      </c>
      <c r="N23" s="455">
        <v>1854</v>
      </c>
      <c r="O23" s="455">
        <v>2452</v>
      </c>
      <c r="P23" s="455">
        <v>2057.666666666667</v>
      </c>
      <c r="Q23" s="1274">
        <v>4127.5110000000004</v>
      </c>
      <c r="R23" s="455">
        <v>3787</v>
      </c>
      <c r="S23" s="1274">
        <v>4964.305263863841</v>
      </c>
      <c r="T23" s="455">
        <v>5061</v>
      </c>
      <c r="U23" s="208">
        <f t="shared" si="6"/>
        <v>39.418698849756886</v>
      </c>
    </row>
    <row r="24" spans="1:21">
      <c r="A24" s="483" t="s">
        <v>17</v>
      </c>
      <c r="B24" s="455">
        <f t="shared" si="0"/>
        <v>143303.05895603847</v>
      </c>
      <c r="C24" s="455">
        <f t="shared" si="2"/>
        <v>141586.39741064192</v>
      </c>
      <c r="D24" s="455">
        <f t="shared" si="1"/>
        <v>143497.51322083641</v>
      </c>
      <c r="E24" s="46"/>
      <c r="F24" s="483" t="s">
        <v>17</v>
      </c>
      <c r="G24" s="544">
        <f t="shared" si="3"/>
        <v>0.17636828644501279</v>
      </c>
      <c r="H24" s="544">
        <f t="shared" si="4"/>
        <v>0.17425552864784311</v>
      </c>
      <c r="I24" s="544">
        <f t="shared" si="5"/>
        <v>0.17660760838080525</v>
      </c>
      <c r="K24" s="481" t="s">
        <v>14</v>
      </c>
      <c r="L24" s="454">
        <v>0</v>
      </c>
      <c r="M24" s="454">
        <v>0</v>
      </c>
      <c r="N24" s="454">
        <v>0</v>
      </c>
      <c r="O24" s="454">
        <v>0</v>
      </c>
      <c r="P24" s="454">
        <v>0</v>
      </c>
      <c r="Q24" s="1276">
        <v>0</v>
      </c>
      <c r="R24" s="454">
        <v>0</v>
      </c>
      <c r="S24" s="1276">
        <v>0</v>
      </c>
      <c r="T24" s="454">
        <v>0</v>
      </c>
      <c r="U24" s="208"/>
    </row>
    <row r="25" spans="1:21">
      <c r="A25" s="481" t="s">
        <v>324</v>
      </c>
      <c r="B25" s="455">
        <f t="shared" si="0"/>
        <v>0</v>
      </c>
      <c r="C25" s="455">
        <f t="shared" si="2"/>
        <v>0</v>
      </c>
      <c r="D25" s="455">
        <f t="shared" si="1"/>
        <v>0</v>
      </c>
      <c r="E25" s="46"/>
      <c r="F25" s="481" t="s">
        <v>324</v>
      </c>
      <c r="G25" s="543">
        <f t="shared" si="3"/>
        <v>0</v>
      </c>
      <c r="H25" s="543">
        <f t="shared" si="4"/>
        <v>0</v>
      </c>
      <c r="I25" s="543">
        <f t="shared" si="5"/>
        <v>0</v>
      </c>
      <c r="K25" s="483" t="s">
        <v>17</v>
      </c>
      <c r="L25" s="463">
        <v>3482</v>
      </c>
      <c r="M25" s="463">
        <v>3799</v>
      </c>
      <c r="N25" s="463">
        <v>3771</v>
      </c>
      <c r="O25" s="463">
        <v>4498</v>
      </c>
      <c r="P25" s="463">
        <v>3973</v>
      </c>
      <c r="Q25" s="1275">
        <v>4698.9690000000001</v>
      </c>
      <c r="R25" s="463">
        <v>4827</v>
      </c>
      <c r="S25" s="1275">
        <v>5363.8728245361835</v>
      </c>
      <c r="T25" s="463">
        <v>5308</v>
      </c>
      <c r="U25" s="208">
        <f t="shared" si="6"/>
        <v>33.196604623477214</v>
      </c>
    </row>
    <row r="26" spans="1:21">
      <c r="A26" s="481" t="s">
        <v>7</v>
      </c>
      <c r="B26" s="455">
        <f t="shared" si="0"/>
        <v>56582.621472118262</v>
      </c>
      <c r="C26" s="455">
        <f t="shared" si="2"/>
        <v>74955.596613315545</v>
      </c>
      <c r="D26" s="455">
        <f t="shared" si="1"/>
        <v>85188.471082444186</v>
      </c>
      <c r="E26" s="46"/>
      <c r="F26" s="481" t="s">
        <v>7</v>
      </c>
      <c r="G26" s="543">
        <f t="shared" si="3"/>
        <v>6.9638290098648151E-2</v>
      </c>
      <c r="H26" s="543">
        <f t="shared" si="4"/>
        <v>9.2250578811507042E-2</v>
      </c>
      <c r="I26" s="543">
        <f t="shared" si="5"/>
        <v>0.1048445495799942</v>
      </c>
      <c r="K26" s="481" t="s">
        <v>324</v>
      </c>
      <c r="L26" s="454">
        <v>0</v>
      </c>
      <c r="M26" s="454">
        <v>0</v>
      </c>
      <c r="N26" s="454">
        <v>0</v>
      </c>
      <c r="O26" s="454">
        <v>0</v>
      </c>
      <c r="P26" s="454">
        <v>0</v>
      </c>
      <c r="Q26" s="1276">
        <v>0</v>
      </c>
      <c r="R26" s="454">
        <v>0</v>
      </c>
      <c r="S26" s="1276">
        <v>0</v>
      </c>
      <c r="T26" s="454">
        <v>0</v>
      </c>
      <c r="U26" s="208"/>
    </row>
    <row r="27" spans="1:21">
      <c r="A27" s="481" t="s">
        <v>9</v>
      </c>
      <c r="B27" s="455">
        <f t="shared" si="0"/>
        <v>160010.66617771116</v>
      </c>
      <c r="C27" s="455">
        <f t="shared" si="2"/>
        <v>146343.42359120713</v>
      </c>
      <c r="D27" s="455">
        <f t="shared" si="1"/>
        <v>132896.76068945363</v>
      </c>
      <c r="E27" s="46"/>
      <c r="F27" s="481" t="s">
        <v>9</v>
      </c>
      <c r="G27" s="543">
        <f t="shared" si="3"/>
        <v>0.1969309462915601</v>
      </c>
      <c r="H27" s="543">
        <f t="shared" si="4"/>
        <v>0.18011017377651223</v>
      </c>
      <c r="I27" s="543">
        <f t="shared" si="5"/>
        <v>0.1635608767017476</v>
      </c>
      <c r="K27" s="481" t="s">
        <v>7</v>
      </c>
      <c r="L27" s="455">
        <v>754</v>
      </c>
      <c r="M27" s="455">
        <v>803</v>
      </c>
      <c r="N27" s="455">
        <v>1591</v>
      </c>
      <c r="O27" s="455">
        <v>2371</v>
      </c>
      <c r="P27" s="455">
        <v>1886.3333333333335</v>
      </c>
      <c r="Q27" s="1274">
        <v>3445.7220000000002</v>
      </c>
      <c r="R27" s="455">
        <v>2971</v>
      </c>
      <c r="S27" s="1274">
        <v>3116.8796377322142</v>
      </c>
      <c r="T27" s="455">
        <v>3345</v>
      </c>
      <c r="U27" s="208">
        <f t="shared" si="6"/>
        <v>34.499865579098753</v>
      </c>
    </row>
    <row r="28" spans="1:21">
      <c r="A28" s="483" t="s">
        <v>5</v>
      </c>
      <c r="B28" s="455">
        <f t="shared" si="0"/>
        <v>19296.276997312103</v>
      </c>
      <c r="C28" s="455">
        <f t="shared" si="2"/>
        <v>15157.615238982891</v>
      </c>
      <c r="D28" s="455">
        <f t="shared" si="1"/>
        <v>10943.977636469175</v>
      </c>
      <c r="E28" s="46"/>
      <c r="F28" s="483" t="s">
        <v>5</v>
      </c>
      <c r="G28" s="544">
        <f t="shared" si="3"/>
        <v>2.3748629886737302E-2</v>
      </c>
      <c r="H28" s="544">
        <f t="shared" si="4"/>
        <v>1.8655028341804828E-2</v>
      </c>
      <c r="I28" s="544">
        <f t="shared" si="5"/>
        <v>1.3469151298638602E-2</v>
      </c>
      <c r="K28" s="481" t="s">
        <v>9</v>
      </c>
      <c r="L28" s="455">
        <v>3691</v>
      </c>
      <c r="M28" s="455">
        <v>4412</v>
      </c>
      <c r="N28" s="455">
        <v>4568</v>
      </c>
      <c r="O28" s="455">
        <v>4495</v>
      </c>
      <c r="P28" s="455">
        <v>5100.6666666666661</v>
      </c>
      <c r="Q28" s="1274">
        <v>4681.9949999999999</v>
      </c>
      <c r="R28" s="455">
        <v>4473</v>
      </c>
      <c r="S28" s="1274">
        <v>4686.6519600168904</v>
      </c>
      <c r="T28" s="455">
        <v>4584</v>
      </c>
      <c r="U28" s="208">
        <f t="shared" si="6"/>
        <v>29.006215140009939</v>
      </c>
    </row>
    <row r="29" spans="1:21">
      <c r="A29" s="481"/>
      <c r="B29" s="454"/>
      <c r="C29" s="454"/>
      <c r="D29" s="454"/>
      <c r="E29" s="46"/>
      <c r="F29" s="481"/>
      <c r="G29" s="543"/>
      <c r="H29" s="543"/>
      <c r="I29" s="543"/>
      <c r="K29" s="483" t="s">
        <v>5</v>
      </c>
      <c r="L29" s="463">
        <v>211</v>
      </c>
      <c r="M29" s="463">
        <v>627</v>
      </c>
      <c r="N29" s="463">
        <v>656</v>
      </c>
      <c r="O29" s="463">
        <v>342</v>
      </c>
      <c r="P29" s="463">
        <v>943</v>
      </c>
      <c r="Q29" s="1275">
        <v>526.19400000000007</v>
      </c>
      <c r="R29" s="463">
        <v>404</v>
      </c>
      <c r="S29" s="1275">
        <v>314.60256410256409</v>
      </c>
      <c r="T29" s="463">
        <v>370</v>
      </c>
      <c r="U29" s="208">
        <f t="shared" si="6"/>
        <v>21.540521029086538</v>
      </c>
    </row>
    <row r="30" spans="1:21">
      <c r="A30" s="481" t="s">
        <v>541</v>
      </c>
      <c r="B30" s="455">
        <f>G30*C$9</f>
        <v>1175.5885678362451</v>
      </c>
      <c r="C30" s="455">
        <f>H30*C$9</f>
        <v>486.51404119417271</v>
      </c>
      <c r="D30" s="455">
        <f>I30*C$9</f>
        <v>647.22448387720931</v>
      </c>
      <c r="E30" s="46"/>
      <c r="F30" s="481" t="s">
        <v>541</v>
      </c>
      <c r="G30" s="543">
        <f>(M31+N31+O31)/(O$36+M$36+N$36)</f>
        <v>1.4468396054073804E-3</v>
      </c>
      <c r="H30" s="543">
        <f t="shared" si="4"/>
        <v>5.9877052452297951E-4</v>
      </c>
      <c r="I30" s="543">
        <f t="shared" ref="I30:I34" si="7">(O31+R31+T31)/(T$36+O$36+R$36)</f>
        <v>7.965627112098098E-4</v>
      </c>
      <c r="K30" s="481"/>
      <c r="L30" s="454"/>
      <c r="M30" s="454"/>
      <c r="N30" s="454"/>
      <c r="O30" s="454"/>
      <c r="P30" s="454"/>
      <c r="Q30" s="1276"/>
      <c r="R30" s="454"/>
      <c r="S30" s="1276"/>
      <c r="T30" s="454"/>
      <c r="U30" s="208"/>
    </row>
    <row r="31" spans="1:21">
      <c r="A31" s="481" t="s">
        <v>563</v>
      </c>
      <c r="B31" s="455">
        <f>G31*C$9</f>
        <v>8324.1170308404835</v>
      </c>
      <c r="C31" s="455">
        <f>H31*C$9</f>
        <v>1200.0679682789594</v>
      </c>
      <c r="D31" s="455">
        <f>I31*C$9</f>
        <v>970.83672581581391</v>
      </c>
      <c r="E31" s="46"/>
      <c r="F31" s="481" t="s">
        <v>563</v>
      </c>
      <c r="G31" s="543">
        <f>(M32+N32+O32)/(O$36+M$36+N$36)</f>
        <v>1.0244793569601753E-2</v>
      </c>
      <c r="H31" s="543">
        <f t="shared" si="4"/>
        <v>1.4769672938233494E-3</v>
      </c>
      <c r="I31" s="543">
        <f t="shared" si="7"/>
        <v>1.1948440668147146E-3</v>
      </c>
      <c r="K31" s="481" t="s">
        <v>541</v>
      </c>
      <c r="L31" s="454">
        <v>91</v>
      </c>
      <c r="M31" s="454">
        <v>63</v>
      </c>
      <c r="N31" s="454">
        <v>27</v>
      </c>
      <c r="O31" s="454">
        <v>9</v>
      </c>
      <c r="P31" s="469">
        <v>60.333333333333336</v>
      </c>
      <c r="Q31" s="1276">
        <v>8.4870000000000001</v>
      </c>
      <c r="R31" s="454">
        <v>9</v>
      </c>
      <c r="S31" s="1276">
        <v>54</v>
      </c>
      <c r="T31" s="454">
        <v>48</v>
      </c>
      <c r="U31" s="208">
        <f t="shared" si="6"/>
        <v>43.645861749086876</v>
      </c>
    </row>
    <row r="32" spans="1:21">
      <c r="A32" s="483" t="s">
        <v>543</v>
      </c>
      <c r="B32" s="455">
        <f>G32*C$9</f>
        <v>0</v>
      </c>
      <c r="C32" s="455">
        <f>H32*C$9</f>
        <v>0</v>
      </c>
      <c r="D32" s="455">
        <f>I32*C$9</f>
        <v>333.41867351250175</v>
      </c>
      <c r="E32" s="46"/>
      <c r="F32" s="483" t="s">
        <v>543</v>
      </c>
      <c r="G32" s="544">
        <f>(M33+N33+O33)/(O$36+M$36+N$36)</f>
        <v>0</v>
      </c>
      <c r="H32" s="544">
        <f t="shared" si="4"/>
        <v>0</v>
      </c>
      <c r="I32" s="544">
        <f t="shared" si="7"/>
        <v>4.1035048759293231E-4</v>
      </c>
      <c r="K32" s="481" t="s">
        <v>563</v>
      </c>
      <c r="L32" s="454">
        <v>636</v>
      </c>
      <c r="M32" s="454">
        <v>626</v>
      </c>
      <c r="N32" s="454">
        <v>30</v>
      </c>
      <c r="O32" s="454">
        <v>45</v>
      </c>
      <c r="P32" s="469">
        <v>430.66666666666669</v>
      </c>
      <c r="Q32" s="1276">
        <v>0</v>
      </c>
      <c r="R32" s="454">
        <v>36</v>
      </c>
      <c r="S32" s="1276">
        <v>18</v>
      </c>
      <c r="T32" s="454">
        <v>18</v>
      </c>
      <c r="U32" s="208">
        <f t="shared" si="6"/>
        <v>38.833469032632557</v>
      </c>
    </row>
    <row r="33" spans="1:21">
      <c r="A33" s="481" t="s">
        <v>562</v>
      </c>
      <c r="B33" s="455">
        <f>G33*C$9</f>
        <v>1519.9528957882765</v>
      </c>
      <c r="C33" s="455">
        <f>H33*C$9</f>
        <v>1254.1250839672007</v>
      </c>
      <c r="D33" s="455">
        <f>I33*C$9</f>
        <v>1255.2232414588302</v>
      </c>
      <c r="E33" s="46"/>
      <c r="F33" s="481" t="s">
        <v>562</v>
      </c>
      <c r="G33" s="543">
        <f>(M34+N34+O34)/(O$36+M$36+N$36)</f>
        <v>1.8706613080014614E-3</v>
      </c>
      <c r="H33" s="543">
        <f t="shared" si="4"/>
        <v>1.5434973521036804E-3</v>
      </c>
      <c r="I33" s="543">
        <f t="shared" si="7"/>
        <v>1.54484889446751E-3</v>
      </c>
      <c r="K33" s="483" t="s">
        <v>543</v>
      </c>
      <c r="L33" s="464"/>
      <c r="M33" s="464"/>
      <c r="N33" s="464"/>
      <c r="O33" s="464"/>
      <c r="P33" s="627"/>
      <c r="Q33" s="1277"/>
      <c r="R33" s="464">
        <v>0</v>
      </c>
      <c r="S33" s="1277">
        <v>0</v>
      </c>
      <c r="T33" s="464">
        <v>34</v>
      </c>
      <c r="U33" s="208"/>
    </row>
    <row r="34" spans="1:21">
      <c r="A34" s="487" t="s">
        <v>545</v>
      </c>
      <c r="B34" s="455">
        <f>G34*C$9</f>
        <v>1270.5856238230124</v>
      </c>
      <c r="C34" s="455">
        <f>H34*C$9</f>
        <v>1156.8222757283663</v>
      </c>
      <c r="D34" s="455">
        <f>I34*C$9</f>
        <v>1667.0933675625088</v>
      </c>
      <c r="E34" s="46"/>
      <c r="F34" s="487" t="s">
        <v>545</v>
      </c>
      <c r="G34" s="543">
        <f>(M35+N35+O35)/(O$36+M$36+N$36)</f>
        <v>1.5637559371574716E-3</v>
      </c>
      <c r="H34" s="543">
        <f t="shared" si="4"/>
        <v>1.4237432471990847E-3</v>
      </c>
      <c r="I34" s="543">
        <f t="shared" si="7"/>
        <v>2.0517524379646615E-3</v>
      </c>
      <c r="K34" s="481" t="s">
        <v>562</v>
      </c>
      <c r="L34" s="454">
        <v>0</v>
      </c>
      <c r="M34" s="454">
        <v>38</v>
      </c>
      <c r="N34" s="454">
        <v>46</v>
      </c>
      <c r="O34" s="454">
        <v>44</v>
      </c>
      <c r="P34" s="469">
        <v>74</v>
      </c>
      <c r="Q34" s="1276">
        <v>73.554000000000002</v>
      </c>
      <c r="R34" s="454">
        <v>26</v>
      </c>
      <c r="S34" s="1276">
        <v>58</v>
      </c>
      <c r="T34" s="454">
        <v>58</v>
      </c>
      <c r="U34" s="208">
        <f t="shared" si="6"/>
        <v>23.024014847551822</v>
      </c>
    </row>
    <row r="35" spans="1:21">
      <c r="A35" s="488"/>
      <c r="B35" s="467">
        <f>SUM(B17:B34)</f>
        <v>812521.69448681886</v>
      </c>
      <c r="C35" s="467">
        <f>SUM(C17:C34)</f>
        <v>812521.69448681897</v>
      </c>
      <c r="D35" s="467">
        <f>SUM(D17:D34)</f>
        <v>812521.69448681909</v>
      </c>
      <c r="E35" s="338"/>
      <c r="F35" s="488"/>
      <c r="G35" s="491">
        <f>SUM(G17:G34)</f>
        <v>1</v>
      </c>
      <c r="H35" s="491">
        <f>SUM(H17:H34)</f>
        <v>1</v>
      </c>
      <c r="I35" s="491">
        <f>SUM(I17:I34)</f>
        <v>0.99999999999999989</v>
      </c>
      <c r="K35" s="487" t="s">
        <v>545</v>
      </c>
      <c r="L35" s="454">
        <v>0</v>
      </c>
      <c r="M35" s="454">
        <v>0</v>
      </c>
      <c r="N35" s="454">
        <v>57</v>
      </c>
      <c r="O35" s="454">
        <v>50</v>
      </c>
      <c r="P35" s="469">
        <v>65.333333333333329</v>
      </c>
      <c r="Q35" s="1276">
        <v>97.600500000000011</v>
      </c>
      <c r="R35" s="454">
        <v>0</v>
      </c>
      <c r="S35" s="1296">
        <v>125.52272727272727</v>
      </c>
      <c r="T35" s="469">
        <v>120</v>
      </c>
      <c r="U35" s="208">
        <f t="shared" si="6"/>
        <v>24.44412453873537</v>
      </c>
    </row>
    <row r="36" spans="1:21">
      <c r="D36" s="46"/>
      <c r="K36" s="466"/>
      <c r="L36" s="467">
        <f t="shared" ref="L36:T36" si="8">SUM(L17:L35)</f>
        <v>17781</v>
      </c>
      <c r="M36" s="467">
        <f t="shared" si="8"/>
        <v>20738</v>
      </c>
      <c r="N36" s="467">
        <f t="shared" si="8"/>
        <v>22524</v>
      </c>
      <c r="O36" s="467">
        <f t="shared" si="8"/>
        <v>25163</v>
      </c>
      <c r="P36" s="467">
        <f t="shared" si="8"/>
        <v>25749.999999999996</v>
      </c>
      <c r="Q36" s="467">
        <f t="shared" si="8"/>
        <v>28308.388500000001</v>
      </c>
      <c r="R36" s="467">
        <f t="shared" si="8"/>
        <v>27467</v>
      </c>
      <c r="S36" s="467">
        <f t="shared" si="8"/>
        <v>30151.322179401825</v>
      </c>
      <c r="T36" s="467">
        <f t="shared" si="8"/>
        <v>30226</v>
      </c>
    </row>
    <row r="37" spans="1:21">
      <c r="D37" s="46"/>
      <c r="J37" s="500"/>
      <c r="K37" s="500"/>
      <c r="L37" s="500"/>
      <c r="M37" s="500"/>
      <c r="N37" s="500"/>
    </row>
    <row r="38" spans="1:21">
      <c r="D38" s="46"/>
      <c r="J38" s="500"/>
      <c r="K38" s="500"/>
      <c r="L38" s="500"/>
      <c r="M38" s="500"/>
      <c r="N38" s="500"/>
    </row>
  </sheetData>
  <pageMargins left="0.75" right="0.75" top="1" bottom="1" header="0.5" footer="0.5"/>
  <pageSetup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D81"/>
  <sheetViews>
    <sheetView workbookViewId="0">
      <pane xSplit="4" ySplit="10" topLeftCell="E11" activePane="bottomRight" state="frozen"/>
      <selection pane="topRight" activeCell="E1" sqref="E1"/>
      <selection pane="bottomLeft" activeCell="A11" sqref="A11"/>
      <selection pane="bottomRight" activeCell="D12" sqref="D12"/>
    </sheetView>
  </sheetViews>
  <sheetFormatPr defaultColWidth="11" defaultRowHeight="15.75"/>
  <cols>
    <col min="1" max="1" width="35.125" customWidth="1"/>
    <col min="2" max="2" width="12.5" bestFit="1" customWidth="1"/>
    <col min="7" max="7" width="13.625" customWidth="1"/>
    <col min="8" max="11" width="11.125" bestFit="1" customWidth="1"/>
    <col min="12" max="15" width="11.125" customWidth="1"/>
    <col min="16" max="16" width="4.125" customWidth="1"/>
    <col min="17" max="17" width="11.125" customWidth="1"/>
    <col min="18" max="18" width="9.875" customWidth="1"/>
    <col min="19" max="19" width="11.125" customWidth="1"/>
    <col min="21" max="23" width="12" bestFit="1" customWidth="1"/>
    <col min="24" max="24" width="1.875" customWidth="1"/>
    <col min="25" max="28" width="12" customWidth="1"/>
    <col min="29" max="29" width="12.875" customWidth="1"/>
    <col min="30" max="31" width="13.125" customWidth="1"/>
    <col min="32" max="32" width="4.125" customWidth="1"/>
    <col min="33" max="33" width="12.375" customWidth="1"/>
    <col min="34" max="34" width="9" customWidth="1"/>
    <col min="35" max="35" width="11.875" customWidth="1"/>
    <col min="36" max="36" width="9.375" customWidth="1"/>
    <col min="37" max="37" width="12.875" customWidth="1"/>
    <col min="38" max="38" width="9.625" customWidth="1"/>
    <col min="40" max="45" width="11.875" customWidth="1"/>
    <col min="46" max="46" width="12.375" customWidth="1"/>
    <col min="47" max="47" width="4.125" customWidth="1"/>
    <col min="48" max="48" width="12.375" customWidth="1"/>
    <col min="49" max="49" width="9" customWidth="1"/>
    <col min="50" max="50" width="11.875" customWidth="1"/>
    <col min="51" max="51" width="9.375" customWidth="1"/>
    <col min="52" max="52" width="12.875" customWidth="1"/>
    <col min="53" max="53" width="9.375" customWidth="1"/>
    <col min="54" max="54" width="12.5" bestFit="1" customWidth="1"/>
    <col min="55" max="56" width="11.625" bestFit="1" customWidth="1"/>
    <col min="57" max="59" width="12" customWidth="1"/>
    <col min="60" max="60" width="11.5" customWidth="1"/>
    <col min="62" max="62" width="11.625" customWidth="1"/>
  </cols>
  <sheetData>
    <row r="1" spans="1:53" ht="21">
      <c r="A1" s="198" t="s">
        <v>521</v>
      </c>
      <c r="B1" s="198"/>
      <c r="C1" s="437"/>
      <c r="I1" s="1023"/>
    </row>
    <row r="2" spans="1:53" ht="21">
      <c r="A2" s="198"/>
      <c r="B2" s="198"/>
      <c r="C2" s="437"/>
    </row>
    <row r="3" spans="1:53" ht="21">
      <c r="A3" s="198" t="s">
        <v>522</v>
      </c>
      <c r="B3" s="621">
        <f>'Dashboard-Academic Allocation'!D32</f>
        <v>8125216.9448681893</v>
      </c>
      <c r="C3" s="437"/>
    </row>
    <row r="4" spans="1:53" ht="21.75" thickBot="1">
      <c r="A4" s="198"/>
      <c r="B4" s="198"/>
      <c r="C4" s="437"/>
    </row>
    <row r="5" spans="1:53" ht="21">
      <c r="A5" s="622" t="s">
        <v>523</v>
      </c>
      <c r="B5" s="980">
        <v>0</v>
      </c>
      <c r="C5" s="437"/>
    </row>
    <row r="6" spans="1:53" ht="21">
      <c r="A6" s="623" t="s">
        <v>524</v>
      </c>
      <c r="B6" s="981">
        <v>1</v>
      </c>
      <c r="C6" s="437"/>
      <c r="G6" s="10" t="s">
        <v>525</v>
      </c>
    </row>
    <row r="7" spans="1:53" ht="19.5" thickBot="1">
      <c r="A7" s="624" t="s">
        <v>658</v>
      </c>
      <c r="B7" s="982">
        <v>0</v>
      </c>
    </row>
    <row r="9" spans="1:53">
      <c r="G9" s="10" t="s">
        <v>520</v>
      </c>
      <c r="I9" t="s">
        <v>1069</v>
      </c>
      <c r="X9" t="s">
        <v>505</v>
      </c>
      <c r="AA9" t="s">
        <v>1753</v>
      </c>
      <c r="AN9" s="10" t="s">
        <v>657</v>
      </c>
      <c r="AQ9" t="s">
        <v>1068</v>
      </c>
    </row>
    <row r="10" spans="1:53" ht="32.25" thickBot="1">
      <c r="A10" s="2"/>
      <c r="B10" s="983" t="s">
        <v>847</v>
      </c>
      <c r="C10" s="983" t="s">
        <v>942</v>
      </c>
      <c r="D10" s="983" t="s">
        <v>1396</v>
      </c>
      <c r="E10" s="1085"/>
      <c r="G10" s="3">
        <v>2012</v>
      </c>
      <c r="H10" s="3">
        <v>2013</v>
      </c>
      <c r="I10" s="3">
        <v>2014</v>
      </c>
      <c r="J10" s="3">
        <v>2015</v>
      </c>
      <c r="K10" s="3">
        <v>2016</v>
      </c>
      <c r="L10" s="3" t="s">
        <v>1034</v>
      </c>
      <c r="M10" s="3" t="s">
        <v>884</v>
      </c>
      <c r="N10" s="1660" t="s">
        <v>1313</v>
      </c>
      <c r="O10" s="1659" t="s">
        <v>1750</v>
      </c>
      <c r="P10" s="1659"/>
      <c r="Q10" s="435" t="s">
        <v>920</v>
      </c>
      <c r="R10" s="1176" t="s">
        <v>1070</v>
      </c>
      <c r="S10" s="3" t="s">
        <v>940</v>
      </c>
      <c r="T10" s="1176" t="s">
        <v>1071</v>
      </c>
      <c r="U10" s="3" t="s">
        <v>1397</v>
      </c>
      <c r="V10" s="1176" t="s">
        <v>1398</v>
      </c>
      <c r="X10" s="2"/>
      <c r="Y10" s="3">
        <v>2012</v>
      </c>
      <c r="Z10" s="3">
        <v>2013</v>
      </c>
      <c r="AA10" s="3">
        <v>2014</v>
      </c>
      <c r="AB10" s="3">
        <v>2015</v>
      </c>
      <c r="AC10" s="3">
        <v>2016</v>
      </c>
      <c r="AD10" s="3">
        <v>2017</v>
      </c>
      <c r="AE10" s="3" t="s">
        <v>1750</v>
      </c>
      <c r="AF10" s="3"/>
      <c r="AG10" s="435" t="s">
        <v>920</v>
      </c>
      <c r="AH10" s="1176" t="s">
        <v>1070</v>
      </c>
      <c r="AI10" s="3" t="s">
        <v>940</v>
      </c>
      <c r="AJ10" s="1176" t="s">
        <v>1071</v>
      </c>
      <c r="AK10" s="3" t="s">
        <v>1397</v>
      </c>
      <c r="AL10" s="1176" t="s">
        <v>1398</v>
      </c>
      <c r="AN10" s="3">
        <v>2012</v>
      </c>
      <c r="AO10" s="3">
        <v>2013</v>
      </c>
      <c r="AP10" s="3">
        <v>2014</v>
      </c>
      <c r="AQ10" s="3">
        <v>2015</v>
      </c>
      <c r="AR10" s="3">
        <v>2016</v>
      </c>
      <c r="AS10" s="3">
        <v>2017</v>
      </c>
      <c r="AT10" s="3" t="s">
        <v>1750</v>
      </c>
      <c r="AU10" s="3"/>
      <c r="AV10" s="435" t="s">
        <v>920</v>
      </c>
      <c r="AW10" s="1176" t="s">
        <v>1070</v>
      </c>
      <c r="AX10" s="3" t="s">
        <v>940</v>
      </c>
      <c r="AY10" s="1176" t="s">
        <v>1071</v>
      </c>
      <c r="AZ10" s="3" t="s">
        <v>1397</v>
      </c>
      <c r="BA10" s="1176" t="s">
        <v>1398</v>
      </c>
    </row>
    <row r="11" spans="1:53" ht="16.5" thickTop="1">
      <c r="A11" s="51" t="s">
        <v>72</v>
      </c>
      <c r="X11" s="51" t="s">
        <v>72</v>
      </c>
    </row>
    <row r="12" spans="1:53">
      <c r="A12" s="179" t="s">
        <v>73</v>
      </c>
      <c r="B12" s="381">
        <f>B$3*(B$5*AH12+B$6*R12+B$7*AW12)</f>
        <v>1638043.683331535</v>
      </c>
      <c r="C12" s="381">
        <f>B$3*(B$5*AJ12+B$6*T12+B$7*AY12)</f>
        <v>1537830.2824096822</v>
      </c>
      <c r="D12" s="381">
        <f>B$3*(B$5*AL12+B$6*V12+B$7*BA12)</f>
        <v>1459316.4883024483</v>
      </c>
      <c r="E12" s="381"/>
      <c r="G12" s="381">
        <v>8458033.3000000007</v>
      </c>
      <c r="H12" s="381">
        <v>8074838.71</v>
      </c>
      <c r="I12" s="381">
        <v>7648538.4800000004</v>
      </c>
      <c r="J12" s="381">
        <v>7574918.2300000004</v>
      </c>
      <c r="K12" s="381">
        <v>7473341</v>
      </c>
      <c r="L12" s="381">
        <v>7190764</v>
      </c>
      <c r="M12" s="1309">
        <v>7148150</v>
      </c>
      <c r="N12" s="1309">
        <v>8003661</v>
      </c>
      <c r="O12" s="381">
        <v>7536386.4100000001</v>
      </c>
      <c r="P12" s="381"/>
      <c r="Q12" s="381">
        <f>AVERAGE(I12:K12)</f>
        <v>7565599.2366666673</v>
      </c>
      <c r="R12" s="436">
        <f t="shared" ref="R12:R22" si="0">Q12/Q$54</f>
        <v>0.20159999350738667</v>
      </c>
      <c r="S12" s="381">
        <f>AVERAGE(J12:L12)</f>
        <v>7413007.7433333332</v>
      </c>
      <c r="T12" s="436">
        <f>S12/S$54</f>
        <v>0.18926636578989578</v>
      </c>
      <c r="U12" s="381">
        <f>AVERAGE(K12,L12,O12)</f>
        <v>7400163.8033333337</v>
      </c>
      <c r="V12" s="436">
        <f>U12/U$54</f>
        <v>0.17960338760236291</v>
      </c>
      <c r="X12" s="179" t="s">
        <v>73</v>
      </c>
      <c r="Y12" s="381">
        <v>45198409</v>
      </c>
      <c r="Z12" s="381">
        <v>43343242</v>
      </c>
      <c r="AA12" s="381">
        <v>43235284</v>
      </c>
      <c r="AB12" s="381">
        <v>43231345</v>
      </c>
      <c r="AC12" s="381">
        <v>41542562</v>
      </c>
      <c r="AD12" s="381">
        <v>39527816</v>
      </c>
      <c r="AE12" s="381">
        <v>43426877</v>
      </c>
      <c r="AF12" s="381"/>
      <c r="AG12" s="381">
        <f>AVERAGE(AA12:AC12)</f>
        <v>42669730.333333336</v>
      </c>
      <c r="AH12" s="436">
        <f t="shared" ref="AH12:AH22" si="1">AG12/AG$54</f>
        <v>0.29299683649767261</v>
      </c>
      <c r="AI12" s="381">
        <f>AVERAGE(AB12:AD12)</f>
        <v>41433907.666666664</v>
      </c>
      <c r="AJ12" s="436">
        <f>AI12/AI$54</f>
        <v>0.26468982478669772</v>
      </c>
      <c r="AK12" s="381">
        <f>AVERAGE(AC12,AD12,AE12)</f>
        <v>41499085</v>
      </c>
      <c r="AL12" s="436">
        <f>AK12/AK$54</f>
        <v>0.25236074390630842</v>
      </c>
      <c r="AN12" s="381">
        <v>53872819</v>
      </c>
      <c r="AO12" s="381">
        <v>53138070</v>
      </c>
      <c r="AP12" s="381">
        <v>45446585</v>
      </c>
      <c r="AQ12" s="381">
        <f>1957126+42375+40852464+6484318+91506</f>
        <v>49427789</v>
      </c>
      <c r="AR12" s="381">
        <f>1026896+125+45031148+5928203+305815</f>
        <v>52292187</v>
      </c>
      <c r="AS12" s="381">
        <f>533393+4957304+40037642+20500+895052</f>
        <v>46443891</v>
      </c>
      <c r="AT12" s="381">
        <v>49009912</v>
      </c>
      <c r="AU12" s="381"/>
      <c r="AV12" s="381">
        <f>AVERAGE(AP12:AR12)</f>
        <v>49055520.333333336</v>
      </c>
      <c r="AW12" s="436">
        <f t="shared" ref="AW12:AW22" si="2">AV12/AV$54</f>
        <v>0.22214697648394091</v>
      </c>
      <c r="AX12" s="381">
        <f>AVERAGE(AQ12:AS12)</f>
        <v>49387955.666666664</v>
      </c>
      <c r="AY12" s="436">
        <f>AX12/AX$54</f>
        <v>0.18077660825310046</v>
      </c>
      <c r="AZ12" s="381">
        <f>AVERAGE(AS12,AR12,AT12)</f>
        <v>49248663.333333336</v>
      </c>
      <c r="BA12" s="436">
        <f>AZ12/AZ$54</f>
        <v>0.16641376625552529</v>
      </c>
    </row>
    <row r="13" spans="1:53">
      <c r="A13" s="54" t="s">
        <v>74</v>
      </c>
      <c r="B13" s="382">
        <f t="shared" ref="B13:B22" si="3">B$3*(B$5*AH13+B$6*R13+B$7*AW13)</f>
        <v>17296.787645570545</v>
      </c>
      <c r="C13" s="381">
        <f t="shared" ref="C13:C22" si="4">B$3*(B$5*AJ13+B$6*T13+B$7*AY13)</f>
        <v>5158.4730382899825</v>
      </c>
      <c r="D13" s="382">
        <f t="shared" ref="D13:D22" si="5">B$3*(B$5*AL13+B$6*V13+B$7*BA13)</f>
        <v>3661.2158427891541</v>
      </c>
      <c r="E13" s="382"/>
      <c r="G13" s="382">
        <v>132659.57999999999</v>
      </c>
      <c r="H13" s="382">
        <v>123123.94</v>
      </c>
      <c r="I13" s="382">
        <v>179324.75</v>
      </c>
      <c r="J13" s="382">
        <v>31335.22</v>
      </c>
      <c r="K13" s="382">
        <v>29005</v>
      </c>
      <c r="L13" s="382">
        <v>14258</v>
      </c>
      <c r="M13" s="1310">
        <v>17573</v>
      </c>
      <c r="N13" s="1310">
        <v>27031</v>
      </c>
      <c r="O13" s="382">
        <v>12434.85</v>
      </c>
      <c r="P13" s="382"/>
      <c r="Q13" s="382">
        <f t="shared" ref="Q13:Q22" si="6">AVERAGE(I13:K13)</f>
        <v>79888.323333333334</v>
      </c>
      <c r="R13" s="436">
        <f t="shared" si="0"/>
        <v>2.1287785622136567E-3</v>
      </c>
      <c r="S13" s="381">
        <f t="shared" ref="S13:S22" si="7">AVERAGE(J13:L13)</f>
        <v>24866.073333333334</v>
      </c>
      <c r="T13" s="436">
        <f t="shared" ref="T13:T22" si="8">S13/S$54</f>
        <v>6.3487203766885575E-4</v>
      </c>
      <c r="U13" s="381">
        <f t="shared" ref="U13:U22" si="9">AVERAGE(K13,L13,O13)</f>
        <v>18565.95</v>
      </c>
      <c r="V13" s="436">
        <f t="shared" ref="V13:V22" si="10">U13/U$54</f>
        <v>4.5059914924506031E-4</v>
      </c>
      <c r="X13" s="54" t="s">
        <v>74</v>
      </c>
      <c r="Y13" s="382">
        <v>614089</v>
      </c>
      <c r="Z13" s="382">
        <v>596080</v>
      </c>
      <c r="AA13" s="382">
        <v>262823</v>
      </c>
      <c r="AB13" s="382">
        <v>105280</v>
      </c>
      <c r="AC13" s="382">
        <v>150126</v>
      </c>
      <c r="AD13" s="382">
        <v>51439</v>
      </c>
      <c r="AE13" s="382">
        <v>53187</v>
      </c>
      <c r="AF13" s="382"/>
      <c r="AG13" s="382">
        <f t="shared" ref="AG13:AG30" si="11">AVERAGE(AA13:AC13)</f>
        <v>172743</v>
      </c>
      <c r="AH13" s="436">
        <f t="shared" si="1"/>
        <v>1.1861605904637923E-3</v>
      </c>
      <c r="AI13" s="381">
        <f t="shared" ref="AI13:AI22" si="12">AVERAGE(AB13:AD13)</f>
        <v>102281.66666666667</v>
      </c>
      <c r="AJ13" s="436">
        <f t="shared" ref="AJ13:AJ22" si="13">AI13/AI$54</f>
        <v>6.5340002798411952E-4</v>
      </c>
      <c r="AK13" s="381">
        <f t="shared" ref="AK13:AK22" si="14">AVERAGE(AC13,AD13,AE13)</f>
        <v>84917.333333333328</v>
      </c>
      <c r="AL13" s="436">
        <f t="shared" ref="AL13:AL22" si="15">AK13/AK$54</f>
        <v>5.1639214239398198E-4</v>
      </c>
      <c r="AN13" s="382">
        <v>1880047</v>
      </c>
      <c r="AO13" s="382">
        <f>1537152+125196</f>
        <v>1662348</v>
      </c>
      <c r="AP13" s="382">
        <f>650680+1020128</f>
        <v>1670808</v>
      </c>
      <c r="AQ13" s="382">
        <v>37327</v>
      </c>
      <c r="AR13" s="382">
        <f>71041+250699</f>
        <v>321740</v>
      </c>
      <c r="AS13" s="382">
        <v>174390</v>
      </c>
      <c r="AT13" s="382">
        <v>-85778</v>
      </c>
      <c r="AU13" s="382"/>
      <c r="AV13" s="381">
        <f t="shared" ref="AV13:AV21" si="16">AVERAGE(AP13:AR13)</f>
        <v>676625</v>
      </c>
      <c r="AW13" s="436">
        <f t="shared" ref="AW13:AW21" si="17">AV13/AV$54</f>
        <v>3.0640832457200624E-3</v>
      </c>
      <c r="AX13" s="381">
        <f t="shared" ref="AX13:AX21" si="18">AVERAGE(AQ13:AS13)</f>
        <v>177819</v>
      </c>
      <c r="AY13" s="436">
        <f t="shared" ref="AY13:BA21" si="19">AX13/AX$54</f>
        <v>6.5087763340352224E-4</v>
      </c>
      <c r="AZ13" s="381">
        <f>AVERAGE(AS13,AR13,AT13)</f>
        <v>136784</v>
      </c>
      <c r="BA13" s="436">
        <f t="shared" si="19"/>
        <v>4.6220017078289099E-4</v>
      </c>
    </row>
    <row r="14" spans="1:53">
      <c r="A14" s="178" t="s">
        <v>75</v>
      </c>
      <c r="B14" s="382">
        <f t="shared" si="3"/>
        <v>1626294.2355958193</v>
      </c>
      <c r="C14" s="381">
        <f t="shared" si="4"/>
        <v>1746686.4591673282</v>
      </c>
      <c r="D14" s="382">
        <f t="shared" si="5"/>
        <v>1760533.9184146451</v>
      </c>
      <c r="E14" s="382"/>
      <c r="G14" s="382">
        <v>6471498.9100000001</v>
      </c>
      <c r="H14" s="382">
        <v>6178326.5</v>
      </c>
      <c r="I14" s="382">
        <v>6426678.0899999999</v>
      </c>
      <c r="J14" s="382">
        <v>8045682.8099999996</v>
      </c>
      <c r="K14" s="382">
        <v>8061636</v>
      </c>
      <c r="L14" s="382">
        <v>9152036</v>
      </c>
      <c r="M14" s="1310">
        <v>9454436</v>
      </c>
      <c r="N14" s="1310">
        <v>9072956</v>
      </c>
      <c r="O14" s="382">
        <v>9569221.5299999993</v>
      </c>
      <c r="P14" s="382"/>
      <c r="Q14" s="382">
        <f t="shared" si="6"/>
        <v>7511332.2999999998</v>
      </c>
      <c r="R14" s="436">
        <f t="shared" si="0"/>
        <v>0.20015394624299496</v>
      </c>
      <c r="S14" s="381">
        <f t="shared" si="7"/>
        <v>8419784.9366666656</v>
      </c>
      <c r="T14" s="436">
        <f t="shared" si="8"/>
        <v>0.21497105505232311</v>
      </c>
      <c r="U14" s="381">
        <f t="shared" si="9"/>
        <v>8927631.1766666677</v>
      </c>
      <c r="V14" s="436">
        <f t="shared" si="10"/>
        <v>0.21667531222370398</v>
      </c>
      <c r="X14" s="178" t="s">
        <v>75</v>
      </c>
      <c r="Y14" s="382">
        <v>22986412</v>
      </c>
      <c r="Z14" s="382">
        <v>23991201</v>
      </c>
      <c r="AA14" s="382">
        <v>22979784</v>
      </c>
      <c r="AB14" s="382">
        <v>26791968</v>
      </c>
      <c r="AC14" s="382">
        <v>28770827</v>
      </c>
      <c r="AD14" s="382">
        <v>32258394</v>
      </c>
      <c r="AE14" s="382">
        <v>32274483</v>
      </c>
      <c r="AF14" s="382"/>
      <c r="AG14" s="382">
        <f t="shared" si="11"/>
        <v>26180859.666666668</v>
      </c>
      <c r="AH14" s="436">
        <f t="shared" si="1"/>
        <v>0.17977402245568863</v>
      </c>
      <c r="AI14" s="381">
        <f t="shared" si="12"/>
        <v>29273729.666666668</v>
      </c>
      <c r="AJ14" s="436">
        <f t="shared" si="13"/>
        <v>0.18700766624907902</v>
      </c>
      <c r="AK14" s="381">
        <f t="shared" si="14"/>
        <v>31101234.666666668</v>
      </c>
      <c r="AL14" s="436">
        <f t="shared" si="15"/>
        <v>0.1891302113500736</v>
      </c>
      <c r="AN14" s="382">
        <v>30963305</v>
      </c>
      <c r="AO14" s="382">
        <v>29656248</v>
      </c>
      <c r="AP14" s="382">
        <v>38193403</v>
      </c>
      <c r="AQ14" s="382">
        <f>3894284+177217+6636703+6214577+228440+11993196+9688041</f>
        <v>38832458</v>
      </c>
      <c r="AR14" s="382">
        <f>6086606+351347+10572294+6758169+31000+20529254+9230302</f>
        <v>53558972</v>
      </c>
      <c r="AS14" s="382">
        <f>10096291+11373190+10414080+12520995+967586+4262518+147520</f>
        <v>49782180</v>
      </c>
      <c r="AT14" s="382">
        <v>37570247</v>
      </c>
      <c r="AU14" s="382"/>
      <c r="AV14" s="381">
        <f t="shared" si="16"/>
        <v>43528277.666666664</v>
      </c>
      <c r="AW14" s="436">
        <f t="shared" si="17"/>
        <v>0.19711696480840066</v>
      </c>
      <c r="AX14" s="381">
        <f t="shared" si="18"/>
        <v>47391203.333333336</v>
      </c>
      <c r="AY14" s="436">
        <f t="shared" si="19"/>
        <v>0.17346781991657312</v>
      </c>
      <c r="AZ14" s="381">
        <f t="shared" ref="AZ14:AZ21" si="20">AVERAGE(AS14,AR14,AT14)</f>
        <v>46970466.333333336</v>
      </c>
      <c r="BA14" s="436">
        <f t="shared" si="19"/>
        <v>0.15871562142515719</v>
      </c>
    </row>
    <row r="15" spans="1:53">
      <c r="A15" s="179" t="s">
        <v>76</v>
      </c>
      <c r="B15" s="381">
        <f t="shared" si="3"/>
        <v>392355.20470512781</v>
      </c>
      <c r="C15" s="381">
        <f t="shared" si="4"/>
        <v>373385.69181579107</v>
      </c>
      <c r="D15" s="381">
        <f t="shared" si="5"/>
        <v>351174.30069355096</v>
      </c>
      <c r="E15" s="381"/>
      <c r="G15" s="381">
        <v>1849813.2</v>
      </c>
      <c r="H15" s="381">
        <v>1738840.32</v>
      </c>
      <c r="I15" s="381">
        <v>1726175.09</v>
      </c>
      <c r="J15" s="381">
        <v>1760647.06</v>
      </c>
      <c r="K15" s="381">
        <v>1949667</v>
      </c>
      <c r="L15" s="381">
        <v>1689328</v>
      </c>
      <c r="M15" s="1309">
        <v>1768187</v>
      </c>
      <c r="N15" s="1309">
        <v>1942040</v>
      </c>
      <c r="O15" s="381">
        <v>1703397.9</v>
      </c>
      <c r="P15" s="381"/>
      <c r="Q15" s="381">
        <f t="shared" si="6"/>
        <v>1812163.05</v>
      </c>
      <c r="R15" s="436">
        <f t="shared" si="0"/>
        <v>4.8288581999393343E-2</v>
      </c>
      <c r="S15" s="381">
        <f t="shared" si="7"/>
        <v>1799880.6866666668</v>
      </c>
      <c r="T15" s="436">
        <f t="shared" si="8"/>
        <v>4.5953935057896265E-2</v>
      </c>
      <c r="U15" s="381">
        <f t="shared" si="9"/>
        <v>1780797.6333333335</v>
      </c>
      <c r="V15" s="436">
        <f t="shared" si="10"/>
        <v>4.322029837189139E-2</v>
      </c>
      <c r="X15" s="179" t="s">
        <v>76</v>
      </c>
      <c r="Y15" s="381">
        <v>10865195</v>
      </c>
      <c r="Z15" s="381">
        <v>8595816</v>
      </c>
      <c r="AA15" s="381">
        <v>8211519</v>
      </c>
      <c r="AB15" s="381">
        <v>8864055</v>
      </c>
      <c r="AC15" s="381">
        <v>9739978</v>
      </c>
      <c r="AD15" s="381">
        <v>8235892</v>
      </c>
      <c r="AE15" s="381">
        <v>8017949</v>
      </c>
      <c r="AF15" s="381"/>
      <c r="AG15" s="381">
        <f>AVERAGE(AA15:AC15)</f>
        <v>8938517.333333334</v>
      </c>
      <c r="AH15" s="436">
        <f t="shared" si="1"/>
        <v>6.1377404571979821E-2</v>
      </c>
      <c r="AI15" s="381">
        <f t="shared" si="12"/>
        <v>8946641.666666666</v>
      </c>
      <c r="AJ15" s="436">
        <f t="shared" si="13"/>
        <v>5.7153311105254012E-2</v>
      </c>
      <c r="AK15" s="381">
        <f t="shared" si="14"/>
        <v>8664606.333333334</v>
      </c>
      <c r="AL15" s="436">
        <f t="shared" si="15"/>
        <v>5.2690474981202877E-2</v>
      </c>
      <c r="AN15" s="381">
        <v>10968426</v>
      </c>
      <c r="AO15" s="381">
        <v>9445270</v>
      </c>
      <c r="AP15" s="381">
        <v>10636319</v>
      </c>
      <c r="AQ15" s="381">
        <v>13129170</v>
      </c>
      <c r="AR15" s="381">
        <f>10445329+967227</f>
        <v>11412556</v>
      </c>
      <c r="AS15" s="381">
        <f>11127769-638980</f>
        <v>10488789</v>
      </c>
      <c r="AT15" s="381">
        <v>11042684</v>
      </c>
      <c r="AU15" s="381"/>
      <c r="AV15" s="381">
        <f t="shared" si="16"/>
        <v>11726015</v>
      </c>
      <c r="AW15" s="436">
        <f t="shared" si="17"/>
        <v>5.310103247820009E-2</v>
      </c>
      <c r="AX15" s="381">
        <f t="shared" si="18"/>
        <v>11676838.333333334</v>
      </c>
      <c r="AY15" s="436">
        <f t="shared" si="19"/>
        <v>4.2741174452873593E-2</v>
      </c>
      <c r="AZ15" s="381">
        <f t="shared" si="20"/>
        <v>10981343</v>
      </c>
      <c r="BA15" s="436">
        <f t="shared" si="19"/>
        <v>3.7106522766007025E-2</v>
      </c>
    </row>
    <row r="16" spans="1:53">
      <c r="A16" s="54" t="s">
        <v>77</v>
      </c>
      <c r="B16" s="382">
        <f t="shared" si="3"/>
        <v>670077.97069480037</v>
      </c>
      <c r="C16" s="381">
        <f t="shared" si="4"/>
        <v>712074.78987054562</v>
      </c>
      <c r="D16" s="382">
        <f t="shared" si="5"/>
        <v>696931.98959000909</v>
      </c>
      <c r="E16" s="382"/>
      <c r="G16" s="382">
        <v>2716252.73</v>
      </c>
      <c r="H16" s="382">
        <v>2726123.93</v>
      </c>
      <c r="I16" s="382">
        <v>2407131.41</v>
      </c>
      <c r="J16" s="382">
        <v>3087624.31</v>
      </c>
      <c r="K16" s="382">
        <v>3789871</v>
      </c>
      <c r="L16" s="382">
        <v>3420031</v>
      </c>
      <c r="M16" s="1310">
        <v>3596324</v>
      </c>
      <c r="N16" s="1310">
        <v>3696819</v>
      </c>
      <c r="O16" s="382">
        <v>3392481.22</v>
      </c>
      <c r="P16" s="382"/>
      <c r="Q16" s="382">
        <f t="shared" si="6"/>
        <v>3094875.5733333337</v>
      </c>
      <c r="R16" s="436">
        <f t="shared" si="0"/>
        <v>8.246893285945002E-2</v>
      </c>
      <c r="S16" s="381">
        <f t="shared" si="7"/>
        <v>3432508.77</v>
      </c>
      <c r="T16" s="436">
        <f t="shared" si="8"/>
        <v>8.7637634133607395E-2</v>
      </c>
      <c r="U16" s="381">
        <f t="shared" si="9"/>
        <v>3534127.74</v>
      </c>
      <c r="V16" s="436">
        <f t="shared" si="10"/>
        <v>8.5773954630243412E-2</v>
      </c>
      <c r="X16" s="54" t="s">
        <v>77</v>
      </c>
      <c r="Y16" s="382">
        <v>11653841</v>
      </c>
      <c r="Z16" s="382">
        <v>10024017</v>
      </c>
      <c r="AA16" s="382">
        <v>9934533</v>
      </c>
      <c r="AB16" s="382">
        <v>11874754</v>
      </c>
      <c r="AC16" s="382">
        <v>15451209</v>
      </c>
      <c r="AD16" s="382">
        <v>14752516</v>
      </c>
      <c r="AE16" s="382">
        <v>14012511</v>
      </c>
      <c r="AF16" s="382"/>
      <c r="AG16" s="382">
        <f t="shared" si="11"/>
        <v>12420165.333333334</v>
      </c>
      <c r="AH16" s="436">
        <f t="shared" si="1"/>
        <v>8.52845594058491E-2</v>
      </c>
      <c r="AI16" s="381">
        <f t="shared" si="12"/>
        <v>14026159.666666666</v>
      </c>
      <c r="AJ16" s="436">
        <f t="shared" si="13"/>
        <v>8.9602500793981271E-2</v>
      </c>
      <c r="AK16" s="381">
        <f t="shared" si="14"/>
        <v>14738745.333333334</v>
      </c>
      <c r="AL16" s="436">
        <f t="shared" si="15"/>
        <v>8.962801798077312E-2</v>
      </c>
      <c r="AN16" s="382">
        <v>18181831</v>
      </c>
      <c r="AO16" s="382">
        <v>13517710</v>
      </c>
      <c r="AP16" s="382">
        <v>16361632</v>
      </c>
      <c r="AQ16" s="382">
        <v>17776946</v>
      </c>
      <c r="AR16" s="382">
        <v>18706328</v>
      </c>
      <c r="AS16" s="382">
        <v>15215386</v>
      </c>
      <c r="AT16" s="382">
        <v>20334912</v>
      </c>
      <c r="AU16" s="382"/>
      <c r="AV16" s="381">
        <f t="shared" si="16"/>
        <v>17614968.666666668</v>
      </c>
      <c r="AW16" s="436">
        <f t="shared" si="17"/>
        <v>7.9769045431985514E-2</v>
      </c>
      <c r="AX16" s="381">
        <f t="shared" si="18"/>
        <v>17232886.666666668</v>
      </c>
      <c r="AY16" s="436">
        <f t="shared" si="19"/>
        <v>6.3078189002924959E-2</v>
      </c>
      <c r="AZ16" s="381">
        <f t="shared" si="20"/>
        <v>18085542</v>
      </c>
      <c r="BA16" s="436">
        <f t="shared" si="19"/>
        <v>6.1111976555014824E-2</v>
      </c>
    </row>
    <row r="17" spans="1:53">
      <c r="A17" s="178" t="s">
        <v>78</v>
      </c>
      <c r="B17" s="382">
        <f t="shared" si="3"/>
        <v>31247.417787083748</v>
      </c>
      <c r="C17" s="381">
        <f t="shared" si="4"/>
        <v>25269.649348265051</v>
      </c>
      <c r="D17" s="382">
        <f t="shared" si="5"/>
        <v>17698.498355001917</v>
      </c>
      <c r="E17" s="382"/>
      <c r="G17" s="382">
        <v>48271.79</v>
      </c>
      <c r="H17" s="382">
        <v>99113.82</v>
      </c>
      <c r="I17" s="382">
        <v>129277.5</v>
      </c>
      <c r="J17" s="382">
        <v>183593.95</v>
      </c>
      <c r="K17" s="382">
        <v>120094</v>
      </c>
      <c r="L17" s="382">
        <v>61744</v>
      </c>
      <c r="M17" s="1310">
        <v>59529</v>
      </c>
      <c r="N17" s="1310">
        <v>133087</v>
      </c>
      <c r="O17" s="382">
        <v>87408.16</v>
      </c>
      <c r="P17" s="382"/>
      <c r="Q17" s="382">
        <f t="shared" si="6"/>
        <v>144321.81666666668</v>
      </c>
      <c r="R17" s="436">
        <f t="shared" si="0"/>
        <v>3.8457333507653998E-3</v>
      </c>
      <c r="S17" s="381">
        <f t="shared" si="7"/>
        <v>121810.65000000001</v>
      </c>
      <c r="T17" s="436">
        <f t="shared" si="8"/>
        <v>3.1100276484586822E-3</v>
      </c>
      <c r="U17" s="381">
        <f t="shared" si="9"/>
        <v>89748.720000000016</v>
      </c>
      <c r="V17" s="436">
        <f t="shared" si="10"/>
        <v>2.1782185602047368E-3</v>
      </c>
      <c r="X17" s="178" t="s">
        <v>78</v>
      </c>
      <c r="Y17" s="382">
        <v>644912</v>
      </c>
      <c r="Z17" s="382">
        <v>717543</v>
      </c>
      <c r="AA17" s="382">
        <v>967166</v>
      </c>
      <c r="AB17" s="382">
        <v>1277617</v>
      </c>
      <c r="AC17" s="382">
        <v>446697</v>
      </c>
      <c r="AD17" s="382">
        <v>301658</v>
      </c>
      <c r="AE17" s="382">
        <v>707140</v>
      </c>
      <c r="AF17" s="382"/>
      <c r="AG17" s="382">
        <f t="shared" si="11"/>
        <v>897160</v>
      </c>
      <c r="AH17" s="436">
        <f t="shared" si="1"/>
        <v>6.1604570682487628E-3</v>
      </c>
      <c r="AI17" s="381">
        <f t="shared" si="12"/>
        <v>675324</v>
      </c>
      <c r="AJ17" s="436">
        <f t="shared" si="13"/>
        <v>4.3141330687970882E-3</v>
      </c>
      <c r="AK17" s="381">
        <f t="shared" si="14"/>
        <v>485165</v>
      </c>
      <c r="AL17" s="436">
        <f t="shared" si="15"/>
        <v>2.9503445754841132E-3</v>
      </c>
      <c r="AN17" s="382">
        <f>487624+407864</f>
        <v>895488</v>
      </c>
      <c r="AO17" s="382">
        <v>2075761</v>
      </c>
      <c r="AP17" s="382">
        <v>1558206</v>
      </c>
      <c r="AQ17" s="382">
        <v>1176229</v>
      </c>
      <c r="AR17" s="382">
        <v>154009</v>
      </c>
      <c r="AS17" s="382">
        <v>961655</v>
      </c>
      <c r="AT17" s="382">
        <v>590849</v>
      </c>
      <c r="AU17" s="382"/>
      <c r="AV17" s="381">
        <f t="shared" si="16"/>
        <v>962814.66666666663</v>
      </c>
      <c r="AW17" s="436">
        <f t="shared" si="17"/>
        <v>4.360087624410685E-3</v>
      </c>
      <c r="AX17" s="381">
        <f t="shared" si="18"/>
        <v>763964.33333333337</v>
      </c>
      <c r="AY17" s="436">
        <f t="shared" si="19"/>
        <v>2.7963676394800307E-3</v>
      </c>
      <c r="AZ17" s="381">
        <f t="shared" si="20"/>
        <v>568837.66666666663</v>
      </c>
      <c r="BA17" s="436">
        <f t="shared" si="19"/>
        <v>1.9221317309120549E-3</v>
      </c>
    </row>
    <row r="18" spans="1:53">
      <c r="A18" s="179" t="s">
        <v>79</v>
      </c>
      <c r="B18" s="381">
        <f t="shared" si="3"/>
        <v>39511.814071246772</v>
      </c>
      <c r="C18" s="381">
        <f t="shared" si="4"/>
        <v>60856.519990436871</v>
      </c>
      <c r="D18" s="381">
        <f t="shared" si="5"/>
        <v>72993.153751321035</v>
      </c>
      <c r="E18" s="381"/>
      <c r="G18" s="381">
        <v>122331.87</v>
      </c>
      <c r="H18" s="381">
        <v>140596.9</v>
      </c>
      <c r="I18" s="381">
        <v>95130.93</v>
      </c>
      <c r="J18" s="381">
        <v>146239.32</v>
      </c>
      <c r="K18" s="381">
        <v>306107</v>
      </c>
      <c r="L18" s="381">
        <v>427718</v>
      </c>
      <c r="M18" s="1309">
        <v>576441</v>
      </c>
      <c r="N18" s="1309">
        <v>312670</v>
      </c>
      <c r="O18" s="381">
        <v>376615.33</v>
      </c>
      <c r="P18" s="381"/>
      <c r="Q18" s="381">
        <f t="shared" si="6"/>
        <v>182492.41666666666</v>
      </c>
      <c r="R18" s="436">
        <f t="shared" si="0"/>
        <v>4.8628626582336446E-3</v>
      </c>
      <c r="S18" s="381">
        <f t="shared" si="7"/>
        <v>293354.77333333337</v>
      </c>
      <c r="T18" s="436">
        <f t="shared" si="8"/>
        <v>7.4898332442524234E-3</v>
      </c>
      <c r="U18" s="381">
        <f t="shared" si="9"/>
        <v>370146.77666666667</v>
      </c>
      <c r="V18" s="436">
        <f t="shared" si="10"/>
        <v>8.9835329009181498E-3</v>
      </c>
      <c r="X18" s="179" t="s">
        <v>79</v>
      </c>
      <c r="Y18" s="381">
        <v>405230</v>
      </c>
      <c r="Z18" s="381">
        <v>730294</v>
      </c>
      <c r="AA18" s="381">
        <v>613361</v>
      </c>
      <c r="AB18" s="381">
        <v>647932</v>
      </c>
      <c r="AC18" s="381">
        <v>802698</v>
      </c>
      <c r="AD18" s="381">
        <v>1394316</v>
      </c>
      <c r="AE18" s="381">
        <v>1392597</v>
      </c>
      <c r="AF18" s="381"/>
      <c r="AG18" s="381">
        <f t="shared" si="11"/>
        <v>687997</v>
      </c>
      <c r="AH18" s="436">
        <f t="shared" si="1"/>
        <v>4.7242141664629988E-3</v>
      </c>
      <c r="AI18" s="381">
        <f t="shared" si="12"/>
        <v>948315.33333333337</v>
      </c>
      <c r="AJ18" s="436">
        <f t="shared" si="13"/>
        <v>6.0580677410852673E-3</v>
      </c>
      <c r="AK18" s="381">
        <f t="shared" si="14"/>
        <v>1196537</v>
      </c>
      <c r="AL18" s="436">
        <f t="shared" si="15"/>
        <v>7.2762801259695867E-3</v>
      </c>
      <c r="AN18" s="381">
        <v>690505</v>
      </c>
      <c r="AO18" s="381">
        <v>1091907</v>
      </c>
      <c r="AP18" s="381">
        <f>51000+247062+6466+301475</f>
        <v>606003</v>
      </c>
      <c r="AQ18" s="381">
        <f>120000+838150+66839+321695</f>
        <v>1346684</v>
      </c>
      <c r="AR18" s="381">
        <f>348236+794977+69546+393001+11832</f>
        <v>1617592</v>
      </c>
      <c r="AS18" s="381">
        <f>451355+2133664+76450+428269</f>
        <v>3089738</v>
      </c>
      <c r="AT18" s="381">
        <v>2517058</v>
      </c>
      <c r="AU18" s="381"/>
      <c r="AV18" s="381">
        <f t="shared" si="16"/>
        <v>1190093</v>
      </c>
      <c r="AW18" s="436">
        <f t="shared" si="17"/>
        <v>5.3893131677793847E-3</v>
      </c>
      <c r="AX18" s="381">
        <f t="shared" si="18"/>
        <v>2018004.6666666667</v>
      </c>
      <c r="AY18" s="436">
        <f t="shared" si="19"/>
        <v>7.3865790586903745E-3</v>
      </c>
      <c r="AZ18" s="381">
        <f t="shared" si="20"/>
        <v>2408129.3333333335</v>
      </c>
      <c r="BA18" s="436">
        <f t="shared" si="19"/>
        <v>8.1371928671040185E-3</v>
      </c>
    </row>
    <row r="19" spans="1:53">
      <c r="A19" s="178" t="s">
        <v>80</v>
      </c>
      <c r="B19" s="382">
        <f t="shared" si="3"/>
        <v>1876058.2255881485</v>
      </c>
      <c r="C19" s="381">
        <f t="shared" si="4"/>
        <v>1793222.862220228</v>
      </c>
      <c r="D19" s="382">
        <f t="shared" si="5"/>
        <v>1864879.4057358669</v>
      </c>
      <c r="E19" s="382"/>
      <c r="G19" s="382">
        <v>7879487.2800000003</v>
      </c>
      <c r="H19" s="382">
        <v>7962627.5499999998</v>
      </c>
      <c r="I19" s="382">
        <v>8649026.9299999997</v>
      </c>
      <c r="J19" s="382">
        <v>8426521.6400000006</v>
      </c>
      <c r="K19" s="382">
        <v>8919188</v>
      </c>
      <c r="L19" s="382">
        <v>8586622</v>
      </c>
      <c r="M19" s="1310">
        <v>8463551</v>
      </c>
      <c r="N19" s="1310">
        <v>11998107</v>
      </c>
      <c r="O19" s="382">
        <v>10864484.970000001</v>
      </c>
      <c r="P19" s="382"/>
      <c r="Q19" s="382">
        <f t="shared" si="6"/>
        <v>8664912.1899999995</v>
      </c>
      <c r="R19" s="436">
        <f t="shared" si="0"/>
        <v>0.23089330885780832</v>
      </c>
      <c r="S19" s="381">
        <f t="shared" si="7"/>
        <v>8644110.5466666669</v>
      </c>
      <c r="T19" s="436">
        <f t="shared" si="8"/>
        <v>0.2206984594242509</v>
      </c>
      <c r="U19" s="381">
        <f>AVERAGE(K19,L19,O19)</f>
        <v>9456764.9900000002</v>
      </c>
      <c r="V19" s="436">
        <f t="shared" si="10"/>
        <v>0.22951749084234693</v>
      </c>
      <c r="X19" s="178" t="s">
        <v>80</v>
      </c>
      <c r="Y19" s="382">
        <v>24653704</v>
      </c>
      <c r="Z19" s="382">
        <v>21970515</v>
      </c>
      <c r="AA19" s="382">
        <v>21510931</v>
      </c>
      <c r="AB19" s="382">
        <v>21022770</v>
      </c>
      <c r="AC19" s="382">
        <v>22943458</v>
      </c>
      <c r="AD19" s="382">
        <v>22138056</v>
      </c>
      <c r="AE19" s="382">
        <v>21731682</v>
      </c>
      <c r="AF19" s="382"/>
      <c r="AG19" s="382">
        <f t="shared" si="11"/>
        <v>21825719.666666668</v>
      </c>
      <c r="AH19" s="436">
        <f t="shared" si="1"/>
        <v>0.14986892972282836</v>
      </c>
      <c r="AI19" s="381">
        <f>AVERAGE(AB19:AD19)</f>
        <v>22034761.333333332</v>
      </c>
      <c r="AJ19" s="436">
        <f t="shared" si="13"/>
        <v>0.14076338547302442</v>
      </c>
      <c r="AK19" s="381">
        <f t="shared" si="14"/>
        <v>22271065.333333332</v>
      </c>
      <c r="AL19" s="436">
        <f t="shared" si="15"/>
        <v>0.13543292858399159</v>
      </c>
      <c r="AN19" s="382">
        <f>1701900+33874366</f>
        <v>35576266</v>
      </c>
      <c r="AO19" s="382">
        <v>40135984</v>
      </c>
      <c r="AP19" s="382">
        <v>41488436</v>
      </c>
      <c r="AQ19" s="382">
        <v>38875104</v>
      </c>
      <c r="AR19" s="382">
        <v>44598359</v>
      </c>
      <c r="AS19" s="382">
        <v>160129056</v>
      </c>
      <c r="AT19" s="382">
        <v>120217246</v>
      </c>
      <c r="AU19" s="382"/>
      <c r="AV19" s="381">
        <f t="shared" si="16"/>
        <v>41653966.333333336</v>
      </c>
      <c r="AW19" s="436">
        <f t="shared" si="17"/>
        <v>0.18862918213154142</v>
      </c>
      <c r="AX19" s="381">
        <f>AVERAGE(AQ19:AS19)</f>
        <v>81200839.666666672</v>
      </c>
      <c r="AY19" s="436">
        <f t="shared" si="19"/>
        <v>0.29722251476287043</v>
      </c>
      <c r="AZ19" s="381">
        <f t="shared" si="20"/>
        <v>108314887</v>
      </c>
      <c r="BA19" s="436">
        <f t="shared" si="19"/>
        <v>0.36600157379320342</v>
      </c>
    </row>
    <row r="20" spans="1:53">
      <c r="A20" s="178" t="s">
        <v>81</v>
      </c>
      <c r="B20" s="383">
        <f t="shared" si="3"/>
        <v>121804.77906405936</v>
      </c>
      <c r="C20" s="381">
        <f t="shared" si="4"/>
        <v>165348.31495690669</v>
      </c>
      <c r="D20" s="383">
        <f t="shared" si="5"/>
        <v>190353.50504244954</v>
      </c>
      <c r="E20" s="383"/>
      <c r="G20" s="383">
        <v>749611.89</v>
      </c>
      <c r="H20" s="383">
        <v>529169.03</v>
      </c>
      <c r="I20" s="383">
        <v>258863.42</v>
      </c>
      <c r="J20" s="383">
        <v>589453.39</v>
      </c>
      <c r="K20" s="383">
        <v>839415</v>
      </c>
      <c r="L20" s="383">
        <v>962283</v>
      </c>
      <c r="M20" s="1311">
        <v>925654</v>
      </c>
      <c r="N20" s="1311">
        <v>854472</v>
      </c>
      <c r="O20" s="383">
        <v>1094138.0900000001</v>
      </c>
      <c r="P20" s="383"/>
      <c r="Q20" s="383">
        <f t="shared" si="6"/>
        <v>562577.27</v>
      </c>
      <c r="R20" s="436">
        <f t="shared" si="0"/>
        <v>1.4990957151118299E-2</v>
      </c>
      <c r="S20" s="381">
        <f t="shared" si="7"/>
        <v>797050.46333333338</v>
      </c>
      <c r="T20" s="436">
        <f t="shared" si="8"/>
        <v>2.0350018476902224E-2</v>
      </c>
      <c r="U20" s="381">
        <f t="shared" si="9"/>
        <v>965278.69666666666</v>
      </c>
      <c r="V20" s="436">
        <f t="shared" si="10"/>
        <v>2.3427498162086002E-2</v>
      </c>
      <c r="X20" s="178" t="s">
        <v>81</v>
      </c>
      <c r="Y20" s="383">
        <v>2739931</v>
      </c>
      <c r="Z20" s="383">
        <v>2306924</v>
      </c>
      <c r="AA20" s="383">
        <v>1494788</v>
      </c>
      <c r="AB20" s="383">
        <v>2085526</v>
      </c>
      <c r="AC20" s="383">
        <v>2739390</v>
      </c>
      <c r="AD20" s="383">
        <v>3824623</v>
      </c>
      <c r="AE20" s="383">
        <v>4639185</v>
      </c>
      <c r="AF20" s="383"/>
      <c r="AG20" s="383">
        <f t="shared" si="11"/>
        <v>2106568</v>
      </c>
      <c r="AH20" s="436">
        <f t="shared" si="1"/>
        <v>1.4465002591897386E-2</v>
      </c>
      <c r="AI20" s="381">
        <f>AVERAGE(AB20:AD20)</f>
        <v>2883179.6666666665</v>
      </c>
      <c r="AJ20" s="436">
        <f t="shared" si="13"/>
        <v>1.8418449134415527E-2</v>
      </c>
      <c r="AK20" s="381">
        <f t="shared" si="14"/>
        <v>3734399.3333333335</v>
      </c>
      <c r="AL20" s="436">
        <f t="shared" si="15"/>
        <v>2.2709315007866375E-2</v>
      </c>
      <c r="AN20" s="383">
        <v>1670138</v>
      </c>
      <c r="AO20" s="383">
        <v>900941</v>
      </c>
      <c r="AP20" s="383">
        <f>1187718+2711990</f>
        <v>3899708</v>
      </c>
      <c r="AQ20" s="383">
        <f>2936386+97036</f>
        <v>3033422</v>
      </c>
      <c r="AR20" s="383">
        <f>3370143+6199270</f>
        <v>9569413</v>
      </c>
      <c r="AS20" s="383">
        <v>5931893</v>
      </c>
      <c r="AT20" s="383">
        <v>4913235</v>
      </c>
      <c r="AU20" s="383"/>
      <c r="AV20" s="381">
        <f t="shared" si="16"/>
        <v>5500847.666666667</v>
      </c>
      <c r="AW20" s="436">
        <f t="shared" si="17"/>
        <v>2.4910482427772596E-2</v>
      </c>
      <c r="AX20" s="381">
        <f t="shared" si="18"/>
        <v>6178242.666666667</v>
      </c>
      <c r="AY20" s="436">
        <f t="shared" si="19"/>
        <v>2.261445607878048E-2</v>
      </c>
      <c r="AZ20" s="381">
        <f t="shared" si="20"/>
        <v>6804847</v>
      </c>
      <c r="BA20" s="436">
        <f t="shared" si="19"/>
        <v>2.2993927985374338E-2</v>
      </c>
    </row>
    <row r="21" spans="1:53">
      <c r="A21" s="179" t="s">
        <v>82</v>
      </c>
      <c r="B21" s="381">
        <f t="shared" si="3"/>
        <v>633448.03859806759</v>
      </c>
      <c r="C21" s="381">
        <f t="shared" si="4"/>
        <v>621879.21841374156</v>
      </c>
      <c r="D21" s="381">
        <f t="shared" si="5"/>
        <v>631019.69091526477</v>
      </c>
      <c r="E21" s="381"/>
      <c r="G21" s="381">
        <v>4097528.96</v>
      </c>
      <c r="H21" s="381">
        <v>3418431.62</v>
      </c>
      <c r="I21" s="381">
        <v>2859034.74</v>
      </c>
      <c r="J21" s="381">
        <v>2868546.2</v>
      </c>
      <c r="K21" s="381">
        <v>3049500</v>
      </c>
      <c r="L21" s="381">
        <v>3075135</v>
      </c>
      <c r="M21" s="1309">
        <v>2957618</v>
      </c>
      <c r="N21" s="1309">
        <v>3231525</v>
      </c>
      <c r="O21" s="381">
        <v>3475028.5</v>
      </c>
      <c r="P21" s="381"/>
      <c r="Q21" s="381">
        <f t="shared" si="6"/>
        <v>2925693.646666667</v>
      </c>
      <c r="R21" s="436">
        <f t="shared" si="0"/>
        <v>7.796075389693409E-2</v>
      </c>
      <c r="S21" s="381">
        <f t="shared" si="7"/>
        <v>2997727.0666666664</v>
      </c>
      <c r="T21" s="436">
        <f t="shared" si="8"/>
        <v>7.6536937122216125E-2</v>
      </c>
      <c r="U21" s="381">
        <f t="shared" si="9"/>
        <v>3199887.8333333335</v>
      </c>
      <c r="V21" s="436">
        <f t="shared" si="10"/>
        <v>7.7661888315955788E-2</v>
      </c>
      <c r="X21" s="179" t="s">
        <v>82</v>
      </c>
      <c r="Y21" s="381">
        <v>14033591</v>
      </c>
      <c r="Z21" s="381">
        <v>8786068</v>
      </c>
      <c r="AA21" s="381">
        <v>13065769</v>
      </c>
      <c r="AB21" s="381">
        <v>11748064</v>
      </c>
      <c r="AC21" s="381">
        <v>12961767</v>
      </c>
      <c r="AD21" s="381">
        <v>10970466</v>
      </c>
      <c r="AE21" s="381">
        <v>11630378</v>
      </c>
      <c r="AF21" s="381"/>
      <c r="AG21" s="381">
        <f t="shared" si="11"/>
        <v>12591866.666666666</v>
      </c>
      <c r="AH21" s="436">
        <f t="shared" si="1"/>
        <v>8.6463567266833838E-2</v>
      </c>
      <c r="AI21" s="381">
        <f t="shared" si="12"/>
        <v>11893432.333333334</v>
      </c>
      <c r="AJ21" s="436">
        <f t="shared" si="13"/>
        <v>7.5978122694786279E-2</v>
      </c>
      <c r="AK21" s="381">
        <f t="shared" si="14"/>
        <v>11854203.666666666</v>
      </c>
      <c r="AL21" s="436">
        <f t="shared" si="15"/>
        <v>7.2086785907132384E-2</v>
      </c>
      <c r="AN21" s="381">
        <f>24834234-1701900-407864</f>
        <v>22724470</v>
      </c>
      <c r="AO21" s="381">
        <v>8106951</v>
      </c>
      <c r="AP21" s="381">
        <v>9924152</v>
      </c>
      <c r="AQ21" s="381">
        <f>15376529+11698890</f>
        <v>27075419</v>
      </c>
      <c r="AR21" s="381">
        <f>5574098+7776305</f>
        <v>13350403</v>
      </c>
      <c r="AS21" s="381">
        <f>9295544+8881645</f>
        <v>18177189</v>
      </c>
      <c r="AT21" s="381">
        <v>11923163</v>
      </c>
      <c r="AU21" s="381"/>
      <c r="AV21" s="381">
        <f t="shared" si="16"/>
        <v>16783324.666666668</v>
      </c>
      <c r="AW21" s="436">
        <f t="shared" si="17"/>
        <v>7.6002961638446095E-2</v>
      </c>
      <c r="AX21" s="381">
        <f t="shared" si="18"/>
        <v>19534337</v>
      </c>
      <c r="AY21" s="436">
        <f t="shared" si="19"/>
        <v>7.1502274991237486E-2</v>
      </c>
      <c r="AZ21" s="381">
        <f t="shared" si="20"/>
        <v>14483585</v>
      </c>
      <c r="BA21" s="436">
        <f t="shared" si="19"/>
        <v>4.8940778603846345E-2</v>
      </c>
    </row>
    <row r="22" spans="1:53">
      <c r="A22" s="178" t="s">
        <v>83</v>
      </c>
      <c r="B22" s="383">
        <f t="shared" si="3"/>
        <v>116139.96474751788</v>
      </c>
      <c r="C22" s="381">
        <f t="shared" si="4"/>
        <v>126358.43877192751</v>
      </c>
      <c r="D22" s="383">
        <f t="shared" si="5"/>
        <v>139434.01238899163</v>
      </c>
      <c r="E22" s="383"/>
      <c r="G22" s="383">
        <v>629146.44999999995</v>
      </c>
      <c r="H22" s="383">
        <v>499557.58</v>
      </c>
      <c r="I22" s="383">
        <v>556290.78</v>
      </c>
      <c r="J22" s="383">
        <v>548946.14</v>
      </c>
      <c r="K22" s="383">
        <v>504003</v>
      </c>
      <c r="L22" s="383">
        <v>774358</v>
      </c>
      <c r="M22" s="1311">
        <v>764319</v>
      </c>
      <c r="N22" s="1311">
        <v>654962</v>
      </c>
      <c r="O22" s="383">
        <v>842840</v>
      </c>
      <c r="P22" s="383"/>
      <c r="Q22" s="383">
        <f t="shared" si="6"/>
        <v>536413.30666666664</v>
      </c>
      <c r="R22" s="436">
        <f t="shared" si="0"/>
        <v>1.4293767850822838E-2</v>
      </c>
      <c r="S22" s="381">
        <f t="shared" si="7"/>
        <v>609102.38</v>
      </c>
      <c r="T22" s="436">
        <f t="shared" si="8"/>
        <v>1.5551392612567017E-2</v>
      </c>
      <c r="U22" s="381">
        <f t="shared" si="9"/>
        <v>707067</v>
      </c>
      <c r="V22" s="436">
        <f t="shared" si="10"/>
        <v>1.716065101216243E-2</v>
      </c>
      <c r="X22" s="178" t="s">
        <v>83</v>
      </c>
      <c r="Y22" s="383">
        <v>1840682</v>
      </c>
      <c r="Z22" s="383">
        <v>1393889</v>
      </c>
      <c r="AA22" s="383">
        <v>1519266</v>
      </c>
      <c r="AB22" s="383">
        <v>1590477</v>
      </c>
      <c r="AC22" s="383">
        <v>1464011</v>
      </c>
      <c r="AD22" s="383">
        <v>2043945</v>
      </c>
      <c r="AE22" s="383">
        <v>2223133</v>
      </c>
      <c r="AF22" s="383"/>
      <c r="AG22" s="383">
        <f t="shared" si="11"/>
        <v>1524584.6666666667</v>
      </c>
      <c r="AH22" s="436">
        <f t="shared" si="1"/>
        <v>1.0468744021033429E-2</v>
      </c>
      <c r="AI22" s="381">
        <f t="shared" si="12"/>
        <v>1699477.6666666667</v>
      </c>
      <c r="AJ22" s="436">
        <f t="shared" si="13"/>
        <v>1.0856674428050508E-2</v>
      </c>
      <c r="AK22" s="381">
        <f t="shared" si="14"/>
        <v>1910363</v>
      </c>
      <c r="AL22" s="436">
        <f t="shared" si="15"/>
        <v>1.1617138734771793E-2</v>
      </c>
      <c r="AN22" s="383">
        <v>1956307</v>
      </c>
      <c r="AO22" s="383">
        <v>1681511</v>
      </c>
      <c r="AP22" s="383">
        <v>3906737</v>
      </c>
      <c r="AQ22" s="383">
        <v>1293078</v>
      </c>
      <c r="AR22" s="383">
        <v>2977310</v>
      </c>
      <c r="AS22" s="383">
        <f>2944865</f>
        <v>2944865</v>
      </c>
      <c r="AT22" s="383">
        <v>2934504</v>
      </c>
      <c r="AU22" s="383"/>
      <c r="AV22" s="383">
        <f t="shared" ref="AV22" si="21">AVERAGE(AO22:AQ22)</f>
        <v>2293775.3333333335</v>
      </c>
      <c r="AW22" s="436">
        <f t="shared" si="2"/>
        <v>1.0387317300295759E-2</v>
      </c>
      <c r="AX22" s="381">
        <f t="shared" ref="AX22" si="22">AVERAGE(AP22:AR22)</f>
        <v>2725708.3333333335</v>
      </c>
      <c r="AY22" s="436">
        <f t="shared" ref="AY22:BA22" si="23">AX22/AX$54</f>
        <v>9.977013645045012E-3</v>
      </c>
      <c r="AZ22" s="381">
        <f t="shared" ref="AZ22" si="24">AVERAGE(AQ22,AR22,AS22)</f>
        <v>2405084.3333333335</v>
      </c>
      <c r="BA22" s="436">
        <f t="shared" si="23"/>
        <v>8.1269036555000757E-3</v>
      </c>
    </row>
    <row r="23" spans="1:53">
      <c r="A23" s="178" t="s">
        <v>84</v>
      </c>
      <c r="B23" s="382">
        <f>B$3*(B$5*AH23+B$6*R23+B$7*AV23)</f>
        <v>0</v>
      </c>
      <c r="C23" s="381">
        <f>B$3*(B$5*AJ23+B$6*T23+B$7*AX23)</f>
        <v>0</v>
      </c>
      <c r="D23" s="382">
        <f>B$3*(B$5*AJ23+B$6*V23+B$7*AX23)</f>
        <v>0</v>
      </c>
      <c r="E23" s="382"/>
      <c r="G23" s="382"/>
      <c r="H23" s="382"/>
      <c r="I23" s="382"/>
      <c r="J23" s="382"/>
      <c r="K23" s="382"/>
      <c r="L23" s="382"/>
      <c r="M23" s="1310"/>
      <c r="N23" s="1310"/>
      <c r="O23" s="382"/>
      <c r="P23" s="382"/>
      <c r="Q23" s="382"/>
      <c r="R23" s="436"/>
      <c r="S23" s="382"/>
      <c r="T23" s="436"/>
      <c r="U23" s="382"/>
      <c r="V23" s="436"/>
      <c r="X23" s="178" t="s">
        <v>84</v>
      </c>
      <c r="Y23" s="382">
        <v>0</v>
      </c>
      <c r="Z23" s="382"/>
      <c r="AA23" s="382"/>
      <c r="AB23" s="382"/>
      <c r="AC23" s="382"/>
      <c r="AD23" s="382"/>
      <c r="AE23" s="382"/>
      <c r="AF23" s="382"/>
      <c r="AG23" s="382"/>
      <c r="AH23" s="436"/>
      <c r="AI23" s="382"/>
      <c r="AJ23" s="436"/>
      <c r="AK23" s="382"/>
      <c r="AL23" s="436"/>
      <c r="AN23" s="382"/>
      <c r="AO23" s="382"/>
      <c r="AP23" s="382"/>
      <c r="AQ23" s="382"/>
      <c r="AR23" s="382"/>
      <c r="AS23" s="382"/>
      <c r="AT23" s="382"/>
      <c r="AU23" s="382"/>
      <c r="AV23" s="382"/>
      <c r="AW23" s="436"/>
      <c r="AX23" s="382"/>
      <c r="AY23" s="436"/>
      <c r="AZ23" s="382"/>
      <c r="BA23" s="436"/>
    </row>
    <row r="24" spans="1:53">
      <c r="A24" s="179" t="s">
        <v>85</v>
      </c>
      <c r="B24" s="381">
        <f>B$3*(B$5*AH24+B$6*R24+B$7*AV24)</f>
        <v>0</v>
      </c>
      <c r="C24" s="381">
        <f>B$3*(B$5*AJ24+B$6*T24+B$7*AX24)</f>
        <v>0</v>
      </c>
      <c r="D24" s="381">
        <f>B$3*(B$5*AJ24+B$6*V24+B$7*AX24)</f>
        <v>0</v>
      </c>
      <c r="E24" s="381"/>
      <c r="G24" s="381"/>
      <c r="H24" s="381"/>
      <c r="I24" s="381"/>
      <c r="J24" s="381"/>
      <c r="K24" s="381"/>
      <c r="L24" s="381"/>
      <c r="M24" s="1309"/>
      <c r="N24" s="1309"/>
      <c r="O24" s="381"/>
      <c r="P24" s="381"/>
      <c r="Q24" s="381"/>
      <c r="R24" s="436"/>
      <c r="S24" s="381"/>
      <c r="T24" s="436"/>
      <c r="U24" s="381"/>
      <c r="V24" s="436"/>
      <c r="X24" s="179" t="s">
        <v>85</v>
      </c>
      <c r="Y24" s="381">
        <v>127342</v>
      </c>
      <c r="Z24" s="381">
        <v>106888</v>
      </c>
      <c r="AA24" s="381">
        <v>89485</v>
      </c>
      <c r="AB24" s="381">
        <v>199097</v>
      </c>
      <c r="AC24" s="381">
        <v>24911</v>
      </c>
      <c r="AD24" s="381">
        <v>0</v>
      </c>
      <c r="AE24" s="381">
        <v>4250</v>
      </c>
      <c r="AF24" s="381"/>
      <c r="AG24" s="381">
        <f t="shared" si="11"/>
        <v>104497.66666666667</v>
      </c>
      <c r="AH24" s="436"/>
      <c r="AI24" s="381">
        <f>AVERAGE(AB24:AD24)</f>
        <v>74669.333333333328</v>
      </c>
      <c r="AJ24" s="436">
        <f>AI24/AI$54</f>
        <v>4.7700576339411308E-4</v>
      </c>
      <c r="AK24" s="381"/>
      <c r="AL24" s="436"/>
      <c r="AN24" s="381"/>
      <c r="AO24" s="381"/>
      <c r="AP24" s="381"/>
      <c r="AQ24" s="381"/>
      <c r="AR24" s="381">
        <v>1000</v>
      </c>
      <c r="AS24" s="381"/>
      <c r="AT24" s="381">
        <v>4250</v>
      </c>
      <c r="AU24" s="381"/>
      <c r="AV24" s="381">
        <f>AVERAGE(AP24:AR24)</f>
        <v>1000</v>
      </c>
      <c r="AW24" s="436">
        <f t="shared" ref="AW24:AW25" si="25">AV24/AV$54</f>
        <v>4.5284806882986327E-6</v>
      </c>
      <c r="AX24" s="381">
        <f>AVERAGE(AQ24:AS24)</f>
        <v>1000</v>
      </c>
      <c r="AY24" s="436">
        <f>AX24/AX$54</f>
        <v>3.6603379470333439E-6</v>
      </c>
      <c r="AZ24" s="381">
        <f>AVERAGE(AS24,AR24,AT24)</f>
        <v>2625</v>
      </c>
      <c r="BA24" s="436">
        <f>AZ24/AZ$54</f>
        <v>8.8700100034001703E-6</v>
      </c>
    </row>
    <row r="25" spans="1:53">
      <c r="A25" s="54" t="s">
        <v>87</v>
      </c>
      <c r="B25" s="55">
        <f>B$3*(B$5*AH25+B$6*R25+B$7*AV25)</f>
        <v>0</v>
      </c>
      <c r="C25" s="381">
        <f>B$3*(B$5*AJ25+B$6*T25+B$7*AX25)</f>
        <v>0</v>
      </c>
      <c r="D25" s="55">
        <f>B$3*(B$5*AJ25+B$6*V25+B$7*AX25)</f>
        <v>0</v>
      </c>
      <c r="E25" s="55"/>
      <c r="G25" s="55"/>
      <c r="H25" s="55"/>
      <c r="I25" s="55"/>
      <c r="J25" s="55"/>
      <c r="K25" s="55"/>
      <c r="L25" s="55"/>
      <c r="M25" s="1312"/>
      <c r="N25" s="1312"/>
      <c r="O25" s="55"/>
      <c r="P25" s="55"/>
      <c r="Q25" s="55"/>
      <c r="R25" s="436"/>
      <c r="S25" s="55"/>
      <c r="T25" s="436"/>
      <c r="U25" s="55"/>
      <c r="V25" s="436"/>
      <c r="X25" s="54" t="s">
        <v>87</v>
      </c>
      <c r="Y25" s="55">
        <v>0</v>
      </c>
      <c r="Z25" s="55"/>
      <c r="AA25" s="55"/>
      <c r="AB25" s="55"/>
      <c r="AC25" s="55"/>
      <c r="AD25" s="55"/>
      <c r="AE25" s="55"/>
      <c r="AF25" s="55"/>
      <c r="AG25" s="55"/>
      <c r="AH25" s="436"/>
      <c r="AI25" s="55"/>
      <c r="AJ25" s="436"/>
      <c r="AK25" s="55"/>
      <c r="AL25" s="436"/>
      <c r="AN25" s="55"/>
      <c r="AO25" s="55"/>
      <c r="AP25" s="55"/>
      <c r="AQ25" s="55"/>
      <c r="AR25" s="55">
        <v>98974</v>
      </c>
      <c r="AS25" s="55">
        <v>41677</v>
      </c>
      <c r="AT25" s="55">
        <v>-41236</v>
      </c>
      <c r="AU25" s="55"/>
      <c r="AV25" s="381">
        <f>AVERAGE(AP25:AR25)</f>
        <v>98974</v>
      </c>
      <c r="AW25" s="436">
        <f t="shared" si="25"/>
        <v>4.4820184764366887E-4</v>
      </c>
      <c r="AX25" s="381">
        <f>AVERAGE(AQ25:AS25)</f>
        <v>70325.5</v>
      </c>
      <c r="AY25" s="436">
        <f>AX25/AX$54</f>
        <v>2.5741509629409345E-4</v>
      </c>
      <c r="AZ25" s="381">
        <f>AVERAGE(AS25,AR25,AT25)</f>
        <v>33138.333333333336</v>
      </c>
      <c r="BA25" s="436">
        <f>AZ25/AZ$54</f>
        <v>1.1197613263340037E-4</v>
      </c>
    </row>
    <row r="26" spans="1:53">
      <c r="A26" s="178" t="s">
        <v>88</v>
      </c>
      <c r="B26" s="48">
        <f>B$3*(B$5*AH26+B$6*R26+B$7*AV26)</f>
        <v>0</v>
      </c>
      <c r="C26" s="381">
        <f>B$3*(B$5*AJ26+B$6*T26+B$7*AX26)</f>
        <v>0</v>
      </c>
      <c r="D26" s="48">
        <f>B$3*(B$5*AJ26+B$6*V26+B$7*AX26)</f>
        <v>0</v>
      </c>
      <c r="E26" s="48"/>
      <c r="G26" s="48"/>
      <c r="H26" s="48"/>
      <c r="I26" s="48"/>
      <c r="J26" s="48"/>
      <c r="K26" s="48"/>
      <c r="L26" s="48"/>
      <c r="M26" s="1313"/>
      <c r="N26" s="1313"/>
      <c r="O26" s="48"/>
      <c r="P26" s="48"/>
      <c r="Q26" s="48"/>
      <c r="R26" s="436"/>
      <c r="S26" s="48"/>
      <c r="T26" s="436"/>
      <c r="U26" s="48"/>
      <c r="V26" s="436"/>
      <c r="X26" s="178" t="s">
        <v>88</v>
      </c>
      <c r="Y26" s="48">
        <v>0</v>
      </c>
      <c r="Z26" s="48"/>
      <c r="AA26" s="48"/>
      <c r="AB26" s="48"/>
      <c r="AC26" s="48"/>
      <c r="AD26" s="48"/>
      <c r="AE26" s="48"/>
      <c r="AF26" s="48"/>
      <c r="AG26" s="48"/>
      <c r="AH26" s="436"/>
      <c r="AI26" s="48"/>
      <c r="AJ26" s="436"/>
      <c r="AK26" s="48"/>
      <c r="AL26" s="436"/>
      <c r="AN26" s="48"/>
      <c r="AO26" s="48"/>
      <c r="AP26" s="48"/>
      <c r="AQ26" s="48"/>
      <c r="AR26" s="48"/>
      <c r="AS26" s="48"/>
      <c r="AT26" s="48"/>
      <c r="AU26" s="48"/>
      <c r="AV26" s="48"/>
      <c r="AW26" s="436"/>
      <c r="AX26" s="48"/>
      <c r="AY26" s="436"/>
      <c r="AZ26" s="48"/>
      <c r="BA26" s="436"/>
    </row>
    <row r="27" spans="1:53">
      <c r="A27" s="368" t="s">
        <v>461</v>
      </c>
      <c r="B27" s="228">
        <f>B$3*(B$5*AH27+B$6*R27+B$7*AW27)</f>
        <v>-11.8616147094327</v>
      </c>
      <c r="C27" s="381">
        <f>B$3*(B$5*AJ27+B$6*T27+B$7*AY27)</f>
        <v>0</v>
      </c>
      <c r="D27" s="228">
        <f>B$3*(B$5*AL27+B$6*V27+B$7*BA27)</f>
        <v>0</v>
      </c>
      <c r="E27" s="228"/>
      <c r="G27" s="228">
        <v>0</v>
      </c>
      <c r="H27" s="228">
        <v>2590.7600000000002</v>
      </c>
      <c r="I27" s="228">
        <v>-109.57</v>
      </c>
      <c r="J27" s="228">
        <v>0</v>
      </c>
      <c r="K27" s="228"/>
      <c r="L27" s="228"/>
      <c r="M27" s="1314"/>
      <c r="N27" s="1314">
        <v>0</v>
      </c>
      <c r="O27" s="228"/>
      <c r="P27" s="228"/>
      <c r="Q27" s="228">
        <f>AVERAGE(I27:K27)</f>
        <v>-54.784999999999997</v>
      </c>
      <c r="R27" s="436">
        <f>Q27/Q$54</f>
        <v>-1.4598520617870252E-6</v>
      </c>
      <c r="S27" s="381">
        <f>AVERAGE(J27:L27)</f>
        <v>0</v>
      </c>
      <c r="T27" s="436">
        <f>S27/S$54</f>
        <v>0</v>
      </c>
      <c r="U27" s="381"/>
      <c r="V27" s="436">
        <f>U27/U$54</f>
        <v>0</v>
      </c>
      <c r="X27" s="368" t="s">
        <v>461</v>
      </c>
      <c r="Y27" s="228">
        <v>0</v>
      </c>
      <c r="Z27" s="228">
        <v>7851</v>
      </c>
      <c r="AA27" s="228"/>
      <c r="AB27" s="228"/>
      <c r="AC27" s="228"/>
      <c r="AD27" s="228"/>
      <c r="AE27" s="228"/>
      <c r="AF27" s="228"/>
      <c r="AG27" s="228"/>
      <c r="AH27" s="436">
        <f>AG27/AG$54</f>
        <v>0</v>
      </c>
      <c r="AI27" s="381"/>
      <c r="AJ27" s="436">
        <f>AI27/AI$54</f>
        <v>0</v>
      </c>
      <c r="AK27" s="381"/>
      <c r="AL27" s="436">
        <f>AK27/AK$54</f>
        <v>0</v>
      </c>
      <c r="AN27" s="228">
        <v>0</v>
      </c>
      <c r="AO27" s="228">
        <v>10000</v>
      </c>
      <c r="AP27" s="228">
        <v>0</v>
      </c>
      <c r="AQ27" s="228">
        <v>0</v>
      </c>
      <c r="AR27" s="228"/>
      <c r="AS27" s="228"/>
      <c r="AT27" s="228"/>
      <c r="AU27" s="228"/>
      <c r="AV27" s="228"/>
      <c r="AW27" s="436">
        <f>AV27/AV$54</f>
        <v>0</v>
      </c>
      <c r="AX27" s="381"/>
      <c r="AY27" s="436">
        <f>AX27/AX$54</f>
        <v>0</v>
      </c>
      <c r="AZ27" s="381"/>
      <c r="BA27" s="436">
        <f>AZ27/AZ$54</f>
        <v>0</v>
      </c>
    </row>
    <row r="28" spans="1:53">
      <c r="A28" s="367" t="s">
        <v>462</v>
      </c>
      <c r="B28" s="55">
        <f>B$3*(B$5*AH28+B$6*R28+B$7*AV28)</f>
        <v>0</v>
      </c>
      <c r="C28" s="381">
        <f>B$3*(B$5*AJ28+B$6*T28+B$7*AX28)</f>
        <v>0</v>
      </c>
      <c r="D28" s="55">
        <f>B$3*(B$5*AJ28+B$6*V28+B$7*AX28)</f>
        <v>0</v>
      </c>
      <c r="E28" s="55"/>
      <c r="G28" s="55"/>
      <c r="H28" s="55"/>
      <c r="I28" s="55"/>
      <c r="J28" s="55"/>
      <c r="K28" s="55"/>
      <c r="L28" s="55"/>
      <c r="M28" s="1312"/>
      <c r="N28" s="1312"/>
      <c r="O28" s="55"/>
      <c r="P28" s="55"/>
      <c r="Q28" s="55"/>
      <c r="R28" s="436"/>
      <c r="S28" s="55"/>
      <c r="T28" s="436"/>
      <c r="U28" s="55"/>
      <c r="V28" s="436"/>
      <c r="X28" s="367" t="s">
        <v>462</v>
      </c>
      <c r="Y28" s="55">
        <v>45047</v>
      </c>
      <c r="Z28" s="55"/>
      <c r="AA28" s="55"/>
      <c r="AB28" s="55"/>
      <c r="AC28" s="55"/>
      <c r="AD28" s="55"/>
      <c r="AE28" s="55"/>
      <c r="AF28" s="55"/>
      <c r="AG28" s="55"/>
      <c r="AH28" s="436"/>
      <c r="AI28" s="55"/>
      <c r="AJ28" s="436"/>
      <c r="AK28" s="55"/>
      <c r="AL28" s="436"/>
      <c r="AN28" s="55"/>
      <c r="AO28" s="55"/>
      <c r="AP28" s="55"/>
      <c r="AQ28" s="55"/>
      <c r="AR28" s="55"/>
      <c r="AS28" s="55"/>
      <c r="AT28" s="55"/>
      <c r="AU28" s="55"/>
      <c r="AV28" s="55"/>
      <c r="AW28" s="436"/>
      <c r="AX28" s="55"/>
      <c r="AY28" s="436"/>
      <c r="AZ28" s="55"/>
      <c r="BA28" s="436"/>
    </row>
    <row r="29" spans="1:53">
      <c r="A29" s="178" t="s">
        <v>89</v>
      </c>
      <c r="B29" s="48">
        <f>B$3*(B$5*AH29+B$6*R29+B$7*AW29)</f>
        <v>2859.3170847629785</v>
      </c>
      <c r="C29" s="381">
        <f>B$3*(B$5*AJ29+B$6*T29+B$7*AY29)</f>
        <v>3674.7494609823511</v>
      </c>
      <c r="D29" s="48">
        <f>B$3*(B$5*AL29+B$6*V29+B$7*BA29)</f>
        <v>3206.9413329626632</v>
      </c>
      <c r="E29" s="48"/>
      <c r="G29" s="48">
        <v>1493.72</v>
      </c>
      <c r="H29" s="48">
        <v>4183.84</v>
      </c>
      <c r="I29" s="48">
        <v>5770.16</v>
      </c>
      <c r="J29" s="48">
        <v>13865.65</v>
      </c>
      <c r="K29" s="48">
        <v>19983</v>
      </c>
      <c r="L29" s="48">
        <v>19293</v>
      </c>
      <c r="M29" s="1313">
        <v>15013</v>
      </c>
      <c r="N29" s="1313">
        <v>19025</v>
      </c>
      <c r="O29" s="48">
        <v>9511</v>
      </c>
      <c r="P29" s="48"/>
      <c r="Q29" s="48">
        <f>AVERAGE(I29:K29)</f>
        <v>13206.269999999999</v>
      </c>
      <c r="R29" s="436">
        <f>Q29/Q$54</f>
        <v>3.5190655266982085E-4</v>
      </c>
      <c r="S29" s="381">
        <f>AVERAGE(J29:L29)</f>
        <v>17713.883333333335</v>
      </c>
      <c r="T29" s="436">
        <f>S29/S$54</f>
        <v>4.5226478085650236E-4</v>
      </c>
      <c r="U29" s="381">
        <f t="shared" ref="U29:U30" si="26">AVERAGE(K29,L29,O29)</f>
        <v>16262.333333333334</v>
      </c>
      <c r="V29" s="436">
        <f>U29/U$54</f>
        <v>3.9468993317010904E-4</v>
      </c>
      <c r="X29" s="178" t="s">
        <v>89</v>
      </c>
      <c r="Y29" s="48">
        <v>19449</v>
      </c>
      <c r="Z29" s="48">
        <v>23622</v>
      </c>
      <c r="AA29" s="48">
        <v>17935</v>
      </c>
      <c r="AB29" s="48">
        <v>75641</v>
      </c>
      <c r="AC29" s="48">
        <v>44825</v>
      </c>
      <c r="AD29" s="48">
        <v>19678</v>
      </c>
      <c r="AE29" s="48">
        <v>540</v>
      </c>
      <c r="AF29" s="48"/>
      <c r="AG29" s="48">
        <f t="shared" si="11"/>
        <v>46133.666666666664</v>
      </c>
      <c r="AH29" s="436">
        <f>AG29/AG$54</f>
        <v>3.1678237204166369E-4</v>
      </c>
      <c r="AI29" s="381">
        <f t="shared" ref="AI29" si="27">AVERAGE(AB29:AD29)</f>
        <v>46714.666666666664</v>
      </c>
      <c r="AJ29" s="436">
        <f>AI29/AI$54</f>
        <v>2.9842459066240754E-4</v>
      </c>
      <c r="AK29" s="381">
        <f t="shared" ref="AK29:AK30" si="28">AVERAGE(AC29,AD29,AE29)</f>
        <v>21681</v>
      </c>
      <c r="AL29" s="436">
        <f>AK29/AK$54</f>
        <v>1.3184467292791331E-4</v>
      </c>
      <c r="AN29" s="48">
        <v>49180</v>
      </c>
      <c r="AO29" s="48">
        <v>188036</v>
      </c>
      <c r="AP29" s="48">
        <v>224099</v>
      </c>
      <c r="AQ29" s="48">
        <v>431168</v>
      </c>
      <c r="AR29" s="48">
        <f>5500+96437+64776+3177</f>
        <v>169890</v>
      </c>
      <c r="AS29" s="48">
        <f>9717-64776</f>
        <v>-55059</v>
      </c>
      <c r="AT29" s="48">
        <f>-56581-57234</f>
        <v>-113815</v>
      </c>
      <c r="AU29" s="48"/>
      <c r="AV29" s="381">
        <f t="shared" ref="AV29:AV30" si="29">AVERAGE(AP29:AR29)</f>
        <v>275052.33333333331</v>
      </c>
      <c r="AW29" s="436">
        <f t="shared" ref="AW29:AW30" si="30">AV29/AV$54</f>
        <v>1.2455691797714783E-3</v>
      </c>
      <c r="AX29" s="381">
        <f t="shared" ref="AX29" si="31">AVERAGE(AQ29:AS29)</f>
        <v>181999.66666666666</v>
      </c>
      <c r="AY29" s="436">
        <f t="shared" ref="AY29:BA30" si="32">AX29/AX$54</f>
        <v>6.6618028624741959E-4</v>
      </c>
      <c r="AZ29" s="381">
        <f t="shared" ref="AZ29" si="33">AVERAGE(AS29,AR29,AT29)</f>
        <v>338.66666666666669</v>
      </c>
      <c r="BA29" s="436">
        <f t="shared" si="32"/>
        <v>1.1443720842481997E-6</v>
      </c>
    </row>
    <row r="30" spans="1:53">
      <c r="A30" s="368" t="s">
        <v>90</v>
      </c>
      <c r="B30" s="384">
        <f>B$3*(B$5*AH30+B$6*R30+B$7*AV30)</f>
        <v>888845.71063388768</v>
      </c>
      <c r="C30" s="381">
        <f>B$3*(B$5*AJ30+B$6*T30+B$7*AX30)</f>
        <v>864175.11980598886</v>
      </c>
      <c r="D30" s="384">
        <f>B$3*(B$5*AJ30+B$6*V30+B$7*AX30)</f>
        <v>849637.58558934915</v>
      </c>
      <c r="E30" s="384"/>
      <c r="G30" s="384">
        <v>5000351.83</v>
      </c>
      <c r="H30" s="384">
        <v>4448459.2300000004</v>
      </c>
      <c r="I30" s="384">
        <v>4316658.5</v>
      </c>
      <c r="J30" s="384">
        <v>3889160.63</v>
      </c>
      <c r="K30" s="384">
        <v>4110062</v>
      </c>
      <c r="L30" s="384">
        <v>4497872</v>
      </c>
      <c r="M30" s="1315">
        <v>4324127</v>
      </c>
      <c r="N30" s="1315">
        <v>4487171</v>
      </c>
      <c r="O30" s="384">
        <v>4317550</v>
      </c>
      <c r="P30" s="384"/>
      <c r="Q30" s="384">
        <f>AVERAGE(I30:K30)</f>
        <v>4105293.7099999995</v>
      </c>
      <c r="R30" s="436">
        <f>Q30/Q$54</f>
        <v>0.10939347424997363</v>
      </c>
      <c r="S30" s="381">
        <f>AVERAGE(J30:L30)</f>
        <v>4165698.2099999995</v>
      </c>
      <c r="T30" s="436">
        <f>S30/S$54</f>
        <v>0.10635717491233188</v>
      </c>
      <c r="U30" s="381">
        <f t="shared" si="26"/>
        <v>4308494.666666667</v>
      </c>
      <c r="V30" s="436">
        <f>U30/U$54</f>
        <v>0.10456798770474335</v>
      </c>
      <c r="X30" s="368" t="s">
        <v>90</v>
      </c>
      <c r="Y30" s="384">
        <f>560586+2692936+1436152+21081399+408527+1626889</f>
        <v>27806489</v>
      </c>
      <c r="Z30" s="384">
        <v>18999562</v>
      </c>
      <c r="AA30" s="384">
        <v>13198573</v>
      </c>
      <c r="AB30" s="384">
        <v>14377404</v>
      </c>
      <c r="AC30" s="384">
        <v>15669985</v>
      </c>
      <c r="AD30" s="384">
        <v>22580278</v>
      </c>
      <c r="AE30" s="384">
        <v>24301228</v>
      </c>
      <c r="AF30" s="384"/>
      <c r="AG30" s="384">
        <f t="shared" si="11"/>
        <v>14415320.666666666</v>
      </c>
      <c r="AH30" s="436">
        <f>AG30/AG$54</f>
        <v>9.8984533519148335E-2</v>
      </c>
      <c r="AI30" s="381">
        <f>AVERAGE(AB30:AD30)</f>
        <v>17542555.666666668</v>
      </c>
      <c r="AJ30" s="436">
        <f>AI30/AI$54</f>
        <v>0.11206608903693697</v>
      </c>
      <c r="AK30" s="381">
        <f t="shared" si="28"/>
        <v>20850497</v>
      </c>
      <c r="AL30" s="436">
        <f>AK30/AK$54</f>
        <v>0.12679428796409012</v>
      </c>
      <c r="AN30" s="384">
        <f>14451295+615000+1682607+1919998+840268+4153105</f>
        <v>23662273</v>
      </c>
      <c r="AO30" s="384">
        <v>17091769</v>
      </c>
      <c r="AP30" s="384">
        <v>23785270</v>
      </c>
      <c r="AQ30" s="384">
        <f>12193733+930000+511827+2273164+693120+1161691</f>
        <v>17763535</v>
      </c>
      <c r="AR30" s="384">
        <f>17626262+400000+528737+2110764+1542671+4847497+0</f>
        <v>27055931</v>
      </c>
      <c r="AS30" s="384">
        <f>1846047+2314208+1411643+1119196+370000+18230430</f>
        <v>25291524</v>
      </c>
      <c r="AT30" s="384">
        <v>21198195</v>
      </c>
      <c r="AU30" s="384"/>
      <c r="AV30" s="381">
        <f t="shared" si="29"/>
        <v>22868245.333333332</v>
      </c>
      <c r="AW30" s="436">
        <f t="shared" si="30"/>
        <v>0.10355840736727533</v>
      </c>
      <c r="AX30" s="381">
        <f>AVERAGE(AQ30:AS30)</f>
        <v>23370330</v>
      </c>
      <c r="AY30" s="436">
        <f t="shared" si="32"/>
        <v>8.5543305733691774E-2</v>
      </c>
      <c r="AZ30" s="381">
        <f>AVERAGE(AS30,AR30,AT30)</f>
        <v>24515216.666666668</v>
      </c>
      <c r="BA30" s="436">
        <f t="shared" si="32"/>
        <v>8.2838177930992726E-2</v>
      </c>
    </row>
    <row r="31" spans="1:53">
      <c r="A31" s="371"/>
      <c r="B31" s="372"/>
      <c r="C31" s="372"/>
      <c r="D31" s="372"/>
      <c r="E31" s="659"/>
      <c r="G31" s="372"/>
      <c r="H31" s="372"/>
      <c r="I31" s="372"/>
      <c r="J31" s="372"/>
      <c r="K31" s="372"/>
      <c r="L31" s="372"/>
      <c r="M31" s="372"/>
      <c r="N31" s="1316"/>
      <c r="O31" s="1316"/>
      <c r="P31" s="1316"/>
      <c r="Q31" s="372"/>
      <c r="R31" s="322"/>
      <c r="S31" s="372"/>
      <c r="T31" s="322"/>
      <c r="U31" s="372"/>
      <c r="V31" s="322"/>
      <c r="X31" s="371"/>
      <c r="Y31" s="372">
        <f t="shared" ref="Y31:AC31" si="34">SUM(Y12:Y30)</f>
        <v>163634323</v>
      </c>
      <c r="Z31" s="372">
        <f t="shared" si="34"/>
        <v>141593512</v>
      </c>
      <c r="AA31" s="372">
        <f t="shared" si="34"/>
        <v>137101217</v>
      </c>
      <c r="AB31" s="372">
        <f t="shared" si="34"/>
        <v>143891930</v>
      </c>
      <c r="AC31" s="372">
        <f t="shared" si="34"/>
        <v>152752444</v>
      </c>
      <c r="AD31" s="372">
        <f>SUM(AD12:AD30)</f>
        <v>158099077</v>
      </c>
      <c r="AE31" s="372">
        <f>SUM(AE12:AE30)</f>
        <v>164415140</v>
      </c>
      <c r="AF31" s="372"/>
      <c r="AG31" s="372">
        <f>SUM(AG12:AG30)</f>
        <v>144581863.66666669</v>
      </c>
      <c r="AH31" s="322"/>
      <c r="AI31" s="372">
        <f>SUM(AI12:AI30)</f>
        <v>151581150.33333334</v>
      </c>
      <c r="AJ31" s="322"/>
      <c r="AK31" s="372">
        <f>SUM(AK12:AK30)</f>
        <v>158412499.99999997</v>
      </c>
      <c r="AL31" s="322"/>
      <c r="AN31" s="372">
        <f t="shared" ref="AN31:AS31" si="35">SUM(AN12:AN30)</f>
        <v>203091055</v>
      </c>
      <c r="AO31" s="372">
        <f t="shared" si="35"/>
        <v>178702506</v>
      </c>
      <c r="AP31" s="372">
        <f t="shared" si="35"/>
        <v>197701358</v>
      </c>
      <c r="AQ31" s="372">
        <f t="shared" si="35"/>
        <v>210198329</v>
      </c>
      <c r="AR31" s="372">
        <f t="shared" si="35"/>
        <v>235884664</v>
      </c>
      <c r="AS31" s="372">
        <f t="shared" si="35"/>
        <v>338617174</v>
      </c>
      <c r="AT31" s="372">
        <f>SUM(AT12:AT30)</f>
        <v>282015426</v>
      </c>
      <c r="AU31" s="372"/>
      <c r="AV31" s="372">
        <f>SUM(AV12:AV30)</f>
        <v>214229500.00000003</v>
      </c>
      <c r="AW31" s="322"/>
      <c r="AX31" s="372">
        <f>SUM(AX12:AX30)</f>
        <v>261911454.83333334</v>
      </c>
      <c r="AY31" s="322"/>
      <c r="AZ31" s="372">
        <f>SUM(AZ12:AZ30)</f>
        <v>284959487.66666669</v>
      </c>
      <c r="BA31" s="322"/>
    </row>
    <row r="32" spans="1:53">
      <c r="A32" s="178"/>
      <c r="B32" s="46"/>
      <c r="C32" s="46"/>
      <c r="D32" s="46"/>
      <c r="E32" s="46"/>
      <c r="G32" s="46"/>
      <c r="H32" s="46"/>
      <c r="I32" s="46"/>
      <c r="J32" s="46"/>
      <c r="K32" s="46"/>
      <c r="L32" s="46"/>
      <c r="M32" s="46"/>
      <c r="N32" s="1317"/>
      <c r="O32" s="1317"/>
      <c r="P32" s="1317"/>
      <c r="Q32" s="46"/>
      <c r="R32" s="322"/>
      <c r="S32" s="46"/>
      <c r="T32" s="322"/>
      <c r="U32" s="46"/>
      <c r="V32" s="322"/>
      <c r="X32" s="178"/>
      <c r="Y32" s="46"/>
      <c r="Z32" s="46"/>
      <c r="AA32" s="46"/>
      <c r="AB32" s="46"/>
      <c r="AC32" s="46"/>
      <c r="AD32" s="46"/>
      <c r="AE32" s="46"/>
      <c r="AF32" s="46"/>
      <c r="AG32" s="46"/>
      <c r="AH32" s="322"/>
      <c r="AI32" s="46"/>
      <c r="AJ32" s="322"/>
      <c r="AK32" s="46"/>
      <c r="AL32" s="322"/>
      <c r="AN32" s="46"/>
      <c r="AO32" s="46"/>
      <c r="AP32" s="46"/>
      <c r="AQ32" s="46"/>
      <c r="AR32" s="46"/>
      <c r="AS32" s="46"/>
      <c r="AT32" s="46"/>
      <c r="AU32" s="46"/>
      <c r="AV32" s="46"/>
      <c r="AW32" s="322"/>
      <c r="AX32" s="46"/>
      <c r="AY32" s="322"/>
      <c r="AZ32" s="46"/>
      <c r="BA32" s="322"/>
    </row>
    <row r="33" spans="1:53">
      <c r="A33" s="168"/>
      <c r="N33" s="1299"/>
      <c r="O33" s="1299"/>
      <c r="P33" s="1299"/>
      <c r="R33" s="322"/>
      <c r="T33" s="322"/>
      <c r="V33" s="322"/>
      <c r="X33" s="168"/>
      <c r="AH33" s="322"/>
      <c r="AJ33" s="322"/>
      <c r="AL33" s="322"/>
      <c r="AW33" s="322"/>
      <c r="AY33" s="322"/>
      <c r="BA33" s="322"/>
    </row>
    <row r="34" spans="1:53">
      <c r="A34" s="54" t="s">
        <v>92</v>
      </c>
      <c r="B34" s="55"/>
      <c r="C34" s="55"/>
      <c r="D34" s="55"/>
      <c r="E34" s="55"/>
      <c r="G34" s="55"/>
      <c r="H34" s="55"/>
      <c r="I34" s="55"/>
      <c r="J34" s="55"/>
      <c r="K34" s="55"/>
      <c r="L34" s="55"/>
      <c r="M34" s="55"/>
      <c r="N34" s="1312"/>
      <c r="O34" s="1312"/>
      <c r="P34" s="1312"/>
      <c r="Q34" s="55"/>
      <c r="R34" s="322"/>
      <c r="S34" s="55"/>
      <c r="T34" s="322"/>
      <c r="U34" s="55"/>
      <c r="V34" s="322"/>
      <c r="X34" s="54" t="s">
        <v>92</v>
      </c>
      <c r="Y34" s="55"/>
      <c r="Z34" s="55"/>
      <c r="AA34" s="55"/>
      <c r="AB34" s="55"/>
      <c r="AC34" s="55"/>
      <c r="AD34" s="55"/>
      <c r="AE34" s="55"/>
      <c r="AF34" s="55"/>
      <c r="AG34" s="55"/>
      <c r="AH34" s="322"/>
      <c r="AI34" s="55"/>
      <c r="AJ34" s="322"/>
      <c r="AK34" s="55"/>
      <c r="AL34" s="322"/>
      <c r="AN34" s="55"/>
      <c r="AO34" s="55"/>
      <c r="AP34" s="55"/>
      <c r="AQ34" s="55"/>
      <c r="AR34" s="55"/>
      <c r="AS34" s="55"/>
      <c r="AT34" s="55"/>
      <c r="AU34" s="55"/>
      <c r="AV34" s="55"/>
      <c r="AW34" s="322"/>
      <c r="AX34" s="55"/>
      <c r="AY34" s="322"/>
      <c r="AZ34" s="55"/>
      <c r="BA34" s="322"/>
    </row>
    <row r="35" spans="1:53">
      <c r="A35" s="179" t="s">
        <v>93</v>
      </c>
      <c r="B35" s="381">
        <f t="shared" ref="B35:B52" si="36">B$3*(B$5*AH35+B$6*R35+B$7*AW35)</f>
        <v>0</v>
      </c>
      <c r="C35" s="381">
        <f t="shared" ref="C35:C52" si="37">B$3*(B$5*AJ35+B$6*T35+B$7*AY35)</f>
        <v>2646.8576929399342</v>
      </c>
      <c r="D35" s="381">
        <f t="shared" ref="D35:D52" si="38">B$3*(B$5*AL35+B$6*V35+B$7*BA35)</f>
        <v>11.536233093548432</v>
      </c>
      <c r="E35" s="381"/>
      <c r="G35" s="381">
        <v>40.32</v>
      </c>
      <c r="H35" s="381">
        <v>0</v>
      </c>
      <c r="I35" s="381">
        <v>0</v>
      </c>
      <c r="J35" s="381">
        <v>0</v>
      </c>
      <c r="K35" s="381"/>
      <c r="L35" s="381">
        <v>25518</v>
      </c>
      <c r="M35" s="381"/>
      <c r="N35" s="1309">
        <v>17768</v>
      </c>
      <c r="O35" s="381">
        <v>-25401</v>
      </c>
      <c r="P35" s="381"/>
      <c r="Q35" s="381">
        <f>AVERAGE(I35:K35)</f>
        <v>0</v>
      </c>
      <c r="R35" s="436">
        <f>Q35/Q$54</f>
        <v>0</v>
      </c>
      <c r="S35" s="381">
        <f>AVERAGE(J35:L35)</f>
        <v>12759</v>
      </c>
      <c r="T35" s="436">
        <f>S35/S$54</f>
        <v>3.2575840262476496E-4</v>
      </c>
      <c r="U35" s="381">
        <f>AVERAGE(K35,L35,O35)</f>
        <v>58.5</v>
      </c>
      <c r="V35" s="436">
        <f>U35/U$54</f>
        <v>1.4198061629400072E-6</v>
      </c>
      <c r="X35" s="179" t="s">
        <v>93</v>
      </c>
      <c r="Y35" s="381">
        <v>0</v>
      </c>
      <c r="Z35" s="381">
        <v>0</v>
      </c>
      <c r="AA35" s="381"/>
      <c r="AB35" s="381"/>
      <c r="AC35" s="381">
        <v>249939</v>
      </c>
      <c r="AD35" s="381">
        <v>255180</v>
      </c>
      <c r="AE35" s="381">
        <v>520444</v>
      </c>
      <c r="AF35" s="381"/>
      <c r="AG35" s="381">
        <f>AVERAGE(Y35:AA35)</f>
        <v>0</v>
      </c>
      <c r="AH35" s="436">
        <f>AG35/AG$54</f>
        <v>0</v>
      </c>
      <c r="AI35" s="381">
        <f>AVERAGE(AB35:AD35)</f>
        <v>252559.5</v>
      </c>
      <c r="AJ35" s="436">
        <f>AI35/AI$54</f>
        <v>1.6134111786177572E-3</v>
      </c>
      <c r="AK35" s="381">
        <f>AVERAGE(AC35,AD35,AE35)</f>
        <v>341854.33333333331</v>
      </c>
      <c r="AL35" s="436">
        <f>AK35/AK$54</f>
        <v>2.0788558077267276E-3</v>
      </c>
      <c r="AN35" s="381"/>
      <c r="AO35" s="381"/>
      <c r="AP35" s="381"/>
      <c r="AQ35" s="381"/>
      <c r="AR35" s="381">
        <f>5000+272693</f>
        <v>277693</v>
      </c>
      <c r="AS35" s="381">
        <f>259745+15000</f>
        <v>274745</v>
      </c>
      <c r="AT35" s="381">
        <v>263089</v>
      </c>
      <c r="AU35" s="381"/>
      <c r="AV35" s="381">
        <f t="shared" ref="AV35" si="39">AVERAGE(AP35:AR35)</f>
        <v>277693</v>
      </c>
      <c r="AW35" s="436">
        <f t="shared" ref="AW35" si="40">AV35/AV$54</f>
        <v>1.2575273877757122E-3</v>
      </c>
      <c r="AX35" s="381">
        <f>AVERAGE(AQ35:AS35)</f>
        <v>276219</v>
      </c>
      <c r="AY35" s="436">
        <f t="shared" ref="AY35:BA35" si="41">AX35/AX$54</f>
        <v>1.0110548873916033E-3</v>
      </c>
      <c r="AZ35" s="381">
        <f t="shared" ref="AZ35" si="42">AVERAGE(AS35,AR35,AT35)</f>
        <v>271842.33333333331</v>
      </c>
      <c r="BA35" s="436">
        <f t="shared" si="41"/>
        <v>9.1856922514830857E-4</v>
      </c>
    </row>
    <row r="36" spans="1:53">
      <c r="A36" s="178" t="s">
        <v>94</v>
      </c>
      <c r="B36" s="383">
        <f t="shared" si="36"/>
        <v>0</v>
      </c>
      <c r="C36" s="381">
        <f t="shared" si="37"/>
        <v>0</v>
      </c>
      <c r="D36" s="383">
        <f t="shared" si="38"/>
        <v>0</v>
      </c>
      <c r="E36" s="383"/>
      <c r="G36" s="383"/>
      <c r="H36" s="383"/>
      <c r="I36" s="383"/>
      <c r="J36" s="383"/>
      <c r="K36" s="383"/>
      <c r="L36" s="383"/>
      <c r="M36" s="383"/>
      <c r="N36" s="1311"/>
      <c r="O36" s="383"/>
      <c r="P36" s="383"/>
      <c r="Q36" s="383"/>
      <c r="R36" s="436"/>
      <c r="S36" s="383"/>
      <c r="T36" s="436"/>
      <c r="U36" s="383"/>
      <c r="V36" s="436"/>
      <c r="X36" s="178" t="s">
        <v>94</v>
      </c>
      <c r="Y36" s="383">
        <v>0</v>
      </c>
      <c r="Z36" s="383"/>
      <c r="AA36" s="383"/>
      <c r="AB36" s="383"/>
      <c r="AC36" s="383"/>
      <c r="AD36" s="383"/>
      <c r="AE36" s="383"/>
      <c r="AF36" s="383"/>
      <c r="AG36" s="383"/>
      <c r="AH36" s="436"/>
      <c r="AI36" s="383"/>
      <c r="AJ36" s="436"/>
      <c r="AK36" s="383"/>
      <c r="AL36" s="436"/>
      <c r="AN36" s="383"/>
      <c r="AO36" s="383"/>
      <c r="AP36" s="383"/>
      <c r="AQ36" s="383"/>
      <c r="AR36" s="383"/>
      <c r="AS36" s="383"/>
      <c r="AT36" s="383"/>
      <c r="AU36" s="383"/>
      <c r="AV36" s="383"/>
      <c r="AW36" s="436"/>
      <c r="AX36" s="383"/>
      <c r="AY36" s="436"/>
      <c r="AZ36" s="383"/>
      <c r="BA36" s="436"/>
    </row>
    <row r="37" spans="1:53">
      <c r="A37" s="54" t="s">
        <v>95</v>
      </c>
      <c r="B37" s="383">
        <f t="shared" si="36"/>
        <v>0</v>
      </c>
      <c r="C37" s="381">
        <f t="shared" si="37"/>
        <v>0</v>
      </c>
      <c r="D37" s="383">
        <f t="shared" si="38"/>
        <v>0</v>
      </c>
      <c r="E37" s="383"/>
      <c r="G37" s="383"/>
      <c r="H37" s="383"/>
      <c r="I37" s="383"/>
      <c r="J37" s="383"/>
      <c r="K37" s="383"/>
      <c r="L37" s="383"/>
      <c r="M37" s="383"/>
      <c r="N37" s="1311"/>
      <c r="O37" s="383"/>
      <c r="P37" s="383"/>
      <c r="Q37" s="383"/>
      <c r="R37" s="436"/>
      <c r="S37" s="383"/>
      <c r="T37" s="436"/>
      <c r="U37" s="383"/>
      <c r="V37" s="436"/>
      <c r="X37" s="54" t="s">
        <v>95</v>
      </c>
      <c r="Y37" s="383">
        <v>0</v>
      </c>
      <c r="Z37" s="383"/>
      <c r="AA37" s="383"/>
      <c r="AB37" s="383"/>
      <c r="AC37" s="383">
        <f>3178207-AC39-AC40</f>
        <v>62372</v>
      </c>
      <c r="AD37" s="383">
        <f>4881482-AD39-AD40</f>
        <v>152918</v>
      </c>
      <c r="AE37" s="383">
        <f>4987119-AE39-AE40+15000</f>
        <v>143539</v>
      </c>
      <c r="AF37" s="383"/>
      <c r="AG37" s="383"/>
      <c r="AH37" s="436"/>
      <c r="AI37" s="381">
        <f>AVERAGE(AB37:AD37)</f>
        <v>107645</v>
      </c>
      <c r="AJ37" s="436">
        <f>AI37/AI$54</f>
        <v>6.876622986753952E-4</v>
      </c>
      <c r="AK37" s="381">
        <f>AVERAGE(AC37,AD37,AE37)</f>
        <v>119609.66666666667</v>
      </c>
      <c r="AL37" s="436">
        <f>AK37/AK$54</f>
        <v>7.2736024079532316E-4</v>
      </c>
      <c r="AN37" s="383"/>
      <c r="AO37" s="383"/>
      <c r="AP37" s="383"/>
      <c r="AQ37" s="383"/>
      <c r="AR37" s="383">
        <f>1471788</f>
        <v>1471788</v>
      </c>
      <c r="AS37" s="383">
        <f>1050000+1505252+85000</f>
        <v>2640252</v>
      </c>
      <c r="AT37" s="383">
        <v>55000</v>
      </c>
      <c r="AU37" s="383"/>
      <c r="AV37" s="381">
        <f t="shared" ref="AV37" si="43">AVERAGE(AP37:AR37)</f>
        <v>1471788</v>
      </c>
      <c r="AW37" s="436">
        <f t="shared" ref="AW37" si="44">AV37/AV$54</f>
        <v>6.6649635352696683E-3</v>
      </c>
      <c r="AX37" s="381">
        <f>AVERAGE(AQ37:AS37)</f>
        <v>2056020</v>
      </c>
      <c r="AY37" s="436">
        <f t="shared" ref="AY37:BA37" si="45">AX37/AX$54</f>
        <v>7.5257280258594957E-3</v>
      </c>
      <c r="AZ37" s="381">
        <f>AVERAGE(AS37,AR37,AT37)</f>
        <v>1389013.3333333333</v>
      </c>
      <c r="BA37" s="436">
        <f t="shared" si="45"/>
        <v>4.6935474901039541E-3</v>
      </c>
    </row>
    <row r="38" spans="1:53">
      <c r="A38" s="179" t="s">
        <v>96</v>
      </c>
      <c r="B38" s="381">
        <f t="shared" si="36"/>
        <v>0</v>
      </c>
      <c r="C38" s="381">
        <f t="shared" si="37"/>
        <v>0</v>
      </c>
      <c r="D38" s="381">
        <f t="shared" si="38"/>
        <v>0</v>
      </c>
      <c r="E38" s="381"/>
      <c r="G38" s="381"/>
      <c r="H38" s="381"/>
      <c r="I38" s="381"/>
      <c r="J38" s="381"/>
      <c r="K38" s="381"/>
      <c r="L38" s="381"/>
      <c r="M38" s="381"/>
      <c r="N38" s="1309"/>
      <c r="O38" s="381"/>
      <c r="P38" s="381"/>
      <c r="Q38" s="381"/>
      <c r="R38" s="436"/>
      <c r="S38" s="381"/>
      <c r="T38" s="436"/>
      <c r="U38" s="381"/>
      <c r="V38" s="436"/>
      <c r="X38" s="179" t="s">
        <v>96</v>
      </c>
      <c r="Y38" s="381">
        <v>0</v>
      </c>
      <c r="Z38" s="381"/>
      <c r="AA38" s="381"/>
      <c r="AB38" s="381"/>
      <c r="AC38" s="381"/>
      <c r="AD38" s="381"/>
      <c r="AE38" s="381"/>
      <c r="AF38" s="381"/>
      <c r="AG38" s="381"/>
      <c r="AH38" s="436"/>
      <c r="AI38" s="381"/>
      <c r="AJ38" s="436"/>
      <c r="AK38" s="381"/>
      <c r="AL38" s="436"/>
      <c r="AN38" s="381"/>
      <c r="AO38" s="381"/>
      <c r="AP38" s="381"/>
      <c r="AQ38" s="381"/>
      <c r="AR38" s="381"/>
      <c r="AS38" s="381"/>
      <c r="AT38" s="381"/>
      <c r="AU38" s="381"/>
      <c r="AV38" s="381"/>
      <c r="AW38" s="436"/>
      <c r="AX38" s="381"/>
      <c r="AY38" s="436"/>
      <c r="AZ38" s="381"/>
      <c r="BA38" s="436"/>
    </row>
    <row r="39" spans="1:53">
      <c r="A39" s="178" t="s">
        <v>97</v>
      </c>
      <c r="B39" s="383">
        <f t="shared" si="36"/>
        <v>20371.035557810716</v>
      </c>
      <c r="C39" s="381">
        <f t="shared" si="37"/>
        <v>35865.441747953577</v>
      </c>
      <c r="D39" s="383">
        <f t="shared" si="38"/>
        <v>45370.98588733653</v>
      </c>
      <c r="E39" s="383"/>
      <c r="G39" s="383">
        <v>0</v>
      </c>
      <c r="H39" s="383">
        <v>0</v>
      </c>
      <c r="I39" s="383">
        <v>0</v>
      </c>
      <c r="J39" s="383">
        <v>82258.87</v>
      </c>
      <c r="K39" s="383">
        <v>200003</v>
      </c>
      <c r="L39" s="383">
        <f>249899-L40</f>
        <v>236399</v>
      </c>
      <c r="M39" s="1308"/>
      <c r="N39" s="1311">
        <v>180124</v>
      </c>
      <c r="O39" s="383">
        <v>253824</v>
      </c>
      <c r="P39" s="383"/>
      <c r="Q39" s="383">
        <f>AVERAGE(I39:K39)</f>
        <v>94087.29</v>
      </c>
      <c r="R39" s="436">
        <f>Q39/Q$54</f>
        <v>2.5071374335028521E-3</v>
      </c>
      <c r="S39" s="381">
        <f>AVERAGE(J39:L39)</f>
        <v>172886.95666666667</v>
      </c>
      <c r="T39" s="436">
        <f>S39/S$54</f>
        <v>4.4140903549173358E-3</v>
      </c>
      <c r="U39" s="381">
        <f>AVERAGE(K39,L39,O39)</f>
        <v>230075.33333333334</v>
      </c>
      <c r="V39" s="436">
        <f>U39/U$54</f>
        <v>5.583972242857148E-3</v>
      </c>
      <c r="X39" s="178" t="s">
        <v>97</v>
      </c>
      <c r="Y39" s="383">
        <v>57361</v>
      </c>
      <c r="Z39" s="383"/>
      <c r="AA39" s="383"/>
      <c r="AB39" s="383">
        <f>1500776-AB40</f>
        <v>1418128</v>
      </c>
      <c r="AC39" s="383">
        <f>2671591+276625</f>
        <v>2948216</v>
      </c>
      <c r="AD39" s="383">
        <f>3092477+250031+445617+89553+104336</f>
        <v>3982014</v>
      </c>
      <c r="AE39" s="383">
        <f>3265652+593423+431582</f>
        <v>4290657</v>
      </c>
      <c r="AF39" s="383"/>
      <c r="AG39" s="383">
        <f>AVERAGE(Y39:AA39)</f>
        <v>57361</v>
      </c>
      <c r="AH39" s="436">
        <f>AG39/AG$54</f>
        <v>3.9387620702195512E-4</v>
      </c>
      <c r="AI39" s="381">
        <f t="shared" ref="AI39:AI41" si="46">AVERAGE(AB39:AD39)</f>
        <v>2782786</v>
      </c>
      <c r="AJ39" s="436">
        <f>AI39/AI$54</f>
        <v>1.7777110107127209E-2</v>
      </c>
      <c r="AK39" s="381">
        <f>AVERAGE(AC39,AD39,AE39)</f>
        <v>3740295.6666666665</v>
      </c>
      <c r="AL39" s="436">
        <f>AK39/AK$54</f>
        <v>2.2745171294006647E-2</v>
      </c>
      <c r="AN39" s="383">
        <v>510732</v>
      </c>
      <c r="AO39" s="383">
        <v>134384</v>
      </c>
      <c r="AP39" s="383">
        <v>0</v>
      </c>
      <c r="AQ39" s="383">
        <f>4052764+218472</f>
        <v>4271236</v>
      </c>
      <c r="AR39" s="383">
        <v>4316935</v>
      </c>
      <c r="AS39" s="383">
        <v>2891902</v>
      </c>
      <c r="AT39" s="383">
        <v>2600000</v>
      </c>
      <c r="AU39" s="383"/>
      <c r="AV39" s="383">
        <f>AVERAGE(AM39:AO39)</f>
        <v>322558</v>
      </c>
      <c r="AW39" s="436">
        <f>AV39/AV$54</f>
        <v>1.4606976738562303E-3</v>
      </c>
      <c r="AX39" s="381">
        <f>AVERAGE(AQ39:AS39)</f>
        <v>3826691</v>
      </c>
      <c r="AY39" s="436">
        <f>AX39/AX$54</f>
        <v>1.4006982278870974E-2</v>
      </c>
      <c r="AZ39" s="381">
        <f t="shared" ref="AZ39" si="47">AVERAGE(AQ39,AR39,AS39)</f>
        <v>3826691</v>
      </c>
      <c r="BA39" s="436">
        <f>AZ39/AZ$54</f>
        <v>1.2930585695208153E-2</v>
      </c>
    </row>
    <row r="40" spans="1:53">
      <c r="A40" s="367" t="s">
        <v>483</v>
      </c>
      <c r="B40" s="383">
        <f t="shared" si="36"/>
        <v>9235.5922856951238</v>
      </c>
      <c r="C40" s="381">
        <f t="shared" si="37"/>
        <v>6479.8626488385144</v>
      </c>
      <c r="D40" s="383">
        <f t="shared" si="38"/>
        <v>4568.1511044794779</v>
      </c>
      <c r="E40" s="383"/>
      <c r="G40" s="383">
        <v>49871.9</v>
      </c>
      <c r="H40" s="383">
        <v>55860.93</v>
      </c>
      <c r="I40" s="383">
        <v>47761.5</v>
      </c>
      <c r="J40" s="383">
        <v>47377.23</v>
      </c>
      <c r="K40" s="383">
        <v>32830</v>
      </c>
      <c r="L40" s="1177">
        <v>13500</v>
      </c>
      <c r="M40" s="1308"/>
      <c r="N40" s="1311">
        <v>0</v>
      </c>
      <c r="O40" s="383"/>
      <c r="P40" s="383"/>
      <c r="Q40" s="383">
        <f>AVERAGE(I40:K40)</f>
        <v>42656.243333333339</v>
      </c>
      <c r="R40" s="436">
        <f>Q40/Q$54</f>
        <v>1.1366579315187685E-3</v>
      </c>
      <c r="S40" s="381">
        <f>AVERAGE(J40:L40)</f>
        <v>31235.743333333336</v>
      </c>
      <c r="T40" s="436">
        <f>S40/S$54</f>
        <v>7.9750026279989169E-4</v>
      </c>
      <c r="U40" s="381">
        <f t="shared" ref="U40:U42" si="48">AVERAGE(K40,L40,O40)</f>
        <v>23165</v>
      </c>
      <c r="V40" s="436">
        <f>U40/U$54</f>
        <v>5.6221897033342338E-4</v>
      </c>
      <c r="X40" s="367" t="s">
        <v>483</v>
      </c>
      <c r="Y40" s="383">
        <v>0</v>
      </c>
      <c r="Z40" s="383"/>
      <c r="AA40" s="383"/>
      <c r="AB40" s="383">
        <v>82648</v>
      </c>
      <c r="AC40" s="383">
        <f>115889+51730</f>
        <v>167619</v>
      </c>
      <c r="AD40" s="383">
        <f>545117+201433</f>
        <v>746550</v>
      </c>
      <c r="AE40" s="383">
        <f>567923+0</f>
        <v>567923</v>
      </c>
      <c r="AF40" s="383"/>
      <c r="AG40" s="383">
        <f>AVERAGE(Y40:AA40)</f>
        <v>0</v>
      </c>
      <c r="AH40" s="436">
        <f>AG40/AG$54</f>
        <v>0</v>
      </c>
      <c r="AI40" s="381">
        <f t="shared" si="46"/>
        <v>332272.33333333331</v>
      </c>
      <c r="AJ40" s="436">
        <f>AI40/AI$54</f>
        <v>2.1226360400040606E-3</v>
      </c>
      <c r="AK40" s="381">
        <f t="shared" ref="AK40:AK41" si="49">AVERAGE(AC40,AD40,AE40)</f>
        <v>494030.66666666669</v>
      </c>
      <c r="AL40" s="436">
        <f>AK40/AK$54</f>
        <v>3.0042577216468627E-3</v>
      </c>
      <c r="AN40" s="383">
        <v>871263</v>
      </c>
      <c r="AO40" s="383">
        <v>856358</v>
      </c>
      <c r="AP40" s="383">
        <v>833497</v>
      </c>
      <c r="AQ40" s="383">
        <f>918943+284062</f>
        <v>1203005</v>
      </c>
      <c r="AR40" s="383">
        <v>955961</v>
      </c>
      <c r="AS40" s="383">
        <v>2329624</v>
      </c>
      <c r="AT40" s="383">
        <v>2390602</v>
      </c>
      <c r="AU40" s="383"/>
      <c r="AV40" s="383">
        <f>AVERAGE(AM40:AO40)</f>
        <v>863810.5</v>
      </c>
      <c r="AW40" s="436">
        <f>AV40/AV$54</f>
        <v>3.9117491675995861E-3</v>
      </c>
      <c r="AX40" s="381">
        <f t="shared" ref="AX40:AX46" si="50">AVERAGE(AQ40:AS40)</f>
        <v>1496196.6666666667</v>
      </c>
      <c r="AY40" s="436">
        <f>AX40/AX$54</f>
        <v>5.4765854352247997E-3</v>
      </c>
      <c r="AZ40" s="381">
        <f>AVERAGE(AQ40,AR40,AS40)</f>
        <v>1496196.6666666667</v>
      </c>
      <c r="BA40" s="436">
        <f>AZ40/AZ$54</f>
        <v>5.0557254858618374E-3</v>
      </c>
    </row>
    <row r="41" spans="1:53">
      <c r="A41" s="178" t="s">
        <v>98</v>
      </c>
      <c r="B41" s="383">
        <f t="shared" si="36"/>
        <v>0</v>
      </c>
      <c r="C41" s="381">
        <f t="shared" si="37"/>
        <v>4784.0101306440811</v>
      </c>
      <c r="D41" s="383">
        <f t="shared" si="38"/>
        <v>4591.4207712322759</v>
      </c>
      <c r="E41" s="383"/>
      <c r="G41" s="383"/>
      <c r="H41" s="383"/>
      <c r="I41" s="383"/>
      <c r="J41" s="383"/>
      <c r="K41" s="383"/>
      <c r="L41" s="383">
        <v>23061</v>
      </c>
      <c r="M41" s="1308"/>
      <c r="N41" s="1311">
        <v>37481</v>
      </c>
      <c r="O41" s="383">
        <v>23505</v>
      </c>
      <c r="P41" s="383"/>
      <c r="Q41" s="383"/>
      <c r="R41" s="436"/>
      <c r="S41" s="381">
        <f>AVERAGE(J41:L41)</f>
        <v>23061</v>
      </c>
      <c r="T41" s="436">
        <f>S41/S$54</f>
        <v>5.8878552574102242E-4</v>
      </c>
      <c r="U41" s="381">
        <f t="shared" si="48"/>
        <v>23283</v>
      </c>
      <c r="V41" s="436">
        <f>U41/U$54</f>
        <v>5.6508285285012283E-4</v>
      </c>
      <c r="X41" s="178" t="s">
        <v>98</v>
      </c>
      <c r="Y41" s="383">
        <v>646980</v>
      </c>
      <c r="Z41" s="383">
        <v>685433</v>
      </c>
      <c r="AA41" s="383">
        <v>709393</v>
      </c>
      <c r="AB41" s="383">
        <v>648288</v>
      </c>
      <c r="AC41" s="383">
        <v>408798</v>
      </c>
      <c r="AD41" s="383">
        <v>419736</v>
      </c>
      <c r="AE41" s="383">
        <v>422270</v>
      </c>
      <c r="AF41" s="383"/>
      <c r="AG41" s="383"/>
      <c r="AH41" s="436"/>
      <c r="AI41" s="381">
        <f t="shared" si="46"/>
        <v>492274</v>
      </c>
      <c r="AJ41" s="436">
        <f>AI41/AI$54</f>
        <v>3.1447653901075898E-3</v>
      </c>
      <c r="AK41" s="381">
        <f t="shared" si="49"/>
        <v>416934.66666666669</v>
      </c>
      <c r="AL41" s="436">
        <f>AK41/AK$54</f>
        <v>2.5354280134207477E-3</v>
      </c>
      <c r="AN41" s="383"/>
      <c r="AO41" s="383"/>
      <c r="AP41" s="383"/>
      <c r="AQ41" s="383"/>
      <c r="AR41" s="383">
        <f>3000-89168+793598</f>
        <v>707430</v>
      </c>
      <c r="AS41" s="383">
        <v>-186942</v>
      </c>
      <c r="AT41" s="383">
        <v>907234</v>
      </c>
      <c r="AU41" s="383"/>
      <c r="AV41" s="381">
        <f t="shared" ref="AV41" si="51">AVERAGE(AP41:AR41)</f>
        <v>707430</v>
      </c>
      <c r="AW41" s="436">
        <f t="shared" ref="AW41" si="52">AV41/AV$54</f>
        <v>3.2035830933231017E-3</v>
      </c>
      <c r="AX41" s="381">
        <f t="shared" si="50"/>
        <v>260244</v>
      </c>
      <c r="AY41" s="436">
        <f t="shared" ref="AY41:BA41" si="53">AX41/AX$54</f>
        <v>9.5258098868774557E-4</v>
      </c>
      <c r="AZ41" s="381">
        <f t="shared" ref="AZ41" si="54">AVERAGE(AS41,AR41,AT41)</f>
        <v>475907.33333333331</v>
      </c>
      <c r="BA41" s="436">
        <f t="shared" si="53"/>
        <v>1.6081153551840632E-3</v>
      </c>
    </row>
    <row r="42" spans="1:53">
      <c r="A42" s="179" t="s">
        <v>99</v>
      </c>
      <c r="B42" s="381">
        <f t="shared" si="36"/>
        <v>11645.660501488957</v>
      </c>
      <c r="C42" s="381">
        <f t="shared" si="37"/>
        <v>9563.2150220823096</v>
      </c>
      <c r="D42" s="381">
        <f t="shared" si="38"/>
        <v>5516.6858255045709</v>
      </c>
      <c r="E42" s="381"/>
      <c r="G42" s="381">
        <v>10428.709999999999</v>
      </c>
      <c r="H42" s="381">
        <v>0</v>
      </c>
      <c r="I42" s="381">
        <v>32573.22</v>
      </c>
      <c r="J42" s="381">
        <v>54464.51</v>
      </c>
      <c r="K42" s="381">
        <v>74325</v>
      </c>
      <c r="L42" s="381">
        <v>9507</v>
      </c>
      <c r="M42" s="1306"/>
      <c r="N42" s="1309">
        <v>50147</v>
      </c>
      <c r="O42" s="381">
        <v>93</v>
      </c>
      <c r="P42" s="381"/>
      <c r="Q42" s="381">
        <f>AVERAGE(I42:K42)</f>
        <v>53787.576666666668</v>
      </c>
      <c r="R42" s="436">
        <f>Q42/Q$54</f>
        <v>1.4332737920117009E-3</v>
      </c>
      <c r="S42" s="381">
        <f>AVERAGE(J42:L42)</f>
        <v>46098.83666666667</v>
      </c>
      <c r="T42" s="436">
        <f>S42/S$54</f>
        <v>1.1769796532168099E-3</v>
      </c>
      <c r="U42" s="381">
        <f t="shared" si="48"/>
        <v>27975</v>
      </c>
      <c r="V42" s="436">
        <f>U42/U$54</f>
        <v>6.7895858817515736E-4</v>
      </c>
      <c r="X42" s="179" t="s">
        <v>99</v>
      </c>
      <c r="Y42" s="381">
        <v>24691</v>
      </c>
      <c r="Z42" s="381"/>
      <c r="AA42" s="381"/>
      <c r="AB42" s="381"/>
      <c r="AC42" s="381"/>
      <c r="AD42" s="381"/>
      <c r="AE42" s="381"/>
      <c r="AF42" s="381"/>
      <c r="AG42" s="381">
        <f>AVERAGE(Y42:AA42)</f>
        <v>24691</v>
      </c>
      <c r="AH42" s="436">
        <f>AG42/AG$54</f>
        <v>1.6954372182456887E-4</v>
      </c>
      <c r="AI42" s="381"/>
      <c r="AJ42" s="436">
        <f>AI42/AI$54</f>
        <v>0</v>
      </c>
      <c r="AK42" s="381"/>
      <c r="AL42" s="436">
        <f>AK42/AK$54</f>
        <v>0</v>
      </c>
      <c r="AN42" s="381">
        <v>36300</v>
      </c>
      <c r="AO42" s="381">
        <v>0</v>
      </c>
      <c r="AP42" s="381">
        <v>0</v>
      </c>
      <c r="AQ42" s="381">
        <v>0</v>
      </c>
      <c r="AR42" s="381"/>
      <c r="AS42" s="381"/>
      <c r="AT42" s="381"/>
      <c r="AU42" s="381"/>
      <c r="AV42" s="381">
        <f>AVERAGE(AM42:AO42)</f>
        <v>18150</v>
      </c>
      <c r="AW42" s="436">
        <f>AV42/AV$54</f>
        <v>8.219192449262018E-5</v>
      </c>
      <c r="AX42" s="381">
        <f t="shared" si="50"/>
        <v>0</v>
      </c>
      <c r="AY42" s="436">
        <f>AX42/AX$54</f>
        <v>0</v>
      </c>
      <c r="AZ42" s="381"/>
      <c r="BA42" s="436">
        <f>AZ42/AZ$54</f>
        <v>0</v>
      </c>
    </row>
    <row r="43" spans="1:53">
      <c r="A43" s="178" t="s">
        <v>484</v>
      </c>
      <c r="B43" s="383">
        <f t="shared" si="36"/>
        <v>0</v>
      </c>
      <c r="C43" s="381">
        <f t="shared" si="37"/>
        <v>0</v>
      </c>
      <c r="D43" s="383">
        <f t="shared" si="38"/>
        <v>0</v>
      </c>
      <c r="E43" s="383"/>
      <c r="G43" s="383"/>
      <c r="H43" s="383"/>
      <c r="I43" s="383"/>
      <c r="J43" s="383"/>
      <c r="K43" s="383"/>
      <c r="L43" s="383"/>
      <c r="M43" s="1308"/>
      <c r="N43" s="1311"/>
      <c r="O43" s="383"/>
      <c r="P43" s="383"/>
      <c r="Q43" s="383"/>
      <c r="R43" s="436"/>
      <c r="S43" s="383"/>
      <c r="T43" s="436"/>
      <c r="U43" s="383"/>
      <c r="V43" s="436"/>
      <c r="X43" s="178" t="s">
        <v>484</v>
      </c>
      <c r="Y43" s="383">
        <f>313828</f>
        <v>313828</v>
      </c>
      <c r="Z43" s="383">
        <v>50633</v>
      </c>
      <c r="AA43" s="383">
        <v>813</v>
      </c>
      <c r="AB43" s="383"/>
      <c r="AC43" s="383"/>
      <c r="AD43" s="383"/>
      <c r="AE43" s="383"/>
      <c r="AF43" s="383"/>
      <c r="AG43" s="383"/>
      <c r="AH43" s="436"/>
      <c r="AI43" s="383"/>
      <c r="AJ43" s="436"/>
      <c r="AK43" s="383"/>
      <c r="AL43" s="436"/>
      <c r="AN43" s="383">
        <v>440000</v>
      </c>
      <c r="AO43" s="383">
        <v>575500</v>
      </c>
      <c r="AP43" s="383">
        <v>702000</v>
      </c>
      <c r="AQ43" s="383">
        <v>1131500</v>
      </c>
      <c r="AR43" s="383">
        <v>1332160</v>
      </c>
      <c r="AS43" s="383">
        <v>1865580</v>
      </c>
      <c r="AT43" s="383">
        <v>1766500</v>
      </c>
      <c r="AU43" s="383"/>
      <c r="AV43" s="381">
        <f>AVERAGE(AP43:AR43)</f>
        <v>1055220</v>
      </c>
      <c r="AW43" s="436">
        <f t="shared" ref="AW43:AW44" si="55">AV43/AV$54</f>
        <v>4.7785433919064835E-3</v>
      </c>
      <c r="AX43" s="381">
        <f t="shared" si="50"/>
        <v>1443080</v>
      </c>
      <c r="AY43" s="436">
        <f t="shared" ref="AY43:BA44" si="56">AX43/AX$54</f>
        <v>5.2821604846048781E-3</v>
      </c>
      <c r="AZ43" s="381">
        <f>AVERAGE(AS43,AR43,AT43)</f>
        <v>1654746.6666666667</v>
      </c>
      <c r="BA43" s="436">
        <f t="shared" si="56"/>
        <v>5.591474090067208E-3</v>
      </c>
    </row>
    <row r="44" spans="1:53">
      <c r="A44" s="54" t="s">
        <v>86</v>
      </c>
      <c r="B44" s="382">
        <f t="shared" si="36"/>
        <v>19294.983474046949</v>
      </c>
      <c r="C44" s="381">
        <f t="shared" si="37"/>
        <v>18800.467621109306</v>
      </c>
      <c r="D44" s="382">
        <f t="shared" si="38"/>
        <v>15084.462872218808</v>
      </c>
      <c r="E44" s="382"/>
      <c r="G44" s="382">
        <v>59551.97</v>
      </c>
      <c r="H44" s="382">
        <v>87662.05</v>
      </c>
      <c r="I44" s="382">
        <v>82488.87</v>
      </c>
      <c r="J44" s="382">
        <v>92924.18</v>
      </c>
      <c r="K44" s="382">
        <v>91939</v>
      </c>
      <c r="L44" s="382">
        <v>87016</v>
      </c>
      <c r="M44" s="1307"/>
      <c r="N44" s="1310">
        <v>97860</v>
      </c>
      <c r="O44" s="382">
        <v>50524</v>
      </c>
      <c r="P44" s="382"/>
      <c r="Q44" s="382">
        <f>AVERAGE(I44:K44)</f>
        <v>89117.349999999991</v>
      </c>
      <c r="R44" s="436">
        <f>Q44/Q$54</f>
        <v>2.374703790061074E-3</v>
      </c>
      <c r="S44" s="381">
        <f>AVERAGE(J44:L44)</f>
        <v>90626.393333333326</v>
      </c>
      <c r="T44" s="436">
        <f>S44/S$54</f>
        <v>2.3138419255357245E-3</v>
      </c>
      <c r="U44" s="381">
        <f>AVERAGE(K44,L44,O44)</f>
        <v>76493</v>
      </c>
      <c r="V44" s="436">
        <f>U44/U$54</f>
        <v>1.8564997063550423E-3</v>
      </c>
      <c r="X44" s="54" t="s">
        <v>86</v>
      </c>
      <c r="Y44" s="382">
        <v>991530</v>
      </c>
      <c r="Z44" s="382">
        <v>946161</v>
      </c>
      <c r="AA44" s="382">
        <v>737698</v>
      </c>
      <c r="AB44" s="382">
        <v>782195</v>
      </c>
      <c r="AC44" s="382">
        <v>809779</v>
      </c>
      <c r="AD44" s="382">
        <v>831855</v>
      </c>
      <c r="AE44" s="382">
        <v>606629</v>
      </c>
      <c r="AF44" s="382"/>
      <c r="AG44" s="382">
        <f>AVERAGE(Y44:AA44)</f>
        <v>891796.33333333337</v>
      </c>
      <c r="AH44" s="436">
        <f>AG44/AG$54</f>
        <v>6.1236268058335892E-3</v>
      </c>
      <c r="AI44" s="381">
        <f>AVERAGE(AB44:AD44)</f>
        <v>807943</v>
      </c>
      <c r="AJ44" s="436">
        <f>AI44/AI$54</f>
        <v>5.1613353205322565E-3</v>
      </c>
      <c r="AK44" s="381">
        <f>AVERAGE(AC44,AD44,AE44)</f>
        <v>749421</v>
      </c>
      <c r="AL44" s="436">
        <f>AK44/AK$54</f>
        <v>4.5573159277851449E-3</v>
      </c>
      <c r="AN44" s="382">
        <v>1820247</v>
      </c>
      <c r="AO44" s="382">
        <v>920510</v>
      </c>
      <c r="AP44" s="382">
        <f>125000+881629</f>
        <v>1006629</v>
      </c>
      <c r="AQ44" s="382">
        <v>1120420</v>
      </c>
      <c r="AR44" s="382">
        <f>15000+1181396</f>
        <v>1196396</v>
      </c>
      <c r="AS44" s="382">
        <f>885119-11677</f>
        <v>873442</v>
      </c>
      <c r="AT44" s="382">
        <v>1060367</v>
      </c>
      <c r="AU44" s="382"/>
      <c r="AV44" s="381">
        <f t="shared" ref="AV44" si="57">AVERAGE(AP44:AR44)</f>
        <v>1107815</v>
      </c>
      <c r="AW44" s="436">
        <f t="shared" si="55"/>
        <v>5.0167188337075499E-3</v>
      </c>
      <c r="AX44" s="381">
        <f t="shared" si="50"/>
        <v>1063419.3333333333</v>
      </c>
      <c r="AY44" s="436">
        <f t="shared" si="56"/>
        <v>3.8924741394089002E-3</v>
      </c>
      <c r="AZ44" s="381">
        <f>AVERAGE(AS44,AR44,AT44)</f>
        <v>1043401.6666666666</v>
      </c>
      <c r="BA44" s="436">
        <f t="shared" si="56"/>
        <v>3.5257078936753307E-3</v>
      </c>
    </row>
    <row r="45" spans="1:53">
      <c r="A45" s="368" t="s">
        <v>100</v>
      </c>
      <c r="B45" s="381">
        <f t="shared" si="36"/>
        <v>0</v>
      </c>
      <c r="C45" s="381">
        <f t="shared" si="37"/>
        <v>0</v>
      </c>
      <c r="D45" s="381">
        <f t="shared" si="38"/>
        <v>0</v>
      </c>
      <c r="E45" s="381"/>
      <c r="G45" s="381"/>
      <c r="H45" s="381"/>
      <c r="I45" s="381"/>
      <c r="J45" s="381"/>
      <c r="K45" s="381"/>
      <c r="L45" s="381"/>
      <c r="M45" s="1306"/>
      <c r="N45" s="1309"/>
      <c r="O45" s="381"/>
      <c r="P45" s="381"/>
      <c r="Q45" s="381"/>
      <c r="R45" s="436"/>
      <c r="S45" s="381"/>
      <c r="T45" s="436"/>
      <c r="U45" s="381"/>
      <c r="V45" s="436"/>
      <c r="X45" s="368" t="s">
        <v>100</v>
      </c>
      <c r="Y45" s="381">
        <v>2333</v>
      </c>
      <c r="Z45" s="381"/>
      <c r="AA45" s="381"/>
      <c r="AB45" s="381"/>
      <c r="AC45" s="381"/>
      <c r="AD45" s="381"/>
      <c r="AE45" s="381"/>
      <c r="AF45" s="381"/>
      <c r="AG45" s="381"/>
      <c r="AH45" s="436"/>
      <c r="AI45" s="381"/>
      <c r="AJ45" s="436"/>
      <c r="AK45" s="381"/>
      <c r="AL45" s="436"/>
      <c r="AN45" s="381"/>
      <c r="AO45" s="381"/>
      <c r="AP45" s="381"/>
      <c r="AQ45" s="381"/>
      <c r="AR45" s="381"/>
      <c r="AS45" s="381"/>
      <c r="AT45" s="381"/>
      <c r="AU45" s="381"/>
      <c r="AV45" s="381"/>
      <c r="AW45" s="436"/>
      <c r="AX45" s="381"/>
      <c r="AY45" s="436"/>
      <c r="AZ45" s="381"/>
      <c r="BA45" s="436"/>
    </row>
    <row r="46" spans="1:53">
      <c r="A46" s="178" t="s">
        <v>101</v>
      </c>
      <c r="B46" s="382">
        <f t="shared" si="36"/>
        <v>10249.747172199632</v>
      </c>
      <c r="C46" s="381">
        <f t="shared" si="37"/>
        <v>10749.974263267632</v>
      </c>
      <c r="D46" s="382">
        <f t="shared" si="38"/>
        <v>8993.8576670004386</v>
      </c>
      <c r="E46" s="382"/>
      <c r="G46" s="382">
        <v>24773.99</v>
      </c>
      <c r="H46" s="382">
        <v>36917.550000000003</v>
      </c>
      <c r="I46" s="382">
        <v>58661.31</v>
      </c>
      <c r="J46" s="382">
        <v>46730.59</v>
      </c>
      <c r="K46" s="382">
        <v>36629</v>
      </c>
      <c r="L46" s="382">
        <v>72099</v>
      </c>
      <c r="M46" s="1307"/>
      <c r="N46" s="1310">
        <v>55682</v>
      </c>
      <c r="O46" s="382">
        <v>28095</v>
      </c>
      <c r="P46" s="382"/>
      <c r="Q46" s="382">
        <f>AVERAGE(I46:K46)</f>
        <v>47340.299999999996</v>
      </c>
      <c r="R46" s="436">
        <f>Q46/Q$54</f>
        <v>1.2614736617799819E-3</v>
      </c>
      <c r="S46" s="381">
        <f>AVERAGE(J46:L46)</f>
        <v>51819.53</v>
      </c>
      <c r="T46" s="436">
        <f>S46/S$54</f>
        <v>1.323038429153232E-3</v>
      </c>
      <c r="U46" s="381">
        <f>AVERAGE(K46,L46,O46)</f>
        <v>45607.666666666664</v>
      </c>
      <c r="V46" s="436">
        <f>U46/U$54</f>
        <v>1.1069067728315704E-3</v>
      </c>
      <c r="X46" s="178" t="s">
        <v>101</v>
      </c>
      <c r="Y46" s="382">
        <f>11455+900+13466</f>
        <v>25821</v>
      </c>
      <c r="Z46" s="382">
        <v>105904</v>
      </c>
      <c r="AA46" s="382">
        <v>97293</v>
      </c>
      <c r="AB46" s="382">
        <v>112725</v>
      </c>
      <c r="AC46" s="382">
        <v>4408</v>
      </c>
      <c r="AD46" s="382">
        <v>20078</v>
      </c>
      <c r="AE46" s="382">
        <v>51890</v>
      </c>
      <c r="AF46" s="382"/>
      <c r="AG46" s="382">
        <f>AVERAGE(Y46:AA46)</f>
        <v>76339.333333333328</v>
      </c>
      <c r="AH46" s="436">
        <f>AG46/AG$54</f>
        <v>5.2419321594668919E-4</v>
      </c>
      <c r="AI46" s="381">
        <f>AVERAGE(AB46:AD46)</f>
        <v>45737</v>
      </c>
      <c r="AJ46" s="436">
        <f>AI46/AI$54</f>
        <v>2.9217901950407869E-4</v>
      </c>
      <c r="AK46" s="381">
        <f>AVERAGE(AC46,AD46,AE46)</f>
        <v>25458.666666666668</v>
      </c>
      <c r="AL46" s="436">
        <f>AK46/AK$54</f>
        <v>1.5481710160266757E-4</v>
      </c>
      <c r="AN46" s="382">
        <f>900+12862+17000+52432</f>
        <v>83194</v>
      </c>
      <c r="AO46" s="382">
        <f>715567+3669+24691+79237</f>
        <v>823164</v>
      </c>
      <c r="AP46" s="382">
        <f>1312216+551592</f>
        <v>1863808</v>
      </c>
      <c r="AQ46" s="382">
        <f>1200568+2346+2310</f>
        <v>1205224</v>
      </c>
      <c r="AR46" s="382">
        <f>5667+223663+10000+30814+1046</f>
        <v>271190</v>
      </c>
      <c r="AS46" s="382">
        <f>3062+157128+1900</f>
        <v>162090</v>
      </c>
      <c r="AT46" s="382">
        <f>40000+1000+78251+2398+27372</f>
        <v>149021</v>
      </c>
      <c r="AU46" s="382"/>
      <c r="AV46" s="382">
        <f>AVERAGE(AM46:AO46)</f>
        <v>453179</v>
      </c>
      <c r="AW46" s="436">
        <f>AV46/AV$54</f>
        <v>2.052212349842486E-3</v>
      </c>
      <c r="AX46" s="381">
        <f t="shared" si="50"/>
        <v>546168</v>
      </c>
      <c r="AY46" s="436">
        <f>AX46/AX$54</f>
        <v>1.9991594558553074E-3</v>
      </c>
      <c r="AZ46" s="381">
        <f>AVERAGE(AQ46,AR46,AS46)</f>
        <v>546168</v>
      </c>
      <c r="BA46" s="436">
        <f>AZ46/AZ$54</f>
        <v>1.845529761347453E-3</v>
      </c>
    </row>
    <row r="47" spans="1:53">
      <c r="A47" s="178" t="s">
        <v>102</v>
      </c>
      <c r="B47" s="383">
        <f t="shared" si="36"/>
        <v>0</v>
      </c>
      <c r="C47" s="381">
        <f t="shared" si="37"/>
        <v>0</v>
      </c>
      <c r="D47" s="383">
        <f t="shared" si="38"/>
        <v>0</v>
      </c>
      <c r="E47" s="383"/>
      <c r="G47" s="383"/>
      <c r="H47" s="383"/>
      <c r="I47" s="383"/>
      <c r="J47" s="383"/>
      <c r="K47" s="383"/>
      <c r="L47" s="383"/>
      <c r="M47" s="1308"/>
      <c r="N47" s="1311"/>
      <c r="O47" s="383"/>
      <c r="P47" s="383"/>
      <c r="Q47" s="383"/>
      <c r="R47" s="436"/>
      <c r="S47" s="383"/>
      <c r="T47" s="436"/>
      <c r="U47" s="383"/>
      <c r="V47" s="436"/>
      <c r="X47" s="178" t="s">
        <v>102</v>
      </c>
      <c r="Y47" s="383">
        <v>0</v>
      </c>
      <c r="Z47" s="383"/>
      <c r="AA47" s="383"/>
      <c r="AB47" s="383"/>
      <c r="AC47" s="383"/>
      <c r="AD47" s="383"/>
      <c r="AE47" s="383"/>
      <c r="AF47" s="383"/>
      <c r="AG47" s="383"/>
      <c r="AH47" s="436"/>
      <c r="AI47" s="383"/>
      <c r="AJ47" s="436"/>
      <c r="AK47" s="383"/>
      <c r="AL47" s="436"/>
      <c r="AN47" s="383"/>
      <c r="AO47" s="383"/>
      <c r="AP47" s="383"/>
      <c r="AQ47" s="383"/>
      <c r="AR47" s="383"/>
      <c r="AS47" s="383"/>
      <c r="AT47" s="383"/>
      <c r="AU47" s="383"/>
      <c r="AV47" s="383"/>
      <c r="AW47" s="436"/>
      <c r="AX47" s="383"/>
      <c r="AY47" s="436"/>
      <c r="AZ47" s="383"/>
      <c r="BA47" s="436"/>
    </row>
    <row r="48" spans="1:53">
      <c r="A48" s="368" t="s">
        <v>103</v>
      </c>
      <c r="B48" s="381">
        <f t="shared" si="36"/>
        <v>0</v>
      </c>
      <c r="C48" s="381">
        <f t="shared" si="37"/>
        <v>0</v>
      </c>
      <c r="D48" s="381">
        <f t="shared" si="38"/>
        <v>0</v>
      </c>
      <c r="E48" s="381"/>
      <c r="G48" s="381"/>
      <c r="H48" s="381"/>
      <c r="I48" s="381"/>
      <c r="J48" s="381"/>
      <c r="K48" s="381"/>
      <c r="L48" s="381"/>
      <c r="M48" s="1306"/>
      <c r="N48" s="1309"/>
      <c r="O48" s="381"/>
      <c r="P48" s="381"/>
      <c r="Q48" s="381"/>
      <c r="R48" s="436">
        <f>Q48/Q$54</f>
        <v>0</v>
      </c>
      <c r="S48" s="381"/>
      <c r="T48" s="436">
        <f>S48/S$54</f>
        <v>0</v>
      </c>
      <c r="U48" s="381"/>
      <c r="V48" s="436">
        <f>U48/U$54</f>
        <v>0</v>
      </c>
      <c r="X48" s="368" t="s">
        <v>103</v>
      </c>
      <c r="Y48" s="381">
        <v>0</v>
      </c>
      <c r="Z48" s="381">
        <v>90576</v>
      </c>
      <c r="AA48" s="381"/>
      <c r="AB48" s="381">
        <v>118252</v>
      </c>
      <c r="AC48" s="381">
        <v>156005</v>
      </c>
      <c r="AD48" s="381">
        <v>131416</v>
      </c>
      <c r="AE48" s="381">
        <v>142777</v>
      </c>
      <c r="AF48" s="381"/>
      <c r="AG48" s="381"/>
      <c r="AH48" s="436">
        <f>AG48/AG$54</f>
        <v>0</v>
      </c>
      <c r="AI48" s="381">
        <f>AVERAGE(AB48:AD48)</f>
        <v>135224.33333333334</v>
      </c>
      <c r="AJ48" s="436">
        <f>AI48/AI$54</f>
        <v>8.6384575128290093E-4</v>
      </c>
      <c r="AK48" s="381">
        <f>AVERAGE(AC48,AD48,AE48)</f>
        <v>143399.33333333334</v>
      </c>
      <c r="AL48" s="436">
        <f>AK48/AK$54</f>
        <v>8.7202796003017162E-4</v>
      </c>
      <c r="AN48" s="381">
        <v>0</v>
      </c>
      <c r="AO48" s="381">
        <v>197196</v>
      </c>
      <c r="AP48" s="381">
        <v>117471</v>
      </c>
      <c r="AQ48" s="381">
        <f>3500+118252</f>
        <v>121752</v>
      </c>
      <c r="AR48" s="381"/>
      <c r="AS48" s="381"/>
      <c r="AT48" s="381"/>
      <c r="AU48" s="381"/>
      <c r="AV48" s="381">
        <f t="shared" ref="AV48" si="58">AVERAGE(AP48:AR48)</f>
        <v>119611.5</v>
      </c>
      <c r="AW48" s="436">
        <f t="shared" ref="AW48" si="59">AV48/AV$54</f>
        <v>5.4165836784843193E-4</v>
      </c>
      <c r="AX48" s="381">
        <f t="shared" ref="AX48:AX51" si="60">AVERAGE(AQ48:AS48)</f>
        <v>121752</v>
      </c>
      <c r="AY48" s="436">
        <f t="shared" ref="AY48:BA48" si="61">AX48/AX$54</f>
        <v>4.4565346572720372E-4</v>
      </c>
      <c r="AZ48" s="381"/>
      <c r="BA48" s="436">
        <f t="shared" si="61"/>
        <v>0</v>
      </c>
    </row>
    <row r="49" spans="1:56">
      <c r="A49" s="178" t="s">
        <v>104</v>
      </c>
      <c r="B49" s="382">
        <f t="shared" si="36"/>
        <v>370.45218157961762</v>
      </c>
      <c r="C49" s="381">
        <f t="shared" si="37"/>
        <v>256.71967983487491</v>
      </c>
      <c r="D49" s="382">
        <f t="shared" si="38"/>
        <v>239.13855267424046</v>
      </c>
      <c r="E49" s="382"/>
      <c r="G49" s="382"/>
      <c r="H49" s="382"/>
      <c r="I49" s="382"/>
      <c r="J49" s="382"/>
      <c r="K49" s="382">
        <v>1711</v>
      </c>
      <c r="L49" s="382">
        <v>764</v>
      </c>
      <c r="M49" s="1307"/>
      <c r="N49" s="1310">
        <v>1145</v>
      </c>
      <c r="O49" s="382">
        <v>1163</v>
      </c>
      <c r="P49" s="382"/>
      <c r="Q49" s="382">
        <f>AVERAGE(I49:K49)</f>
        <v>1711</v>
      </c>
      <c r="R49" s="436">
        <f>Q49/Q$54</f>
        <v>4.5592897284249343E-5</v>
      </c>
      <c r="S49" s="381">
        <f>AVERAGE(J49:L49)</f>
        <v>1237.5</v>
      </c>
      <c r="T49" s="436">
        <f>S49/S$54</f>
        <v>3.1595424660878333E-5</v>
      </c>
      <c r="U49" s="381">
        <f>AVERAGE(K49,L49,O49)</f>
        <v>1212.6666666666667</v>
      </c>
      <c r="V49" s="436">
        <f>U49/U$54</f>
        <v>2.9431651400431604E-5</v>
      </c>
      <c r="X49" s="178" t="s">
        <v>104</v>
      </c>
      <c r="Y49" s="382">
        <v>0</v>
      </c>
      <c r="Z49" s="382"/>
      <c r="AA49" s="382"/>
      <c r="AB49" s="382"/>
      <c r="AC49" s="382"/>
      <c r="AD49" s="382"/>
      <c r="AE49" s="382"/>
      <c r="AF49" s="382"/>
      <c r="AG49" s="382">
        <f>AVERAGE(Y49:AA49)</f>
        <v>0</v>
      </c>
      <c r="AH49" s="436">
        <f>AG49/AG$54</f>
        <v>0</v>
      </c>
      <c r="AI49" s="381"/>
      <c r="AJ49" s="436">
        <f>AI49/AI$54</f>
        <v>0</v>
      </c>
      <c r="AK49" s="381"/>
      <c r="AL49" s="436">
        <f>AK49/AK$54</f>
        <v>0</v>
      </c>
      <c r="AN49" s="382">
        <v>18295</v>
      </c>
      <c r="AO49" s="382">
        <v>0</v>
      </c>
      <c r="AP49" s="382">
        <v>0</v>
      </c>
      <c r="AQ49" s="382">
        <v>0</v>
      </c>
      <c r="AR49" s="382"/>
      <c r="AS49" s="382"/>
      <c r="AT49" s="382">
        <v>118208</v>
      </c>
      <c r="AU49" s="382"/>
      <c r="AV49" s="381">
        <f t="shared" ref="AV49:AV51" si="62">AVERAGE(AP49:AR49)</f>
        <v>0</v>
      </c>
      <c r="AW49" s="436">
        <f t="shared" ref="AW49:AW51" si="63">AV49/AV$54</f>
        <v>0</v>
      </c>
      <c r="AX49" s="381">
        <f t="shared" si="60"/>
        <v>0</v>
      </c>
      <c r="AY49" s="436">
        <f t="shared" ref="AY49:BA51" si="64">AX49/AX$54</f>
        <v>0</v>
      </c>
      <c r="AZ49" s="381">
        <f t="shared" ref="AZ49:AZ50" si="65">AVERAGE(AS49,AR49,AT49)</f>
        <v>118208</v>
      </c>
      <c r="BA49" s="436">
        <f t="shared" si="64"/>
        <v>3.9943091142168659E-4</v>
      </c>
    </row>
    <row r="50" spans="1:56">
      <c r="A50" s="178" t="s">
        <v>459</v>
      </c>
      <c r="B50" s="382">
        <f t="shared" si="36"/>
        <v>78.185762449517028</v>
      </c>
      <c r="C50" s="381">
        <f t="shared" si="37"/>
        <v>149.82679140779126</v>
      </c>
      <c r="D50" s="382">
        <f t="shared" si="38"/>
        <v>0</v>
      </c>
      <c r="E50" s="382"/>
      <c r="G50" s="382">
        <v>0</v>
      </c>
      <c r="H50" s="382">
        <v>0</v>
      </c>
      <c r="I50" s="382">
        <v>0</v>
      </c>
      <c r="J50" s="382">
        <v>722.23</v>
      </c>
      <c r="K50" s="382"/>
      <c r="L50" s="382"/>
      <c r="M50" s="1307"/>
      <c r="N50" s="1310"/>
      <c r="O50" s="382"/>
      <c r="P50" s="382"/>
      <c r="Q50" s="382">
        <f>AVERAGE(I50:K50)</f>
        <v>361.11500000000001</v>
      </c>
      <c r="R50" s="436">
        <f>Q50/Q$54</f>
        <v>9.6226061383995929E-6</v>
      </c>
      <c r="S50" s="381">
        <f>AVERAGE(J50:L50)</f>
        <v>722.23</v>
      </c>
      <c r="T50" s="436">
        <f>S50/S$54</f>
        <v>1.8439728123495885E-5</v>
      </c>
      <c r="U50" s="381"/>
      <c r="V50" s="436">
        <f>U50/U$54</f>
        <v>0</v>
      </c>
      <c r="X50" s="178" t="s">
        <v>459</v>
      </c>
      <c r="Y50" s="382">
        <v>0</v>
      </c>
      <c r="Z50" s="382"/>
      <c r="AA50" s="382"/>
      <c r="AB50" s="382"/>
      <c r="AC50" s="382"/>
      <c r="AD50" s="382"/>
      <c r="AE50" s="382"/>
      <c r="AF50" s="382"/>
      <c r="AG50" s="382">
        <f>AVERAGE(Y50:AA50)</f>
        <v>0</v>
      </c>
      <c r="AH50" s="436">
        <f>AG50/AG$54</f>
        <v>0</v>
      </c>
      <c r="AI50" s="381"/>
      <c r="AJ50" s="436">
        <f>AI50/AI$54</f>
        <v>0</v>
      </c>
      <c r="AK50" s="381"/>
      <c r="AL50" s="436">
        <f>AK50/AK$54</f>
        <v>0</v>
      </c>
      <c r="AN50" s="382"/>
      <c r="AO50" s="382"/>
      <c r="AP50" s="382"/>
      <c r="AQ50" s="382"/>
      <c r="AR50" s="382">
        <v>81388</v>
      </c>
      <c r="AS50" s="382"/>
      <c r="AT50" s="382">
        <v>5000</v>
      </c>
      <c r="AU50" s="382"/>
      <c r="AV50" s="381">
        <f t="shared" si="62"/>
        <v>81388</v>
      </c>
      <c r="AW50" s="436">
        <f t="shared" si="63"/>
        <v>3.685639862592491E-4</v>
      </c>
      <c r="AX50" s="381">
        <f t="shared" si="60"/>
        <v>81388</v>
      </c>
      <c r="AY50" s="436">
        <f t="shared" si="64"/>
        <v>2.9790758483314982E-4</v>
      </c>
      <c r="AZ50" s="381">
        <f t="shared" si="65"/>
        <v>43194</v>
      </c>
      <c r="BA50" s="436">
        <f t="shared" si="64"/>
        <v>1.4595474746166359E-4</v>
      </c>
    </row>
    <row r="51" spans="1:56">
      <c r="A51" s="386" t="s">
        <v>485</v>
      </c>
      <c r="B51" s="381">
        <f t="shared" si="36"/>
        <v>0</v>
      </c>
      <c r="C51" s="381">
        <f t="shared" si="37"/>
        <v>0</v>
      </c>
      <c r="D51" s="381">
        <f t="shared" si="38"/>
        <v>0</v>
      </c>
      <c r="E51" s="381"/>
      <c r="G51" s="381"/>
      <c r="H51" s="381"/>
      <c r="I51" s="381"/>
      <c r="J51" s="381"/>
      <c r="K51" s="381"/>
      <c r="L51" s="381"/>
      <c r="M51" s="1306"/>
      <c r="N51" s="1309"/>
      <c r="O51" s="381"/>
      <c r="P51" s="381"/>
      <c r="Q51" s="381"/>
      <c r="R51" s="436"/>
      <c r="S51" s="381"/>
      <c r="T51" s="436"/>
      <c r="U51" s="381"/>
      <c r="V51" s="436"/>
      <c r="X51" s="386" t="s">
        <v>485</v>
      </c>
      <c r="Y51" s="381">
        <v>0</v>
      </c>
      <c r="Z51" s="381"/>
      <c r="AA51" s="381"/>
      <c r="AB51" s="381"/>
      <c r="AC51" s="381"/>
      <c r="AD51" s="381"/>
      <c r="AE51" s="381"/>
      <c r="AF51" s="381"/>
      <c r="AG51" s="381"/>
      <c r="AH51" s="436"/>
      <c r="AI51" s="381"/>
      <c r="AJ51" s="436"/>
      <c r="AK51" s="381"/>
      <c r="AL51" s="436"/>
      <c r="AN51" s="381"/>
      <c r="AO51" s="381"/>
      <c r="AP51" s="381"/>
      <c r="AQ51" s="381"/>
      <c r="AR51" s="381">
        <v>116471</v>
      </c>
      <c r="AS51" s="381">
        <v>115899</v>
      </c>
      <c r="AT51" s="381"/>
      <c r="AU51" s="381"/>
      <c r="AV51" s="381">
        <f t="shared" si="62"/>
        <v>116471</v>
      </c>
      <c r="AW51" s="436">
        <f t="shared" si="63"/>
        <v>5.2743667424683008E-4</v>
      </c>
      <c r="AX51" s="381">
        <f t="shared" si="60"/>
        <v>116185</v>
      </c>
      <c r="AY51" s="436">
        <f t="shared" si="64"/>
        <v>4.2527636437606907E-4</v>
      </c>
      <c r="AZ51" s="381">
        <f>AVERAGE(AS51,AR51,AT51)</f>
        <v>116185</v>
      </c>
      <c r="BA51" s="436">
        <f t="shared" si="64"/>
        <v>3.9259509037906619E-4</v>
      </c>
    </row>
    <row r="52" spans="1:56">
      <c r="A52" s="178" t="s">
        <v>105</v>
      </c>
      <c r="B52" s="382">
        <f t="shared" si="36"/>
        <v>0</v>
      </c>
      <c r="C52" s="381">
        <f t="shared" si="37"/>
        <v>0</v>
      </c>
      <c r="D52" s="382">
        <f t="shared" si="38"/>
        <v>0</v>
      </c>
      <c r="E52" s="382"/>
      <c r="G52" s="382"/>
      <c r="H52" s="382"/>
      <c r="I52" s="382"/>
      <c r="J52" s="382"/>
      <c r="K52" s="382"/>
      <c r="L52" s="382"/>
      <c r="M52" s="1307"/>
      <c r="N52" s="1310"/>
      <c r="O52" s="382"/>
      <c r="P52" s="382"/>
      <c r="Q52" s="382"/>
      <c r="R52" s="436"/>
      <c r="S52" s="382"/>
      <c r="T52" s="436"/>
      <c r="U52" s="382"/>
      <c r="V52" s="436"/>
      <c r="X52" s="178" t="s">
        <v>105</v>
      </c>
      <c r="Y52" s="382">
        <v>0</v>
      </c>
      <c r="Z52" s="382"/>
      <c r="AA52" s="382"/>
      <c r="AB52" s="382"/>
      <c r="AC52" s="382"/>
      <c r="AD52" s="382"/>
      <c r="AE52" s="382"/>
      <c r="AF52" s="382"/>
      <c r="AG52" s="382"/>
      <c r="AH52" s="436"/>
      <c r="AI52" s="382"/>
      <c r="AJ52" s="436"/>
      <c r="AK52" s="382"/>
      <c r="AL52" s="436"/>
      <c r="AN52" s="382"/>
      <c r="AO52" s="382"/>
      <c r="AP52" s="382"/>
      <c r="AQ52" s="382"/>
      <c r="AR52" s="382"/>
      <c r="AS52" s="382"/>
      <c r="AT52" s="382"/>
      <c r="AU52" s="382"/>
      <c r="AV52" s="382"/>
      <c r="AW52" s="436"/>
      <c r="AX52" s="382"/>
      <c r="AY52" s="436"/>
      <c r="AZ52" s="382"/>
      <c r="BA52" s="436"/>
    </row>
    <row r="53" spans="1:56">
      <c r="A53" s="375"/>
      <c r="B53" s="376"/>
      <c r="C53" s="376"/>
      <c r="D53" s="376"/>
      <c r="E53" s="1086"/>
      <c r="G53" s="376"/>
      <c r="H53" s="376"/>
      <c r="I53" s="376"/>
      <c r="J53" s="376"/>
      <c r="K53" s="376"/>
      <c r="L53" s="376"/>
      <c r="M53" s="376"/>
      <c r="N53" s="376"/>
      <c r="O53" s="376"/>
      <c r="P53" s="376"/>
      <c r="Q53" s="376"/>
      <c r="R53" s="322"/>
      <c r="S53" s="376"/>
      <c r="T53" s="322"/>
      <c r="U53" s="376"/>
      <c r="V53" s="322"/>
      <c r="X53" s="375"/>
      <c r="Y53" s="376">
        <f t="shared" ref="Y53:AD53" si="66">SUM(Y35:Y52)</f>
        <v>2062544</v>
      </c>
      <c r="Z53" s="376">
        <f t="shared" si="66"/>
        <v>1878707</v>
      </c>
      <c r="AA53" s="376">
        <f t="shared" si="66"/>
        <v>1545197</v>
      </c>
      <c r="AB53" s="376">
        <f t="shared" si="66"/>
        <v>3162236</v>
      </c>
      <c r="AC53" s="376">
        <f t="shared" si="66"/>
        <v>4807136</v>
      </c>
      <c r="AD53" s="376">
        <f t="shared" si="66"/>
        <v>6539747</v>
      </c>
      <c r="AE53" s="376">
        <f t="shared" ref="AE53:AK53" si="67">SUM(AE35:AE52)</f>
        <v>6746129</v>
      </c>
      <c r="AF53" s="376"/>
      <c r="AG53" s="376">
        <f t="shared" si="67"/>
        <v>1050187.6666666667</v>
      </c>
      <c r="AH53" s="322"/>
      <c r="AI53" s="376">
        <f t="shared" si="67"/>
        <v>4956441.166666667</v>
      </c>
      <c r="AJ53" s="322"/>
      <c r="AK53" s="376">
        <f t="shared" si="67"/>
        <v>6031004</v>
      </c>
      <c r="AL53" s="322"/>
      <c r="AN53" s="376">
        <f t="shared" ref="AN53:AS53" si="68">SUM(AN35:AN52)</f>
        <v>3780031</v>
      </c>
      <c r="AO53" s="376">
        <f t="shared" si="68"/>
        <v>3507112</v>
      </c>
      <c r="AP53" s="376">
        <f t="shared" si="68"/>
        <v>4523405</v>
      </c>
      <c r="AQ53" s="376">
        <f t="shared" si="68"/>
        <v>9053137</v>
      </c>
      <c r="AR53" s="376">
        <f t="shared" si="68"/>
        <v>10727412</v>
      </c>
      <c r="AS53" s="376">
        <f t="shared" si="68"/>
        <v>10966592</v>
      </c>
      <c r="AT53" s="376">
        <f>SUM(AT35:AT52)</f>
        <v>9315021</v>
      </c>
      <c r="AU53" s="376"/>
      <c r="AV53" s="376">
        <f t="shared" ref="AV53" si="69">SUM(AV35:AV52)</f>
        <v>6595114</v>
      </c>
      <c r="AW53" s="322"/>
      <c r="AX53" s="376">
        <f t="shared" ref="AX53" si="70">SUM(AX35:AX52)</f>
        <v>11287363.000000002</v>
      </c>
      <c r="AY53" s="322"/>
      <c r="AZ53" s="376">
        <f t="shared" ref="AZ53" si="71">SUM(AZ35:AZ52)</f>
        <v>10981553.999999998</v>
      </c>
      <c r="BA53" s="322"/>
    </row>
    <row r="54" spans="1:56" ht="16.5" thickBot="1">
      <c r="A54" s="377" t="s">
        <v>413</v>
      </c>
      <c r="B54" s="378">
        <f>SUM(B12:B53)</f>
        <v>8125216.9448681893</v>
      </c>
      <c r="C54" s="378">
        <f>SUM(C12:C53)</f>
        <v>8125216.9448681911</v>
      </c>
      <c r="D54" s="378">
        <f>SUM(D12:D53)</f>
        <v>8125216.9448681893</v>
      </c>
      <c r="E54" s="805"/>
      <c r="G54" s="378">
        <f t="shared" ref="G54:N54" si="72">SUM(G12:G53)</f>
        <v>38301148.400000006</v>
      </c>
      <c r="H54" s="378">
        <f t="shared" si="72"/>
        <v>36126424.259999998</v>
      </c>
      <c r="I54" s="378">
        <f t="shared" si="72"/>
        <v>35479276.110000007</v>
      </c>
      <c r="J54" s="378">
        <f t="shared" si="72"/>
        <v>37491012.159999989</v>
      </c>
      <c r="K54" s="378">
        <f t="shared" si="72"/>
        <v>39609309</v>
      </c>
      <c r="L54" s="378">
        <f t="shared" si="72"/>
        <v>40339306</v>
      </c>
      <c r="M54" s="378">
        <f t="shared" si="72"/>
        <v>40070922</v>
      </c>
      <c r="N54" s="378">
        <f t="shared" si="72"/>
        <v>44873733</v>
      </c>
      <c r="O54" s="378">
        <f t="shared" ref="O54" si="73">SUM(O12:O53)</f>
        <v>43613300.960000001</v>
      </c>
      <c r="P54" s="378"/>
      <c r="Q54" s="378">
        <f t="shared" ref="Q54:V54" si="74">SUM(Q12:Q53)</f>
        <v>37527775.200000003</v>
      </c>
      <c r="R54" s="507">
        <f t="shared" si="74"/>
        <v>0.99999999999999989</v>
      </c>
      <c r="S54" s="378">
        <f t="shared" si="74"/>
        <v>39167063.37333332</v>
      </c>
      <c r="T54" s="507">
        <f t="shared" si="74"/>
        <v>1.0000000000000004</v>
      </c>
      <c r="U54" s="378">
        <f t="shared" si="74"/>
        <v>41202807.486666664</v>
      </c>
      <c r="V54" s="507">
        <f t="shared" si="74"/>
        <v>1.0000000000000002</v>
      </c>
      <c r="X54" s="377" t="s">
        <v>413</v>
      </c>
      <c r="Y54" s="378">
        <f t="shared" ref="Y54:AD54" si="75">Y31+Y53</f>
        <v>165696867</v>
      </c>
      <c r="Z54" s="378">
        <f t="shared" si="75"/>
        <v>143472219</v>
      </c>
      <c r="AA54" s="378">
        <f t="shared" si="75"/>
        <v>138646414</v>
      </c>
      <c r="AB54" s="378">
        <f t="shared" si="75"/>
        <v>147054166</v>
      </c>
      <c r="AC54" s="378">
        <f t="shared" si="75"/>
        <v>157559580</v>
      </c>
      <c r="AD54" s="378">
        <f t="shared" si="75"/>
        <v>164638824</v>
      </c>
      <c r="AE54" s="378">
        <f t="shared" ref="AE54:AK54" si="76">AE31+AE53</f>
        <v>171161269</v>
      </c>
      <c r="AF54" s="378"/>
      <c r="AG54" s="378">
        <f t="shared" si="76"/>
        <v>145632051.33333334</v>
      </c>
      <c r="AH54" s="507">
        <f t="shared" ref="AH54:AJ54" si="77">SUM(AH12:AH53)</f>
        <v>0.99928245420077555</v>
      </c>
      <c r="AI54" s="378">
        <f t="shared" si="76"/>
        <v>156537591.5</v>
      </c>
      <c r="AJ54" s="507">
        <f t="shared" si="77"/>
        <v>1</v>
      </c>
      <c r="AK54" s="378">
        <f t="shared" si="76"/>
        <v>164443503.99999997</v>
      </c>
      <c r="AL54" s="507">
        <f t="shared" ref="AL54" si="78">SUM(AL12:AL53)</f>
        <v>1.0000000000000002</v>
      </c>
      <c r="AN54" s="378">
        <f t="shared" ref="AN54:AT54" si="79">AN31+AN53</f>
        <v>206871086</v>
      </c>
      <c r="AO54" s="378">
        <f t="shared" si="79"/>
        <v>182209618</v>
      </c>
      <c r="AP54" s="378">
        <f t="shared" si="79"/>
        <v>202224763</v>
      </c>
      <c r="AQ54" s="378">
        <f t="shared" si="79"/>
        <v>219251466</v>
      </c>
      <c r="AR54" s="378">
        <f t="shared" si="79"/>
        <v>246612076</v>
      </c>
      <c r="AS54" s="378">
        <f t="shared" si="79"/>
        <v>349583766</v>
      </c>
      <c r="AT54" s="378">
        <f t="shared" si="79"/>
        <v>291330447</v>
      </c>
      <c r="AU54" s="378"/>
      <c r="AV54" s="378">
        <f t="shared" ref="AV54" si="80">AV31+AV53</f>
        <v>220824614.00000003</v>
      </c>
      <c r="AW54" s="507">
        <f t="shared" ref="AW54" si="81">SUM(AW12:AW53)</f>
        <v>1.0000000000000002</v>
      </c>
      <c r="AX54" s="378">
        <f t="shared" ref="AX54" si="82">AX31+AX53</f>
        <v>273198817.83333337</v>
      </c>
      <c r="AY54" s="507">
        <f t="shared" ref="AY54" si="83">SUM(AY12:AY53)</f>
        <v>0.99999999999999978</v>
      </c>
      <c r="AZ54" s="378">
        <f t="shared" ref="AZ54" si="84">AZ31+AZ53</f>
        <v>295941041.66666669</v>
      </c>
      <c r="BA54" s="507">
        <f t="shared" ref="BA54" si="85">SUM(BA12:BA53)</f>
        <v>0.99999999999999989</v>
      </c>
    </row>
    <row r="55" spans="1:56" ht="16.5" thickTop="1">
      <c r="B55" s="322"/>
      <c r="D55" s="322"/>
      <c r="E55" s="322"/>
      <c r="G55" s="154"/>
      <c r="H55" s="322"/>
      <c r="I55" s="322"/>
      <c r="J55" s="322"/>
      <c r="K55" s="322"/>
      <c r="L55" s="322"/>
      <c r="M55" s="322"/>
      <c r="N55" s="322"/>
      <c r="O55" s="322"/>
      <c r="P55" s="322"/>
      <c r="Q55" s="322"/>
      <c r="Z55" s="322"/>
      <c r="AA55" s="322"/>
      <c r="AB55" s="322"/>
      <c r="AC55" s="322"/>
      <c r="AD55" s="322"/>
      <c r="AE55" s="322"/>
      <c r="AF55" s="322"/>
      <c r="AG55" s="322"/>
      <c r="AM55" s="322"/>
      <c r="AO55" s="322"/>
      <c r="AP55" s="322"/>
      <c r="AQ55" s="322"/>
      <c r="AR55" s="322"/>
      <c r="AS55" s="322"/>
      <c r="AT55" s="322"/>
      <c r="AU55" s="322"/>
      <c r="AV55" s="322"/>
    </row>
    <row r="56" spans="1:56">
      <c r="B56" s="153"/>
      <c r="D56" s="153"/>
      <c r="E56" s="153"/>
      <c r="F56" t="s">
        <v>506</v>
      </c>
      <c r="G56" s="153">
        <v>3250.4</v>
      </c>
      <c r="H56" s="153">
        <v>58105.01</v>
      </c>
      <c r="I56" s="153">
        <v>133095.32</v>
      </c>
      <c r="J56" s="153">
        <v>133672.81</v>
      </c>
      <c r="K56" s="153">
        <v>189298</v>
      </c>
      <c r="L56" s="153">
        <v>184612</v>
      </c>
      <c r="M56" s="153"/>
      <c r="N56" s="153"/>
      <c r="O56" s="153">
        <v>164852</v>
      </c>
      <c r="P56" s="153"/>
      <c r="Q56" s="153"/>
      <c r="Y56" t="s">
        <v>506</v>
      </c>
      <c r="Z56" s="153">
        <v>15751.92</v>
      </c>
      <c r="AA56" s="153">
        <v>325013.03000000003</v>
      </c>
      <c r="AB56" s="153">
        <v>803777.13</v>
      </c>
      <c r="AC56" s="322">
        <v>1317334.6299999999</v>
      </c>
      <c r="AD56" s="322"/>
      <c r="AE56" s="322"/>
      <c r="AF56" s="322"/>
      <c r="AG56" s="153"/>
      <c r="AM56" s="322"/>
      <c r="AO56" s="153">
        <v>3250.4</v>
      </c>
      <c r="AP56" s="153">
        <v>58105.01</v>
      </c>
      <c r="AQ56" s="153">
        <v>133095.32</v>
      </c>
      <c r="AR56" s="153">
        <v>133672.81</v>
      </c>
      <c r="AS56" s="153"/>
      <c r="AU56" s="322"/>
      <c r="AV56" s="153"/>
    </row>
    <row r="57" spans="1:56" ht="16.5" thickBot="1">
      <c r="F57" t="s">
        <v>13</v>
      </c>
      <c r="G57" s="378">
        <f>SUM(G54:G56)</f>
        <v>38304398.800000004</v>
      </c>
      <c r="H57" s="378">
        <f t="shared" ref="H57:Q57" si="86">SUM(H54:H56)</f>
        <v>36184529.269999996</v>
      </c>
      <c r="I57" s="378">
        <f t="shared" si="86"/>
        <v>35612371.430000007</v>
      </c>
      <c r="J57" s="378">
        <f t="shared" si="86"/>
        <v>37624684.969999991</v>
      </c>
      <c r="K57" s="378">
        <f t="shared" si="86"/>
        <v>39798607</v>
      </c>
      <c r="L57" s="378">
        <f t="shared" si="86"/>
        <v>40523918</v>
      </c>
      <c r="M57" s="378">
        <f t="shared" si="86"/>
        <v>40070922</v>
      </c>
      <c r="N57" s="378">
        <f t="shared" si="86"/>
        <v>44873733</v>
      </c>
      <c r="O57" s="378">
        <f t="shared" si="86"/>
        <v>43778152.960000001</v>
      </c>
      <c r="P57" s="378"/>
      <c r="Q57" s="378">
        <f t="shared" si="86"/>
        <v>37527775.200000003</v>
      </c>
      <c r="Y57" s="430" t="s">
        <v>507</v>
      </c>
      <c r="Z57" s="431"/>
      <c r="AA57" s="431"/>
      <c r="AB57" s="431"/>
      <c r="AC57" s="432">
        <v>3500</v>
      </c>
      <c r="AD57" s="432"/>
      <c r="AE57" s="432"/>
      <c r="AF57" s="432"/>
      <c r="AG57" s="378">
        <f t="shared" ref="AG57" si="87">SUM(AG54:AG56)</f>
        <v>145632051.33333334</v>
      </c>
      <c r="AM57" s="433"/>
      <c r="AU57" s="432"/>
      <c r="AV57" s="378">
        <f t="shared" ref="AV57" si="88">SUM(AV54:AV56)</f>
        <v>220824614.00000003</v>
      </c>
    </row>
    <row r="58" spans="1:56" ht="16.5" thickTop="1">
      <c r="H58" s="194"/>
      <c r="I58" s="194"/>
      <c r="J58" s="194"/>
      <c r="K58" s="409"/>
      <c r="L58" s="409"/>
      <c r="M58" s="409"/>
      <c r="N58" s="409"/>
      <c r="O58" s="409"/>
      <c r="P58" s="409"/>
      <c r="Q58" s="409"/>
      <c r="R58" s="409"/>
      <c r="S58" s="409"/>
      <c r="T58" s="410"/>
      <c r="U58" s="411"/>
      <c r="V58" s="411"/>
      <c r="W58" s="411"/>
      <c r="X58" s="411"/>
      <c r="Y58" s="411"/>
      <c r="Z58" s="411"/>
      <c r="AA58" s="411"/>
      <c r="AB58" s="411"/>
      <c r="AC58" s="411"/>
      <c r="AG58" s="409"/>
      <c r="AH58" s="409"/>
      <c r="AI58" s="409"/>
      <c r="AJ58" s="410"/>
      <c r="AK58" s="411"/>
      <c r="AL58" s="411"/>
      <c r="AV58" s="409"/>
      <c r="AW58" s="409"/>
      <c r="AX58" s="409"/>
      <c r="AY58" s="410"/>
      <c r="AZ58" s="411"/>
      <c r="BA58" s="410"/>
      <c r="BB58" s="6"/>
      <c r="BC58" s="5"/>
      <c r="BD58" s="5"/>
    </row>
    <row r="59" spans="1:56">
      <c r="H59" s="194"/>
      <c r="I59" s="194"/>
      <c r="J59" s="194"/>
      <c r="K59" s="409"/>
      <c r="L59" s="409"/>
      <c r="M59" s="409"/>
      <c r="N59" s="409"/>
      <c r="O59" s="409"/>
      <c r="P59" s="409"/>
      <c r="Q59" s="409"/>
      <c r="R59" s="409"/>
      <c r="S59" s="409"/>
      <c r="T59" s="410"/>
      <c r="U59" s="411"/>
      <c r="V59" s="411"/>
      <c r="W59" s="411"/>
      <c r="X59" s="411"/>
      <c r="Y59" s="411"/>
      <c r="Z59" s="411"/>
      <c r="AA59" s="411"/>
      <c r="AB59" s="411"/>
      <c r="AC59" s="411"/>
      <c r="AG59" s="409"/>
      <c r="AH59" s="409"/>
      <c r="AI59" s="409"/>
      <c r="AJ59" s="410"/>
      <c r="AK59" s="411"/>
      <c r="AL59" s="411"/>
      <c r="AV59" s="409"/>
      <c r="AW59" s="409"/>
      <c r="AX59" s="409"/>
      <c r="AY59" s="410"/>
      <c r="AZ59" s="411"/>
      <c r="BA59" s="410"/>
    </row>
    <row r="60" spans="1:56">
      <c r="H60" s="194"/>
      <c r="I60" s="194"/>
      <c r="J60" s="194"/>
      <c r="K60" s="409"/>
      <c r="L60" s="409"/>
      <c r="M60" s="409"/>
      <c r="N60" s="409"/>
      <c r="O60" s="409"/>
      <c r="P60" s="409"/>
      <c r="Q60" s="409"/>
      <c r="R60" s="409"/>
      <c r="S60" s="409"/>
      <c r="T60" s="410"/>
      <c r="U60" s="411"/>
      <c r="V60" s="411"/>
      <c r="W60" s="411"/>
      <c r="X60" s="411"/>
      <c r="Y60" s="411"/>
      <c r="Z60" s="411"/>
      <c r="AA60" s="411"/>
      <c r="AB60" s="411"/>
      <c r="AC60" s="411"/>
      <c r="AG60" s="409"/>
      <c r="AH60" s="409"/>
      <c r="AI60" s="409"/>
      <c r="AJ60" s="410"/>
      <c r="AK60" s="411"/>
      <c r="AL60" s="411"/>
      <c r="AV60" s="409"/>
      <c r="AW60" s="409"/>
      <c r="AX60" s="409"/>
      <c r="AY60" s="410"/>
      <c r="AZ60" s="411"/>
      <c r="BA60" s="410"/>
      <c r="BB60" s="322"/>
      <c r="BC60" s="322"/>
      <c r="BD60" s="322"/>
    </row>
    <row r="61" spans="1:56">
      <c r="H61" s="194"/>
      <c r="I61" s="194"/>
      <c r="J61" s="194"/>
      <c r="K61" s="409"/>
      <c r="L61" s="409"/>
      <c r="M61" s="409"/>
      <c r="N61" s="409"/>
      <c r="O61" s="409"/>
      <c r="P61" s="409"/>
      <c r="Q61" s="409"/>
      <c r="R61" s="409"/>
      <c r="S61" s="409"/>
      <c r="T61" s="410"/>
      <c r="U61" s="411"/>
      <c r="V61" s="411"/>
      <c r="W61" s="411"/>
      <c r="X61" s="411"/>
      <c r="Y61" s="411"/>
      <c r="Z61" s="411"/>
      <c r="AA61" s="411"/>
      <c r="AB61" s="411"/>
      <c r="AC61" s="411"/>
      <c r="AG61" s="409"/>
      <c r="AH61" s="409"/>
      <c r="AI61" s="409"/>
      <c r="AJ61" s="410"/>
      <c r="AK61" s="411"/>
      <c r="AL61" s="411"/>
      <c r="AV61" s="409"/>
      <c r="AW61" s="409"/>
      <c r="AX61" s="409"/>
      <c r="AY61" s="410"/>
      <c r="AZ61" s="411"/>
      <c r="BA61" s="410"/>
      <c r="BB61" s="12"/>
    </row>
    <row r="62" spans="1:56">
      <c r="N62" s="1"/>
      <c r="O62" s="1"/>
      <c r="P62" s="1"/>
      <c r="Q62" s="1"/>
      <c r="R62" s="1"/>
      <c r="S62" s="1"/>
      <c r="AG62" s="1"/>
      <c r="AH62" s="1"/>
      <c r="AI62" s="1"/>
      <c r="AV62" s="1"/>
      <c r="AW62" s="1"/>
      <c r="AX62" s="1"/>
      <c r="BB62" s="12"/>
    </row>
    <row r="63" spans="1:56">
      <c r="N63" s="151"/>
      <c r="O63" s="151"/>
      <c r="P63" s="151"/>
      <c r="Q63" s="151"/>
      <c r="R63" s="151"/>
      <c r="S63" s="151"/>
      <c r="AG63" s="151"/>
      <c r="AH63" s="151"/>
      <c r="AI63" s="151"/>
      <c r="AV63" s="151"/>
      <c r="AW63" s="151"/>
      <c r="AX63" s="151"/>
    </row>
    <row r="64" spans="1:56">
      <c r="N64" s="4"/>
      <c r="O64" s="4"/>
      <c r="P64" s="4"/>
      <c r="Q64" s="4"/>
      <c r="R64" s="4"/>
      <c r="S64" s="4"/>
      <c r="AG64" s="4"/>
      <c r="AH64" s="4"/>
      <c r="AI64" s="4"/>
      <c r="AV64" s="4"/>
      <c r="AW64" s="4"/>
      <c r="AX64" s="4"/>
    </row>
    <row r="65" spans="14:50">
      <c r="N65" s="6"/>
      <c r="O65" s="6"/>
      <c r="P65" s="6"/>
      <c r="Q65" s="6"/>
      <c r="R65" s="6"/>
      <c r="S65" s="6"/>
      <c r="AG65" s="6"/>
      <c r="AH65" s="6"/>
      <c r="AI65" s="6"/>
      <c r="AV65" s="6"/>
      <c r="AW65" s="6"/>
      <c r="AX65" s="6"/>
    </row>
    <row r="66" spans="14:50">
      <c r="N66" s="6"/>
      <c r="O66" s="6"/>
      <c r="P66" s="6"/>
      <c r="Q66" s="6"/>
      <c r="R66" s="6"/>
      <c r="S66" s="6"/>
      <c r="AG66" s="6"/>
      <c r="AH66" s="6"/>
      <c r="AI66" s="6"/>
      <c r="AV66" s="6"/>
      <c r="AW66" s="6"/>
      <c r="AX66" s="6"/>
    </row>
    <row r="67" spans="14:50">
      <c r="N67" s="6"/>
      <c r="O67" s="6"/>
      <c r="P67" s="6"/>
      <c r="Q67" s="6"/>
      <c r="R67" s="6"/>
      <c r="S67" s="6"/>
      <c r="AG67" s="6"/>
      <c r="AH67" s="6"/>
      <c r="AI67" s="6"/>
      <c r="AV67" s="6"/>
      <c r="AW67" s="6"/>
      <c r="AX67" s="6"/>
    </row>
    <row r="68" spans="14:50">
      <c r="N68" s="4"/>
      <c r="O68" s="4"/>
      <c r="P68" s="4"/>
      <c r="Q68" s="4"/>
      <c r="R68" s="4"/>
      <c r="S68" s="4"/>
      <c r="AG68" s="4"/>
      <c r="AH68" s="4"/>
      <c r="AI68" s="4"/>
      <c r="AV68" s="4"/>
      <c r="AW68" s="4"/>
      <c r="AX68" s="4"/>
    </row>
    <row r="69" spans="14:50">
      <c r="N69" s="4"/>
      <c r="O69" s="4"/>
      <c r="P69" s="4"/>
      <c r="Q69" s="4"/>
      <c r="R69" s="4"/>
      <c r="S69" s="4"/>
      <c r="AG69" s="4"/>
      <c r="AH69" s="4"/>
      <c r="AI69" s="4"/>
      <c r="AV69" s="4"/>
      <c r="AW69" s="4"/>
      <c r="AX69" s="4"/>
    </row>
    <row r="70" spans="14:50">
      <c r="N70" s="6"/>
      <c r="O70" s="6"/>
      <c r="P70" s="6"/>
      <c r="Q70" s="6"/>
      <c r="R70" s="6"/>
      <c r="S70" s="6"/>
      <c r="AG70" s="6"/>
      <c r="AH70" s="6"/>
      <c r="AI70" s="6"/>
      <c r="AV70" s="6"/>
      <c r="AW70" s="6"/>
      <c r="AX70" s="6"/>
    </row>
    <row r="71" spans="14:50">
      <c r="N71" s="6"/>
      <c r="O71" s="6"/>
      <c r="P71" s="6"/>
      <c r="Q71" s="6"/>
      <c r="R71" s="6"/>
      <c r="S71" s="6"/>
      <c r="AG71" s="6"/>
      <c r="AH71" s="6"/>
      <c r="AI71" s="6"/>
      <c r="AV71" s="6"/>
      <c r="AW71" s="6"/>
      <c r="AX71" s="6"/>
    </row>
    <row r="72" spans="14:50">
      <c r="N72" s="4"/>
      <c r="O72" s="4"/>
      <c r="P72" s="4"/>
      <c r="Q72" s="4"/>
      <c r="R72" s="4"/>
      <c r="S72" s="4"/>
      <c r="AG72" s="4"/>
      <c r="AH72" s="4"/>
      <c r="AI72" s="4"/>
      <c r="AV72" s="4"/>
      <c r="AW72" s="4"/>
      <c r="AX72" s="4"/>
    </row>
    <row r="73" spans="14:50">
      <c r="N73" s="6"/>
      <c r="O73" s="6"/>
      <c r="P73" s="6"/>
      <c r="Q73" s="6"/>
      <c r="R73" s="6"/>
      <c r="S73" s="6"/>
      <c r="AG73" s="6"/>
      <c r="AH73" s="6"/>
      <c r="AI73" s="6"/>
      <c r="AV73" s="6"/>
      <c r="AW73" s="6"/>
      <c r="AX73" s="6"/>
    </row>
    <row r="74" spans="14:50">
      <c r="N74" s="434"/>
      <c r="O74" s="434"/>
      <c r="P74" s="434"/>
      <c r="Q74" s="434"/>
      <c r="R74" s="434"/>
      <c r="S74" s="434"/>
      <c r="AG74" s="434"/>
      <c r="AH74" s="434"/>
      <c r="AI74" s="434"/>
      <c r="AV74" s="434"/>
      <c r="AW74" s="434"/>
      <c r="AX74" s="434"/>
    </row>
    <row r="75" spans="14:50">
      <c r="N75" s="7"/>
      <c r="O75" s="7"/>
      <c r="P75" s="7"/>
      <c r="Q75" s="7"/>
      <c r="R75" s="7"/>
      <c r="S75" s="7"/>
      <c r="AG75" s="7"/>
      <c r="AH75" s="7"/>
      <c r="AI75" s="7"/>
      <c r="AV75" s="7"/>
      <c r="AW75" s="7"/>
      <c r="AX75" s="7"/>
    </row>
    <row r="76" spans="14:50">
      <c r="N76" s="6"/>
      <c r="O76" s="6"/>
      <c r="P76" s="6"/>
      <c r="Q76" s="6"/>
      <c r="R76" s="6"/>
      <c r="S76" s="6"/>
      <c r="AG76" s="6"/>
      <c r="AH76" s="6"/>
      <c r="AI76" s="6"/>
      <c r="AV76" s="6"/>
      <c r="AW76" s="6"/>
      <c r="AX76" s="6"/>
    </row>
    <row r="77" spans="14:50">
      <c r="N77" s="6"/>
      <c r="O77" s="6"/>
      <c r="P77" s="6"/>
      <c r="Q77" s="6"/>
      <c r="R77" s="6"/>
      <c r="S77" s="6"/>
      <c r="AG77" s="6"/>
      <c r="AH77" s="6"/>
      <c r="AI77" s="6"/>
      <c r="AV77" s="6"/>
      <c r="AW77" s="6"/>
      <c r="AX77" s="6"/>
    </row>
    <row r="78" spans="14:50">
      <c r="N78" s="6"/>
      <c r="O78" s="6"/>
      <c r="P78" s="6"/>
      <c r="Q78" s="6"/>
      <c r="R78" s="6"/>
      <c r="S78" s="6"/>
      <c r="AG78" s="6"/>
      <c r="AH78" s="6"/>
      <c r="AI78" s="6"/>
      <c r="AV78" s="6"/>
      <c r="AW78" s="6"/>
      <c r="AX78" s="6"/>
    </row>
    <row r="79" spans="14:50">
      <c r="N79" s="7"/>
      <c r="O79" s="7"/>
      <c r="P79" s="7"/>
      <c r="Q79" s="7"/>
      <c r="R79" s="7"/>
      <c r="S79" s="7"/>
      <c r="AG79" s="7"/>
      <c r="AH79" s="7"/>
      <c r="AI79" s="7"/>
      <c r="AV79" s="7"/>
      <c r="AW79" s="7"/>
      <c r="AX79" s="7"/>
    </row>
    <row r="80" spans="14:50">
      <c r="N80" s="7"/>
      <c r="O80" s="7"/>
      <c r="P80" s="7"/>
      <c r="Q80" s="7"/>
      <c r="R80" s="7"/>
      <c r="S80" s="7"/>
      <c r="AG80" s="7"/>
      <c r="AH80" s="7"/>
      <c r="AI80" s="7"/>
      <c r="AV80" s="7"/>
      <c r="AW80" s="7"/>
      <c r="AX80" s="7"/>
    </row>
    <row r="81" spans="14:50">
      <c r="N81" s="9"/>
      <c r="O81" s="9"/>
      <c r="P81" s="9"/>
      <c r="Q81" s="9"/>
      <c r="R81" s="9"/>
      <c r="S81" s="9"/>
      <c r="AG81" s="9"/>
      <c r="AH81" s="9"/>
      <c r="AI81" s="9"/>
      <c r="AV81" s="9"/>
      <c r="AW81" s="9"/>
      <c r="AX81" s="9"/>
    </row>
  </sheetData>
  <phoneticPr fontId="52" type="noConversion"/>
  <pageMargins left="0.75" right="0.75" top="1" bottom="1" header="0.5" footer="0.5"/>
  <pageSetup scale="73"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2"/>
  <sheetViews>
    <sheetView workbookViewId="0">
      <selection activeCell="D2" sqref="D2"/>
    </sheetView>
  </sheetViews>
  <sheetFormatPr defaultColWidth="11" defaultRowHeight="15.75"/>
  <cols>
    <col min="1" max="1" width="26" customWidth="1"/>
    <col min="2" max="2" width="17" customWidth="1"/>
    <col min="3" max="6" width="16" customWidth="1"/>
    <col min="7" max="7" width="15" customWidth="1"/>
    <col min="8" max="8" width="14.375" customWidth="1"/>
    <col min="9" max="9" width="16.375" customWidth="1"/>
    <col min="11" max="11" width="20.625" customWidth="1"/>
    <col min="12" max="12" width="14.375" customWidth="1"/>
  </cols>
  <sheetData>
    <row r="1" spans="1:9">
      <c r="A1" t="s">
        <v>1611</v>
      </c>
      <c r="D1" t="s">
        <v>1622</v>
      </c>
    </row>
    <row r="2" spans="1:9">
      <c r="A2" t="s">
        <v>1620</v>
      </c>
      <c r="B2" s="1175">
        <v>7.3999999999999996E-2</v>
      </c>
    </row>
    <row r="4" spans="1:9">
      <c r="B4" t="s">
        <v>956</v>
      </c>
      <c r="C4" t="s">
        <v>958</v>
      </c>
      <c r="D4" t="s">
        <v>1618</v>
      </c>
      <c r="G4" t="s">
        <v>956</v>
      </c>
      <c r="H4" t="s">
        <v>958</v>
      </c>
    </row>
    <row r="5" spans="1:9">
      <c r="B5" s="321" t="s">
        <v>1</v>
      </c>
      <c r="G5" s="321" t="s">
        <v>10</v>
      </c>
      <c r="I5" s="321"/>
    </row>
    <row r="6" spans="1:9">
      <c r="A6" t="s">
        <v>1033</v>
      </c>
      <c r="B6" s="219">
        <v>24513720</v>
      </c>
      <c r="C6" s="219">
        <v>24909417</v>
      </c>
      <c r="D6" s="219">
        <v>26459767</v>
      </c>
      <c r="E6" s="219"/>
      <c r="F6" s="219"/>
      <c r="G6" s="219">
        <v>12573591</v>
      </c>
      <c r="H6" s="219">
        <v>12737398</v>
      </c>
      <c r="I6" s="219">
        <v>12862107</v>
      </c>
    </row>
    <row r="7" spans="1:9">
      <c r="B7" s="219"/>
      <c r="C7" s="219"/>
      <c r="D7" s="219"/>
      <c r="E7" s="219"/>
      <c r="F7" s="219"/>
      <c r="G7" s="219"/>
      <c r="I7" s="219"/>
    </row>
    <row r="8" spans="1:9">
      <c r="B8" s="219"/>
      <c r="C8" s="219"/>
      <c r="D8" s="219"/>
      <c r="E8" s="219"/>
      <c r="F8" s="219"/>
      <c r="G8" s="219"/>
      <c r="I8" s="219"/>
    </row>
    <row r="9" spans="1:9">
      <c r="A9" t="s">
        <v>932</v>
      </c>
      <c r="B9" s="1564">
        <f>B26</f>
        <v>6353802</v>
      </c>
      <c r="C9" s="1564">
        <f>C26</f>
        <v>7549376</v>
      </c>
      <c r="D9" s="1564">
        <f>D26</f>
        <v>8191473.7207526881</v>
      </c>
      <c r="E9" s="219"/>
      <c r="F9" s="219"/>
      <c r="G9" s="1563">
        <f>G25</f>
        <v>8990139</v>
      </c>
      <c r="H9" s="1563">
        <f>H25</f>
        <v>9715490</v>
      </c>
      <c r="I9" s="1564">
        <f>I25</f>
        <v>10074759.280000001</v>
      </c>
    </row>
    <row r="10" spans="1:9">
      <c r="A10" t="s">
        <v>954</v>
      </c>
      <c r="B10" s="219"/>
      <c r="C10" s="219"/>
      <c r="D10" s="219"/>
      <c r="E10" s="219"/>
      <c r="F10" s="219"/>
      <c r="G10" s="219"/>
      <c r="H10" s="219"/>
      <c r="I10" s="1565"/>
    </row>
    <row r="11" spans="1:9">
      <c r="A11" t="s">
        <v>937</v>
      </c>
      <c r="B11" s="219">
        <v>0</v>
      </c>
      <c r="C11" s="219">
        <v>0</v>
      </c>
      <c r="D11" s="219">
        <v>0</v>
      </c>
      <c r="E11" s="219"/>
      <c r="F11" s="219"/>
      <c r="G11" s="219">
        <v>112980</v>
      </c>
      <c r="H11" s="219">
        <v>120865</v>
      </c>
      <c r="I11" s="1565">
        <v>128000</v>
      </c>
    </row>
    <row r="12" spans="1:9">
      <c r="A12" t="s">
        <v>933</v>
      </c>
      <c r="B12" s="219">
        <v>774358</v>
      </c>
      <c r="C12" s="219">
        <v>654962</v>
      </c>
      <c r="D12" s="219">
        <v>650000</v>
      </c>
      <c r="E12" s="219"/>
      <c r="F12" s="219"/>
      <c r="G12" s="219">
        <v>962283</v>
      </c>
      <c r="H12" s="219">
        <v>854472</v>
      </c>
      <c r="I12" s="1565">
        <v>900000</v>
      </c>
    </row>
    <row r="13" spans="1:9">
      <c r="A13" t="s">
        <v>934</v>
      </c>
      <c r="B13" s="219">
        <v>8483839</v>
      </c>
      <c r="C13" s="219">
        <f>'Step 1 Dedicated Funds'!R26</f>
        <v>9000000</v>
      </c>
      <c r="D13" s="219">
        <v>9000000</v>
      </c>
      <c r="E13" s="219"/>
      <c r="F13" s="219"/>
      <c r="G13" s="219">
        <v>335000</v>
      </c>
      <c r="H13" s="219">
        <f>'Step 1 Dedicated Funds'!R24</f>
        <v>340000</v>
      </c>
      <c r="I13" s="1565">
        <v>340000</v>
      </c>
    </row>
    <row r="14" spans="1:9">
      <c r="A14" t="s">
        <v>1619</v>
      </c>
      <c r="B14" s="1563">
        <v>1268074</v>
      </c>
      <c r="C14" s="1563">
        <v>1303044</v>
      </c>
      <c r="D14" s="1564">
        <v>1351785</v>
      </c>
      <c r="E14" s="219"/>
      <c r="F14" s="219"/>
      <c r="G14" s="1563">
        <v>0</v>
      </c>
      <c r="H14" s="1563">
        <f>G14</f>
        <v>0</v>
      </c>
      <c r="I14" s="1564"/>
    </row>
    <row r="15" spans="1:9">
      <c r="A15" t="s">
        <v>935</v>
      </c>
      <c r="B15" s="1563">
        <v>3572814</v>
      </c>
      <c r="C15" s="1563">
        <v>3665707</v>
      </c>
      <c r="D15" s="1564">
        <v>3808670</v>
      </c>
      <c r="E15" s="219"/>
      <c r="F15" s="219"/>
      <c r="G15" s="1563">
        <v>1070531</v>
      </c>
      <c r="H15" s="1563">
        <v>1098365</v>
      </c>
      <c r="I15" s="1564">
        <v>1141201</v>
      </c>
    </row>
    <row r="16" spans="1:9">
      <c r="A16" t="s">
        <v>936</v>
      </c>
      <c r="B16" s="219">
        <f>106012428-105212710</f>
        <v>799718</v>
      </c>
      <c r="C16" s="219">
        <v>750062</v>
      </c>
      <c r="D16" s="1565">
        <v>755621</v>
      </c>
      <c r="E16" s="219"/>
      <c r="F16" s="219"/>
      <c r="G16" s="219">
        <f>106012428-104517290</f>
        <v>1495138</v>
      </c>
      <c r="H16" s="219">
        <v>1427852</v>
      </c>
      <c r="I16" s="1565">
        <v>1454209</v>
      </c>
    </row>
    <row r="17" spans="1:12">
      <c r="A17" t="s">
        <v>1614</v>
      </c>
      <c r="B17" s="191">
        <f>-($B2)*SUM(B9:B16)</f>
        <v>-1572692.77</v>
      </c>
      <c r="C17" s="191">
        <f>-($B2)*SUM(C9:C16)</f>
        <v>-1696313.1739999999</v>
      </c>
      <c r="D17" s="1566">
        <f>-($B2)*SUM(D9:D16)</f>
        <v>-1758058.6793356987</v>
      </c>
      <c r="E17" s="191"/>
      <c r="F17" s="191"/>
      <c r="G17" s="191">
        <f>-($B2)*SUM(G9:G16)</f>
        <v>-959489.25399999996</v>
      </c>
      <c r="H17" s="191">
        <f>-($B2)*SUM(H9:H16)</f>
        <v>-1003221.2559999999</v>
      </c>
      <c r="I17" s="1566">
        <f>-($B2)*SUM(I9:I16)</f>
        <v>-1038824.5267200001</v>
      </c>
    </row>
    <row r="18" spans="1:12">
      <c r="B18" s="219"/>
      <c r="C18" s="219"/>
      <c r="D18" s="219"/>
      <c r="E18" s="219"/>
      <c r="F18" s="219"/>
      <c r="G18" s="219"/>
      <c r="H18" s="219"/>
      <c r="I18" s="354"/>
    </row>
    <row r="19" spans="1:12">
      <c r="I19" s="1566"/>
    </row>
    <row r="20" spans="1:12">
      <c r="B20" s="191">
        <f>SUM(B9:B17)</f>
        <v>19679912.23</v>
      </c>
      <c r="C20" s="191">
        <f>SUM(C9:C17)</f>
        <v>21226837.826000001</v>
      </c>
      <c r="D20" s="191">
        <f>SUM(D9:D17)</f>
        <v>21999491.041416988</v>
      </c>
      <c r="E20" s="191"/>
      <c r="F20" s="191"/>
      <c r="G20" s="191">
        <f>SUM(G9:G17)</f>
        <v>12006581.745999999</v>
      </c>
      <c r="H20" s="191">
        <f>SUM(H9:H17)</f>
        <v>12553822.744000001</v>
      </c>
      <c r="I20" s="191">
        <f>SUM(I9:I17)</f>
        <v>12999344.753280001</v>
      </c>
    </row>
    <row r="21" spans="1:12">
      <c r="C21" s="219"/>
      <c r="D21" s="219"/>
      <c r="E21" s="219"/>
      <c r="F21" s="219"/>
      <c r="I21" s="1566"/>
    </row>
    <row r="22" spans="1:12">
      <c r="I22" s="354"/>
    </row>
    <row r="23" spans="1:12">
      <c r="A23" t="s">
        <v>1612</v>
      </c>
      <c r="B23" s="219">
        <v>3397454</v>
      </c>
      <c r="C23" s="219">
        <v>3651873</v>
      </c>
      <c r="D23" s="219">
        <f>1.03*C23</f>
        <v>3761429.19</v>
      </c>
      <c r="G23" s="219">
        <v>6285943</v>
      </c>
      <c r="H23" s="219">
        <v>6780458</v>
      </c>
      <c r="I23" s="1565">
        <f>1.04*H23</f>
        <v>7051676.3200000003</v>
      </c>
    </row>
    <row r="24" spans="1:12">
      <c r="A24" t="s">
        <v>1613</v>
      </c>
      <c r="B24" s="219">
        <v>2599948</v>
      </c>
      <c r="C24" s="219">
        <v>3411503</v>
      </c>
      <c r="D24" s="219">
        <f>1.03*C24*(1+(D29-C29)/C29)</f>
        <v>3929464.5307526882</v>
      </c>
      <c r="G24" s="219">
        <v>2704196</v>
      </c>
      <c r="H24" s="219">
        <v>2935032</v>
      </c>
      <c r="I24" s="1565">
        <f>1.03*H24</f>
        <v>3023082.96</v>
      </c>
    </row>
    <row r="25" spans="1:12">
      <c r="A25" t="s">
        <v>1615</v>
      </c>
      <c r="B25" s="219">
        <v>356400</v>
      </c>
      <c r="C25" s="219">
        <v>486000</v>
      </c>
      <c r="D25" s="219">
        <f>1.03*C25</f>
        <v>500580</v>
      </c>
      <c r="G25" s="219">
        <f>SUM(G23:G24)</f>
        <v>8990139</v>
      </c>
      <c r="H25" s="219">
        <f>SUM(H23:H24)</f>
        <v>9715490</v>
      </c>
      <c r="I25" s="1565">
        <f>SUM(I23:I24)</f>
        <v>10074759.280000001</v>
      </c>
    </row>
    <row r="26" spans="1:12">
      <c r="B26" s="219">
        <f>SUM(B23:B25)</f>
        <v>6353802</v>
      </c>
      <c r="C26" s="219">
        <f>SUM(C23:C25)</f>
        <v>7549376</v>
      </c>
      <c r="D26" s="219">
        <f>SUM(D23:D25)</f>
        <v>8191473.7207526881</v>
      </c>
    </row>
    <row r="27" spans="1:12">
      <c r="B27" s="219"/>
      <c r="C27" s="219"/>
      <c r="D27" s="219"/>
      <c r="L27" s="191"/>
    </row>
    <row r="28" spans="1:12">
      <c r="A28" t="s">
        <v>1616</v>
      </c>
      <c r="B28">
        <v>147</v>
      </c>
      <c r="C28">
        <v>149</v>
      </c>
      <c r="D28">
        <v>148</v>
      </c>
      <c r="G28">
        <v>274</v>
      </c>
      <c r="H28">
        <v>285</v>
      </c>
      <c r="I28">
        <v>285</v>
      </c>
      <c r="L28" s="191"/>
    </row>
    <row r="29" spans="1:12">
      <c r="A29" t="s">
        <v>1617</v>
      </c>
      <c r="B29">
        <v>72</v>
      </c>
      <c r="C29">
        <v>93</v>
      </c>
      <c r="D29">
        <v>104</v>
      </c>
      <c r="G29">
        <v>68</v>
      </c>
      <c r="H29">
        <v>73</v>
      </c>
      <c r="I29">
        <v>73</v>
      </c>
      <c r="L29" s="191"/>
    </row>
    <row r="30" spans="1:12">
      <c r="A30" t="s">
        <v>13</v>
      </c>
      <c r="B30">
        <f>SUM(B28:B29)</f>
        <v>219</v>
      </c>
      <c r="C30">
        <f>SUM(C28:C29)</f>
        <v>242</v>
      </c>
      <c r="D30">
        <f>SUM(D28:D29)</f>
        <v>252</v>
      </c>
      <c r="G30">
        <v>342</v>
      </c>
      <c r="H30">
        <v>358</v>
      </c>
    </row>
    <row r="31" spans="1:12">
      <c r="L31" s="191"/>
    </row>
    <row r="32" spans="1:12">
      <c r="A32" t="s">
        <v>1621</v>
      </c>
      <c r="B32" s="191">
        <f>B6-B20</f>
        <v>4833807.7699999996</v>
      </c>
      <c r="C32" s="191">
        <f>C6-C20</f>
        <v>3682579.1739999987</v>
      </c>
      <c r="D32" s="191">
        <f>D6-D20</f>
        <v>4460275.9585830122</v>
      </c>
      <c r="G32" s="191">
        <f>G6-G20</f>
        <v>567009.25400000066</v>
      </c>
      <c r="H32" s="191">
        <f>H6-H20</f>
        <v>183575.25599999912</v>
      </c>
      <c r="I32" s="191">
        <f>I6-I20</f>
        <v>-137237.75328000076</v>
      </c>
      <c r="L32" s="19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76"/>
  <sheetViews>
    <sheetView workbookViewId="0">
      <selection activeCell="W18" sqref="W18"/>
    </sheetView>
  </sheetViews>
  <sheetFormatPr defaultColWidth="11.875" defaultRowHeight="15.75"/>
  <cols>
    <col min="1" max="1" width="34.875" customWidth="1"/>
    <col min="2" max="2" width="14.375" customWidth="1"/>
    <col min="3" max="3" width="14" customWidth="1"/>
    <col min="4" max="4" width="12.625" bestFit="1" customWidth="1"/>
    <col min="5" max="5" width="13.875" customWidth="1"/>
    <col min="6" max="6" width="4.125" style="46" customWidth="1"/>
    <col min="7" max="9" width="13.875" customWidth="1"/>
    <col min="10" max="10" width="4.625" customWidth="1"/>
    <col min="11" max="13" width="11.5" customWidth="1"/>
    <col min="14" max="14" width="5.875" customWidth="1"/>
    <col min="15" max="17" width="11.5" customWidth="1"/>
    <col min="18" max="18" width="10" customWidth="1"/>
    <col min="19" max="19" width="13.875" customWidth="1"/>
    <col min="20" max="20" width="14.125" customWidth="1"/>
    <col min="21" max="21" width="16.875" customWidth="1"/>
    <col min="26" max="26" width="2.875" customWidth="1"/>
    <col min="27" max="27" width="13.625" customWidth="1"/>
  </cols>
  <sheetData>
    <row r="1" spans="1:32" ht="16.5" thickBot="1">
      <c r="A1" s="175" t="s">
        <v>62</v>
      </c>
    </row>
    <row r="2" spans="1:32" ht="16.5" thickBot="1">
      <c r="S2" s="1136" t="s">
        <v>1023</v>
      </c>
      <c r="T2" s="1137"/>
      <c r="U2" s="1138" t="str">
        <f>'Dashboard-Academic Allocation'!M2</f>
        <v>FY17</v>
      </c>
    </row>
    <row r="3" spans="1:32" ht="45" customHeight="1">
      <c r="A3" t="s">
        <v>1577</v>
      </c>
    </row>
    <row r="5" spans="1:32" ht="15.95" customHeight="1">
      <c r="B5" s="1798" t="s">
        <v>1017</v>
      </c>
      <c r="C5" s="1798"/>
      <c r="D5" s="1798"/>
      <c r="E5" s="1798"/>
      <c r="F5" s="1132"/>
      <c r="G5" s="1799" t="s">
        <v>1018</v>
      </c>
      <c r="H5" s="1799"/>
      <c r="I5" s="1799"/>
      <c r="K5" s="1799" t="s">
        <v>1179</v>
      </c>
      <c r="L5" s="1799"/>
      <c r="M5" s="1799"/>
      <c r="O5" s="1799" t="s">
        <v>1180</v>
      </c>
      <c r="P5" s="1799"/>
      <c r="Q5" s="1799"/>
      <c r="S5" s="1798" t="s">
        <v>1182</v>
      </c>
      <c r="T5" s="1798"/>
      <c r="U5" s="1798"/>
    </row>
    <row r="6" spans="1:32" ht="65.25" thickBot="1">
      <c r="A6" s="176"/>
      <c r="B6" s="1130" t="s">
        <v>959</v>
      </c>
      <c r="C6" s="1130" t="s">
        <v>960</v>
      </c>
      <c r="D6" s="1130" t="s">
        <v>961</v>
      </c>
      <c r="E6" s="1130" t="s">
        <v>962</v>
      </c>
      <c r="F6" s="1098"/>
      <c r="G6" s="1131" t="s">
        <v>1019</v>
      </c>
      <c r="H6" s="1131" t="s">
        <v>1020</v>
      </c>
      <c r="I6" s="1131" t="s">
        <v>1021</v>
      </c>
      <c r="K6" s="1131" t="s">
        <v>1183</v>
      </c>
      <c r="L6" s="1131" t="s">
        <v>1020</v>
      </c>
      <c r="M6" s="1131" t="s">
        <v>1184</v>
      </c>
      <c r="O6" s="1131" t="s">
        <v>1185</v>
      </c>
      <c r="P6" s="1131" t="s">
        <v>1020</v>
      </c>
      <c r="Q6" s="1131" t="s">
        <v>1186</v>
      </c>
      <c r="S6" s="1130" t="s">
        <v>1672</v>
      </c>
      <c r="T6" s="1135" t="s">
        <v>1022</v>
      </c>
      <c r="U6" s="1135" t="s">
        <v>963</v>
      </c>
      <c r="V6" s="1098"/>
      <c r="AD6" s="1227" t="s">
        <v>1204</v>
      </c>
      <c r="AE6" s="1227" t="s">
        <v>1205</v>
      </c>
      <c r="AF6" s="1227" t="s">
        <v>1206</v>
      </c>
    </row>
    <row r="7" spans="1:32" ht="16.5" thickBot="1">
      <c r="A7" s="186" t="s">
        <v>69</v>
      </c>
      <c r="B7" s="186"/>
      <c r="C7" s="186"/>
      <c r="D7" s="186"/>
      <c r="E7" s="186"/>
      <c r="F7" s="1133"/>
      <c r="G7" s="186"/>
      <c r="H7" s="186"/>
      <c r="I7" s="186"/>
      <c r="K7" s="186"/>
      <c r="L7" s="186"/>
      <c r="M7" s="186"/>
      <c r="O7" s="186"/>
      <c r="P7" s="186"/>
      <c r="Q7" s="186"/>
      <c r="U7" s="1139" t="str">
        <f>'Dashboard-Academic Allocation'!M1</f>
        <v>yes</v>
      </c>
    </row>
    <row r="8" spans="1:32" s="46" customFormat="1">
      <c r="A8" s="177" t="s">
        <v>479</v>
      </c>
      <c r="B8" s="1800"/>
      <c r="C8" s="1800"/>
      <c r="D8" s="1800"/>
      <c r="E8" s="1800"/>
      <c r="F8" s="1134"/>
      <c r="G8" s="1108"/>
      <c r="H8" s="1108"/>
      <c r="I8" s="1108"/>
      <c r="J8"/>
      <c r="K8" s="1225"/>
      <c r="L8" s="1225"/>
      <c r="M8" s="1225"/>
      <c r="N8"/>
      <c r="O8" s="1225"/>
      <c r="P8" s="1225"/>
      <c r="Q8" s="1225"/>
      <c r="R8"/>
      <c r="S8" s="1800"/>
      <c r="T8" s="1800"/>
      <c r="U8" s="1800"/>
    </row>
    <row r="9" spans="1:32">
      <c r="A9" s="177" t="s">
        <v>486</v>
      </c>
      <c r="B9" s="1800"/>
      <c r="C9" s="1800"/>
      <c r="D9" s="1800"/>
      <c r="E9" s="1800"/>
      <c r="F9" s="1134"/>
      <c r="G9" s="1108"/>
      <c r="H9" s="1108"/>
      <c r="I9" s="1108"/>
      <c r="K9" s="1225"/>
      <c r="L9" s="1225"/>
      <c r="M9" s="1225"/>
      <c r="O9" s="1225"/>
      <c r="P9" s="1225"/>
      <c r="Q9" s="1225"/>
      <c r="S9" s="1800"/>
      <c r="T9" s="1800"/>
      <c r="U9" s="1800"/>
    </row>
    <row r="10" spans="1:32" s="46" customFormat="1">
      <c r="A10" s="177" t="s">
        <v>735</v>
      </c>
      <c r="B10" s="1800"/>
      <c r="C10" s="1800"/>
      <c r="D10" s="1800"/>
      <c r="E10" s="1800"/>
      <c r="F10" s="1134"/>
      <c r="G10" s="1108"/>
      <c r="H10" s="1108"/>
      <c r="I10" s="1108"/>
      <c r="J10"/>
      <c r="K10" s="1225"/>
      <c r="L10" s="1225"/>
      <c r="M10" s="1225"/>
      <c r="N10"/>
      <c r="O10" s="1225"/>
      <c r="P10" s="1225"/>
      <c r="Q10" s="1225"/>
      <c r="R10"/>
      <c r="S10" s="1800"/>
      <c r="T10" s="1800"/>
      <c r="U10" s="1800"/>
    </row>
    <row r="11" spans="1:32" s="46" customFormat="1">
      <c r="A11" s="177" t="s">
        <v>753</v>
      </c>
      <c r="B11" s="1800"/>
      <c r="C11" s="1800"/>
      <c r="D11" s="1800"/>
      <c r="E11" s="1800"/>
      <c r="F11" s="1134"/>
      <c r="G11" s="1108"/>
      <c r="H11" s="1108"/>
      <c r="I11" s="1108"/>
      <c r="J11"/>
      <c r="K11" s="1225"/>
      <c r="L11" s="1225"/>
      <c r="M11" s="1225"/>
      <c r="N11"/>
      <c r="O11" s="1225"/>
      <c r="P11" s="1225"/>
      <c r="Q11" s="1225"/>
      <c r="R11"/>
      <c r="S11" s="1800"/>
      <c r="T11" s="1800"/>
      <c r="U11" s="1800"/>
    </row>
    <row r="12" spans="1:32" s="46" customFormat="1">
      <c r="A12" s="177" t="s">
        <v>480</v>
      </c>
      <c r="B12" s="1800"/>
      <c r="C12" s="1800"/>
      <c r="D12" s="1800"/>
      <c r="E12" s="1800"/>
      <c r="F12" s="1134"/>
      <c r="G12" s="1108"/>
      <c r="H12" s="1108"/>
      <c r="I12" s="1108"/>
      <c r="J12"/>
      <c r="K12" s="1225"/>
      <c r="L12" s="1225"/>
      <c r="M12" s="1225"/>
      <c r="N12"/>
      <c r="O12" s="1225"/>
      <c r="P12" s="1225"/>
      <c r="Q12" s="1225"/>
      <c r="R12"/>
      <c r="S12" s="1800"/>
      <c r="T12" s="1800"/>
      <c r="U12" s="1800"/>
    </row>
    <row r="13" spans="1:32" s="46" customFormat="1">
      <c r="A13" s="177" t="s">
        <v>481</v>
      </c>
      <c r="B13" s="1800"/>
      <c r="C13" s="1800"/>
      <c r="D13" s="1800"/>
      <c r="E13" s="1800"/>
      <c r="F13" s="1134"/>
      <c r="G13" s="1108"/>
      <c r="H13" s="1108"/>
      <c r="I13" s="1108"/>
      <c r="J13"/>
      <c r="K13" s="1225"/>
      <c r="L13" s="1225"/>
      <c r="M13" s="1225"/>
      <c r="N13"/>
      <c r="O13" s="1225"/>
      <c r="P13" s="1225"/>
      <c r="Q13" s="1225"/>
      <c r="R13"/>
      <c r="S13" s="1800"/>
      <c r="T13" s="1800"/>
      <c r="U13" s="1800"/>
    </row>
    <row r="14" spans="1:32" s="46" customFormat="1">
      <c r="A14" s="177" t="s">
        <v>482</v>
      </c>
      <c r="B14" s="1800"/>
      <c r="C14" s="1800"/>
      <c r="D14" s="1800"/>
      <c r="E14" s="1800"/>
      <c r="F14" s="1134"/>
      <c r="G14" s="1108"/>
      <c r="H14" s="1108"/>
      <c r="I14" s="1108"/>
      <c r="J14"/>
      <c r="K14" s="1225"/>
      <c r="L14" s="1225"/>
      <c r="M14" s="1225"/>
      <c r="N14"/>
      <c r="O14" s="1225"/>
      <c r="P14" s="1225"/>
      <c r="Q14" s="1225"/>
      <c r="R14"/>
      <c r="S14" s="1800"/>
      <c r="T14" s="1800"/>
      <c r="U14" s="1800"/>
    </row>
    <row r="15" spans="1:32" s="46" customFormat="1">
      <c r="A15" s="168"/>
      <c r="B15" s="168"/>
      <c r="C15" s="168"/>
      <c r="D15" s="168"/>
      <c r="E15" s="168"/>
      <c r="F15" s="168"/>
      <c r="G15" s="168"/>
      <c r="H15" s="168"/>
      <c r="I15" s="168"/>
      <c r="J15"/>
      <c r="K15" s="168"/>
      <c r="L15" s="168"/>
      <c r="M15" s="168"/>
      <c r="N15"/>
      <c r="O15" s="168"/>
      <c r="P15" s="168"/>
      <c r="Q15" s="168"/>
      <c r="R15"/>
      <c r="S15" s="168"/>
      <c r="T15" s="168"/>
      <c r="U15" s="168"/>
    </row>
    <row r="16" spans="1:32" s="46" customFormat="1">
      <c r="A16" s="51" t="s">
        <v>72</v>
      </c>
      <c r="B16" s="51"/>
      <c r="C16" s="51"/>
      <c r="D16" s="51"/>
      <c r="E16" s="51"/>
      <c r="F16" s="1094"/>
      <c r="G16" s="51"/>
      <c r="H16" s="51"/>
      <c r="I16" s="51"/>
      <c r="J16"/>
      <c r="K16" s="51"/>
      <c r="L16" s="51"/>
      <c r="M16" s="51"/>
      <c r="N16"/>
      <c r="O16" s="51"/>
      <c r="P16" s="51"/>
      <c r="Q16" s="51"/>
      <c r="R16"/>
      <c r="S16" s="51"/>
      <c r="T16" s="51"/>
      <c r="U16" s="51"/>
    </row>
    <row r="17" spans="1:32" s="46" customFormat="1">
      <c r="A17" s="179" t="s">
        <v>73</v>
      </c>
      <c r="B17" s="801">
        <v>18962849</v>
      </c>
      <c r="C17" s="801">
        <v>21752048.878301289</v>
      </c>
      <c r="D17" s="801">
        <v>4002730.8820000002</v>
      </c>
      <c r="E17" s="801">
        <v>17749317.99630129</v>
      </c>
      <c r="F17" s="802"/>
      <c r="G17" s="801">
        <v>22240293</v>
      </c>
      <c r="H17" s="44">
        <v>3736215.6660000002</v>
      </c>
      <c r="I17" s="801">
        <f>G17-H17</f>
        <v>18504077.333999999</v>
      </c>
      <c r="J17"/>
      <c r="K17" s="801">
        <v>22952677</v>
      </c>
      <c r="L17" s="44">
        <v>3472868.858</v>
      </c>
      <c r="M17" s="801">
        <f>K17-L17</f>
        <v>19479808.142000001</v>
      </c>
      <c r="N17"/>
      <c r="O17" s="801">
        <v>24160078</v>
      </c>
      <c r="P17" s="801">
        <f>'Step 1 Dedicated Funds'!V16</f>
        <v>3525819.87</v>
      </c>
      <c r="Q17" s="801">
        <f>O17-P17</f>
        <v>20634258.129999999</v>
      </c>
      <c r="R17"/>
      <c r="S17" s="801">
        <f>'Step 1 Dedicated Funds'!V16</f>
        <v>3525819.87</v>
      </c>
      <c r="T17" s="801">
        <f>IF(U$2="FY17",M17+S17,I17+S17)</f>
        <v>23005628.012000002</v>
      </c>
      <c r="U17" s="801">
        <f>IF(U$7="yes",T17,0)</f>
        <v>23005628.012000002</v>
      </c>
      <c r="AD17" s="44">
        <v>0</v>
      </c>
      <c r="AE17" s="44">
        <v>3736215.6660000002</v>
      </c>
      <c r="AF17" s="44">
        <v>3472868.858</v>
      </c>
    </row>
    <row r="18" spans="1:32" s="46" customFormat="1">
      <c r="A18" s="54" t="s">
        <v>74</v>
      </c>
      <c r="B18" s="55">
        <v>18351735</v>
      </c>
      <c r="C18" s="55">
        <v>18588011.262828976</v>
      </c>
      <c r="D18" s="55">
        <v>3675844.5260000001</v>
      </c>
      <c r="E18" s="55">
        <v>14912166.736828975</v>
      </c>
      <c r="F18" s="55"/>
      <c r="G18" s="55">
        <v>19693889</v>
      </c>
      <c r="H18" s="48">
        <v>4272219.1280000005</v>
      </c>
      <c r="I18" s="55">
        <f t="shared" ref="I18:I35" si="0">G18-H18</f>
        <v>15421669.872</v>
      </c>
      <c r="J18"/>
      <c r="K18" s="55">
        <v>20340741</v>
      </c>
      <c r="L18" s="48">
        <v>3540623.8960000002</v>
      </c>
      <c r="M18" s="55">
        <f t="shared" ref="M18:M35" si="1">K18-L18</f>
        <v>16800117.103999998</v>
      </c>
      <c r="N18"/>
      <c r="O18" s="55">
        <v>20462422</v>
      </c>
      <c r="P18" s="55">
        <f>'Step 1 Dedicated Funds'!V17</f>
        <v>3194839.696</v>
      </c>
      <c r="Q18" s="55">
        <f t="shared" ref="Q18:Q35" si="2">O18-P18</f>
        <v>17267582.304000001</v>
      </c>
      <c r="R18"/>
      <c r="S18" s="55">
        <f>'Step 1 Dedicated Funds'!V17</f>
        <v>3194839.696</v>
      </c>
      <c r="T18" s="55">
        <f t="shared" ref="T18:T35" si="3">IF(U$2="FY17",M18+S18,I18+S18)</f>
        <v>19994956.799999997</v>
      </c>
      <c r="U18" s="55">
        <f t="shared" ref="U18:U27" si="4">IF(U$7="yes",T18,0)</f>
        <v>19994956.799999997</v>
      </c>
      <c r="AD18" s="48">
        <v>0</v>
      </c>
      <c r="AE18" s="48">
        <v>4272219.1280000005</v>
      </c>
      <c r="AF18" s="48">
        <v>3540623.8960000002</v>
      </c>
    </row>
    <row r="19" spans="1:32" s="46" customFormat="1">
      <c r="A19" s="178" t="s">
        <v>75</v>
      </c>
      <c r="B19" s="802">
        <v>46175012</v>
      </c>
      <c r="C19" s="802">
        <v>47773324.933024563</v>
      </c>
      <c r="D19" s="802">
        <v>17235495.748</v>
      </c>
      <c r="E19" s="802">
        <v>30537829.185024563</v>
      </c>
      <c r="F19" s="802"/>
      <c r="G19" s="802">
        <v>51433285</v>
      </c>
      <c r="H19" s="48">
        <v>20343351.707599998</v>
      </c>
      <c r="I19" s="802">
        <f t="shared" si="0"/>
        <v>31089933.292400002</v>
      </c>
      <c r="J19"/>
      <c r="K19" s="802">
        <v>57240954</v>
      </c>
      <c r="L19" s="48">
        <v>19750426.096000001</v>
      </c>
      <c r="M19" s="802">
        <f t="shared" si="1"/>
        <v>37490527.903999999</v>
      </c>
      <c r="N19"/>
      <c r="O19" s="802">
        <v>61306607</v>
      </c>
      <c r="P19" s="802">
        <f>'Step 1 Dedicated Funds'!V18</f>
        <v>19526269.388666667</v>
      </c>
      <c r="Q19" s="802">
        <f t="shared" si="2"/>
        <v>41780337.611333333</v>
      </c>
      <c r="R19"/>
      <c r="S19" s="802">
        <f>'Step 1 Dedicated Funds'!V18</f>
        <v>19526269.388666667</v>
      </c>
      <c r="T19" s="802">
        <f t="shared" si="3"/>
        <v>57016797.292666666</v>
      </c>
      <c r="U19" s="802">
        <f t="shared" si="4"/>
        <v>57016797.292666666</v>
      </c>
      <c r="AD19" s="48">
        <v>0</v>
      </c>
      <c r="AE19" s="48">
        <v>20343351.707599998</v>
      </c>
      <c r="AF19" s="48">
        <v>19750426.096000001</v>
      </c>
    </row>
    <row r="20" spans="1:32" s="46" customFormat="1">
      <c r="A20" s="179" t="s">
        <v>76</v>
      </c>
      <c r="B20" s="801">
        <v>6148561</v>
      </c>
      <c r="C20" s="801">
        <v>7165559.2974910699</v>
      </c>
      <c r="D20" s="801">
        <v>1531193.1060000001</v>
      </c>
      <c r="E20" s="801">
        <v>5634366.1914910693</v>
      </c>
      <c r="F20" s="802"/>
      <c r="G20" s="801">
        <v>8726165</v>
      </c>
      <c r="H20" s="44">
        <v>3394437.9750000001</v>
      </c>
      <c r="I20" s="801">
        <f t="shared" si="0"/>
        <v>5331727.0250000004</v>
      </c>
      <c r="J20"/>
      <c r="K20" s="801">
        <v>8833735</v>
      </c>
      <c r="L20" s="44">
        <v>3396906.5559999999</v>
      </c>
      <c r="M20" s="801">
        <f t="shared" si="1"/>
        <v>5436828.4440000001</v>
      </c>
      <c r="N20"/>
      <c r="O20" s="801">
        <v>9355600</v>
      </c>
      <c r="P20" s="801">
        <f>'Step 1 Dedicated Funds'!V19</f>
        <v>3142591.5033</v>
      </c>
      <c r="Q20" s="801">
        <f t="shared" si="2"/>
        <v>6213008.4967</v>
      </c>
      <c r="R20"/>
      <c r="S20" s="801">
        <f>'Step 1 Dedicated Funds'!V19</f>
        <v>3142591.5033</v>
      </c>
      <c r="T20" s="801">
        <f t="shared" si="3"/>
        <v>8579419.9473000001</v>
      </c>
      <c r="U20" s="801">
        <f t="shared" si="4"/>
        <v>8579419.9473000001</v>
      </c>
      <c r="AD20" s="44">
        <v>750000</v>
      </c>
      <c r="AE20" s="44">
        <v>3394437.9750000001</v>
      </c>
      <c r="AF20" s="44">
        <v>3396906.5559999999</v>
      </c>
    </row>
    <row r="21" spans="1:32" s="46" customFormat="1">
      <c r="A21" s="54" t="s">
        <v>77</v>
      </c>
      <c r="B21" s="55">
        <v>17819580</v>
      </c>
      <c r="C21" s="55">
        <v>18276499.308851305</v>
      </c>
      <c r="D21" s="55">
        <v>2455849.11</v>
      </c>
      <c r="E21" s="55">
        <v>15820650.198851306</v>
      </c>
      <c r="F21" s="55"/>
      <c r="G21" s="55">
        <v>18501042</v>
      </c>
      <c r="H21" s="48">
        <v>2587348.736</v>
      </c>
      <c r="I21" s="55">
        <f t="shared" si="0"/>
        <v>15913693.264</v>
      </c>
      <c r="J21"/>
      <c r="K21" s="55">
        <v>19991639</v>
      </c>
      <c r="L21" s="48">
        <v>2453103.1540000001</v>
      </c>
      <c r="M21" s="55">
        <f t="shared" si="1"/>
        <v>17538535.846000001</v>
      </c>
      <c r="N21"/>
      <c r="O21" s="55">
        <v>20440194</v>
      </c>
      <c r="P21" s="55">
        <f>'Step 1 Dedicated Funds'!V20</f>
        <v>2162025.9539999999</v>
      </c>
      <c r="Q21" s="55">
        <f t="shared" si="2"/>
        <v>18278168.046</v>
      </c>
      <c r="R21"/>
      <c r="S21" s="55">
        <f>'Step 1 Dedicated Funds'!V20</f>
        <v>2162025.9539999999</v>
      </c>
      <c r="T21" s="55">
        <f t="shared" si="3"/>
        <v>19700561.800000001</v>
      </c>
      <c r="U21" s="55">
        <f t="shared" si="4"/>
        <v>19700561.800000001</v>
      </c>
      <c r="AD21" s="48">
        <v>0</v>
      </c>
      <c r="AE21" s="48">
        <v>2587348.736</v>
      </c>
      <c r="AF21" s="48">
        <v>2453103.1540000001</v>
      </c>
    </row>
    <row r="22" spans="1:32" s="46" customFormat="1">
      <c r="A22" s="178" t="s">
        <v>78</v>
      </c>
      <c r="B22" s="802">
        <v>4792328</v>
      </c>
      <c r="C22" s="802">
        <v>4869806.8072989993</v>
      </c>
      <c r="D22" s="802">
        <v>231689.60000000001</v>
      </c>
      <c r="E22" s="802">
        <v>4638117.2072989997</v>
      </c>
      <c r="F22" s="802"/>
      <c r="G22" s="802">
        <v>4719068</v>
      </c>
      <c r="H22" s="48">
        <v>326501.2</v>
      </c>
      <c r="I22" s="802">
        <f t="shared" si="0"/>
        <v>4392566.8</v>
      </c>
      <c r="J22"/>
      <c r="K22" s="802">
        <v>4791672</v>
      </c>
      <c r="L22" s="48">
        <v>316991.58999999997</v>
      </c>
      <c r="M22" s="802">
        <f t="shared" si="1"/>
        <v>4474680.41</v>
      </c>
      <c r="N22"/>
      <c r="O22" s="802">
        <v>4806568</v>
      </c>
      <c r="P22" s="802">
        <f>'Step 1 Dedicated Funds'!V21</f>
        <v>99080</v>
      </c>
      <c r="Q22" s="802">
        <f t="shared" si="2"/>
        <v>4707488</v>
      </c>
      <c r="R22"/>
      <c r="S22" s="802">
        <f>'Step 1 Dedicated Funds'!V21</f>
        <v>99080</v>
      </c>
      <c r="T22" s="802">
        <f t="shared" si="3"/>
        <v>4573760.41</v>
      </c>
      <c r="U22" s="802">
        <f t="shared" si="4"/>
        <v>4573760.41</v>
      </c>
      <c r="AD22" s="48">
        <v>250000</v>
      </c>
      <c r="AE22" s="48">
        <v>326501.2</v>
      </c>
      <c r="AF22" s="48">
        <v>316991.58999999997</v>
      </c>
    </row>
    <row r="23" spans="1:32" s="46" customFormat="1">
      <c r="A23" s="179" t="s">
        <v>79</v>
      </c>
      <c r="B23" s="801">
        <v>37873962</v>
      </c>
      <c r="C23" s="801">
        <v>39880855.90787524</v>
      </c>
      <c r="D23" s="801">
        <v>1660613.534</v>
      </c>
      <c r="E23" s="801">
        <v>38220242.373875238</v>
      </c>
      <c r="F23" s="802"/>
      <c r="G23" s="801">
        <v>40776917</v>
      </c>
      <c r="H23" s="44">
        <v>1688511.5619999999</v>
      </c>
      <c r="I23" s="801">
        <f t="shared" si="0"/>
        <v>39088405.438000001</v>
      </c>
      <c r="J23"/>
      <c r="K23" s="801">
        <v>43369613</v>
      </c>
      <c r="L23" s="44">
        <v>1730526.0120000001</v>
      </c>
      <c r="M23" s="801">
        <f t="shared" si="1"/>
        <v>41639086.987999998</v>
      </c>
      <c r="N23"/>
      <c r="O23" s="801">
        <v>45894131</v>
      </c>
      <c r="P23" s="801">
        <f>'Step 1 Dedicated Funds'!V22</f>
        <v>1638188.534</v>
      </c>
      <c r="Q23" s="801">
        <f t="shared" si="2"/>
        <v>44255942.465999998</v>
      </c>
      <c r="R23"/>
      <c r="S23" s="801">
        <f>'Step 1 Dedicated Funds'!V22</f>
        <v>1638188.534</v>
      </c>
      <c r="T23" s="801">
        <f t="shared" si="3"/>
        <v>43277275.522</v>
      </c>
      <c r="U23" s="801">
        <f t="shared" si="4"/>
        <v>43277275.522</v>
      </c>
      <c r="AD23" s="44">
        <v>0</v>
      </c>
      <c r="AE23" s="44">
        <v>1688511.5619999999</v>
      </c>
      <c r="AF23" s="44">
        <v>1730526.0120000001</v>
      </c>
    </row>
    <row r="24" spans="1:32" s="46" customFormat="1">
      <c r="A24" s="178" t="s">
        <v>80</v>
      </c>
      <c r="B24" s="802">
        <v>13416255</v>
      </c>
      <c r="C24" s="802">
        <v>13619738.980354073</v>
      </c>
      <c r="D24" s="802">
        <v>3293842.2820000001</v>
      </c>
      <c r="E24" s="802">
        <v>10325896.698354073</v>
      </c>
      <c r="F24" s="802"/>
      <c r="G24" s="802">
        <v>13735346</v>
      </c>
      <c r="H24" s="48">
        <v>6070463.8739999998</v>
      </c>
      <c r="I24" s="802">
        <f t="shared" si="0"/>
        <v>7664882.1260000002</v>
      </c>
      <c r="J24"/>
      <c r="K24" s="802">
        <v>14434039</v>
      </c>
      <c r="L24" s="48">
        <v>6225425.6780000003</v>
      </c>
      <c r="M24" s="802">
        <f t="shared" si="1"/>
        <v>8208613.3219999997</v>
      </c>
      <c r="N24"/>
      <c r="O24" s="802">
        <v>14831995</v>
      </c>
      <c r="P24" s="802">
        <f>'Step 1 Dedicated Funds'!V23</f>
        <v>7956448.4819799997</v>
      </c>
      <c r="Q24" s="802">
        <f t="shared" si="2"/>
        <v>6875546.5180200003</v>
      </c>
      <c r="R24"/>
      <c r="S24" s="802">
        <f>'Step 1 Dedicated Funds'!V23</f>
        <v>7956448.4819799997</v>
      </c>
      <c r="T24" s="802">
        <f t="shared" si="3"/>
        <v>16165061.80398</v>
      </c>
      <c r="U24" s="802">
        <f t="shared" si="4"/>
        <v>16165061.80398</v>
      </c>
      <c r="AD24" s="48">
        <v>2600000</v>
      </c>
      <c r="AE24" s="48">
        <v>6070463.8739999998</v>
      </c>
      <c r="AF24" s="48">
        <v>6225425.6780000003</v>
      </c>
    </row>
    <row r="25" spans="1:32" s="46" customFormat="1">
      <c r="A25" s="178" t="s">
        <v>81</v>
      </c>
      <c r="B25" s="802">
        <v>11306315</v>
      </c>
      <c r="C25" s="802">
        <v>11379065.448531868</v>
      </c>
      <c r="D25" s="802">
        <v>4634817.04</v>
      </c>
      <c r="E25" s="802">
        <v>6744248.4085318679</v>
      </c>
      <c r="F25" s="802"/>
      <c r="G25" s="802">
        <v>11646038</v>
      </c>
      <c r="H25" s="55">
        <v>8079443.216</v>
      </c>
      <c r="I25" s="802">
        <f t="shared" si="0"/>
        <v>3566594.784</v>
      </c>
      <c r="J25"/>
      <c r="K25" s="802">
        <v>12573591</v>
      </c>
      <c r="L25" s="55">
        <v>8679210.9079999998</v>
      </c>
      <c r="M25" s="802">
        <f t="shared" si="1"/>
        <v>3894380.0920000002</v>
      </c>
      <c r="N25"/>
      <c r="O25" s="802">
        <v>12737398</v>
      </c>
      <c r="P25" s="802">
        <f>'Step 1 Dedicated Funds'!V24</f>
        <v>5640333.6859999998</v>
      </c>
      <c r="Q25" s="802">
        <f t="shared" si="2"/>
        <v>7097064.3140000002</v>
      </c>
      <c r="R25"/>
      <c r="S25" s="802">
        <f>'Step 1 Dedicated Funds'!V24</f>
        <v>5640333.6859999998</v>
      </c>
      <c r="T25" s="802">
        <f t="shared" si="3"/>
        <v>9534713.7780000009</v>
      </c>
      <c r="U25" s="802">
        <f t="shared" si="4"/>
        <v>9534713.7780000009</v>
      </c>
      <c r="AD25" s="55">
        <v>3500000</v>
      </c>
      <c r="AE25" s="55">
        <v>8079443.216</v>
      </c>
      <c r="AF25" s="55">
        <v>8679210.9079999998</v>
      </c>
    </row>
    <row r="26" spans="1:32" s="46" customFormat="1">
      <c r="A26" s="179" t="s">
        <v>82</v>
      </c>
      <c r="B26" s="801">
        <v>35239186</v>
      </c>
      <c r="C26" s="801">
        <v>38275607.009800181</v>
      </c>
      <c r="D26" s="801">
        <v>1846905.798</v>
      </c>
      <c r="E26" s="801">
        <v>36428701.21180018</v>
      </c>
      <c r="F26" s="802"/>
      <c r="G26" s="801">
        <v>39904942</v>
      </c>
      <c r="H26" s="44">
        <v>2295300.4220000003</v>
      </c>
      <c r="I26" s="801">
        <f t="shared" si="0"/>
        <v>37609641.578000002</v>
      </c>
      <c r="J26"/>
      <c r="K26" s="801">
        <v>40678621</v>
      </c>
      <c r="L26" s="44">
        <v>2154738.4220000003</v>
      </c>
      <c r="M26" s="801">
        <f t="shared" si="1"/>
        <v>38523882.578000002</v>
      </c>
      <c r="N26"/>
      <c r="O26" s="801">
        <v>41127158</v>
      </c>
      <c r="P26" s="801">
        <f>'Step 1 Dedicated Funds'!V25</f>
        <v>2264188.4220000003</v>
      </c>
      <c r="Q26" s="801">
        <f t="shared" si="2"/>
        <v>38862969.578000002</v>
      </c>
      <c r="R26"/>
      <c r="S26" s="801">
        <f>'Step 1 Dedicated Funds'!V25</f>
        <v>2264188.4220000003</v>
      </c>
      <c r="T26" s="801">
        <f t="shared" si="3"/>
        <v>40788071</v>
      </c>
      <c r="U26" s="801">
        <f t="shared" si="4"/>
        <v>40788071</v>
      </c>
      <c r="AD26" s="44">
        <v>0</v>
      </c>
      <c r="AE26" s="44">
        <v>2295300.4220000003</v>
      </c>
      <c r="AF26" s="44">
        <v>2154738.4220000003</v>
      </c>
    </row>
    <row r="27" spans="1:32" s="46" customFormat="1">
      <c r="A27" s="178" t="s">
        <v>83</v>
      </c>
      <c r="B27" s="802">
        <v>21366657</v>
      </c>
      <c r="C27" s="802">
        <v>21435510.19785019</v>
      </c>
      <c r="D27" s="802">
        <v>13064876.061999999</v>
      </c>
      <c r="E27" s="802">
        <v>8370634.1358501911</v>
      </c>
      <c r="F27" s="802"/>
      <c r="G27" s="802">
        <v>23159598</v>
      </c>
      <c r="H27" s="55">
        <v>19938126.582000002</v>
      </c>
      <c r="I27" s="802">
        <f t="shared" si="0"/>
        <v>3221471.4179999977</v>
      </c>
      <c r="J27"/>
      <c r="K27" s="802">
        <v>24513720</v>
      </c>
      <c r="L27" s="55">
        <v>21711724.355999999</v>
      </c>
      <c r="M27" s="802">
        <f t="shared" si="1"/>
        <v>2801995.6440000013</v>
      </c>
      <c r="N27"/>
      <c r="O27" s="802">
        <v>24909417</v>
      </c>
      <c r="P27" s="802">
        <f>'Step 1 Dedicated Funds'!V26</f>
        <v>16238825.810000001</v>
      </c>
      <c r="Q27" s="802">
        <f t="shared" si="2"/>
        <v>8670591.1899999995</v>
      </c>
      <c r="R27"/>
      <c r="S27" s="802">
        <f>'Step 1 Dedicated Funds'!V26</f>
        <v>16238825.810000001</v>
      </c>
      <c r="T27" s="802">
        <f t="shared" si="3"/>
        <v>19040821.454000004</v>
      </c>
      <c r="U27" s="802">
        <f t="shared" si="4"/>
        <v>19040821.454000004</v>
      </c>
      <c r="AD27" s="55">
        <v>6500000</v>
      </c>
      <c r="AE27" s="55">
        <v>19938126.582000002</v>
      </c>
      <c r="AF27" s="55">
        <v>21711724.355999999</v>
      </c>
    </row>
    <row r="28" spans="1:32" s="46" customFormat="1">
      <c r="A28" s="178" t="s">
        <v>84</v>
      </c>
      <c r="B28" s="802"/>
      <c r="C28" s="802">
        <v>1602192</v>
      </c>
      <c r="D28" s="802">
        <v>0</v>
      </c>
      <c r="E28" s="802">
        <v>1602192</v>
      </c>
      <c r="F28" s="802"/>
      <c r="G28" s="802"/>
      <c r="H28" s="48">
        <v>0</v>
      </c>
      <c r="I28" s="802">
        <f t="shared" si="0"/>
        <v>0</v>
      </c>
      <c r="J28"/>
      <c r="K28" s="802"/>
      <c r="L28" s="48">
        <v>0</v>
      </c>
      <c r="M28" s="802">
        <f t="shared" si="1"/>
        <v>0</v>
      </c>
      <c r="N28"/>
      <c r="O28" s="802"/>
      <c r="P28" s="802">
        <v>0</v>
      </c>
      <c r="Q28" s="802">
        <f t="shared" si="2"/>
        <v>0</v>
      </c>
      <c r="R28"/>
      <c r="S28" s="802"/>
      <c r="T28" s="802">
        <f t="shared" si="3"/>
        <v>0</v>
      </c>
      <c r="U28" s="802"/>
      <c r="AD28" s="48">
        <v>0</v>
      </c>
      <c r="AE28" s="48">
        <v>0</v>
      </c>
      <c r="AF28" s="48">
        <v>0</v>
      </c>
    </row>
    <row r="29" spans="1:32" s="46" customFormat="1">
      <c r="A29" s="179" t="s">
        <v>85</v>
      </c>
      <c r="B29" s="801">
        <v>2067913</v>
      </c>
      <c r="C29" s="801">
        <v>2094647.0686013391</v>
      </c>
      <c r="D29" s="801">
        <v>723407.32</v>
      </c>
      <c r="E29" s="801">
        <v>1371239.7486013393</v>
      </c>
      <c r="F29" s="802"/>
      <c r="G29" s="801">
        <v>2156595</v>
      </c>
      <c r="H29" s="44">
        <v>829650.90380000009</v>
      </c>
      <c r="I29" s="801">
        <f t="shared" si="0"/>
        <v>1326944.0962</v>
      </c>
      <c r="J29"/>
      <c r="K29" s="801">
        <v>2438816</v>
      </c>
      <c r="L29" s="44">
        <v>1086827.54</v>
      </c>
      <c r="M29" s="801">
        <f t="shared" si="1"/>
        <v>1351988.46</v>
      </c>
      <c r="N29"/>
      <c r="O29" s="801">
        <v>2839964</v>
      </c>
      <c r="P29" s="801">
        <f>'Step 1 Dedicated Funds'!V28</f>
        <v>1595880</v>
      </c>
      <c r="Q29" s="801">
        <f t="shared" si="2"/>
        <v>1244084</v>
      </c>
      <c r="R29"/>
      <c r="S29" s="801">
        <f>'Step 1 Dedicated Funds'!V28</f>
        <v>1595880</v>
      </c>
      <c r="T29" s="801">
        <f t="shared" si="3"/>
        <v>2947868.46</v>
      </c>
      <c r="U29" s="801">
        <f>IF(U$7="yes",T29,0)</f>
        <v>2947868.46</v>
      </c>
      <c r="AD29" s="44">
        <v>0</v>
      </c>
      <c r="AE29" s="44">
        <v>829650.90380000009</v>
      </c>
      <c r="AF29" s="44">
        <v>1086827.54</v>
      </c>
    </row>
    <row r="30" spans="1:32" s="46" customFormat="1">
      <c r="A30" s="54" t="s">
        <v>87</v>
      </c>
      <c r="B30" s="55"/>
      <c r="C30" s="55"/>
      <c r="D30" s="55"/>
      <c r="E30" s="55">
        <v>0</v>
      </c>
      <c r="F30" s="55"/>
      <c r="G30" s="55"/>
      <c r="H30" s="55"/>
      <c r="I30" s="55">
        <f t="shared" si="0"/>
        <v>0</v>
      </c>
      <c r="J30"/>
      <c r="K30" s="55"/>
      <c r="L30" s="55"/>
      <c r="M30" s="55">
        <f t="shared" si="1"/>
        <v>0</v>
      </c>
      <c r="N30"/>
      <c r="O30" s="55"/>
      <c r="P30" s="55"/>
      <c r="Q30" s="55">
        <f t="shared" si="2"/>
        <v>0</v>
      </c>
      <c r="R30"/>
      <c r="S30" s="55"/>
      <c r="T30" s="55">
        <f t="shared" si="3"/>
        <v>0</v>
      </c>
      <c r="U30" s="55"/>
      <c r="AD30" s="55">
        <v>0</v>
      </c>
      <c r="AE30" s="55">
        <f>H30+AD30</f>
        <v>0</v>
      </c>
      <c r="AF30" s="55">
        <f>L30+AD30</f>
        <v>0</v>
      </c>
    </row>
    <row r="31" spans="1:32" s="46" customFormat="1">
      <c r="A31" s="178" t="s">
        <v>88</v>
      </c>
      <c r="B31" s="802"/>
      <c r="C31" s="802"/>
      <c r="D31" s="802"/>
      <c r="E31" s="802">
        <v>0</v>
      </c>
      <c r="F31" s="802"/>
      <c r="G31" s="802"/>
      <c r="H31" s="802"/>
      <c r="I31" s="802">
        <f t="shared" si="0"/>
        <v>0</v>
      </c>
      <c r="J31"/>
      <c r="K31" s="802"/>
      <c r="L31" s="802"/>
      <c r="M31" s="802">
        <f t="shared" si="1"/>
        <v>0</v>
      </c>
      <c r="N31"/>
      <c r="O31" s="802"/>
      <c r="P31" s="802"/>
      <c r="Q31" s="802">
        <f t="shared" si="2"/>
        <v>0</v>
      </c>
      <c r="R31"/>
      <c r="S31" s="802"/>
      <c r="T31" s="802">
        <f t="shared" si="3"/>
        <v>0</v>
      </c>
      <c r="U31" s="802"/>
      <c r="AD31" s="48">
        <v>0</v>
      </c>
      <c r="AE31" s="48">
        <f>H31+AD31</f>
        <v>0</v>
      </c>
      <c r="AF31" s="48">
        <f>L31+AD31</f>
        <v>0</v>
      </c>
    </row>
    <row r="32" spans="1:32" s="46" customFormat="1">
      <c r="A32" s="368" t="s">
        <v>461</v>
      </c>
      <c r="B32" s="803"/>
      <c r="C32" s="803"/>
      <c r="D32" s="803"/>
      <c r="E32" s="803">
        <v>0</v>
      </c>
      <c r="F32" s="802"/>
      <c r="G32" s="803"/>
      <c r="H32" s="803"/>
      <c r="I32" s="803">
        <f t="shared" si="0"/>
        <v>0</v>
      </c>
      <c r="J32"/>
      <c r="K32" s="803"/>
      <c r="L32" s="803"/>
      <c r="M32" s="803">
        <f t="shared" si="1"/>
        <v>0</v>
      </c>
      <c r="N32"/>
      <c r="O32" s="803"/>
      <c r="P32" s="803"/>
      <c r="Q32" s="803">
        <f t="shared" si="2"/>
        <v>0</v>
      </c>
      <c r="R32"/>
      <c r="S32" s="803"/>
      <c r="T32" s="803">
        <f t="shared" si="3"/>
        <v>0</v>
      </c>
      <c r="U32" s="803"/>
      <c r="AD32" s="228">
        <v>0</v>
      </c>
      <c r="AE32" s="228">
        <f>H32+AD32</f>
        <v>0</v>
      </c>
      <c r="AF32" s="228">
        <f>L32+AD32</f>
        <v>0</v>
      </c>
    </row>
    <row r="33" spans="1:32" s="46" customFormat="1">
      <c r="A33" s="367" t="s">
        <v>462</v>
      </c>
      <c r="B33" s="804"/>
      <c r="C33" s="804"/>
      <c r="D33" s="804"/>
      <c r="E33" s="804">
        <v>0</v>
      </c>
      <c r="F33" s="804"/>
      <c r="G33" s="804"/>
      <c r="H33" s="804"/>
      <c r="I33" s="804">
        <f t="shared" si="0"/>
        <v>0</v>
      </c>
      <c r="J33"/>
      <c r="K33" s="804"/>
      <c r="L33" s="804">
        <v>0</v>
      </c>
      <c r="M33" s="804">
        <f t="shared" si="1"/>
        <v>0</v>
      </c>
      <c r="N33"/>
      <c r="O33" s="804"/>
      <c r="P33" s="804"/>
      <c r="Q33" s="804">
        <f t="shared" si="2"/>
        <v>0</v>
      </c>
      <c r="R33"/>
      <c r="S33" s="804"/>
      <c r="T33" s="804">
        <f t="shared" si="3"/>
        <v>0</v>
      </c>
      <c r="U33" s="804"/>
      <c r="AD33" s="55">
        <v>0</v>
      </c>
      <c r="AE33" s="55">
        <f>H33+AD33</f>
        <v>0</v>
      </c>
      <c r="AF33" s="55">
        <f>L33+AD33</f>
        <v>0</v>
      </c>
    </row>
    <row r="34" spans="1:32" s="46" customFormat="1">
      <c r="A34" s="178" t="s">
        <v>89</v>
      </c>
      <c r="B34" s="802"/>
      <c r="C34" s="802"/>
      <c r="D34" s="802"/>
      <c r="E34" s="802">
        <v>0</v>
      </c>
      <c r="F34" s="802"/>
      <c r="G34" s="802"/>
      <c r="H34" s="802"/>
      <c r="I34" s="802">
        <f t="shared" si="0"/>
        <v>0</v>
      </c>
      <c r="J34"/>
      <c r="K34" s="802"/>
      <c r="L34" s="802"/>
      <c r="M34" s="802">
        <f t="shared" si="1"/>
        <v>0</v>
      </c>
      <c r="N34"/>
      <c r="O34" s="802"/>
      <c r="P34" s="802"/>
      <c r="Q34" s="802">
        <f t="shared" si="2"/>
        <v>0</v>
      </c>
      <c r="R34"/>
      <c r="S34" s="802"/>
      <c r="T34" s="802">
        <f t="shared" si="3"/>
        <v>0</v>
      </c>
      <c r="U34" s="802"/>
      <c r="AD34" s="48">
        <v>0</v>
      </c>
      <c r="AE34" s="48">
        <f>H34+AD34</f>
        <v>0</v>
      </c>
      <c r="AF34" s="48">
        <f>L34+AD34</f>
        <v>0</v>
      </c>
    </row>
    <row r="35" spans="1:32" s="46" customFormat="1">
      <c r="A35" s="368" t="s">
        <v>1181</v>
      </c>
      <c r="B35" s="801">
        <v>10355216</v>
      </c>
      <c r="C35" s="801">
        <v>10355216</v>
      </c>
      <c r="D35" s="803">
        <v>1559186</v>
      </c>
      <c r="E35" s="803">
        <v>8796030</v>
      </c>
      <c r="F35" s="802"/>
      <c r="G35" s="801">
        <v>10959977</v>
      </c>
      <c r="H35" s="801">
        <f>1917153.066+8400000</f>
        <v>10317153.066</v>
      </c>
      <c r="I35" s="801">
        <f t="shared" si="0"/>
        <v>642823.93400000036</v>
      </c>
      <c r="J35"/>
      <c r="K35" s="801">
        <v>11252786</v>
      </c>
      <c r="L35" s="801">
        <f>2768936.592-685000+8400000</f>
        <v>10483936.592</v>
      </c>
      <c r="M35" s="801">
        <f t="shared" si="1"/>
        <v>768849.40799999982</v>
      </c>
      <c r="N35"/>
      <c r="O35" s="801">
        <v>11354618</v>
      </c>
      <c r="P35" s="801">
        <v>2065679.46</v>
      </c>
      <c r="Q35" s="801">
        <f t="shared" si="2"/>
        <v>9288938.5399999991</v>
      </c>
      <c r="R35"/>
      <c r="S35" s="803">
        <f>'Step 1 Dedicated Funds'!V34+685000</f>
        <v>2943185.12824</v>
      </c>
      <c r="T35" s="801">
        <f t="shared" si="3"/>
        <v>3712034.5362399998</v>
      </c>
      <c r="U35" s="801">
        <f>IF(U$7="yes",T35,0)</f>
        <v>3712034.5362399998</v>
      </c>
      <c r="W35" s="46" t="s">
        <v>1025</v>
      </c>
      <c r="AD35" s="228">
        <v>8400000</v>
      </c>
      <c r="AE35" s="228">
        <v>10317153</v>
      </c>
      <c r="AF35" s="228">
        <v>10483937</v>
      </c>
    </row>
    <row r="36" spans="1:32" s="46" customFormat="1">
      <c r="A36" s="371" t="s">
        <v>91</v>
      </c>
      <c r="B36" s="658">
        <f>SUM(B17:B35)</f>
        <v>243875569</v>
      </c>
      <c r="C36" s="658">
        <f>SUM(C17:C35)</f>
        <v>257068083.1008091</v>
      </c>
      <c r="D36" s="658">
        <f>SUM(D17:D35)</f>
        <v>55916451.007999994</v>
      </c>
      <c r="E36" s="658">
        <f>SUM(E17:E35)</f>
        <v>201151632.09280911</v>
      </c>
      <c r="F36" s="55"/>
      <c r="G36" s="658">
        <f>SUM(G17:G35)</f>
        <v>267653155</v>
      </c>
      <c r="H36" s="658">
        <f>SUM(H17:H35)</f>
        <v>83878724.038399994</v>
      </c>
      <c r="I36" s="658">
        <f>SUM(I17:I35)</f>
        <v>183774430.96160001</v>
      </c>
      <c r="J36"/>
      <c r="K36" s="658">
        <f>SUM(K17:K35)</f>
        <v>283412604</v>
      </c>
      <c r="L36" s="658">
        <f>SUM(L17:L35)</f>
        <v>85003309.657999992</v>
      </c>
      <c r="M36" s="658">
        <f>SUM(M17:M35)</f>
        <v>198409294.34200001</v>
      </c>
      <c r="N36"/>
      <c r="O36" s="658">
        <f>SUM(O17:O35)</f>
        <v>294226150</v>
      </c>
      <c r="P36" s="658">
        <f>SUM(P17:P35)</f>
        <v>69050170.805946663</v>
      </c>
      <c r="Q36" s="658">
        <f>SUM(Q17:Q35)</f>
        <v>225175979.19405335</v>
      </c>
      <c r="R36"/>
      <c r="S36" s="658">
        <f>SUM(S17:S35)</f>
        <v>69927676.474186674</v>
      </c>
      <c r="T36" s="658">
        <f>SUM(T17:T35)</f>
        <v>268336970.81618667</v>
      </c>
      <c r="U36" s="658">
        <f>SUM(U17:U35)</f>
        <v>268336970.81618667</v>
      </c>
      <c r="W36" s="46" t="s">
        <v>1026</v>
      </c>
    </row>
    <row r="37" spans="1:32" s="46" customFormat="1">
      <c r="A37" s="178"/>
      <c r="B37" s="178"/>
      <c r="C37" s="178"/>
      <c r="D37" s="178"/>
      <c r="E37" s="178"/>
      <c r="F37" s="178"/>
      <c r="G37" s="178"/>
      <c r="H37" s="178"/>
      <c r="I37" s="178"/>
      <c r="J37"/>
      <c r="K37" s="178"/>
      <c r="L37" s="178"/>
      <c r="M37" s="178"/>
      <c r="N37"/>
      <c r="O37" s="178"/>
      <c r="P37" s="178"/>
      <c r="Q37" s="178"/>
      <c r="R37"/>
      <c r="S37" s="178"/>
      <c r="T37" s="178"/>
      <c r="U37" s="178"/>
    </row>
    <row r="38" spans="1:32" s="46" customFormat="1">
      <c r="A38" s="168"/>
      <c r="B38" s="168"/>
      <c r="C38" s="168"/>
      <c r="D38" s="168"/>
      <c r="E38" s="168"/>
      <c r="F38" s="168"/>
      <c r="G38" s="168"/>
      <c r="H38" s="168"/>
      <c r="I38" s="168"/>
      <c r="J38"/>
      <c r="K38" s="168"/>
      <c r="L38" s="168"/>
      <c r="M38" s="168"/>
      <c r="N38"/>
      <c r="O38" s="168"/>
      <c r="P38" s="168"/>
      <c r="Q38" s="168"/>
      <c r="R38"/>
      <c r="S38" s="168"/>
      <c r="T38" s="168"/>
      <c r="U38" s="168"/>
    </row>
    <row r="39" spans="1:32" s="46" customFormat="1">
      <c r="A39" s="54" t="s">
        <v>92</v>
      </c>
      <c r="B39" s="54"/>
      <c r="C39" s="54"/>
      <c r="D39" s="54"/>
      <c r="E39" s="54"/>
      <c r="F39" s="54"/>
      <c r="G39" s="54"/>
      <c r="H39" s="54"/>
      <c r="I39" s="54"/>
      <c r="J39"/>
      <c r="K39" s="54"/>
      <c r="L39" s="54"/>
      <c r="M39" s="54"/>
      <c r="N39"/>
      <c r="O39" s="54"/>
      <c r="P39" s="54"/>
      <c r="Q39" s="54"/>
      <c r="R39"/>
      <c r="S39" s="54"/>
      <c r="T39" s="54"/>
      <c r="U39" s="54"/>
    </row>
    <row r="40" spans="1:32" s="46" customFormat="1">
      <c r="A40" s="179" t="s">
        <v>93</v>
      </c>
      <c r="B40" s="179"/>
      <c r="C40" s="179"/>
      <c r="D40" s="179"/>
      <c r="E40" s="179"/>
      <c r="F40" s="178"/>
      <c r="G40" s="179"/>
      <c r="H40" s="179"/>
      <c r="I40" s="179"/>
      <c r="J40"/>
      <c r="K40" s="179"/>
      <c r="L40" s="179"/>
      <c r="M40" s="179"/>
      <c r="N40"/>
      <c r="O40" s="179"/>
      <c r="P40" s="179"/>
      <c r="Q40" s="179"/>
      <c r="R40"/>
      <c r="S40" s="179"/>
      <c r="T40" s="179"/>
      <c r="U40" s="179"/>
    </row>
    <row r="41" spans="1:32" s="46" customFormat="1">
      <c r="A41" s="178" t="s">
        <v>94</v>
      </c>
      <c r="B41" s="178"/>
      <c r="C41" s="178"/>
      <c r="D41" s="178"/>
      <c r="E41" s="178"/>
      <c r="F41" s="178"/>
      <c r="G41" s="178"/>
      <c r="H41" s="178"/>
      <c r="I41" s="178"/>
      <c r="J41"/>
      <c r="K41" s="178"/>
      <c r="L41" s="178"/>
      <c r="M41" s="178"/>
      <c r="N41"/>
      <c r="O41" s="178"/>
      <c r="P41" s="178"/>
      <c r="Q41" s="178"/>
      <c r="R41"/>
      <c r="S41" s="178"/>
      <c r="T41" s="178"/>
      <c r="U41" s="178"/>
    </row>
    <row r="42" spans="1:32" s="46" customFormat="1">
      <c r="A42" s="54" t="s">
        <v>95</v>
      </c>
      <c r="B42" s="54"/>
      <c r="C42" s="54"/>
      <c r="D42" s="54"/>
      <c r="E42" s="54"/>
      <c r="F42" s="54"/>
      <c r="G42" s="54"/>
      <c r="H42" s="54"/>
      <c r="I42" s="54"/>
      <c r="J42"/>
      <c r="K42" s="54"/>
      <c r="L42" s="54"/>
      <c r="M42" s="54"/>
      <c r="N42"/>
      <c r="O42" s="54"/>
      <c r="P42" s="54"/>
      <c r="Q42" s="54"/>
      <c r="R42"/>
      <c r="S42" s="54"/>
      <c r="T42" s="54"/>
      <c r="U42" s="54"/>
    </row>
    <row r="43" spans="1:32" s="46" customFormat="1">
      <c r="A43" s="179" t="s">
        <v>96</v>
      </c>
      <c r="B43" s="179"/>
      <c r="C43" s="179"/>
      <c r="D43" s="179"/>
      <c r="E43" s="179"/>
      <c r="F43" s="178"/>
      <c r="G43" s="179"/>
      <c r="H43" s="179"/>
      <c r="I43" s="179"/>
      <c r="J43"/>
      <c r="K43" s="179"/>
      <c r="L43" s="179"/>
      <c r="M43" s="179"/>
      <c r="N43"/>
      <c r="O43" s="179"/>
      <c r="P43" s="179"/>
      <c r="Q43" s="179"/>
      <c r="R43"/>
      <c r="S43" s="179"/>
      <c r="T43" s="179"/>
      <c r="U43" s="179"/>
    </row>
    <row r="44" spans="1:32" s="46" customFormat="1">
      <c r="A44" s="178" t="s">
        <v>97</v>
      </c>
      <c r="B44" s="178"/>
      <c r="C44" s="178"/>
      <c r="D44" s="178"/>
      <c r="E44" s="178"/>
      <c r="F44" s="178"/>
      <c r="G44" s="178"/>
      <c r="H44" s="178"/>
      <c r="I44" s="178"/>
      <c r="J44"/>
      <c r="K44" s="178"/>
      <c r="L44" s="178"/>
      <c r="M44" s="178"/>
      <c r="N44"/>
      <c r="O44" s="178"/>
      <c r="P44" s="178"/>
      <c r="Q44" s="178"/>
      <c r="R44"/>
      <c r="S44" s="178"/>
      <c r="T44" s="178"/>
      <c r="U44" s="178"/>
    </row>
    <row r="45" spans="1:32" s="46" customFormat="1">
      <c r="A45" s="367" t="s">
        <v>483</v>
      </c>
      <c r="B45" s="367"/>
      <c r="C45" s="367"/>
      <c r="D45" s="367"/>
      <c r="E45" s="367"/>
      <c r="F45" s="367"/>
      <c r="G45" s="367"/>
      <c r="H45" s="367"/>
      <c r="I45" s="367"/>
      <c r="J45"/>
      <c r="K45" s="367"/>
      <c r="L45" s="367"/>
      <c r="M45" s="367"/>
      <c r="N45"/>
      <c r="O45" s="367"/>
      <c r="P45" s="367"/>
      <c r="Q45" s="367"/>
      <c r="R45"/>
      <c r="S45" s="367"/>
      <c r="T45" s="367"/>
      <c r="U45" s="367"/>
    </row>
    <row r="46" spans="1:32" s="46" customFormat="1">
      <c r="A46" s="178" t="s">
        <v>98</v>
      </c>
      <c r="B46" s="178"/>
      <c r="C46" s="178"/>
      <c r="D46" s="178"/>
      <c r="E46" s="178"/>
      <c r="F46" s="178"/>
      <c r="G46" s="178"/>
      <c r="H46" s="178"/>
      <c r="I46" s="178"/>
      <c r="J46"/>
      <c r="K46" s="178"/>
      <c r="L46" s="178"/>
      <c r="M46" s="178"/>
      <c r="N46"/>
      <c r="O46" s="178"/>
      <c r="P46" s="178"/>
      <c r="Q46" s="178"/>
      <c r="R46"/>
      <c r="S46" s="178"/>
      <c r="T46" s="178"/>
      <c r="U46" s="178"/>
    </row>
    <row r="47" spans="1:32" s="46" customFormat="1">
      <c r="A47" s="179" t="s">
        <v>99</v>
      </c>
      <c r="B47" s="179"/>
      <c r="C47" s="179"/>
      <c r="D47" s="179"/>
      <c r="E47" s="179"/>
      <c r="F47" s="178"/>
      <c r="G47" s="179"/>
      <c r="H47" s="179"/>
      <c r="I47" s="179"/>
      <c r="J47"/>
      <c r="K47" s="179"/>
      <c r="L47" s="179"/>
      <c r="M47" s="179"/>
      <c r="N47"/>
      <c r="O47" s="179"/>
      <c r="P47" s="179"/>
      <c r="Q47" s="179"/>
      <c r="R47"/>
      <c r="S47" s="179"/>
      <c r="T47" s="179"/>
      <c r="U47" s="179"/>
    </row>
    <row r="48" spans="1:32" s="46" customFormat="1">
      <c r="A48" s="178" t="s">
        <v>484</v>
      </c>
      <c r="B48" s="178"/>
      <c r="C48" s="178"/>
      <c r="D48" s="178"/>
      <c r="E48" s="178"/>
      <c r="F48" s="178"/>
      <c r="G48" s="178"/>
      <c r="H48" s="178"/>
      <c r="I48" s="178"/>
      <c r="J48"/>
      <c r="K48" s="178"/>
      <c r="L48" s="178"/>
      <c r="M48" s="178"/>
      <c r="N48"/>
      <c r="O48" s="178"/>
      <c r="P48" s="178"/>
      <c r="Q48" s="178"/>
      <c r="R48"/>
      <c r="S48" s="178"/>
      <c r="T48" s="178"/>
      <c r="U48" s="178"/>
    </row>
    <row r="49" spans="1:21" s="46" customFormat="1">
      <c r="A49" s="54" t="s">
        <v>86</v>
      </c>
      <c r="B49" s="54"/>
      <c r="C49" s="54"/>
      <c r="D49" s="54"/>
      <c r="E49" s="54"/>
      <c r="F49" s="54"/>
      <c r="G49" s="54"/>
      <c r="H49" s="54"/>
      <c r="I49" s="54"/>
      <c r="J49"/>
      <c r="K49" s="54"/>
      <c r="L49" s="54"/>
      <c r="M49" s="54"/>
      <c r="N49"/>
      <c r="O49" s="54"/>
      <c r="P49" s="54"/>
      <c r="Q49" s="54"/>
      <c r="R49"/>
      <c r="S49" s="54"/>
      <c r="T49" s="54"/>
      <c r="U49" s="54"/>
    </row>
    <row r="50" spans="1:21" s="46" customFormat="1">
      <c r="A50" s="368" t="s">
        <v>100</v>
      </c>
      <c r="B50" s="368"/>
      <c r="C50" s="368"/>
      <c r="D50" s="368"/>
      <c r="E50" s="368"/>
      <c r="F50" s="178"/>
      <c r="G50" s="368"/>
      <c r="H50" s="368"/>
      <c r="I50" s="368"/>
      <c r="J50"/>
      <c r="K50" s="368"/>
      <c r="L50" s="368"/>
      <c r="M50" s="368"/>
      <c r="N50"/>
      <c r="O50" s="368"/>
      <c r="P50" s="368"/>
      <c r="Q50" s="368"/>
      <c r="R50"/>
      <c r="S50" s="368"/>
      <c r="T50" s="368"/>
      <c r="U50" s="368"/>
    </row>
    <row r="51" spans="1:21" s="46" customFormat="1">
      <c r="A51" s="178" t="s">
        <v>101</v>
      </c>
      <c r="B51" s="178"/>
      <c r="C51" s="178"/>
      <c r="D51" s="178"/>
      <c r="E51" s="178"/>
      <c r="F51" s="178"/>
      <c r="G51" s="178"/>
      <c r="H51" s="178"/>
      <c r="I51" s="178"/>
      <c r="J51"/>
      <c r="K51" s="178"/>
      <c r="L51" s="178"/>
      <c r="M51" s="178"/>
      <c r="N51"/>
      <c r="O51" s="178"/>
      <c r="P51" s="178"/>
      <c r="Q51" s="178"/>
      <c r="R51"/>
      <c r="S51" s="178"/>
      <c r="T51" s="178"/>
      <c r="U51" s="178"/>
    </row>
    <row r="52" spans="1:21" s="46" customFormat="1">
      <c r="A52" s="178" t="s">
        <v>102</v>
      </c>
      <c r="B52" s="178"/>
      <c r="C52" s="178"/>
      <c r="D52" s="178"/>
      <c r="E52" s="178"/>
      <c r="F52" s="178"/>
      <c r="G52" s="178"/>
      <c r="H52" s="178"/>
      <c r="I52" s="178"/>
      <c r="J52"/>
      <c r="K52" s="178"/>
      <c r="L52" s="178"/>
      <c r="M52" s="178"/>
      <c r="N52"/>
      <c r="O52" s="178"/>
      <c r="P52" s="178"/>
      <c r="Q52" s="178"/>
      <c r="R52"/>
      <c r="S52" s="178"/>
      <c r="T52" s="178"/>
      <c r="U52" s="178"/>
    </row>
    <row r="53" spans="1:21" s="46" customFormat="1">
      <c r="A53" s="368" t="s">
        <v>103</v>
      </c>
      <c r="B53" s="368"/>
      <c r="C53" s="368"/>
      <c r="D53" s="368"/>
      <c r="E53" s="368"/>
      <c r="F53" s="178"/>
      <c r="G53" s="368"/>
      <c r="H53" s="368"/>
      <c r="I53" s="368"/>
      <c r="J53"/>
      <c r="K53" s="368"/>
      <c r="L53" s="368"/>
      <c r="M53" s="368"/>
      <c r="N53"/>
      <c r="O53" s="368"/>
      <c r="P53" s="368"/>
      <c r="Q53" s="368"/>
      <c r="R53"/>
      <c r="S53" s="368"/>
      <c r="T53" s="368"/>
      <c r="U53" s="368"/>
    </row>
    <row r="54" spans="1:21" s="46" customFormat="1">
      <c r="A54" s="178" t="s">
        <v>104</v>
      </c>
      <c r="B54" s="178"/>
      <c r="C54" s="178"/>
      <c r="D54" s="178"/>
      <c r="E54" s="178"/>
      <c r="F54" s="178"/>
      <c r="G54" s="178"/>
      <c r="H54" s="178"/>
      <c r="I54" s="178"/>
      <c r="J54"/>
      <c r="K54" s="178"/>
      <c r="L54" s="178"/>
      <c r="M54" s="178"/>
      <c r="N54"/>
      <c r="O54" s="178"/>
      <c r="P54" s="178"/>
      <c r="Q54" s="178"/>
      <c r="R54"/>
      <c r="S54" s="178"/>
      <c r="T54" s="178"/>
      <c r="U54" s="178"/>
    </row>
    <row r="55" spans="1:21" s="46" customFormat="1">
      <c r="A55" s="178" t="s">
        <v>459</v>
      </c>
      <c r="B55" s="178"/>
      <c r="C55" s="178"/>
      <c r="D55" s="178"/>
      <c r="E55" s="178"/>
      <c r="F55" s="178"/>
      <c r="G55" s="178"/>
      <c r="H55" s="178"/>
      <c r="I55" s="178"/>
      <c r="J55"/>
      <c r="K55" s="178"/>
      <c r="L55" s="178"/>
      <c r="M55" s="178"/>
      <c r="N55"/>
      <c r="O55" s="178"/>
      <c r="P55" s="178"/>
      <c r="Q55" s="178"/>
      <c r="R55"/>
      <c r="S55" s="178"/>
      <c r="T55" s="178"/>
      <c r="U55" s="178"/>
    </row>
    <row r="56" spans="1:21" s="46" customFormat="1">
      <c r="A56" s="386" t="s">
        <v>485</v>
      </c>
      <c r="B56" s="386"/>
      <c r="C56" s="386"/>
      <c r="D56" s="386"/>
      <c r="E56" s="386"/>
      <c r="F56" s="367"/>
      <c r="G56" s="386"/>
      <c r="H56" s="386"/>
      <c r="I56" s="386"/>
      <c r="J56"/>
      <c r="K56" s="386"/>
      <c r="L56" s="386"/>
      <c r="M56" s="386"/>
      <c r="N56"/>
      <c r="O56" s="386"/>
      <c r="P56" s="386"/>
      <c r="Q56" s="386"/>
      <c r="R56"/>
      <c r="S56" s="386"/>
      <c r="T56" s="386"/>
      <c r="U56" s="386"/>
    </row>
    <row r="57" spans="1:21" s="46" customFormat="1">
      <c r="A57" s="178" t="s">
        <v>105</v>
      </c>
      <c r="B57" s="178"/>
      <c r="C57" s="178"/>
      <c r="D57" s="178"/>
      <c r="E57" s="178"/>
      <c r="F57" s="178"/>
      <c r="G57" s="178"/>
      <c r="H57" s="178"/>
      <c r="I57" s="178"/>
      <c r="J57"/>
      <c r="K57" s="178"/>
      <c r="L57" s="178"/>
      <c r="M57" s="178"/>
      <c r="N57"/>
      <c r="O57" s="178"/>
      <c r="P57" s="178"/>
      <c r="Q57" s="178"/>
      <c r="R57"/>
      <c r="S57" s="178"/>
      <c r="T57" s="178"/>
      <c r="U57" s="178"/>
    </row>
    <row r="58" spans="1:21" s="46" customFormat="1">
      <c r="A58" s="375" t="s">
        <v>106</v>
      </c>
      <c r="B58" s="375"/>
      <c r="C58" s="375"/>
      <c r="D58" s="375"/>
      <c r="E58" s="375"/>
      <c r="F58" s="178"/>
      <c r="G58" s="375"/>
      <c r="H58" s="375"/>
      <c r="I58" s="375"/>
      <c r="J58"/>
      <c r="K58" s="375"/>
      <c r="L58" s="375"/>
      <c r="M58" s="375"/>
      <c r="N58"/>
      <c r="O58" s="375"/>
      <c r="P58" s="375"/>
      <c r="Q58" s="375"/>
      <c r="R58"/>
      <c r="S58" s="375"/>
      <c r="T58" s="375"/>
      <c r="U58" s="375"/>
    </row>
    <row r="59" spans="1:21" s="46" customFormat="1">
      <c r="A59" s="377" t="s">
        <v>107</v>
      </c>
      <c r="B59" s="377"/>
      <c r="C59" s="377"/>
      <c r="D59" s="377"/>
      <c r="E59" s="377"/>
      <c r="F59" s="1111"/>
      <c r="G59" s="377"/>
      <c r="H59" s="377"/>
      <c r="I59" s="377"/>
      <c r="J59"/>
      <c r="K59" s="377"/>
      <c r="L59" s="377"/>
      <c r="M59" s="377"/>
      <c r="N59"/>
      <c r="O59" s="377"/>
      <c r="P59" s="377"/>
      <c r="Q59" s="377"/>
      <c r="R59"/>
      <c r="S59" s="377"/>
      <c r="T59" s="377"/>
      <c r="U59" s="377"/>
    </row>
    <row r="60" spans="1:21" s="46" customFormat="1"/>
    <row r="61" spans="1:21" s="46" customFormat="1"/>
    <row r="62" spans="1:21" s="46" customFormat="1"/>
    <row r="63" spans="1:21" s="46" customFormat="1"/>
    <row r="64" spans="1:21" s="46" customFormat="1"/>
    <row r="65" spans="1:24" s="46" customFormat="1"/>
    <row r="66" spans="1:24" s="46" customFormat="1"/>
    <row r="67" spans="1:24" s="46" customFormat="1"/>
    <row r="68" spans="1:24" s="46" customFormat="1"/>
    <row r="69" spans="1:24" s="46" customFormat="1"/>
    <row r="70" spans="1:24" s="46" customFormat="1"/>
    <row r="71" spans="1:24" s="46" customFormat="1"/>
    <row r="72" spans="1:24" s="46" customFormat="1"/>
    <row r="73" spans="1:24" s="46" customFormat="1"/>
    <row r="74" spans="1:24" s="46" customFormat="1"/>
    <row r="75" spans="1:24">
      <c r="A75" s="46"/>
      <c r="B75" s="46"/>
      <c r="C75" s="46"/>
      <c r="D75" s="46"/>
      <c r="E75" s="46"/>
      <c r="G75" s="46"/>
      <c r="H75" s="46"/>
      <c r="I75" s="46"/>
      <c r="J75" s="46"/>
      <c r="K75" s="46"/>
      <c r="L75" s="46"/>
      <c r="M75" s="46"/>
      <c r="N75" s="46"/>
      <c r="O75" s="46"/>
      <c r="P75" s="46"/>
      <c r="Q75" s="46"/>
      <c r="R75" s="46"/>
      <c r="S75" s="46"/>
      <c r="T75" s="46"/>
      <c r="V75" s="46"/>
      <c r="W75" s="46"/>
      <c r="X75" s="46"/>
    </row>
    <row r="76" spans="1:24">
      <c r="V76" s="46"/>
      <c r="W76" s="46"/>
      <c r="X76" s="46"/>
    </row>
  </sheetData>
  <mergeCells count="12">
    <mergeCell ref="B5:E5"/>
    <mergeCell ref="G5:I5"/>
    <mergeCell ref="S5:U5"/>
    <mergeCell ref="E8:E14"/>
    <mergeCell ref="S8:S14"/>
    <mergeCell ref="T8:T14"/>
    <mergeCell ref="U8:U14"/>
    <mergeCell ref="B8:B14"/>
    <mergeCell ref="C8:C14"/>
    <mergeCell ref="D8:D14"/>
    <mergeCell ref="K5:M5"/>
    <mergeCell ref="O5:Q5"/>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7"/>
  <sheetViews>
    <sheetView workbookViewId="0">
      <selection activeCell="B12" sqref="B12"/>
    </sheetView>
  </sheetViews>
  <sheetFormatPr defaultColWidth="11" defaultRowHeight="15.75"/>
  <cols>
    <col min="1" max="1" width="45" customWidth="1"/>
    <col min="2" max="10" width="13.5" customWidth="1"/>
    <col min="11" max="11" width="16.625" customWidth="1"/>
    <col min="12" max="12" width="12.625" customWidth="1"/>
    <col min="13" max="13" width="4" customWidth="1"/>
    <col min="14" max="14" width="13.625" bestFit="1" customWidth="1"/>
    <col min="15" max="15" width="13.125" customWidth="1"/>
    <col min="16" max="16" width="13.375" customWidth="1"/>
    <col min="17" max="17" width="15.125" bestFit="1" customWidth="1"/>
    <col min="21" max="21" width="11.5" bestFit="1" customWidth="1"/>
  </cols>
  <sheetData>
    <row r="1" spans="1:21" ht="18.75">
      <c r="A1" s="198" t="s">
        <v>269</v>
      </c>
      <c r="G1" s="198" t="s">
        <v>270</v>
      </c>
      <c r="I1" s="10"/>
    </row>
    <row r="3" spans="1:21">
      <c r="A3" s="924" t="s">
        <v>271</v>
      </c>
      <c r="B3" s="925" t="s">
        <v>1305</v>
      </c>
      <c r="C3" s="230"/>
      <c r="D3" s="230"/>
      <c r="E3" s="230"/>
      <c r="G3" t="s">
        <v>1579</v>
      </c>
    </row>
    <row r="4" spans="1:21">
      <c r="A4" s="242" t="s">
        <v>274</v>
      </c>
      <c r="B4" s="243">
        <f>'Step 0 FY18 Revenue'!L59-'Step 0 FY18 Revenue'!L45</f>
        <v>622608334.94857144</v>
      </c>
    </row>
    <row r="5" spans="1:21">
      <c r="A5" s="242" t="s">
        <v>272</v>
      </c>
      <c r="B5" s="243">
        <f>'Step 0 FY18 Revenue'!L45</f>
        <v>-41000000</v>
      </c>
    </row>
    <row r="6" spans="1:21">
      <c r="A6" s="926" t="s">
        <v>273</v>
      </c>
      <c r="B6" s="927">
        <f>B4+B5</f>
        <v>581608334.94857144</v>
      </c>
    </row>
    <row r="7" spans="1:21" ht="30" customHeight="1">
      <c r="A7" s="167"/>
      <c r="B7" s="1770" t="s">
        <v>817</v>
      </c>
      <c r="C7" s="1767" t="s">
        <v>275</v>
      </c>
      <c r="D7" s="1768"/>
      <c r="E7" s="1768"/>
      <c r="F7" s="1769"/>
      <c r="G7" s="1772" t="s">
        <v>315</v>
      </c>
      <c r="H7" s="1773"/>
      <c r="I7" s="1773"/>
      <c r="J7" s="1774"/>
      <c r="K7" s="167"/>
      <c r="L7" s="167"/>
    </row>
    <row r="8" spans="1:21" ht="51">
      <c r="A8" s="231"/>
      <c r="B8" s="1771"/>
      <c r="C8" s="234" t="s">
        <v>317</v>
      </c>
      <c r="D8" s="234" t="s">
        <v>318</v>
      </c>
      <c r="E8" s="234" t="s">
        <v>319</v>
      </c>
      <c r="F8" s="234" t="s">
        <v>320</v>
      </c>
      <c r="G8" s="234" t="s">
        <v>822</v>
      </c>
      <c r="H8" s="234" t="s">
        <v>321</v>
      </c>
      <c r="I8" s="240" t="s">
        <v>829</v>
      </c>
      <c r="J8" s="240" t="s">
        <v>819</v>
      </c>
      <c r="K8" s="240" t="s">
        <v>13</v>
      </c>
      <c r="L8" s="240" t="s">
        <v>278</v>
      </c>
      <c r="M8" s="167"/>
    </row>
    <row r="9" spans="1:21">
      <c r="A9" s="167"/>
      <c r="B9" s="167"/>
      <c r="C9" s="167"/>
      <c r="D9" s="167"/>
      <c r="E9" s="167"/>
      <c r="F9" s="167"/>
      <c r="G9" s="167"/>
      <c r="H9" s="167"/>
      <c r="I9" s="167"/>
      <c r="J9" s="167"/>
      <c r="K9" s="167"/>
      <c r="L9" s="167"/>
      <c r="M9" s="167"/>
    </row>
    <row r="10" spans="1:21">
      <c r="A10" s="1397" t="s">
        <v>277</v>
      </c>
      <c r="B10" s="232"/>
      <c r="C10" s="232"/>
      <c r="D10" s="232"/>
      <c r="E10" s="232"/>
      <c r="F10" s="232"/>
      <c r="G10" s="232"/>
      <c r="H10" s="232"/>
      <c r="I10" s="232"/>
      <c r="J10" s="232"/>
      <c r="K10" s="232"/>
      <c r="L10" s="232"/>
      <c r="M10" s="167"/>
    </row>
    <row r="11" spans="1:21" ht="17.100000000000001" customHeight="1">
      <c r="A11" s="168" t="s">
        <v>827</v>
      </c>
      <c r="B11" s="917"/>
      <c r="C11" s="917"/>
      <c r="D11" s="917"/>
      <c r="E11" s="917"/>
      <c r="F11" s="917"/>
      <c r="G11" s="917">
        <f>'Step 7 Final Adjustments'!Q12</f>
        <v>26139223</v>
      </c>
      <c r="H11" s="917"/>
      <c r="I11" s="917"/>
      <c r="J11" s="917">
        <f>SUM('Step 7 Final Adjustments'!B6,'Step 7 Final Adjustments'!B7,'Step 7 Final Adjustments'!G6,'Step 7 Final Adjustments'!G7,'Step 7 Final Adjustments'!G8)</f>
        <v>-2247150.1274277866</v>
      </c>
      <c r="K11" s="920">
        <f t="shared" ref="K11:K17" si="0">SUM(B11:J11)</f>
        <v>23892072.872572213</v>
      </c>
      <c r="L11" s="922">
        <f>K11/B$6</f>
        <v>4.1079316503751385E-2</v>
      </c>
      <c r="M11" s="167"/>
    </row>
    <row r="12" spans="1:21" ht="17.100000000000001" customHeight="1">
      <c r="A12" s="168" t="s">
        <v>276</v>
      </c>
      <c r="B12" s="917">
        <f>SUM('Step 7 Final Adjustments'!K16:L28)+'Step 7 Final Adjustments'!K34+'Step 7 Final Adjustments'!L34+'Step 7 Final Adjustments'!K49+'Step 7 Final Adjustments'!L49+'Step 7 Final Adjustments'!K29+'Step 7 Final Adjustments'!L29+'Step 7 Final Adjustments'!L30</f>
        <v>92798173.474186674</v>
      </c>
      <c r="C12" s="917">
        <f>SUM('Step 7 Final Adjustments'!K27,'Step 7 Final Adjustments'!L27,'Step 7 Final Adjustments'!K31,'Step 7 Final Adjustments'!L31,'Step 7 Final Adjustments'!K33,'Step 7 Final Adjustments'!L33,'Step 7 Final Adjustments'!K47,'Step 7 Final Adjustments'!L47,'Step 7 Final Adjustments'!K48,'Step 7 Final Adjustments'!L48,'Step 7 Final Adjustments'!K50,'Step 7 Final Adjustments'!L50)</f>
        <v>10427926.640000001</v>
      </c>
      <c r="D12" s="917">
        <f>SUM('Step 7 Final Adjustments'!K44,'Step 7 Final Adjustments'!L44,'Step 7 Final Adjustments'!K45,'Step 7 Final Adjustments'!L45,'Step 7 Final Adjustments'!K46,'Step 7 Final Adjustments'!L46,'Step 7 Final Adjustments'!K51,'Step 7 Final Adjustments'!L51)</f>
        <v>8329854.2980000004</v>
      </c>
      <c r="E12" s="917">
        <f>SUM('Step 7 Final Adjustments'!K54:L57)</f>
        <v>9952042</v>
      </c>
      <c r="F12" s="917">
        <f>SUM('Step 7 Final Adjustments'!K41,'Step 7 Final Adjustments'!L41,'Step 7 Final Adjustments'!K52,'Step 7 Final Adjustments'!L52,'Step 7 Final Adjustments'!K53,'Step 7 Final Adjustments'!L53)</f>
        <v>3852070</v>
      </c>
      <c r="G12" s="917"/>
      <c r="H12" s="917">
        <f>SUM('Step 7 Final Adjustments'!K39,'Step 7 Final Adjustments'!L39,'Step 7 Final Adjustments'!K42,'Step 7 Final Adjustments'!L42,'Step 7 Final Adjustments'!K43,'Step 7 Final Adjustments'!L43)</f>
        <v>0</v>
      </c>
      <c r="I12" s="917"/>
      <c r="J12" s="917">
        <f>SUM('Step 7 Final Adjustments'!K6:L8)</f>
        <v>3379900</v>
      </c>
      <c r="K12" s="920">
        <f t="shared" si="0"/>
        <v>128739966.41218668</v>
      </c>
      <c r="L12" s="922">
        <f t="shared" ref="L12:L17" si="1">K12/B$6</f>
        <v>0.22135165312507166</v>
      </c>
      <c r="M12" s="167"/>
      <c r="U12" s="180"/>
    </row>
    <row r="13" spans="1:21" ht="17.100000000000001" customHeight="1">
      <c r="A13" s="168" t="s">
        <v>753</v>
      </c>
      <c r="B13" s="168"/>
      <c r="C13" s="168"/>
      <c r="D13" s="168"/>
      <c r="E13" s="168"/>
      <c r="F13" s="168"/>
      <c r="G13" s="168"/>
      <c r="H13" s="168"/>
      <c r="I13" s="168"/>
      <c r="J13" s="173">
        <f>'Step 7 Final Adjustments'!L9</f>
        <v>10000000</v>
      </c>
      <c r="K13" s="920">
        <f t="shared" si="0"/>
        <v>10000000</v>
      </c>
      <c r="L13" s="922">
        <f>K13/B$6</f>
        <v>1.719370132631309E-2</v>
      </c>
      <c r="M13" s="167"/>
      <c r="U13" s="180"/>
    </row>
    <row r="14" spans="1:21" ht="17.100000000000001" customHeight="1">
      <c r="A14" s="168" t="s">
        <v>828</v>
      </c>
      <c r="B14" s="917"/>
      <c r="C14" s="917"/>
      <c r="D14" s="917"/>
      <c r="E14" s="917"/>
      <c r="F14" s="917"/>
      <c r="G14" s="917"/>
      <c r="H14" s="917">
        <f>'Step 7 Final Adjustments'!D39+'Step 7 Final Adjustments'!D42+'Step 7 Final Adjustments'!D43</f>
        <v>13020615</v>
      </c>
      <c r="I14" s="917"/>
      <c r="J14" s="917"/>
      <c r="K14" s="920">
        <f t="shared" si="0"/>
        <v>13020615</v>
      </c>
      <c r="L14" s="922">
        <f t="shared" si="1"/>
        <v>2.238725653949121E-2</v>
      </c>
      <c r="M14" s="167"/>
    </row>
    <row r="15" spans="1:21" ht="17.100000000000001" customHeight="1">
      <c r="A15" s="168" t="s">
        <v>1516</v>
      </c>
      <c r="B15" s="917">
        <f>SUM('Step 7 Final Adjustments'!C20,'Step 7 Final Adjustments'!C22,'Step 7 Final Adjustments'!C23,'Step 7 Final Adjustments'!C25,'Step 7 Final Adjustments'!C26)</f>
        <v>1450929</v>
      </c>
      <c r="C15" s="917">
        <f>SUM('Step 7 Final Adjustments'!C47,'Step 7 Final Adjustments'!C48,'Step 7 Final Adjustments'!C50,'Step 7 Final Adjustments'!O47)+'Step 7 Final Adjustments'!O31+'Step 7 Final Adjustments'!O33+0</f>
        <v>950000</v>
      </c>
      <c r="D15" s="917">
        <f>SUM('Step 7 Final Adjustments'!O44,'Step 7 Final Adjustments'!O45,'Step 7 Final Adjustments'!O51)</f>
        <v>0</v>
      </c>
      <c r="E15" s="917">
        <f>'Step 7 Final Adjustments'!C56</f>
        <v>0</v>
      </c>
      <c r="F15" s="917">
        <f>SUM('Step 7 Final Adjustments'!O55,'Step 7 Final Adjustments'!C55,'Step 7 Final Adjustments'!C54,'Step 7 Final Adjustments'!C53,'Step 7 Final Adjustments'!C41)</f>
        <v>26585</v>
      </c>
      <c r="G15" s="917"/>
      <c r="H15" s="917">
        <f>SUM('Step 7 Final Adjustments'!C39,'Step 7 Final Adjustments'!C43,'Step 7 Final Adjustments'!C40)</f>
        <v>8060700</v>
      </c>
      <c r="I15" s="917">
        <f>'Step 7 Final Adjustments'!C7</f>
        <v>3879280</v>
      </c>
      <c r="J15" s="917">
        <f>'Step 7 Final Adjustments'!C8</f>
        <v>-2735327.3010285702</v>
      </c>
      <c r="K15" s="920">
        <f t="shared" si="0"/>
        <v>11632166.69897143</v>
      </c>
      <c r="L15" s="922">
        <f t="shared" si="1"/>
        <v>0.02</v>
      </c>
      <c r="M15" s="167"/>
      <c r="O15" s="12"/>
    </row>
    <row r="16" spans="1:21" ht="17.100000000000001" customHeight="1">
      <c r="A16" s="168" t="s">
        <v>1517</v>
      </c>
      <c r="B16" s="917">
        <f>SUM('Step 7 Final Adjustments'!E16:E34)</f>
        <v>22140000</v>
      </c>
      <c r="C16" s="917"/>
      <c r="D16" s="917"/>
      <c r="E16" s="917"/>
      <c r="F16" s="917"/>
      <c r="G16" s="917"/>
      <c r="H16" s="917"/>
      <c r="I16" s="917"/>
      <c r="J16" s="917">
        <f>'Step 7 Final Adjustments'!E8</f>
        <v>-1783708.2767999992</v>
      </c>
      <c r="K16" s="920">
        <f t="shared" si="0"/>
        <v>20356291.723200001</v>
      </c>
      <c r="L16" s="922">
        <f>K16/B$6</f>
        <v>3.5000000000000003E-2</v>
      </c>
      <c r="M16" s="167"/>
      <c r="O16" s="12"/>
    </row>
    <row r="17" spans="1:16" ht="17.100000000000001" customHeight="1">
      <c r="A17" s="168" t="s">
        <v>823</v>
      </c>
      <c r="B17" s="917">
        <f>'Step 7 Final Adjustments'!B10</f>
        <v>18178922</v>
      </c>
      <c r="C17" s="917"/>
      <c r="D17" s="917"/>
      <c r="E17" s="917"/>
      <c r="F17" s="917"/>
      <c r="G17" s="917"/>
      <c r="H17" s="917"/>
      <c r="I17" s="917"/>
      <c r="J17" s="917">
        <f>'Step 7 Final Adjustments'!B11</f>
        <v>4150000</v>
      </c>
      <c r="K17" s="920">
        <f t="shared" si="0"/>
        <v>22328922</v>
      </c>
      <c r="L17" s="921">
        <f t="shared" si="1"/>
        <v>3.8391681580654154E-2</v>
      </c>
      <c r="M17" s="167"/>
      <c r="O17" s="12"/>
    </row>
    <row r="18" spans="1:16" ht="17.100000000000001" customHeight="1">
      <c r="A18" s="168"/>
      <c r="B18" s="917"/>
      <c r="C18" s="917"/>
      <c r="D18" s="917"/>
      <c r="E18" s="917"/>
      <c r="F18" s="917"/>
      <c r="G18" s="917"/>
      <c r="H18" s="917"/>
      <c r="I18" s="917"/>
      <c r="J18" s="917"/>
      <c r="K18" s="920"/>
      <c r="L18" s="921"/>
      <c r="M18" s="167"/>
      <c r="O18" s="12"/>
    </row>
    <row r="19" spans="1:16" ht="17.100000000000001" customHeight="1">
      <c r="A19" s="1397" t="s">
        <v>295</v>
      </c>
      <c r="B19" s="232"/>
      <c r="C19" s="232"/>
      <c r="D19" s="232"/>
      <c r="E19" s="232"/>
      <c r="F19" s="232"/>
      <c r="G19" s="232"/>
      <c r="H19" s="232"/>
      <c r="I19" s="232"/>
      <c r="J19" s="232"/>
      <c r="K19" s="232"/>
      <c r="L19" s="232"/>
      <c r="M19" s="167"/>
      <c r="O19" s="12"/>
    </row>
    <row r="20" spans="1:16" ht="17.100000000000001" customHeight="1">
      <c r="A20" s="168" t="s">
        <v>279</v>
      </c>
      <c r="B20" s="168"/>
      <c r="C20" s="168"/>
      <c r="D20" s="168"/>
      <c r="E20" s="168"/>
      <c r="F20" s="168"/>
      <c r="G20" s="168"/>
      <c r="H20" s="168"/>
      <c r="I20" s="168"/>
      <c r="J20" s="168"/>
      <c r="K20" s="168"/>
      <c r="L20" s="167"/>
      <c r="M20" s="167"/>
      <c r="O20" s="12"/>
    </row>
    <row r="21" spans="1:16" ht="17.100000000000001" customHeight="1">
      <c r="A21" s="1396" t="s">
        <v>288</v>
      </c>
      <c r="B21" s="917">
        <f>SUM('Step 3 Acad Product &amp; Pools'!L16:L28)+SUM('Step 3 Acad Product &amp; Pools'!L32,'Step 3 Acad Product &amp; Pools'!L49,'Step 3 Acad Product &amp; Pools'!L34)</f>
        <v>72149407.227410033</v>
      </c>
      <c r="C21" s="917">
        <f>SUM('Step 3 Acad Product &amp; Pools'!L31)</f>
        <v>143634.2346562871</v>
      </c>
      <c r="D21" s="917">
        <f>'Step 3 Acad Product &amp; Pools'!L45</f>
        <v>1646432.7362341844</v>
      </c>
      <c r="E21" s="917"/>
      <c r="F21" s="917"/>
      <c r="G21" s="917"/>
      <c r="H21" s="917"/>
      <c r="I21" s="917"/>
      <c r="J21" s="917"/>
      <c r="K21" s="920">
        <f t="shared" ref="K21:K26" si="2">SUM(B21:J21)</f>
        <v>73939474.198300511</v>
      </c>
      <c r="L21" s="922">
        <f t="shared" ref="L21:L26" si="3">K21/B$6</f>
        <v>0.12712932355902118</v>
      </c>
      <c r="M21" s="167"/>
      <c r="O21" s="12"/>
    </row>
    <row r="22" spans="1:16" ht="17.100000000000001" customHeight="1">
      <c r="A22" s="1396" t="s">
        <v>289</v>
      </c>
      <c r="B22" s="917">
        <f>SUM('Step 3 Acad Product &amp; Pools'!M16:M28)</f>
        <v>40626084.724340945</v>
      </c>
      <c r="C22" s="917"/>
      <c r="D22" s="917">
        <v>0</v>
      </c>
      <c r="E22" s="917"/>
      <c r="F22" s="917"/>
      <c r="G22" s="917"/>
      <c r="H22" s="917"/>
      <c r="I22" s="917"/>
      <c r="J22" s="917"/>
      <c r="K22" s="920">
        <f t="shared" si="2"/>
        <v>40626084.724340945</v>
      </c>
      <c r="L22" s="922">
        <f t="shared" si="3"/>
        <v>6.985127668078088E-2</v>
      </c>
      <c r="M22" s="167"/>
      <c r="O22" s="12"/>
    </row>
    <row r="23" spans="1:16" ht="17.100000000000001" customHeight="1">
      <c r="A23" s="1396" t="s">
        <v>290</v>
      </c>
      <c r="B23" s="917">
        <f>SUM('Step 3 Acad Product &amp; Pools'!Q16:Q33)</f>
        <v>32500867.779472753</v>
      </c>
      <c r="C23" s="917"/>
      <c r="D23" s="917"/>
      <c r="E23" s="917"/>
      <c r="F23" s="917"/>
      <c r="G23" s="917"/>
      <c r="H23" s="917"/>
      <c r="I23" s="917"/>
      <c r="J23" s="917"/>
      <c r="K23" s="920">
        <f t="shared" si="2"/>
        <v>32500867.779472753</v>
      </c>
      <c r="L23" s="922">
        <f t="shared" si="3"/>
        <v>5.58810213446247E-2</v>
      </c>
      <c r="M23" s="167"/>
      <c r="O23" s="12"/>
    </row>
    <row r="24" spans="1:16" ht="17.100000000000001" customHeight="1">
      <c r="A24" s="1396" t="s">
        <v>291</v>
      </c>
      <c r="B24" s="917">
        <f>SUM('Step 3 Acad Product &amp; Pools'!N16:N28)+'Step 3 Acad Product &amp; Pools'!N32</f>
        <v>56172000</v>
      </c>
      <c r="C24" s="917">
        <f>SUM('Step 3 Acad Product &amp; Pools'!N31)</f>
        <v>186000</v>
      </c>
      <c r="D24" s="917">
        <f>'Step 3 Acad Product &amp; Pools'!N45</f>
        <v>184000</v>
      </c>
      <c r="E24" s="917"/>
      <c r="F24" s="917"/>
      <c r="G24" s="917"/>
      <c r="H24" s="917"/>
      <c r="I24" s="917"/>
      <c r="J24" s="917"/>
      <c r="K24" s="920">
        <f t="shared" si="2"/>
        <v>56542000</v>
      </c>
      <c r="L24" s="922">
        <f t="shared" si="3"/>
        <v>9.7216626039239473E-2</v>
      </c>
      <c r="M24" s="167"/>
      <c r="O24" s="12"/>
    </row>
    <row r="25" spans="1:16" ht="17.100000000000001" customHeight="1">
      <c r="A25" s="1396" t="s">
        <v>292</v>
      </c>
      <c r="B25" s="917">
        <f>SUM('Step 3 Acad Product &amp; Pools'!O16:O26)+'Step 3 Acad Product &amp; Pools'!O34+'Step 3 Acad Product &amp; Pools'!O49</f>
        <v>8052718.2274939073</v>
      </c>
      <c r="C25" s="917">
        <f>SUM('Step 3 Acad Product &amp; Pools'!O31,'Step 3 Acad Product &amp; Pools'!O33,'Step 3 Acad Product &amp; Pools'!O47,'Step 3 Acad Product &amp; Pools'!O48,'Step 3 Acad Product &amp; Pools'!O50)</f>
        <v>8723.627158467234</v>
      </c>
      <c r="D25" s="917">
        <f>SUM('Step 3 Acad Product &amp; Pools'!O44,'Step 3 Acad Product &amp; Pools'!O45,'Step 3 Acad Product &amp; Pools'!O46,'Step 3 Acad Product &amp; Pools'!O51)</f>
        <v>63524.415430048721</v>
      </c>
      <c r="E25" s="917">
        <f>SUM('Step 3 Acad Product &amp; Pools'!O54:O57)</f>
        <v>239.13855267424046</v>
      </c>
      <c r="F25" s="917">
        <f>SUM('Step 3 Acad Product &amp; Pools'!O53,'Step 3 Acad Product &amp; Pools'!O52)</f>
        <v>0</v>
      </c>
      <c r="G25" s="917"/>
      <c r="H25" s="917">
        <f>'Step 3 Acad Product &amp; Pools'!O39</f>
        <v>11.536233093548432</v>
      </c>
      <c r="I25" s="917"/>
      <c r="J25" s="917"/>
      <c r="K25" s="920">
        <f t="shared" si="2"/>
        <v>8125216.9448681911</v>
      </c>
      <c r="L25" s="922">
        <f t="shared" si="3"/>
        <v>1.397025533615618E-2</v>
      </c>
      <c r="M25" s="167"/>
      <c r="O25" s="12"/>
      <c r="P25" s="180"/>
    </row>
    <row r="26" spans="1:16">
      <c r="A26" s="1396" t="s">
        <v>821</v>
      </c>
      <c r="B26" s="917">
        <f>SUM('Step 3 Acad Product &amp; Pools'!P16:P28)+'Step 3 Acad Product &amp; Pools'!P32</f>
        <v>7308154.872562658</v>
      </c>
      <c r="C26" s="917">
        <f>'Step 3 Acad Product &amp; Pools'!P31</f>
        <v>1667.0933675625088</v>
      </c>
      <c r="D26" s="917">
        <f>'Step 3 Acad Product &amp; Pools'!P45</f>
        <v>2873.2844511518533</v>
      </c>
      <c r="E26" s="917"/>
      <c r="F26" s="917"/>
      <c r="G26" s="917"/>
      <c r="H26" s="917"/>
      <c r="I26" s="917"/>
      <c r="J26" s="917"/>
      <c r="K26" s="920">
        <f t="shared" si="2"/>
        <v>7312695.2503813729</v>
      </c>
      <c r="L26" s="922">
        <f t="shared" si="3"/>
        <v>1.2573229802540564E-2</v>
      </c>
      <c r="M26" s="167"/>
      <c r="O26" s="12"/>
    </row>
    <row r="27" spans="1:16">
      <c r="A27" s="168" t="s">
        <v>1531</v>
      </c>
      <c r="B27" s="917"/>
      <c r="C27" s="917"/>
      <c r="D27" s="917"/>
      <c r="E27" s="917"/>
      <c r="F27" s="917"/>
      <c r="G27" s="917"/>
      <c r="H27" s="917"/>
      <c r="I27" s="917"/>
      <c r="J27" s="917"/>
      <c r="K27" s="923"/>
      <c r="L27" s="923"/>
      <c r="M27" s="167"/>
    </row>
    <row r="28" spans="1:16">
      <c r="A28" s="168" t="s">
        <v>287</v>
      </c>
      <c r="B28" s="917">
        <f>'Step 7 Final Adjustments'!G49+'Step 7 Final Adjustments'!P49+'Step 7 Final Adjustments'!G29</f>
        <v>1650792.5371277812</v>
      </c>
      <c r="C28" s="917">
        <f>SUM('Step 7 Final Adjustments'!G31,'Step 7 Final Adjustments'!P31,'Step 7 Final Adjustments'!G33,'Step 7 Final Adjustments'!P33,'Step 7 Final Adjustments'!G27,'Step 7 Final Adjustments'!P27,'Step 7 Final Adjustments'!G47,'Step 7 Final Adjustments'!P47+'Step 7 Final Adjustments'!G48,'Step 7 Final Adjustments'!P48,'Step 7 Final Adjustments'!G50,'Step 7 Final Adjustments'!P50)</f>
        <v>41545608.404817685</v>
      </c>
      <c r="D28" s="917">
        <f>SUM('Step 7 Final Adjustments'!G46,'Step 7 Final Adjustments'!P46,'Step 7 Final Adjustments'!G51,'Step 7 Final Adjustments'!P51,'Step 7 Final Adjustments'!G44,'Step 7 Final Adjustments'!P44,'Step 7 Final Adjustments'!G45,'Step 7 Final Adjustments'!P45)</f>
        <v>22342820.540884614</v>
      </c>
      <c r="E28" s="917">
        <f>SUM('Step 7 Final Adjustments'!G54,'Step 7 Final Adjustments'!G55,'Step 7 Final Adjustments'!G56,'Step 7 Final Adjustments'!G57,'Step 7 Final Adjustments'!P54,'Step 7 Final Adjustments'!P55,'Step 7 Final Adjustments'!P56,'Step 7 Final Adjustments'!P57)</f>
        <v>27790896.861447327</v>
      </c>
      <c r="F28" s="917">
        <f>SUM('Step 7 Final Adjustments'!G41,'Step 7 Final Adjustments'!P41,'Step 7 Final Adjustments'!G52,'Step 7 Final Adjustments'!P52,'Step 7 Final Adjustments'!G53,'Step 7 Final Adjustments'!P53)</f>
        <v>39261843</v>
      </c>
      <c r="G28" s="917"/>
      <c r="H28" s="917"/>
      <c r="I28" s="917"/>
      <c r="J28" s="917"/>
      <c r="K28" s="920">
        <f>SUM(B28:J28)</f>
        <v>132591961.34427741</v>
      </c>
      <c r="L28" s="922">
        <f>K28/B$6</f>
        <v>0.22797465816235563</v>
      </c>
      <c r="M28" s="167"/>
      <c r="P28" s="180"/>
    </row>
    <row r="29" spans="1:16">
      <c r="A29" s="168"/>
      <c r="B29" s="168"/>
      <c r="C29" s="168"/>
      <c r="D29" s="168"/>
      <c r="E29" s="168"/>
      <c r="F29" s="168"/>
      <c r="G29" s="168"/>
      <c r="H29" s="168"/>
      <c r="I29" s="168"/>
      <c r="J29" s="168"/>
      <c r="K29" s="168"/>
      <c r="L29" s="167"/>
      <c r="M29" s="167"/>
    </row>
    <row r="30" spans="1:16">
      <c r="A30" s="1397" t="s">
        <v>294</v>
      </c>
      <c r="B30" s="232"/>
      <c r="C30" s="232"/>
      <c r="D30" s="232"/>
      <c r="E30" s="232"/>
      <c r="F30" s="232"/>
      <c r="G30" s="232"/>
      <c r="H30" s="232"/>
      <c r="I30" s="232"/>
      <c r="J30" s="232"/>
      <c r="K30" s="232"/>
      <c r="L30" s="232"/>
      <c r="M30" s="167"/>
    </row>
    <row r="31" spans="1:16">
      <c r="A31" s="168"/>
      <c r="B31" s="917">
        <f>SUM('Step 7 Final Adjustments'!O15,'Step 7 Final Adjustments'!N20,'Step 7 Final Adjustments'!O21,'Step 7 Final Adjustments'!O24,'Step 7 Final Adjustments'!O25,'Step 7 Final Adjustments'!P28,'Step 7 Final Adjustments'!P32)</f>
        <v>3873757.0580212362</v>
      </c>
      <c r="C31" s="917"/>
      <c r="D31" s="917"/>
      <c r="E31" s="917"/>
      <c r="F31" s="917"/>
      <c r="G31" s="917"/>
      <c r="H31" s="917"/>
      <c r="I31" s="917"/>
      <c r="J31" s="917">
        <f>SUM('Step 7 Final Adjustments'!N8,'Step 7 Final Adjustments'!O8)-'Step 7 Final Adjustments'!P28-'Step 7 Final Adjustments'!P32</f>
        <v>-3873757.0580212362</v>
      </c>
      <c r="K31" s="920">
        <f>SUM(B31:J31)</f>
        <v>0</v>
      </c>
      <c r="L31" s="167"/>
      <c r="M31" s="167"/>
    </row>
    <row r="32" spans="1:16">
      <c r="A32" s="233" t="s">
        <v>13</v>
      </c>
      <c r="B32" s="1398">
        <f t="shared" ref="B32:J32" si="4">SUM(B11:B31)</f>
        <v>356901806.90061593</v>
      </c>
      <c r="C32" s="1398">
        <f t="shared" si="4"/>
        <v>53263560</v>
      </c>
      <c r="D32" s="1398">
        <f>SUM(D11:D31)</f>
        <v>32569505.274999999</v>
      </c>
      <c r="E32" s="1398">
        <f t="shared" si="4"/>
        <v>37743178</v>
      </c>
      <c r="F32" s="1398">
        <f t="shared" si="4"/>
        <v>43140498</v>
      </c>
      <c r="G32" s="1398">
        <f t="shared" si="4"/>
        <v>26139223</v>
      </c>
      <c r="H32" s="1430">
        <f t="shared" si="4"/>
        <v>21081326.536233094</v>
      </c>
      <c r="I32" s="1430">
        <f t="shared" si="4"/>
        <v>3879280</v>
      </c>
      <c r="J32" s="1430">
        <f t="shared" si="4"/>
        <v>6889957.2367224079</v>
      </c>
      <c r="K32" s="1398">
        <f>SUM(B32:J32)</f>
        <v>581608334.94857132</v>
      </c>
      <c r="L32" s="1399">
        <f>SUM(L11:L30)</f>
        <v>1</v>
      </c>
      <c r="M32" s="167"/>
    </row>
    <row r="33" spans="1:13" ht="16.5" thickBot="1">
      <c r="A33" s="1400" t="s">
        <v>286</v>
      </c>
      <c r="B33" s="1401">
        <f>B32/$K32</f>
        <v>0.61364630706706591</v>
      </c>
      <c r="C33" s="1401">
        <f t="shared" ref="C33:J33" si="5">C32/$K32</f>
        <v>9.1579774221615701E-2</v>
      </c>
      <c r="D33" s="1401">
        <f t="shared" si="5"/>
        <v>5.599903460441287E-2</v>
      </c>
      <c r="E33" s="1401">
        <f t="shared" si="5"/>
        <v>6.4894492963787118E-2</v>
      </c>
      <c r="F33" s="1401">
        <f t="shared" si="5"/>
        <v>7.4174483768040728E-2</v>
      </c>
      <c r="G33" s="1401">
        <f t="shared" si="5"/>
        <v>4.494299931638937E-2</v>
      </c>
      <c r="H33" s="1401">
        <f>H32/$K32</f>
        <v>3.6246603202647033E-2</v>
      </c>
      <c r="I33" s="1401">
        <f t="shared" si="5"/>
        <v>6.6699181681139849E-3</v>
      </c>
      <c r="J33" s="1401">
        <f t="shared" si="5"/>
        <v>1.1846386687927455E-2</v>
      </c>
      <c r="K33" s="1402">
        <f>SUM(B33:J33)</f>
        <v>1.0000000000000002</v>
      </c>
      <c r="L33" s="1400"/>
      <c r="M33" s="167"/>
    </row>
    <row r="34" spans="1:13" ht="16.5" thickTop="1">
      <c r="I34" s="167"/>
      <c r="J34" s="185"/>
      <c r="K34" s="185">
        <f>SUM(K11:K31)</f>
        <v>581608334.94857156</v>
      </c>
      <c r="L34" s="167"/>
      <c r="M34" s="167"/>
    </row>
    <row r="35" spans="1:13">
      <c r="B35" s="916" t="s">
        <v>818</v>
      </c>
      <c r="C35" t="s">
        <v>825</v>
      </c>
      <c r="I35" s="167"/>
      <c r="J35" s="167"/>
      <c r="K35" s="167"/>
      <c r="L35" s="167"/>
      <c r="M35" s="167"/>
    </row>
    <row r="36" spans="1:13" ht="18">
      <c r="B36" s="244">
        <v>1</v>
      </c>
      <c r="C36" t="s">
        <v>322</v>
      </c>
      <c r="I36" s="167"/>
      <c r="J36" s="167"/>
      <c r="L36" s="167"/>
      <c r="M36" s="167"/>
    </row>
    <row r="37" spans="1:13" ht="18">
      <c r="B37" s="244">
        <v>2</v>
      </c>
      <c r="C37" t="s">
        <v>820</v>
      </c>
    </row>
    <row r="38" spans="1:13" ht="18">
      <c r="B38" s="244">
        <v>3</v>
      </c>
      <c r="C38" t="s">
        <v>826</v>
      </c>
      <c r="K38" s="180"/>
    </row>
    <row r="39" spans="1:13" ht="18">
      <c r="B39" s="244">
        <v>4</v>
      </c>
      <c r="C39" t="s">
        <v>323</v>
      </c>
      <c r="J39" s="180"/>
      <c r="K39" s="180"/>
    </row>
    <row r="40" spans="1:13" ht="18">
      <c r="B40" s="244">
        <v>5</v>
      </c>
      <c r="C40" t="s">
        <v>1532</v>
      </c>
      <c r="K40" s="12"/>
    </row>
    <row r="41" spans="1:13">
      <c r="K41" s="180"/>
    </row>
    <row r="43" spans="1:13">
      <c r="B43" s="12"/>
      <c r="C43" s="12"/>
      <c r="D43" s="12"/>
      <c r="E43" s="12"/>
      <c r="F43" s="12"/>
      <c r="G43" s="12"/>
    </row>
    <row r="44" spans="1:13">
      <c r="K44" s="12"/>
    </row>
    <row r="45" spans="1:13">
      <c r="F45" s="12"/>
      <c r="G45" s="12"/>
      <c r="H45" s="12"/>
      <c r="I45" s="12"/>
      <c r="J45" s="12"/>
      <c r="K45" s="12"/>
      <c r="L45" s="12"/>
    </row>
    <row r="47" spans="1:13">
      <c r="K47" s="180"/>
    </row>
  </sheetData>
  <mergeCells count="3">
    <mergeCell ref="C7:F7"/>
    <mergeCell ref="B7:B8"/>
    <mergeCell ref="G7:J7"/>
  </mergeCells>
  <phoneticPr fontId="52" type="noConversion"/>
  <pageMargins left="0.75" right="0.75" top="1" bottom="1" header="0.5" footer="0.5"/>
  <pageSetup scale="58" orientation="landscape" horizontalDpi="4294967292" verticalDpi="4294967292" copies="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58"/>
  <sheetViews>
    <sheetView topLeftCell="P4" workbookViewId="0">
      <selection activeCell="AF27" sqref="AF27"/>
    </sheetView>
  </sheetViews>
  <sheetFormatPr defaultColWidth="11" defaultRowHeight="15.75"/>
  <cols>
    <col min="1" max="1" width="36.125" customWidth="1"/>
    <col min="2" max="29" width="11.5" customWidth="1"/>
  </cols>
  <sheetData>
    <row r="1" spans="1:31">
      <c r="Y1" t="s">
        <v>1512</v>
      </c>
    </row>
    <row r="2" spans="1:31">
      <c r="B2" t="s">
        <v>1192</v>
      </c>
      <c r="F2" t="s">
        <v>1193</v>
      </c>
      <c r="K2" t="s">
        <v>1199</v>
      </c>
      <c r="P2" t="s">
        <v>1200</v>
      </c>
      <c r="U2" t="s">
        <v>1199</v>
      </c>
      <c r="Y2" t="s">
        <v>1513</v>
      </c>
    </row>
    <row r="3" spans="1:31">
      <c r="B3" t="s">
        <v>1191</v>
      </c>
      <c r="F3" t="s">
        <v>1194</v>
      </c>
      <c r="K3" t="s">
        <v>1188</v>
      </c>
      <c r="P3" t="s">
        <v>1188</v>
      </c>
      <c r="U3" t="s">
        <v>1188</v>
      </c>
    </row>
    <row r="4" spans="1:31">
      <c r="F4" t="s">
        <v>1196</v>
      </c>
      <c r="K4" t="s">
        <v>1196</v>
      </c>
      <c r="P4" t="s">
        <v>1201</v>
      </c>
      <c r="U4" t="s">
        <v>1202</v>
      </c>
    </row>
    <row r="5" spans="1:31" ht="76.5">
      <c r="A5" s="186" t="s">
        <v>69</v>
      </c>
      <c r="B5" s="238" t="s">
        <v>1189</v>
      </c>
      <c r="C5" s="238" t="s">
        <v>1190</v>
      </c>
      <c r="D5" s="238" t="s">
        <v>13</v>
      </c>
      <c r="F5" s="238" t="s">
        <v>1189</v>
      </c>
      <c r="G5" s="238" t="s">
        <v>1195</v>
      </c>
      <c r="H5" s="238" t="s">
        <v>1197</v>
      </c>
      <c r="I5" s="238" t="s">
        <v>13</v>
      </c>
      <c r="K5" s="238" t="s">
        <v>957</v>
      </c>
      <c r="L5" s="238" t="s">
        <v>1027</v>
      </c>
      <c r="M5" s="238" t="s">
        <v>1198</v>
      </c>
      <c r="N5" s="238" t="s">
        <v>13</v>
      </c>
      <c r="P5" s="238" t="s">
        <v>957</v>
      </c>
      <c r="Q5" s="238" t="s">
        <v>1027</v>
      </c>
      <c r="R5" s="238" t="s">
        <v>1198</v>
      </c>
      <c r="S5" s="238" t="s">
        <v>13</v>
      </c>
      <c r="U5" s="238" t="s">
        <v>957</v>
      </c>
      <c r="V5" s="238" t="s">
        <v>1027</v>
      </c>
      <c r="W5" s="238" t="s">
        <v>1198</v>
      </c>
      <c r="X5" s="238" t="s">
        <v>13</v>
      </c>
      <c r="Y5" s="238"/>
      <c r="AA5" s="1226" t="s">
        <v>1203</v>
      </c>
      <c r="AB5" s="238" t="s">
        <v>1511</v>
      </c>
      <c r="AC5" s="1226" t="s">
        <v>1578</v>
      </c>
      <c r="AE5" s="1226" t="s">
        <v>1759</v>
      </c>
    </row>
    <row r="6" spans="1:31">
      <c r="A6" s="177" t="s">
        <v>479</v>
      </c>
      <c r="B6" s="44"/>
      <c r="C6" s="44"/>
      <c r="D6" s="44">
        <f t="shared" ref="D6:D12" si="0">B6+C6</f>
        <v>0</v>
      </c>
      <c r="F6" s="44"/>
      <c r="G6" s="44"/>
      <c r="H6" s="44"/>
      <c r="I6" s="44">
        <f>F6+G6</f>
        <v>0</v>
      </c>
      <c r="K6" s="44"/>
      <c r="L6" s="44"/>
      <c r="M6" s="44"/>
      <c r="N6" s="44">
        <f>K6+L6</f>
        <v>0</v>
      </c>
      <c r="P6" s="44"/>
      <c r="Q6" s="44"/>
      <c r="R6" s="44"/>
      <c r="S6" s="44">
        <f>P6+Q6</f>
        <v>0</v>
      </c>
      <c r="U6" s="44"/>
      <c r="V6" s="44"/>
      <c r="W6" s="44"/>
      <c r="X6" s="44">
        <f>U6+V6</f>
        <v>0</v>
      </c>
      <c r="Y6" s="44"/>
      <c r="AA6" s="44"/>
      <c r="AB6" s="44"/>
      <c r="AC6" s="44"/>
    </row>
    <row r="7" spans="1:31">
      <c r="A7" s="177" t="s">
        <v>486</v>
      </c>
      <c r="B7" s="44"/>
      <c r="C7" s="44"/>
      <c r="D7" s="44">
        <f t="shared" si="0"/>
        <v>0</v>
      </c>
      <c r="F7" s="44"/>
      <c r="G7" s="44"/>
      <c r="H7" s="44"/>
      <c r="I7" s="44">
        <f t="shared" ref="I7:I12" si="1">F7+G7</f>
        <v>0</v>
      </c>
      <c r="K7" s="44">
        <v>0</v>
      </c>
      <c r="L7" s="44"/>
      <c r="M7" s="44"/>
      <c r="N7" s="44">
        <f t="shared" ref="N7:N12" si="2">K7+L7</f>
        <v>0</v>
      </c>
      <c r="P7" s="44">
        <v>0</v>
      </c>
      <c r="Q7" s="44"/>
      <c r="R7" s="44"/>
      <c r="S7" s="44">
        <f t="shared" ref="S7:S12" si="3">P7+Q7</f>
        <v>0</v>
      </c>
      <c r="U7" s="44">
        <v>0</v>
      </c>
      <c r="V7" s="44"/>
      <c r="W7" s="44"/>
      <c r="X7" s="44">
        <f t="shared" ref="X7:X12" si="4">U7+V7</f>
        <v>0</v>
      </c>
      <c r="Y7" s="44"/>
      <c r="AA7" s="44">
        <v>0</v>
      </c>
      <c r="AB7" s="44"/>
      <c r="AC7" s="44">
        <v>0</v>
      </c>
    </row>
    <row r="8" spans="1:31">
      <c r="A8" s="177" t="s">
        <v>735</v>
      </c>
      <c r="B8" s="44">
        <v>-7075431.1794386227</v>
      </c>
      <c r="C8" s="44">
        <v>-18794188.882062927</v>
      </c>
      <c r="D8" s="44">
        <f t="shared" si="0"/>
        <v>-25869620.061501548</v>
      </c>
      <c r="F8" s="44">
        <v>-4160198.4242307842</v>
      </c>
      <c r="G8" s="44">
        <v>-16105893.84990913</v>
      </c>
      <c r="H8" s="44"/>
      <c r="I8" s="44">
        <f t="shared" si="1"/>
        <v>-20266092.274139915</v>
      </c>
      <c r="K8" s="44">
        <v>-5577569.7608516775</v>
      </c>
      <c r="L8" s="44">
        <v>-17503004.038353819</v>
      </c>
      <c r="M8" s="44"/>
      <c r="N8" s="44">
        <f t="shared" si="2"/>
        <v>-23080573.799205497</v>
      </c>
      <c r="P8" s="44">
        <v>-5383148.3546258993</v>
      </c>
      <c r="Q8" s="44">
        <v>-15951772.166773807</v>
      </c>
      <c r="R8" s="44"/>
      <c r="S8" s="44">
        <f t="shared" si="3"/>
        <v>-21334920.521399707</v>
      </c>
      <c r="U8" s="44">
        <v>-5577569.7608516775</v>
      </c>
      <c r="V8" s="44">
        <v>-17503004.038353819</v>
      </c>
      <c r="W8" s="44"/>
      <c r="X8" s="44">
        <f t="shared" si="4"/>
        <v>-23080573.799205497</v>
      </c>
      <c r="Y8" s="44"/>
      <c r="AA8" s="44"/>
      <c r="AB8" s="44"/>
      <c r="AC8" s="44"/>
    </row>
    <row r="9" spans="1:31">
      <c r="A9" s="177" t="s">
        <v>753</v>
      </c>
      <c r="B9" s="44"/>
      <c r="C9" s="44"/>
      <c r="D9" s="44">
        <f t="shared" si="0"/>
        <v>0</v>
      </c>
      <c r="F9" s="44"/>
      <c r="G9" s="44"/>
      <c r="H9" s="44"/>
      <c r="I9" s="44">
        <f t="shared" si="1"/>
        <v>0</v>
      </c>
      <c r="K9" s="44"/>
      <c r="L9" s="44"/>
      <c r="M9" s="44"/>
      <c r="N9" s="44">
        <f t="shared" si="2"/>
        <v>0</v>
      </c>
      <c r="P9" s="44"/>
      <c r="Q9" s="44"/>
      <c r="R9" s="44"/>
      <c r="S9" s="44">
        <f t="shared" si="3"/>
        <v>0</v>
      </c>
      <c r="U9" s="44"/>
      <c r="V9" s="44"/>
      <c r="W9" s="44"/>
      <c r="X9" s="44">
        <f t="shared" si="4"/>
        <v>0</v>
      </c>
      <c r="Y9" s="44"/>
      <c r="AA9" s="44"/>
      <c r="AB9" s="44"/>
      <c r="AC9" s="44"/>
    </row>
    <row r="10" spans="1:31">
      <c r="A10" s="177" t="s">
        <v>480</v>
      </c>
      <c r="B10" s="44"/>
      <c r="C10" s="44"/>
      <c r="D10" s="44">
        <f t="shared" si="0"/>
        <v>0</v>
      </c>
      <c r="F10" s="44"/>
      <c r="G10" s="44"/>
      <c r="H10" s="44"/>
      <c r="I10" s="44">
        <f t="shared" si="1"/>
        <v>0</v>
      </c>
      <c r="K10" s="44"/>
      <c r="L10" s="44"/>
      <c r="M10" s="44"/>
      <c r="N10" s="44">
        <f t="shared" si="2"/>
        <v>0</v>
      </c>
      <c r="P10" s="44"/>
      <c r="Q10" s="44"/>
      <c r="R10" s="44"/>
      <c r="S10" s="44">
        <f t="shared" si="3"/>
        <v>0</v>
      </c>
      <c r="U10" s="44"/>
      <c r="V10" s="44"/>
      <c r="W10" s="44"/>
      <c r="X10" s="44">
        <f t="shared" si="4"/>
        <v>0</v>
      </c>
      <c r="Y10" s="44"/>
      <c r="AA10" s="44"/>
      <c r="AB10" s="44"/>
      <c r="AC10" s="44"/>
    </row>
    <row r="11" spans="1:31">
      <c r="A11" s="177" t="s">
        <v>481</v>
      </c>
      <c r="B11" s="44"/>
      <c r="C11" s="44"/>
      <c r="D11" s="44">
        <f t="shared" si="0"/>
        <v>0</v>
      </c>
      <c r="F11" s="44"/>
      <c r="G11" s="44"/>
      <c r="H11" s="44"/>
      <c r="I11" s="44">
        <f t="shared" si="1"/>
        <v>0</v>
      </c>
      <c r="K11" s="44"/>
      <c r="L11" s="44"/>
      <c r="M11" s="44"/>
      <c r="N11" s="44">
        <f t="shared" si="2"/>
        <v>0</v>
      </c>
      <c r="P11" s="44"/>
      <c r="Q11" s="44"/>
      <c r="R11" s="44"/>
      <c r="S11" s="44">
        <f t="shared" si="3"/>
        <v>0</v>
      </c>
      <c r="U11" s="44"/>
      <c r="V11" s="44"/>
      <c r="W11" s="44"/>
      <c r="X11" s="44">
        <f t="shared" si="4"/>
        <v>0</v>
      </c>
      <c r="Y11" s="44"/>
      <c r="AA11" s="44"/>
      <c r="AB11" s="44"/>
      <c r="AC11" s="44"/>
    </row>
    <row r="12" spans="1:31">
      <c r="A12" s="177" t="s">
        <v>482</v>
      </c>
      <c r="B12" s="44"/>
      <c r="C12" s="44"/>
      <c r="D12" s="44">
        <f t="shared" si="0"/>
        <v>0</v>
      </c>
      <c r="F12" s="44"/>
      <c r="G12" s="44"/>
      <c r="H12" s="44"/>
      <c r="I12" s="44">
        <f t="shared" si="1"/>
        <v>0</v>
      </c>
      <c r="K12" s="44"/>
      <c r="L12" s="44"/>
      <c r="M12" s="44"/>
      <c r="N12" s="44">
        <f t="shared" si="2"/>
        <v>0</v>
      </c>
      <c r="P12" s="44"/>
      <c r="Q12" s="44"/>
      <c r="R12" s="44"/>
      <c r="S12" s="44">
        <f t="shared" si="3"/>
        <v>0</v>
      </c>
      <c r="U12" s="44"/>
      <c r="V12" s="44"/>
      <c r="W12" s="44"/>
      <c r="X12" s="44">
        <f t="shared" si="4"/>
        <v>0</v>
      </c>
      <c r="Y12" s="44"/>
      <c r="AA12" s="44"/>
      <c r="AB12" s="44"/>
      <c r="AC12" s="44"/>
    </row>
    <row r="13" spans="1:31">
      <c r="A13" s="168"/>
      <c r="B13" s="48"/>
      <c r="C13" s="48"/>
      <c r="D13" s="48"/>
      <c r="F13" s="48"/>
      <c r="G13" s="48"/>
      <c r="H13" s="48"/>
      <c r="I13" s="48"/>
      <c r="K13" s="48"/>
      <c r="L13" s="48"/>
      <c r="M13" s="48"/>
      <c r="N13" s="48"/>
      <c r="P13" s="48"/>
      <c r="Q13" s="48"/>
      <c r="R13" s="48"/>
      <c r="S13" s="48"/>
      <c r="U13" s="48"/>
      <c r="V13" s="48"/>
      <c r="W13" s="48"/>
      <c r="X13" s="48"/>
      <c r="Y13" s="48"/>
      <c r="AA13" s="48"/>
      <c r="AB13" s="48"/>
      <c r="AC13" s="48"/>
    </row>
    <row r="14" spans="1:31">
      <c r="A14" s="51" t="s">
        <v>72</v>
      </c>
      <c r="B14" s="34"/>
      <c r="C14" s="34"/>
      <c r="D14" s="34"/>
      <c r="F14" s="34"/>
      <c r="G14" s="34"/>
      <c r="H14" s="34"/>
      <c r="I14" s="34"/>
      <c r="K14" s="34"/>
      <c r="L14" s="34"/>
      <c r="M14" s="34"/>
      <c r="N14" s="34"/>
      <c r="P14" s="34"/>
      <c r="Q14" s="34"/>
      <c r="R14" s="34"/>
      <c r="S14" s="34"/>
      <c r="U14" s="34"/>
      <c r="V14" s="34"/>
      <c r="W14" s="34"/>
      <c r="X14" s="34"/>
      <c r="Y14" s="34"/>
      <c r="AA14" s="34"/>
      <c r="AB14" s="34"/>
      <c r="AC14" s="34"/>
    </row>
    <row r="15" spans="1:31">
      <c r="A15" s="179" t="s">
        <v>73</v>
      </c>
      <c r="B15" s="44"/>
      <c r="C15" s="44">
        <v>1094858.8781696409</v>
      </c>
      <c r="D15" s="44">
        <f t="shared" ref="D15:D33" si="5">B15+C15</f>
        <v>1094858.8781696409</v>
      </c>
      <c r="F15" s="44">
        <v>0</v>
      </c>
      <c r="G15" s="44">
        <v>0</v>
      </c>
      <c r="H15" s="44"/>
      <c r="I15" s="44">
        <f>F15+G15</f>
        <v>0</v>
      </c>
      <c r="K15" s="44">
        <v>0</v>
      </c>
      <c r="L15" s="44">
        <v>0</v>
      </c>
      <c r="M15" s="44"/>
      <c r="N15" s="44">
        <f>K15+L15</f>
        <v>0</v>
      </c>
      <c r="P15" s="44">
        <v>0</v>
      </c>
      <c r="Q15" s="44">
        <v>0</v>
      </c>
      <c r="R15" s="44"/>
      <c r="S15" s="44">
        <f>P15+Q15</f>
        <v>0</v>
      </c>
      <c r="U15" s="44">
        <v>0</v>
      </c>
      <c r="V15" s="44">
        <v>0</v>
      </c>
      <c r="W15" s="44"/>
      <c r="X15" s="44">
        <f>U15+V15</f>
        <v>0</v>
      </c>
      <c r="Y15" s="44"/>
      <c r="AA15" s="44">
        <v>0</v>
      </c>
      <c r="AB15" s="44"/>
      <c r="AC15" s="44">
        <v>0</v>
      </c>
      <c r="AE15" s="44">
        <v>0</v>
      </c>
    </row>
    <row r="16" spans="1:31">
      <c r="A16" s="54" t="s">
        <v>74</v>
      </c>
      <c r="B16" s="48"/>
      <c r="C16" s="48">
        <v>450757.45151346922</v>
      </c>
      <c r="D16" s="48">
        <f t="shared" si="5"/>
        <v>450757.45151346922</v>
      </c>
      <c r="F16" s="48">
        <v>0</v>
      </c>
      <c r="G16" s="48">
        <v>0</v>
      </c>
      <c r="H16" s="48"/>
      <c r="I16" s="48">
        <f>F16+G16</f>
        <v>0</v>
      </c>
      <c r="K16" s="48">
        <v>0</v>
      </c>
      <c r="L16" s="48">
        <v>0</v>
      </c>
      <c r="M16" s="48"/>
      <c r="N16" s="48">
        <f>K16+L16</f>
        <v>0</v>
      </c>
      <c r="P16" s="48">
        <v>0</v>
      </c>
      <c r="Q16" s="48">
        <v>0</v>
      </c>
      <c r="R16" s="48"/>
      <c r="S16" s="48">
        <f>P16+Q16</f>
        <v>0</v>
      </c>
      <c r="U16" s="48">
        <v>0</v>
      </c>
      <c r="V16" s="48">
        <v>0</v>
      </c>
      <c r="W16" s="48"/>
      <c r="X16" s="48">
        <f>U16+V16</f>
        <v>0</v>
      </c>
      <c r="Y16" s="48"/>
      <c r="AA16" s="48">
        <v>0</v>
      </c>
      <c r="AB16" s="48"/>
      <c r="AC16" s="48">
        <v>0</v>
      </c>
      <c r="AE16" s="48">
        <v>0</v>
      </c>
    </row>
    <row r="17" spans="1:32">
      <c r="A17" s="178" t="s">
        <v>75</v>
      </c>
      <c r="B17" s="48"/>
      <c r="C17" s="48">
        <v>0</v>
      </c>
      <c r="D17" s="48">
        <f t="shared" si="5"/>
        <v>0</v>
      </c>
      <c r="F17" s="48">
        <v>0</v>
      </c>
      <c r="G17" s="48">
        <v>0</v>
      </c>
      <c r="H17" s="48"/>
      <c r="I17" s="48">
        <f>F17+G17</f>
        <v>0</v>
      </c>
      <c r="K17" s="48">
        <v>0</v>
      </c>
      <c r="L17" s="48">
        <v>0</v>
      </c>
      <c r="M17" s="48"/>
      <c r="N17" s="48">
        <f>K17+L17</f>
        <v>0</v>
      </c>
      <c r="P17" s="48">
        <v>0</v>
      </c>
      <c r="Q17" s="48">
        <v>0</v>
      </c>
      <c r="R17" s="48"/>
      <c r="S17" s="48">
        <f>P17+Q17</f>
        <v>0</v>
      </c>
      <c r="U17" s="48">
        <v>0</v>
      </c>
      <c r="V17" s="48">
        <v>0</v>
      </c>
      <c r="W17" s="48"/>
      <c r="X17" s="48">
        <f>U17+V17</f>
        <v>0</v>
      </c>
      <c r="Y17" s="48"/>
      <c r="AA17" s="48">
        <v>0</v>
      </c>
      <c r="AB17" s="48"/>
      <c r="AC17" s="48">
        <v>0</v>
      </c>
      <c r="AE17" s="48">
        <v>0</v>
      </c>
    </row>
    <row r="18" spans="1:32">
      <c r="A18" s="179" t="s">
        <v>76</v>
      </c>
      <c r="B18" s="44"/>
      <c r="C18" s="44">
        <v>1103237.7887646509</v>
      </c>
      <c r="D18" s="44">
        <f t="shared" si="5"/>
        <v>1103237.7887646509</v>
      </c>
      <c r="F18" s="44">
        <v>0</v>
      </c>
      <c r="G18" s="44">
        <v>687133.19659969397</v>
      </c>
      <c r="H18" s="44">
        <v>105921</v>
      </c>
      <c r="I18" s="44">
        <f>SUM(F18:H18)</f>
        <v>793054.19659969397</v>
      </c>
      <c r="K18" s="44">
        <v>0</v>
      </c>
      <c r="L18" s="44">
        <v>748896.89297151193</v>
      </c>
      <c r="M18" s="44">
        <v>28965.259102063254</v>
      </c>
      <c r="N18" s="44">
        <f>SUM(K18:M18)</f>
        <v>777862.15207357518</v>
      </c>
      <c r="P18" s="44">
        <v>0</v>
      </c>
      <c r="Q18" s="44">
        <v>524340.34970169514</v>
      </c>
      <c r="R18" s="44">
        <v>159956.56733833253</v>
      </c>
      <c r="S18" s="44">
        <f>SUM(P18:R18)</f>
        <v>684296.91704002768</v>
      </c>
      <c r="U18" s="44">
        <v>0</v>
      </c>
      <c r="V18" s="44">
        <v>764344.23251985013</v>
      </c>
      <c r="W18" s="44">
        <v>13541.385622009635</v>
      </c>
      <c r="X18" s="44">
        <f>SUM(U18:W18)</f>
        <v>777885.61814185977</v>
      </c>
      <c r="Y18" s="44"/>
      <c r="AA18" s="44">
        <v>750000</v>
      </c>
      <c r="AB18" s="44"/>
      <c r="AC18" s="44">
        <f>SUM(AA18:AB18)</f>
        <v>750000</v>
      </c>
      <c r="AE18" s="44">
        <v>750000</v>
      </c>
    </row>
    <row r="19" spans="1:32">
      <c r="A19" s="54" t="s">
        <v>77</v>
      </c>
      <c r="B19" s="48"/>
      <c r="C19" s="48">
        <v>0</v>
      </c>
      <c r="D19" s="48">
        <f t="shared" si="5"/>
        <v>0</v>
      </c>
      <c r="F19" s="48">
        <v>0</v>
      </c>
      <c r="G19" s="48">
        <v>0</v>
      </c>
      <c r="H19" s="48"/>
      <c r="I19" s="48">
        <f>F19+G19</f>
        <v>0</v>
      </c>
      <c r="K19" s="48">
        <v>0</v>
      </c>
      <c r="L19" s="48">
        <v>688150.92603669316</v>
      </c>
      <c r="M19" s="48">
        <v>648687.59534346312</v>
      </c>
      <c r="N19" s="44">
        <f>SUM(K19:M19)</f>
        <v>1336838.5213801563</v>
      </c>
      <c r="P19" s="48">
        <v>0</v>
      </c>
      <c r="Q19" s="48">
        <v>0</v>
      </c>
      <c r="R19" s="48"/>
      <c r="S19" s="48">
        <f>P19+Q19</f>
        <v>0</v>
      </c>
      <c r="U19" s="48">
        <v>0</v>
      </c>
      <c r="V19" s="48">
        <v>0</v>
      </c>
      <c r="W19" s="48">
        <v>266594.71078196168</v>
      </c>
      <c r="X19" s="44">
        <f>SUM(U19:W19)</f>
        <v>266594.71078196168</v>
      </c>
      <c r="Y19" s="44"/>
      <c r="AA19" s="48">
        <v>0</v>
      </c>
      <c r="AB19" s="44"/>
      <c r="AC19" s="48">
        <v>0</v>
      </c>
      <c r="AE19" s="48">
        <v>0</v>
      </c>
    </row>
    <row r="20" spans="1:32">
      <c r="A20" s="178" t="s">
        <v>78</v>
      </c>
      <c r="B20" s="48"/>
      <c r="C20" s="48">
        <v>297974.61901311576</v>
      </c>
      <c r="D20" s="48">
        <f t="shared" si="5"/>
        <v>297974.61901311576</v>
      </c>
      <c r="F20" s="48">
        <v>0</v>
      </c>
      <c r="G20" s="48">
        <v>155426.31500356644</v>
      </c>
      <c r="H20" s="48">
        <v>82795</v>
      </c>
      <c r="I20" s="48">
        <f t="shared" ref="I20:I33" si="6">SUM(F20:H20)</f>
        <v>238221.31500356644</v>
      </c>
      <c r="K20" s="48">
        <v>0</v>
      </c>
      <c r="L20" s="48">
        <v>254730.76084275078</v>
      </c>
      <c r="M20" s="48">
        <v>-6784.4628770025447</v>
      </c>
      <c r="N20" s="48">
        <f>SUM(K20:M20)</f>
        <v>247946.29796574824</v>
      </c>
      <c r="P20" s="48">
        <v>0</v>
      </c>
      <c r="Q20" s="48">
        <v>93129.999873860739</v>
      </c>
      <c r="R20" s="48">
        <v>96537.394771841355</v>
      </c>
      <c r="S20" s="48">
        <f t="shared" ref="S20:S33" si="7">SUM(P20:R20)</f>
        <v>189667.39464570209</v>
      </c>
      <c r="U20" s="48">
        <v>0</v>
      </c>
      <c r="V20" s="48">
        <v>271699.06415980496</v>
      </c>
      <c r="W20" s="48">
        <v>-19447.368783339858</v>
      </c>
      <c r="X20" s="48">
        <f>SUM(U20:W20)</f>
        <v>252251.6953764651</v>
      </c>
      <c r="Y20" s="48"/>
      <c r="AA20" s="48">
        <v>250000</v>
      </c>
      <c r="AB20" s="48"/>
      <c r="AC20" s="44">
        <f>SUM(AA20:AB20)</f>
        <v>250000</v>
      </c>
      <c r="AE20" s="48">
        <v>250000</v>
      </c>
    </row>
    <row r="21" spans="1:32">
      <c r="A21" s="179" t="s">
        <v>79</v>
      </c>
      <c r="B21" s="44"/>
      <c r="C21" s="44">
        <v>1943052.7583078966</v>
      </c>
      <c r="D21" s="44">
        <f t="shared" si="5"/>
        <v>1943052.7583078966</v>
      </c>
      <c r="F21" s="44">
        <v>0</v>
      </c>
      <c r="G21" s="44">
        <v>0</v>
      </c>
      <c r="H21" s="44"/>
      <c r="I21" s="44">
        <f t="shared" si="6"/>
        <v>0</v>
      </c>
      <c r="K21" s="44">
        <v>0</v>
      </c>
      <c r="L21" s="44">
        <v>0</v>
      </c>
      <c r="M21" s="44"/>
      <c r="N21" s="44">
        <f t="shared" ref="N21:N33" si="8">SUM(K21:M21)</f>
        <v>0</v>
      </c>
      <c r="P21" s="44">
        <v>0</v>
      </c>
      <c r="Q21" s="44">
        <v>0</v>
      </c>
      <c r="R21" s="44"/>
      <c r="S21" s="44">
        <f t="shared" si="7"/>
        <v>0</v>
      </c>
      <c r="U21" s="44">
        <v>0</v>
      </c>
      <c r="V21" s="44">
        <v>0</v>
      </c>
      <c r="W21" s="44"/>
      <c r="X21" s="44">
        <f t="shared" ref="X21:X32" si="9">SUM(U21:W21)</f>
        <v>0</v>
      </c>
      <c r="Y21" s="44"/>
      <c r="AA21" s="44">
        <v>0</v>
      </c>
      <c r="AB21" s="44"/>
      <c r="AC21" s="44">
        <v>0</v>
      </c>
      <c r="AE21" s="44">
        <v>0</v>
      </c>
    </row>
    <row r="22" spans="1:32">
      <c r="A22" s="178" t="s">
        <v>80</v>
      </c>
      <c r="B22" s="48"/>
      <c r="C22" s="48">
        <v>2139096.4901155904</v>
      </c>
      <c r="D22" s="48">
        <f t="shared" si="5"/>
        <v>2139096.4901155904</v>
      </c>
      <c r="F22" s="48">
        <v>0</v>
      </c>
      <c r="G22" s="48">
        <v>1560348.2361852974</v>
      </c>
      <c r="H22" s="48">
        <v>545053</v>
      </c>
      <c r="I22" s="48">
        <f t="shared" si="6"/>
        <v>2105401.2361852974</v>
      </c>
      <c r="K22" s="48">
        <v>0</v>
      </c>
      <c r="L22" s="48">
        <v>2380150.2858551089</v>
      </c>
      <c r="M22" s="48">
        <v>325186.62599823624</v>
      </c>
      <c r="N22" s="48">
        <f t="shared" si="8"/>
        <v>2705336.9118533451</v>
      </c>
      <c r="P22" s="48">
        <v>0</v>
      </c>
      <c r="Q22" s="48">
        <v>1634372.817863021</v>
      </c>
      <c r="R22" s="48">
        <v>909111.61432333849</v>
      </c>
      <c r="S22" s="48">
        <f t="shared" si="7"/>
        <v>2543484.4321863595</v>
      </c>
      <c r="U22" s="48">
        <v>0</v>
      </c>
      <c r="V22" s="48">
        <v>2420587.8286072835</v>
      </c>
      <c r="W22" s="48">
        <v>301340.16823094897</v>
      </c>
      <c r="X22" s="48">
        <f t="shared" si="9"/>
        <v>2721927.9968382325</v>
      </c>
      <c r="Y22" s="48"/>
      <c r="AA22" s="48">
        <v>2600000</v>
      </c>
      <c r="AB22" s="48"/>
      <c r="AC22" s="44">
        <f>SUM(AA22:AB22)</f>
        <v>2600000</v>
      </c>
      <c r="AE22" s="48">
        <v>2600000</v>
      </c>
    </row>
    <row r="23" spans="1:32">
      <c r="A23" s="178" t="s">
        <v>81</v>
      </c>
      <c r="B23" s="55">
        <v>3325100.5876671132</v>
      </c>
      <c r="C23" s="55">
        <v>0</v>
      </c>
      <c r="D23" s="55">
        <f t="shared" si="5"/>
        <v>3325100.5876671132</v>
      </c>
      <c r="F23" s="55">
        <v>2742048.3454786278</v>
      </c>
      <c r="G23" s="55">
        <v>90841.544564101845</v>
      </c>
      <c r="H23" s="55">
        <v>328428</v>
      </c>
      <c r="I23" s="55">
        <f t="shared" si="6"/>
        <v>3161317.8900427297</v>
      </c>
      <c r="K23" s="55">
        <v>3541403.2196678892</v>
      </c>
      <c r="L23" s="55">
        <v>0</v>
      </c>
      <c r="M23" s="55">
        <v>37202.509819352999</v>
      </c>
      <c r="N23" s="55">
        <f t="shared" si="8"/>
        <v>3578605.7294872422</v>
      </c>
      <c r="P23" s="55">
        <v>3427597.7975860052</v>
      </c>
      <c r="Q23" s="55">
        <v>0</v>
      </c>
      <c r="R23" s="55">
        <v>56674.408126225695</v>
      </c>
      <c r="S23" s="55">
        <f t="shared" si="7"/>
        <v>3484272.2057122309</v>
      </c>
      <c r="U23" s="55">
        <v>3543640.2693739235</v>
      </c>
      <c r="V23" s="55">
        <v>0</v>
      </c>
      <c r="W23" s="55">
        <v>25625.268925221637</v>
      </c>
      <c r="X23" s="55">
        <f t="shared" si="9"/>
        <v>3569265.5382991452</v>
      </c>
      <c r="Y23" s="55"/>
      <c r="AA23" s="55">
        <v>3500000</v>
      </c>
      <c r="AB23" s="55">
        <v>-570000</v>
      </c>
      <c r="AC23" s="44">
        <f>SUM(AA23:AB23)</f>
        <v>2930000</v>
      </c>
      <c r="AE23" s="55">
        <v>2930000</v>
      </c>
    </row>
    <row r="24" spans="1:32">
      <c r="A24" s="179" t="s">
        <v>82</v>
      </c>
      <c r="B24" s="44"/>
      <c r="C24" s="44">
        <v>354475.9127304405</v>
      </c>
      <c r="D24" s="44">
        <f t="shared" si="5"/>
        <v>354475.9127304405</v>
      </c>
      <c r="F24" s="44">
        <v>0</v>
      </c>
      <c r="G24" s="44">
        <v>0</v>
      </c>
      <c r="H24" s="44"/>
      <c r="I24" s="44">
        <f t="shared" si="6"/>
        <v>0</v>
      </c>
      <c r="K24" s="44">
        <v>0</v>
      </c>
      <c r="L24" s="44">
        <v>0</v>
      </c>
      <c r="M24" s="44"/>
      <c r="N24" s="44">
        <f t="shared" si="8"/>
        <v>0</v>
      </c>
      <c r="P24" s="44">
        <v>0</v>
      </c>
      <c r="Q24" s="44">
        <v>0</v>
      </c>
      <c r="R24" s="44"/>
      <c r="S24" s="44">
        <f t="shared" si="7"/>
        <v>0</v>
      </c>
      <c r="U24" s="44">
        <v>0</v>
      </c>
      <c r="V24" s="44">
        <v>0</v>
      </c>
      <c r="W24" s="44"/>
      <c r="X24" s="44">
        <f t="shared" si="9"/>
        <v>0</v>
      </c>
      <c r="Y24" s="44"/>
      <c r="AA24" s="44">
        <v>0</v>
      </c>
      <c r="AB24" s="44"/>
      <c r="AC24" s="44">
        <v>0</v>
      </c>
      <c r="AE24" s="44">
        <v>0</v>
      </c>
    </row>
    <row r="25" spans="1:32">
      <c r="A25" s="178" t="s">
        <v>83</v>
      </c>
      <c r="B25" s="55">
        <v>3750330.5917715095</v>
      </c>
      <c r="C25" s="55">
        <v>3323496.7153846137</v>
      </c>
      <c r="D25" s="55">
        <f t="shared" si="5"/>
        <v>7073827.3071561232</v>
      </c>
      <c r="F25" s="55">
        <v>1418150.0787521563</v>
      </c>
      <c r="G25" s="55">
        <v>5447193.458615385</v>
      </c>
      <c r="H25" s="55">
        <v>-419042</v>
      </c>
      <c r="I25" s="55">
        <f t="shared" si="6"/>
        <v>6446301.5373675413</v>
      </c>
      <c r="K25" s="55">
        <v>2036166.5411837883</v>
      </c>
      <c r="L25" s="55">
        <v>4439544.1227692328</v>
      </c>
      <c r="M25" s="55">
        <v>80906.175075497478</v>
      </c>
      <c r="N25" s="55">
        <f t="shared" si="8"/>
        <v>6556616.8390285186</v>
      </c>
      <c r="P25" s="55">
        <v>1955550.5570398942</v>
      </c>
      <c r="Q25" s="55">
        <v>4859019.8967692293</v>
      </c>
      <c r="R25" s="55">
        <v>-325041.28904803842</v>
      </c>
      <c r="S25" s="55">
        <f t="shared" si="7"/>
        <v>6489529.1647610851</v>
      </c>
      <c r="U25" s="55">
        <v>2039525.9219778292</v>
      </c>
      <c r="V25" s="55">
        <v>4439544.1227692328</v>
      </c>
      <c r="W25" s="55">
        <v>72872.97088329494</v>
      </c>
      <c r="X25" s="55">
        <f t="shared" si="9"/>
        <v>6551943.015630357</v>
      </c>
      <c r="Y25" s="55"/>
      <c r="AA25" s="55">
        <v>6500000</v>
      </c>
      <c r="AB25" s="55">
        <v>410000</v>
      </c>
      <c r="AC25" s="44">
        <f>SUM(AA25:AB25)</f>
        <v>6910000</v>
      </c>
      <c r="AE25" s="55">
        <v>7210000</v>
      </c>
      <c r="AF25" t="s">
        <v>1760</v>
      </c>
    </row>
    <row r="26" spans="1:32">
      <c r="A26" s="178" t="s">
        <v>84</v>
      </c>
      <c r="B26" s="48"/>
      <c r="C26" s="48"/>
      <c r="D26" s="48">
        <f t="shared" si="5"/>
        <v>0</v>
      </c>
      <c r="F26" s="48">
        <v>0</v>
      </c>
      <c r="G26" s="48">
        <v>0</v>
      </c>
      <c r="H26" s="48"/>
      <c r="I26" s="48">
        <f t="shared" si="6"/>
        <v>0</v>
      </c>
      <c r="K26" s="48">
        <v>0</v>
      </c>
      <c r="L26" s="48">
        <v>0</v>
      </c>
      <c r="M26" s="48"/>
      <c r="N26" s="48">
        <f t="shared" si="8"/>
        <v>0</v>
      </c>
      <c r="P26" s="48">
        <v>0</v>
      </c>
      <c r="Q26" s="48">
        <v>0</v>
      </c>
      <c r="R26" s="48"/>
      <c r="S26" s="48">
        <f t="shared" si="7"/>
        <v>0</v>
      </c>
      <c r="U26" s="48">
        <v>0</v>
      </c>
      <c r="V26" s="48">
        <v>0</v>
      </c>
      <c r="W26" s="48"/>
      <c r="X26" s="48">
        <f t="shared" si="9"/>
        <v>0</v>
      </c>
      <c r="Y26" s="48"/>
      <c r="AA26" s="48">
        <v>0</v>
      </c>
      <c r="AB26" s="48"/>
      <c r="AC26" s="48">
        <v>0</v>
      </c>
      <c r="AE26" s="48">
        <v>0</v>
      </c>
    </row>
    <row r="27" spans="1:32">
      <c r="A27" s="179" t="s">
        <v>85</v>
      </c>
      <c r="B27" s="44"/>
      <c r="C27" s="44"/>
      <c r="D27" s="44">
        <f t="shared" si="5"/>
        <v>0</v>
      </c>
      <c r="F27" s="44">
        <v>0</v>
      </c>
      <c r="G27" s="44">
        <v>0</v>
      </c>
      <c r="H27" s="44"/>
      <c r="I27" s="44">
        <f t="shared" si="6"/>
        <v>0</v>
      </c>
      <c r="K27" s="44">
        <v>0</v>
      </c>
      <c r="L27" s="44">
        <v>0</v>
      </c>
      <c r="M27" s="44"/>
      <c r="N27" s="44">
        <f t="shared" si="8"/>
        <v>0</v>
      </c>
      <c r="P27" s="44">
        <v>0</v>
      </c>
      <c r="Q27" s="44">
        <v>0</v>
      </c>
      <c r="R27" s="44"/>
      <c r="S27" s="44">
        <f t="shared" si="7"/>
        <v>0</v>
      </c>
      <c r="U27" s="44">
        <v>0</v>
      </c>
      <c r="V27" s="44">
        <v>0</v>
      </c>
      <c r="W27" s="44"/>
      <c r="X27" s="44">
        <f t="shared" si="9"/>
        <v>0</v>
      </c>
      <c r="Y27" s="44"/>
      <c r="AA27" s="44">
        <v>0</v>
      </c>
      <c r="AB27" s="44"/>
      <c r="AC27" s="44">
        <v>0</v>
      </c>
      <c r="AE27" s="44">
        <v>0</v>
      </c>
    </row>
    <row r="28" spans="1:32">
      <c r="A28" s="54" t="s">
        <v>87</v>
      </c>
      <c r="B28" s="55"/>
      <c r="C28" s="55"/>
      <c r="D28" s="55">
        <f t="shared" si="5"/>
        <v>0</v>
      </c>
      <c r="F28" s="55">
        <v>0</v>
      </c>
      <c r="G28" s="55">
        <v>0</v>
      </c>
      <c r="H28" s="55"/>
      <c r="I28" s="55">
        <f t="shared" si="6"/>
        <v>0</v>
      </c>
      <c r="K28" s="55">
        <v>0</v>
      </c>
      <c r="L28" s="55">
        <v>0</v>
      </c>
      <c r="M28" s="55"/>
      <c r="N28" s="55">
        <f t="shared" si="8"/>
        <v>0</v>
      </c>
      <c r="P28" s="55">
        <v>0</v>
      </c>
      <c r="Q28" s="55">
        <v>0</v>
      </c>
      <c r="R28" s="55"/>
      <c r="S28" s="55">
        <f t="shared" si="7"/>
        <v>0</v>
      </c>
      <c r="U28" s="55">
        <v>0</v>
      </c>
      <c r="V28" s="55">
        <v>0</v>
      </c>
      <c r="W28" s="55"/>
      <c r="X28" s="55">
        <f t="shared" si="9"/>
        <v>0</v>
      </c>
      <c r="Y28" s="55"/>
      <c r="AA28" s="55">
        <v>0</v>
      </c>
      <c r="AB28" s="55"/>
      <c r="AC28" s="55">
        <v>0</v>
      </c>
      <c r="AE28" s="55">
        <v>0</v>
      </c>
    </row>
    <row r="29" spans="1:32">
      <c r="A29" s="178" t="s">
        <v>88</v>
      </c>
      <c r="B29" s="48"/>
      <c r="C29" s="48"/>
      <c r="D29" s="48">
        <f t="shared" si="5"/>
        <v>0</v>
      </c>
      <c r="F29" s="48">
        <v>0</v>
      </c>
      <c r="G29" s="48">
        <v>0</v>
      </c>
      <c r="H29" s="48"/>
      <c r="I29" s="48">
        <f t="shared" si="6"/>
        <v>0</v>
      </c>
      <c r="K29" s="48">
        <v>0</v>
      </c>
      <c r="L29" s="48">
        <v>0</v>
      </c>
      <c r="M29" s="48"/>
      <c r="N29" s="48">
        <f t="shared" si="8"/>
        <v>0</v>
      </c>
      <c r="P29" s="48">
        <v>0</v>
      </c>
      <c r="Q29" s="48">
        <v>0</v>
      </c>
      <c r="R29" s="48"/>
      <c r="S29" s="48">
        <f t="shared" si="7"/>
        <v>0</v>
      </c>
      <c r="U29" s="48">
        <v>0</v>
      </c>
      <c r="V29" s="48">
        <v>0</v>
      </c>
      <c r="W29" s="48"/>
      <c r="X29" s="48">
        <f t="shared" si="9"/>
        <v>0</v>
      </c>
      <c r="Y29" s="48"/>
      <c r="AA29" s="48">
        <v>0</v>
      </c>
      <c r="AB29" s="48"/>
      <c r="AC29" s="48">
        <v>0</v>
      </c>
      <c r="AE29" s="48">
        <v>0</v>
      </c>
    </row>
    <row r="30" spans="1:32">
      <c r="A30" s="368" t="s">
        <v>461</v>
      </c>
      <c r="B30" s="228"/>
      <c r="C30" s="228"/>
      <c r="D30" s="228">
        <f t="shared" si="5"/>
        <v>0</v>
      </c>
      <c r="F30" s="228">
        <v>0</v>
      </c>
      <c r="G30" s="228">
        <v>0</v>
      </c>
      <c r="H30" s="228"/>
      <c r="I30" s="228">
        <f t="shared" si="6"/>
        <v>0</v>
      </c>
      <c r="K30" s="228">
        <v>0</v>
      </c>
      <c r="L30" s="228">
        <v>0</v>
      </c>
      <c r="M30" s="228"/>
      <c r="N30" s="228">
        <f t="shared" si="8"/>
        <v>0</v>
      </c>
      <c r="P30" s="228">
        <v>0</v>
      </c>
      <c r="Q30" s="228">
        <v>0</v>
      </c>
      <c r="R30" s="228"/>
      <c r="S30" s="228">
        <f t="shared" si="7"/>
        <v>0</v>
      </c>
      <c r="U30" s="228">
        <v>0</v>
      </c>
      <c r="V30" s="228">
        <v>0</v>
      </c>
      <c r="W30" s="228"/>
      <c r="X30" s="228">
        <f t="shared" si="9"/>
        <v>0</v>
      </c>
      <c r="Y30" s="228"/>
      <c r="AA30" s="228">
        <v>0</v>
      </c>
      <c r="AB30" s="228"/>
      <c r="AC30" s="228">
        <v>0</v>
      </c>
      <c r="AE30" s="228">
        <v>0</v>
      </c>
    </row>
    <row r="31" spans="1:32">
      <c r="A31" s="367" t="s">
        <v>462</v>
      </c>
      <c r="B31" s="55"/>
      <c r="C31" s="55"/>
      <c r="D31" s="55">
        <f t="shared" si="5"/>
        <v>0</v>
      </c>
      <c r="F31" s="55">
        <v>0</v>
      </c>
      <c r="G31" s="55">
        <v>0</v>
      </c>
      <c r="H31" s="55"/>
      <c r="I31" s="55">
        <f t="shared" si="6"/>
        <v>0</v>
      </c>
      <c r="K31" s="55">
        <v>0</v>
      </c>
      <c r="L31" s="55">
        <v>0</v>
      </c>
      <c r="M31" s="55"/>
      <c r="N31" s="55">
        <f t="shared" si="8"/>
        <v>0</v>
      </c>
      <c r="P31" s="55">
        <v>0</v>
      </c>
      <c r="Q31" s="55">
        <v>0</v>
      </c>
      <c r="R31" s="55"/>
      <c r="S31" s="55">
        <f t="shared" si="7"/>
        <v>0</v>
      </c>
      <c r="U31" s="55">
        <v>0</v>
      </c>
      <c r="V31" s="55">
        <v>0</v>
      </c>
      <c r="W31" s="55"/>
      <c r="X31" s="55">
        <f t="shared" si="9"/>
        <v>0</v>
      </c>
      <c r="Y31" s="55"/>
      <c r="AA31" s="55">
        <v>0</v>
      </c>
      <c r="AB31" s="55"/>
      <c r="AC31" s="55">
        <v>0</v>
      </c>
      <c r="AE31" s="55">
        <v>0</v>
      </c>
    </row>
    <row r="32" spans="1:32">
      <c r="A32" s="178" t="s">
        <v>89</v>
      </c>
      <c r="B32" s="48"/>
      <c r="C32" s="48"/>
      <c r="D32" s="48">
        <f t="shared" si="5"/>
        <v>0</v>
      </c>
      <c r="F32" s="48">
        <v>0</v>
      </c>
      <c r="G32" s="48">
        <v>0</v>
      </c>
      <c r="H32" s="48"/>
      <c r="I32" s="48">
        <f t="shared" si="6"/>
        <v>0</v>
      </c>
      <c r="K32" s="48">
        <v>0</v>
      </c>
      <c r="L32" s="48">
        <v>0</v>
      </c>
      <c r="M32" s="48"/>
      <c r="N32" s="48">
        <f t="shared" si="8"/>
        <v>0</v>
      </c>
      <c r="P32" s="48">
        <v>0</v>
      </c>
      <c r="Q32" s="48">
        <v>0</v>
      </c>
      <c r="R32" s="48"/>
      <c r="S32" s="48">
        <f t="shared" si="7"/>
        <v>0</v>
      </c>
      <c r="U32" s="48">
        <v>0</v>
      </c>
      <c r="V32" s="48">
        <v>0</v>
      </c>
      <c r="W32" s="48"/>
      <c r="X32" s="48">
        <f t="shared" si="9"/>
        <v>0</v>
      </c>
      <c r="Y32" s="48"/>
      <c r="AA32" s="48">
        <v>0</v>
      </c>
      <c r="AB32" s="48"/>
      <c r="AC32" s="48">
        <v>0</v>
      </c>
      <c r="AE32" s="48">
        <v>0</v>
      </c>
    </row>
    <row r="33" spans="1:31">
      <c r="A33" s="368" t="s">
        <v>90</v>
      </c>
      <c r="B33" s="228"/>
      <c r="C33" s="228">
        <v>8087238.2680635098</v>
      </c>
      <c r="D33" s="228">
        <f t="shared" si="5"/>
        <v>8087238.2680635098</v>
      </c>
      <c r="F33" s="228">
        <v>0</v>
      </c>
      <c r="G33" s="228">
        <v>8164951.0989410859</v>
      </c>
      <c r="H33" s="228">
        <v>-558841</v>
      </c>
      <c r="I33" s="228">
        <f t="shared" si="6"/>
        <v>7606110.0989410859</v>
      </c>
      <c r="K33" s="228">
        <v>0</v>
      </c>
      <c r="L33" s="228">
        <v>8991531.0498785228</v>
      </c>
      <c r="M33" s="228">
        <v>-565572.30350889452</v>
      </c>
      <c r="N33" s="228">
        <f t="shared" si="8"/>
        <v>8425958.7463696282</v>
      </c>
      <c r="P33" s="228">
        <v>0</v>
      </c>
      <c r="Q33" s="228">
        <v>8840909.1025660001</v>
      </c>
      <c r="R33" s="228">
        <v>-435419.2521261517</v>
      </c>
      <c r="S33" s="228">
        <f t="shared" si="7"/>
        <v>8405489.8504398484</v>
      </c>
      <c r="U33" s="228">
        <v>0</v>
      </c>
      <c r="V33" s="228">
        <v>8991531.0498785228</v>
      </c>
      <c r="W33" s="228">
        <v>-568026.99146278575</v>
      </c>
      <c r="X33" s="228">
        <f>SUM(U33:W33)</f>
        <v>8423504.058415737</v>
      </c>
      <c r="Y33" s="228"/>
      <c r="AA33" s="228">
        <v>8400000</v>
      </c>
      <c r="AB33" s="228"/>
      <c r="AC33" s="44">
        <f>SUM(AA33:AB33)</f>
        <v>8400000</v>
      </c>
      <c r="AE33" s="228">
        <v>8400000</v>
      </c>
    </row>
    <row r="34" spans="1:31">
      <c r="A34" s="371" t="s">
        <v>91</v>
      </c>
      <c r="B34" s="372">
        <v>7075431.1794386227</v>
      </c>
      <c r="C34" s="372">
        <v>18794188.882062927</v>
      </c>
      <c r="D34" s="372">
        <f>SUM(D15:D33)</f>
        <v>25869620.061501548</v>
      </c>
      <c r="F34" s="372">
        <v>4160198.4242307842</v>
      </c>
      <c r="G34" s="372">
        <v>16105893.84990913</v>
      </c>
      <c r="H34" s="372">
        <f>SUM(H18:H33)</f>
        <v>84314</v>
      </c>
      <c r="I34" s="372">
        <f>SUM(I15:I33)</f>
        <v>20350406.274139915</v>
      </c>
      <c r="K34" s="372">
        <v>5577569.7608516775</v>
      </c>
      <c r="L34" s="372">
        <v>17503004.038353819</v>
      </c>
      <c r="M34" s="372"/>
      <c r="N34" s="372">
        <f>SUM(N15:N33)</f>
        <v>23629165.198158212</v>
      </c>
      <c r="P34" s="372">
        <f>SUM(P18:P33)</f>
        <v>5383148.3546258993</v>
      </c>
      <c r="Q34" s="372">
        <f>SUM(Q18:Q33)</f>
        <v>15951772.166773807</v>
      </c>
      <c r="R34" s="372">
        <f>SUM(R18:R33)</f>
        <v>461819.44338554796</v>
      </c>
      <c r="S34" s="372">
        <f>SUM(S18:S33)</f>
        <v>21796739.964785255</v>
      </c>
      <c r="U34" s="372">
        <v>5577569.7608516775</v>
      </c>
      <c r="V34" s="372">
        <v>17503004.038353819</v>
      </c>
      <c r="W34" s="372"/>
      <c r="X34" s="372">
        <f>SUM(X15:X33)</f>
        <v>22563372.63348376</v>
      </c>
      <c r="Y34" s="659"/>
      <c r="AA34" s="372">
        <f>SUM(AA15:AA33)</f>
        <v>22000000</v>
      </c>
      <c r="AB34" s="659"/>
      <c r="AC34" s="372">
        <f>SUM(AC15:AC33)</f>
        <v>21840000</v>
      </c>
      <c r="AE34" s="372">
        <v>22140000</v>
      </c>
    </row>
    <row r="35" spans="1:31">
      <c r="A35" s="178"/>
      <c r="B35" s="46"/>
      <c r="C35" s="46"/>
      <c r="D35" s="46"/>
      <c r="F35" s="46"/>
      <c r="G35" s="46"/>
      <c r="H35" s="46"/>
      <c r="I35" s="46"/>
      <c r="K35" s="46"/>
      <c r="L35" s="46"/>
      <c r="M35" s="46"/>
      <c r="N35" s="46"/>
      <c r="P35" s="46"/>
      <c r="Q35" s="46"/>
      <c r="R35" s="46"/>
      <c r="S35" s="46"/>
      <c r="U35" s="46"/>
      <c r="V35" s="46"/>
      <c r="W35" s="46"/>
      <c r="X35" s="46"/>
      <c r="Y35" s="46"/>
      <c r="AA35" s="46"/>
      <c r="AB35" s="46"/>
      <c r="AC35" s="46"/>
    </row>
    <row r="36" spans="1:31">
      <c r="A36" s="168"/>
    </row>
    <row r="37" spans="1:31">
      <c r="A37" s="54" t="s">
        <v>92</v>
      </c>
      <c r="B37" s="55"/>
      <c r="C37" s="55"/>
      <c r="D37" s="55"/>
      <c r="F37" s="55"/>
      <c r="G37" s="55"/>
      <c r="H37" s="55"/>
      <c r="I37" s="55"/>
      <c r="K37" s="55"/>
      <c r="L37" s="55"/>
      <c r="M37" s="55"/>
      <c r="N37" s="55"/>
      <c r="P37" s="55"/>
      <c r="Q37" s="55"/>
      <c r="R37" s="55"/>
      <c r="S37" s="55"/>
      <c r="U37" s="55"/>
      <c r="V37" s="55"/>
      <c r="W37" s="55"/>
      <c r="X37" s="55"/>
      <c r="Y37" s="55"/>
      <c r="AA37" s="55"/>
      <c r="AB37" s="55"/>
      <c r="AC37" s="55"/>
    </row>
    <row r="38" spans="1:31">
      <c r="A38" s="179" t="s">
        <v>93</v>
      </c>
      <c r="B38" s="44"/>
      <c r="C38" s="44"/>
      <c r="D38" s="44">
        <f t="shared" ref="D38:D55" si="10">B38+C38</f>
        <v>0</v>
      </c>
      <c r="F38" s="44">
        <v>0</v>
      </c>
      <c r="G38" s="44">
        <v>0</v>
      </c>
      <c r="H38" s="44"/>
      <c r="I38" s="44">
        <f t="shared" ref="I38:I55" si="11">F38+G38</f>
        <v>0</v>
      </c>
      <c r="K38" s="44">
        <v>0</v>
      </c>
      <c r="L38" s="44"/>
      <c r="M38" s="44"/>
      <c r="N38" s="44">
        <f t="shared" ref="N38:N55" si="12">K38+L38</f>
        <v>0</v>
      </c>
      <c r="P38" s="44">
        <v>0</v>
      </c>
      <c r="Q38" s="44"/>
      <c r="R38" s="44"/>
      <c r="S38" s="44">
        <f t="shared" ref="S38:S55" si="13">P38+Q38</f>
        <v>0</v>
      </c>
      <c r="U38" s="44">
        <v>0</v>
      </c>
      <c r="V38" s="44"/>
      <c r="W38" s="44"/>
      <c r="X38" s="44">
        <f t="shared" ref="X38:X55" si="14">U38+V38</f>
        <v>0</v>
      </c>
      <c r="Y38" s="44"/>
      <c r="AA38" s="44">
        <v>0</v>
      </c>
      <c r="AB38" s="44"/>
      <c r="AC38" s="44">
        <v>0</v>
      </c>
    </row>
    <row r="39" spans="1:31">
      <c r="A39" s="178" t="s">
        <v>94</v>
      </c>
      <c r="B39" s="55"/>
      <c r="C39" s="55"/>
      <c r="D39" s="55">
        <f t="shared" si="10"/>
        <v>0</v>
      </c>
      <c r="F39" s="55">
        <v>0</v>
      </c>
      <c r="G39" s="55">
        <v>0</v>
      </c>
      <c r="H39" s="55"/>
      <c r="I39" s="55">
        <f t="shared" si="11"/>
        <v>0</v>
      </c>
      <c r="K39" s="55">
        <v>0</v>
      </c>
      <c r="L39" s="55"/>
      <c r="M39" s="55"/>
      <c r="N39" s="55">
        <f t="shared" si="12"/>
        <v>0</v>
      </c>
      <c r="P39" s="55">
        <v>0</v>
      </c>
      <c r="Q39" s="55"/>
      <c r="R39" s="55"/>
      <c r="S39" s="55">
        <f t="shared" si="13"/>
        <v>0</v>
      </c>
      <c r="U39" s="55">
        <v>0</v>
      </c>
      <c r="V39" s="55"/>
      <c r="W39" s="55"/>
      <c r="X39" s="55">
        <f t="shared" si="14"/>
        <v>0</v>
      </c>
      <c r="Y39" s="55"/>
      <c r="AA39" s="55">
        <v>0</v>
      </c>
      <c r="AB39" s="55"/>
      <c r="AC39" s="55">
        <v>0</v>
      </c>
    </row>
    <row r="40" spans="1:31">
      <c r="A40" s="54" t="s">
        <v>95</v>
      </c>
      <c r="B40" s="55"/>
      <c r="C40" s="55"/>
      <c r="D40" s="55">
        <f t="shared" si="10"/>
        <v>0</v>
      </c>
      <c r="F40" s="55">
        <v>0</v>
      </c>
      <c r="G40" s="55">
        <v>0</v>
      </c>
      <c r="H40" s="55"/>
      <c r="I40" s="55">
        <f t="shared" si="11"/>
        <v>0</v>
      </c>
      <c r="K40" s="55">
        <v>0</v>
      </c>
      <c r="L40" s="55"/>
      <c r="M40" s="55"/>
      <c r="N40" s="55">
        <f t="shared" si="12"/>
        <v>0</v>
      </c>
      <c r="P40" s="55">
        <v>0</v>
      </c>
      <c r="Q40" s="55"/>
      <c r="R40" s="55"/>
      <c r="S40" s="55">
        <f t="shared" si="13"/>
        <v>0</v>
      </c>
      <c r="U40" s="55">
        <v>0</v>
      </c>
      <c r="V40" s="55"/>
      <c r="W40" s="55"/>
      <c r="X40" s="55">
        <f t="shared" si="14"/>
        <v>0</v>
      </c>
      <c r="Y40" s="55"/>
      <c r="AA40" s="55">
        <v>0</v>
      </c>
      <c r="AB40" s="55"/>
      <c r="AC40" s="55">
        <v>0</v>
      </c>
    </row>
    <row r="41" spans="1:31">
      <c r="A41" s="179" t="s">
        <v>96</v>
      </c>
      <c r="B41" s="44"/>
      <c r="C41" s="44"/>
      <c r="D41" s="44">
        <f t="shared" si="10"/>
        <v>0</v>
      </c>
      <c r="F41" s="44">
        <v>0</v>
      </c>
      <c r="G41" s="44">
        <v>0</v>
      </c>
      <c r="H41" s="44"/>
      <c r="I41" s="44">
        <f t="shared" si="11"/>
        <v>0</v>
      </c>
      <c r="K41" s="44">
        <v>0</v>
      </c>
      <c r="L41" s="44"/>
      <c r="M41" s="44"/>
      <c r="N41" s="44">
        <f t="shared" si="12"/>
        <v>0</v>
      </c>
      <c r="P41" s="44">
        <v>0</v>
      </c>
      <c r="Q41" s="44"/>
      <c r="R41" s="44"/>
      <c r="S41" s="44">
        <f t="shared" si="13"/>
        <v>0</v>
      </c>
      <c r="U41" s="44">
        <v>0</v>
      </c>
      <c r="V41" s="44"/>
      <c r="W41" s="44"/>
      <c r="X41" s="44">
        <f t="shared" si="14"/>
        <v>0</v>
      </c>
      <c r="Y41" s="44"/>
      <c r="AA41" s="44">
        <v>0</v>
      </c>
      <c r="AB41" s="44"/>
      <c r="AC41" s="44">
        <v>0</v>
      </c>
    </row>
    <row r="42" spans="1:31">
      <c r="A42" s="178" t="s">
        <v>97</v>
      </c>
      <c r="B42" s="55"/>
      <c r="C42" s="55"/>
      <c r="D42" s="55">
        <f t="shared" si="10"/>
        <v>0</v>
      </c>
      <c r="F42" s="55">
        <v>0</v>
      </c>
      <c r="G42" s="55">
        <v>0</v>
      </c>
      <c r="H42" s="55"/>
      <c r="I42" s="55">
        <f t="shared" si="11"/>
        <v>0</v>
      </c>
      <c r="K42" s="55">
        <v>0</v>
      </c>
      <c r="L42" s="55"/>
      <c r="M42" s="55"/>
      <c r="N42" s="55">
        <f t="shared" si="12"/>
        <v>0</v>
      </c>
      <c r="P42" s="55">
        <v>0</v>
      </c>
      <c r="Q42" s="55"/>
      <c r="R42" s="55"/>
      <c r="S42" s="55">
        <f t="shared" si="13"/>
        <v>0</v>
      </c>
      <c r="U42" s="55">
        <v>0</v>
      </c>
      <c r="V42" s="55"/>
      <c r="W42" s="55"/>
      <c r="X42" s="55">
        <f t="shared" si="14"/>
        <v>0</v>
      </c>
      <c r="Y42" s="55"/>
      <c r="AA42" s="55">
        <v>0</v>
      </c>
      <c r="AB42" s="55"/>
      <c r="AC42" s="55">
        <v>0</v>
      </c>
    </row>
    <row r="43" spans="1:31">
      <c r="A43" s="367" t="s">
        <v>483</v>
      </c>
      <c r="B43" s="55"/>
      <c r="C43" s="55"/>
      <c r="D43" s="55">
        <f t="shared" si="10"/>
        <v>0</v>
      </c>
      <c r="F43" s="55">
        <v>0</v>
      </c>
      <c r="G43" s="55">
        <v>0</v>
      </c>
      <c r="H43" s="55"/>
      <c r="I43" s="55">
        <f t="shared" si="11"/>
        <v>0</v>
      </c>
      <c r="K43" s="55">
        <v>0</v>
      </c>
      <c r="L43" s="55"/>
      <c r="M43" s="55"/>
      <c r="N43" s="55">
        <f t="shared" si="12"/>
        <v>0</v>
      </c>
      <c r="P43" s="55">
        <v>0</v>
      </c>
      <c r="Q43" s="55"/>
      <c r="R43" s="55"/>
      <c r="S43" s="55">
        <f t="shared" si="13"/>
        <v>0</v>
      </c>
      <c r="U43" s="55">
        <v>0</v>
      </c>
      <c r="V43" s="55"/>
      <c r="W43" s="55"/>
      <c r="X43" s="55">
        <f t="shared" si="14"/>
        <v>0</v>
      </c>
      <c r="Y43" s="55"/>
      <c r="AA43" s="55">
        <v>0</v>
      </c>
      <c r="AB43" s="55"/>
      <c r="AC43" s="55">
        <v>0</v>
      </c>
    </row>
    <row r="44" spans="1:31">
      <c r="A44" s="178" t="s">
        <v>98</v>
      </c>
      <c r="B44" s="55"/>
      <c r="C44" s="55"/>
      <c r="D44" s="55">
        <f t="shared" si="10"/>
        <v>0</v>
      </c>
      <c r="F44" s="55">
        <v>0</v>
      </c>
      <c r="G44" s="55">
        <v>0</v>
      </c>
      <c r="H44" s="55"/>
      <c r="I44" s="55">
        <f t="shared" si="11"/>
        <v>0</v>
      </c>
      <c r="K44" s="55">
        <v>0</v>
      </c>
      <c r="L44" s="55"/>
      <c r="M44" s="55"/>
      <c r="N44" s="55">
        <f t="shared" si="12"/>
        <v>0</v>
      </c>
      <c r="P44" s="55">
        <v>0</v>
      </c>
      <c r="Q44" s="55"/>
      <c r="R44" s="55"/>
      <c r="S44" s="55">
        <f t="shared" si="13"/>
        <v>0</v>
      </c>
      <c r="U44" s="55">
        <v>0</v>
      </c>
      <c r="V44" s="55"/>
      <c r="W44" s="55"/>
      <c r="X44" s="55">
        <f t="shared" si="14"/>
        <v>0</v>
      </c>
      <c r="Y44" s="55"/>
      <c r="AA44" s="55">
        <v>0</v>
      </c>
      <c r="AB44" s="55"/>
      <c r="AC44" s="55">
        <v>0</v>
      </c>
    </row>
    <row r="45" spans="1:31">
      <c r="A45" s="179" t="s">
        <v>99</v>
      </c>
      <c r="B45" s="44"/>
      <c r="C45" s="44"/>
      <c r="D45" s="44">
        <f t="shared" si="10"/>
        <v>0</v>
      </c>
      <c r="F45" s="44">
        <v>0</v>
      </c>
      <c r="G45" s="44">
        <v>0</v>
      </c>
      <c r="H45" s="44"/>
      <c r="I45" s="44">
        <f t="shared" si="11"/>
        <v>0</v>
      </c>
      <c r="K45" s="44">
        <v>0</v>
      </c>
      <c r="L45" s="44"/>
      <c r="M45" s="44"/>
      <c r="N45" s="44">
        <f t="shared" si="12"/>
        <v>0</v>
      </c>
      <c r="P45" s="44">
        <v>0</v>
      </c>
      <c r="Q45" s="44"/>
      <c r="R45" s="44"/>
      <c r="S45" s="44">
        <f t="shared" si="13"/>
        <v>0</v>
      </c>
      <c r="U45" s="44">
        <v>0</v>
      </c>
      <c r="V45" s="44"/>
      <c r="W45" s="44"/>
      <c r="X45" s="44">
        <f t="shared" si="14"/>
        <v>0</v>
      </c>
      <c r="Y45" s="44"/>
      <c r="AA45" s="44">
        <v>0</v>
      </c>
      <c r="AB45" s="44"/>
      <c r="AC45" s="44">
        <v>0</v>
      </c>
    </row>
    <row r="46" spans="1:31">
      <c r="A46" s="178" t="s">
        <v>484</v>
      </c>
      <c r="B46" s="55"/>
      <c r="C46" s="55"/>
      <c r="D46" s="55">
        <f t="shared" si="10"/>
        <v>0</v>
      </c>
      <c r="F46" s="55">
        <v>0</v>
      </c>
      <c r="G46" s="55">
        <v>0</v>
      </c>
      <c r="H46" s="55"/>
      <c r="I46" s="55">
        <f t="shared" si="11"/>
        <v>0</v>
      </c>
      <c r="K46" s="55">
        <v>0</v>
      </c>
      <c r="L46" s="55"/>
      <c r="M46" s="55"/>
      <c r="N46" s="55">
        <f t="shared" si="12"/>
        <v>0</v>
      </c>
      <c r="P46" s="55">
        <v>0</v>
      </c>
      <c r="Q46" s="55"/>
      <c r="R46" s="55"/>
      <c r="S46" s="55">
        <f t="shared" si="13"/>
        <v>0</v>
      </c>
      <c r="U46" s="55">
        <v>0</v>
      </c>
      <c r="V46" s="55"/>
      <c r="W46" s="55"/>
      <c r="X46" s="55">
        <f t="shared" si="14"/>
        <v>0</v>
      </c>
      <c r="Y46" s="55"/>
      <c r="AA46" s="55">
        <v>0</v>
      </c>
      <c r="AB46" s="55"/>
      <c r="AC46" s="55">
        <v>0</v>
      </c>
    </row>
    <row r="47" spans="1:31">
      <c r="A47" s="54" t="s">
        <v>86</v>
      </c>
      <c r="B47" s="55"/>
      <c r="C47" s="55"/>
      <c r="D47" s="55">
        <f t="shared" si="10"/>
        <v>0</v>
      </c>
      <c r="F47" s="55">
        <v>0</v>
      </c>
      <c r="G47" s="55">
        <v>0</v>
      </c>
      <c r="H47" s="55"/>
      <c r="I47" s="55">
        <f t="shared" si="11"/>
        <v>0</v>
      </c>
      <c r="K47" s="55">
        <v>0</v>
      </c>
      <c r="L47" s="55"/>
      <c r="M47" s="55"/>
      <c r="N47" s="55">
        <f t="shared" si="12"/>
        <v>0</v>
      </c>
      <c r="P47" s="55">
        <v>0</v>
      </c>
      <c r="Q47" s="55"/>
      <c r="R47" s="55"/>
      <c r="S47" s="55">
        <f t="shared" si="13"/>
        <v>0</v>
      </c>
      <c r="U47" s="55">
        <v>0</v>
      </c>
      <c r="V47" s="55"/>
      <c r="W47" s="55"/>
      <c r="X47" s="55">
        <f t="shared" si="14"/>
        <v>0</v>
      </c>
      <c r="Y47" s="55"/>
      <c r="AA47" s="55">
        <v>0</v>
      </c>
      <c r="AB47" s="55"/>
      <c r="AC47" s="55">
        <v>0</v>
      </c>
    </row>
    <row r="48" spans="1:31">
      <c r="A48" s="368" t="s">
        <v>100</v>
      </c>
      <c r="B48" s="229"/>
      <c r="C48" s="229"/>
      <c r="D48" s="229">
        <f t="shared" si="10"/>
        <v>0</v>
      </c>
      <c r="F48" s="229">
        <v>0</v>
      </c>
      <c r="G48" s="229">
        <v>0</v>
      </c>
      <c r="H48" s="229"/>
      <c r="I48" s="229">
        <f t="shared" si="11"/>
        <v>0</v>
      </c>
      <c r="K48" s="229">
        <v>0</v>
      </c>
      <c r="L48" s="229"/>
      <c r="M48" s="229"/>
      <c r="N48" s="229">
        <f t="shared" si="12"/>
        <v>0</v>
      </c>
      <c r="P48" s="229">
        <v>0</v>
      </c>
      <c r="Q48" s="229"/>
      <c r="R48" s="229"/>
      <c r="S48" s="229">
        <f t="shared" si="13"/>
        <v>0</v>
      </c>
      <c r="U48" s="229">
        <v>0</v>
      </c>
      <c r="V48" s="229"/>
      <c r="W48" s="229"/>
      <c r="X48" s="229">
        <f t="shared" si="14"/>
        <v>0</v>
      </c>
      <c r="Y48" s="229"/>
      <c r="AA48" s="229">
        <v>0</v>
      </c>
      <c r="AB48" s="229"/>
      <c r="AC48" s="229">
        <v>0</v>
      </c>
    </row>
    <row r="49" spans="1:29">
      <c r="A49" s="178" t="s">
        <v>101</v>
      </c>
      <c r="B49" s="48"/>
      <c r="C49" s="48"/>
      <c r="D49" s="48">
        <f t="shared" si="10"/>
        <v>0</v>
      </c>
      <c r="F49" s="48">
        <v>0</v>
      </c>
      <c r="G49" s="48">
        <v>0</v>
      </c>
      <c r="H49" s="48"/>
      <c r="I49" s="48">
        <f t="shared" si="11"/>
        <v>0</v>
      </c>
      <c r="K49" s="48">
        <v>0</v>
      </c>
      <c r="L49" s="48"/>
      <c r="M49" s="48"/>
      <c r="N49" s="48">
        <f t="shared" si="12"/>
        <v>0</v>
      </c>
      <c r="P49" s="48">
        <v>0</v>
      </c>
      <c r="Q49" s="48"/>
      <c r="R49" s="48"/>
      <c r="S49" s="48">
        <f t="shared" si="13"/>
        <v>0</v>
      </c>
      <c r="U49" s="48">
        <v>0</v>
      </c>
      <c r="V49" s="48"/>
      <c r="W49" s="48"/>
      <c r="X49" s="48">
        <f t="shared" si="14"/>
        <v>0</v>
      </c>
      <c r="Y49" s="48"/>
      <c r="AA49" s="48">
        <v>0</v>
      </c>
      <c r="AB49" s="48"/>
      <c r="AC49" s="48">
        <v>0</v>
      </c>
    </row>
    <row r="50" spans="1:29">
      <c r="A50" s="178" t="s">
        <v>102</v>
      </c>
      <c r="B50" s="55"/>
      <c r="C50" s="55"/>
      <c r="D50" s="55">
        <f t="shared" si="10"/>
        <v>0</v>
      </c>
      <c r="F50" s="55">
        <v>0</v>
      </c>
      <c r="G50" s="55">
        <v>0</v>
      </c>
      <c r="H50" s="55"/>
      <c r="I50" s="55">
        <f t="shared" si="11"/>
        <v>0</v>
      </c>
      <c r="K50" s="55">
        <v>0</v>
      </c>
      <c r="L50" s="55"/>
      <c r="M50" s="55"/>
      <c r="N50" s="55">
        <f t="shared" si="12"/>
        <v>0</v>
      </c>
      <c r="P50" s="55">
        <v>0</v>
      </c>
      <c r="Q50" s="55"/>
      <c r="R50" s="55"/>
      <c r="S50" s="55">
        <f t="shared" si="13"/>
        <v>0</v>
      </c>
      <c r="U50" s="55">
        <v>0</v>
      </c>
      <c r="V50" s="55"/>
      <c r="W50" s="55"/>
      <c r="X50" s="55">
        <f t="shared" si="14"/>
        <v>0</v>
      </c>
      <c r="Y50" s="55"/>
      <c r="AA50" s="55">
        <v>0</v>
      </c>
      <c r="AB50" s="55"/>
      <c r="AC50" s="55">
        <v>0</v>
      </c>
    </row>
    <row r="51" spans="1:29">
      <c r="A51" s="368" t="s">
        <v>103</v>
      </c>
      <c r="B51" s="229"/>
      <c r="C51" s="229"/>
      <c r="D51" s="229">
        <f t="shared" si="10"/>
        <v>0</v>
      </c>
      <c r="F51" s="229">
        <v>0</v>
      </c>
      <c r="G51" s="229">
        <v>0</v>
      </c>
      <c r="H51" s="229"/>
      <c r="I51" s="229">
        <f t="shared" si="11"/>
        <v>0</v>
      </c>
      <c r="K51" s="229">
        <v>0</v>
      </c>
      <c r="L51" s="229"/>
      <c r="M51" s="229"/>
      <c r="N51" s="229">
        <f t="shared" si="12"/>
        <v>0</v>
      </c>
      <c r="P51" s="229">
        <v>0</v>
      </c>
      <c r="Q51" s="229"/>
      <c r="R51" s="229"/>
      <c r="S51" s="229">
        <f t="shared" si="13"/>
        <v>0</v>
      </c>
      <c r="U51" s="229">
        <v>0</v>
      </c>
      <c r="V51" s="229"/>
      <c r="W51" s="229"/>
      <c r="X51" s="229">
        <f t="shared" si="14"/>
        <v>0</v>
      </c>
      <c r="Y51" s="229"/>
      <c r="AA51" s="229">
        <v>0</v>
      </c>
      <c r="AB51" s="229"/>
      <c r="AC51" s="229">
        <v>0</v>
      </c>
    </row>
    <row r="52" spans="1:29">
      <c r="A52" s="178" t="s">
        <v>104</v>
      </c>
      <c r="B52" s="48"/>
      <c r="C52" s="48"/>
      <c r="D52" s="48">
        <f t="shared" si="10"/>
        <v>0</v>
      </c>
      <c r="F52" s="48">
        <v>0</v>
      </c>
      <c r="G52" s="48">
        <v>0</v>
      </c>
      <c r="H52" s="48"/>
      <c r="I52" s="48">
        <f t="shared" si="11"/>
        <v>0</v>
      </c>
      <c r="K52" s="48">
        <v>0</v>
      </c>
      <c r="L52" s="48"/>
      <c r="M52" s="48"/>
      <c r="N52" s="48">
        <f t="shared" si="12"/>
        <v>0</v>
      </c>
      <c r="P52" s="48">
        <v>0</v>
      </c>
      <c r="Q52" s="48"/>
      <c r="R52" s="48"/>
      <c r="S52" s="48">
        <f t="shared" si="13"/>
        <v>0</v>
      </c>
      <c r="U52" s="48">
        <v>0</v>
      </c>
      <c r="V52" s="48"/>
      <c r="W52" s="48"/>
      <c r="X52" s="48">
        <f t="shared" si="14"/>
        <v>0</v>
      </c>
      <c r="Y52" s="48"/>
      <c r="AA52" s="48">
        <v>0</v>
      </c>
      <c r="AB52" s="48"/>
      <c r="AC52" s="48">
        <v>0</v>
      </c>
    </row>
    <row r="53" spans="1:29">
      <c r="A53" s="178" t="s">
        <v>459</v>
      </c>
      <c r="B53" s="48"/>
      <c r="C53" s="48"/>
      <c r="D53" s="48">
        <f t="shared" si="10"/>
        <v>0</v>
      </c>
      <c r="F53" s="48">
        <v>0</v>
      </c>
      <c r="G53" s="48">
        <v>0</v>
      </c>
      <c r="H53" s="48"/>
      <c r="I53" s="48">
        <f t="shared" si="11"/>
        <v>0</v>
      </c>
      <c r="K53" s="48">
        <v>0</v>
      </c>
      <c r="L53" s="48"/>
      <c r="M53" s="48"/>
      <c r="N53" s="48">
        <f t="shared" si="12"/>
        <v>0</v>
      </c>
      <c r="P53" s="48">
        <v>0</v>
      </c>
      <c r="Q53" s="48"/>
      <c r="R53" s="48"/>
      <c r="S53" s="48">
        <f t="shared" si="13"/>
        <v>0</v>
      </c>
      <c r="U53" s="48">
        <v>0</v>
      </c>
      <c r="V53" s="48"/>
      <c r="W53" s="48"/>
      <c r="X53" s="48">
        <f t="shared" si="14"/>
        <v>0</v>
      </c>
      <c r="Y53" s="48"/>
      <c r="AA53" s="48">
        <v>0</v>
      </c>
      <c r="AB53" s="48"/>
      <c r="AC53" s="48">
        <v>0</v>
      </c>
    </row>
    <row r="54" spans="1:29">
      <c r="A54" s="386" t="s">
        <v>485</v>
      </c>
      <c r="B54" s="228"/>
      <c r="C54" s="228"/>
      <c r="D54" s="228">
        <f t="shared" si="10"/>
        <v>0</v>
      </c>
      <c r="F54" s="228">
        <v>0</v>
      </c>
      <c r="G54" s="228">
        <v>0</v>
      </c>
      <c r="H54" s="228"/>
      <c r="I54" s="228">
        <f t="shared" si="11"/>
        <v>0</v>
      </c>
      <c r="K54" s="228">
        <v>0</v>
      </c>
      <c r="L54" s="228"/>
      <c r="M54" s="228"/>
      <c r="N54" s="228">
        <f t="shared" si="12"/>
        <v>0</v>
      </c>
      <c r="P54" s="228">
        <v>0</v>
      </c>
      <c r="Q54" s="228"/>
      <c r="R54" s="228"/>
      <c r="S54" s="228">
        <f t="shared" si="13"/>
        <v>0</v>
      </c>
      <c r="U54" s="228">
        <v>0</v>
      </c>
      <c r="V54" s="228"/>
      <c r="W54" s="228"/>
      <c r="X54" s="228">
        <f t="shared" si="14"/>
        <v>0</v>
      </c>
      <c r="Y54" s="228"/>
      <c r="AA54" s="228">
        <v>0</v>
      </c>
      <c r="AB54" s="228"/>
      <c r="AC54" s="228">
        <v>0</v>
      </c>
    </row>
    <row r="55" spans="1:29">
      <c r="A55" s="178" t="s">
        <v>105</v>
      </c>
      <c r="B55" s="55"/>
      <c r="C55" s="55"/>
      <c r="D55" s="55">
        <f t="shared" si="10"/>
        <v>0</v>
      </c>
      <c r="F55" s="55">
        <v>0</v>
      </c>
      <c r="G55" s="55">
        <v>0</v>
      </c>
      <c r="H55" s="55"/>
      <c r="I55" s="55">
        <f t="shared" si="11"/>
        <v>0</v>
      </c>
      <c r="K55" s="55">
        <v>0</v>
      </c>
      <c r="L55" s="55"/>
      <c r="M55" s="55"/>
      <c r="N55" s="55">
        <f t="shared" si="12"/>
        <v>0</v>
      </c>
      <c r="P55" s="55">
        <v>0</v>
      </c>
      <c r="Q55" s="55"/>
      <c r="R55" s="55"/>
      <c r="S55" s="55">
        <f t="shared" si="13"/>
        <v>0</v>
      </c>
      <c r="U55" s="55">
        <v>0</v>
      </c>
      <c r="V55" s="55"/>
      <c r="W55" s="55"/>
      <c r="X55" s="55">
        <f t="shared" si="14"/>
        <v>0</v>
      </c>
      <c r="Y55" s="55"/>
      <c r="AA55" s="55">
        <v>0</v>
      </c>
      <c r="AB55" s="55"/>
      <c r="AC55" s="55">
        <v>0</v>
      </c>
    </row>
    <row r="56" spans="1:29">
      <c r="A56" s="375" t="s">
        <v>106</v>
      </c>
      <c r="B56" s="376">
        <v>0</v>
      </c>
      <c r="C56" s="376">
        <v>0</v>
      </c>
      <c r="D56" s="376">
        <f>SUM(D38:D55)</f>
        <v>0</v>
      </c>
      <c r="F56" s="376">
        <v>0</v>
      </c>
      <c r="G56" s="376">
        <v>0</v>
      </c>
      <c r="H56" s="376"/>
      <c r="I56" s="376">
        <f>SUM(I38:I55)</f>
        <v>0</v>
      </c>
      <c r="K56" s="376">
        <v>0</v>
      </c>
      <c r="L56" s="376">
        <v>0</v>
      </c>
      <c r="M56" s="376"/>
      <c r="N56" s="376">
        <f>SUM(N38:N55)</f>
        <v>0</v>
      </c>
      <c r="P56" s="376">
        <v>0</v>
      </c>
      <c r="Q56" s="376">
        <v>0</v>
      </c>
      <c r="R56" s="376"/>
      <c r="S56" s="376">
        <f>SUM(S38:S55)</f>
        <v>0</v>
      </c>
      <c r="U56" s="376">
        <v>0</v>
      </c>
      <c r="V56" s="376">
        <v>0</v>
      </c>
      <c r="W56" s="376"/>
      <c r="X56" s="376">
        <f>SUM(X38:X55)</f>
        <v>0</v>
      </c>
      <c r="Y56" s="1086"/>
      <c r="AA56" s="376">
        <v>0</v>
      </c>
      <c r="AB56" s="1086"/>
      <c r="AC56" s="376">
        <v>0</v>
      </c>
    </row>
    <row r="57" spans="1:29" ht="16.5" thickBot="1">
      <c r="A57" s="377" t="s">
        <v>107</v>
      </c>
      <c r="B57" s="378">
        <v>0</v>
      </c>
      <c r="C57" s="378">
        <v>0</v>
      </c>
      <c r="D57" s="378">
        <f>D56+D34+D8</f>
        <v>0</v>
      </c>
      <c r="F57" s="378">
        <v>0</v>
      </c>
      <c r="G57" s="378">
        <v>0</v>
      </c>
      <c r="H57" s="378"/>
      <c r="I57" s="378">
        <f>I56+I34+I8</f>
        <v>84314</v>
      </c>
      <c r="K57" s="378">
        <v>0</v>
      </c>
      <c r="L57" s="378">
        <v>0</v>
      </c>
      <c r="M57" s="378"/>
      <c r="N57" s="378">
        <f>N56+N34+N8</f>
        <v>548591.3989527151</v>
      </c>
      <c r="P57" s="378">
        <v>0</v>
      </c>
      <c r="Q57" s="378">
        <v>0</v>
      </c>
      <c r="R57" s="378"/>
      <c r="S57" s="378">
        <f>S56+S34+S8</f>
        <v>461819.44338554889</v>
      </c>
      <c r="U57" s="378">
        <v>0</v>
      </c>
      <c r="V57" s="378">
        <v>0</v>
      </c>
      <c r="W57" s="378"/>
      <c r="X57" s="378">
        <f>X56+X34+X8</f>
        <v>-517201.16572173685</v>
      </c>
      <c r="Y57" s="805"/>
      <c r="AA57" s="378">
        <v>0</v>
      </c>
      <c r="AB57" s="805"/>
      <c r="AC57" s="378">
        <v>0</v>
      </c>
    </row>
    <row r="58" spans="1:29" ht="16.5" thickTop="1"/>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0"/>
  <sheetViews>
    <sheetView workbookViewId="0">
      <selection activeCell="C22" sqref="C22"/>
    </sheetView>
  </sheetViews>
  <sheetFormatPr defaultColWidth="11" defaultRowHeight="15.75"/>
  <cols>
    <col min="1" max="1" width="34" customWidth="1"/>
    <col min="2" max="2" width="5.125" customWidth="1"/>
    <col min="3" max="3" width="25.375" customWidth="1"/>
    <col min="4" max="4" width="4.625" customWidth="1"/>
    <col min="5" max="5" width="15.875" customWidth="1"/>
    <col min="6" max="6" width="19.375" customWidth="1"/>
    <col min="7" max="7" width="16.125" customWidth="1"/>
  </cols>
  <sheetData>
    <row r="1" spans="1:7" ht="18.75">
      <c r="A1" s="899" t="s">
        <v>953</v>
      </c>
    </row>
    <row r="2" spans="1:7">
      <c r="A2" s="884">
        <v>43032</v>
      </c>
    </row>
    <row r="3" spans="1:7" ht="16.5" thickBot="1"/>
    <row r="4" spans="1:7" ht="16.5" thickBot="1">
      <c r="A4" s="895" t="s">
        <v>1277</v>
      </c>
      <c r="B4" s="896"/>
      <c r="C4" s="918">
        <v>553011059</v>
      </c>
    </row>
    <row r="5" spans="1:7" ht="19.5" thickBot="1">
      <c r="A5" s="895" t="s">
        <v>1211</v>
      </c>
      <c r="B5" s="896"/>
      <c r="C5" s="918">
        <f>'Pools, Rates, Reference'!B6</f>
        <v>581608334.94857144</v>
      </c>
      <c r="E5" s="1256" t="s">
        <v>5</v>
      </c>
    </row>
    <row r="6" spans="1:7" ht="16.5" thickBot="1">
      <c r="A6" s="897" t="s">
        <v>1212</v>
      </c>
      <c r="B6" s="898"/>
      <c r="C6" s="919">
        <f>'Summary FY18 to FY19 Change'!B59</f>
        <v>0</v>
      </c>
    </row>
    <row r="7" spans="1:7">
      <c r="E7" s="1802" t="s">
        <v>1285</v>
      </c>
      <c r="F7" s="1802"/>
      <c r="G7" s="1802"/>
    </row>
    <row r="8" spans="1:7">
      <c r="A8" s="14" t="s">
        <v>1241</v>
      </c>
      <c r="B8" s="14"/>
      <c r="C8" s="1236">
        <f>'What If Data'!H21</f>
        <v>14434039</v>
      </c>
      <c r="E8" s="1802"/>
      <c r="F8" s="1802"/>
      <c r="G8" s="1802"/>
    </row>
    <row r="9" spans="1:7">
      <c r="A9" s="62" t="s">
        <v>1213</v>
      </c>
      <c r="B9" s="62"/>
      <c r="C9" s="1237">
        <f>'What If Data'!I21</f>
        <v>14831995</v>
      </c>
    </row>
    <row r="10" spans="1:7">
      <c r="A10" s="62" t="s">
        <v>1214</v>
      </c>
      <c r="B10" s="62"/>
      <c r="C10" s="1237">
        <f>'What If Data'!J21</f>
        <v>14741202.939066634</v>
      </c>
    </row>
    <row r="11" spans="1:7">
      <c r="A11" s="62" t="s">
        <v>1215</v>
      </c>
      <c r="B11" s="62"/>
      <c r="C11" s="1237">
        <f>'What If Data'!K21</f>
        <v>18959086.782090027</v>
      </c>
    </row>
    <row r="12" spans="1:7">
      <c r="A12" s="15" t="s">
        <v>1276</v>
      </c>
      <c r="B12" s="15"/>
      <c r="C12" s="1238">
        <f>'What If Data'!L21</f>
        <v>4217883.8430233933</v>
      </c>
    </row>
    <row r="14" spans="1:7">
      <c r="A14" t="s">
        <v>1248</v>
      </c>
      <c r="C14" s="1242" t="s">
        <v>1249</v>
      </c>
      <c r="E14" s="1802" t="s">
        <v>1286</v>
      </c>
      <c r="F14" s="1802"/>
      <c r="G14" s="1802"/>
    </row>
    <row r="15" spans="1:7">
      <c r="E15" s="1802"/>
      <c r="F15" s="1802"/>
      <c r="G15" s="1802"/>
    </row>
    <row r="16" spans="1:7">
      <c r="A16" s="1260"/>
      <c r="B16" s="1260"/>
      <c r="C16" s="1260"/>
    </row>
    <row r="17" spans="1:7">
      <c r="A17" s="1260"/>
      <c r="B17" s="1260"/>
      <c r="C17" s="1260"/>
    </row>
    <row r="18" spans="1:7">
      <c r="A18" s="1260"/>
      <c r="B18" s="1260"/>
      <c r="C18" s="1260"/>
    </row>
    <row r="19" spans="1:7" ht="29.1" customHeight="1">
      <c r="A19" s="1803" t="s">
        <v>1303</v>
      </c>
      <c r="B19" s="1803"/>
      <c r="C19" s="1803"/>
      <c r="D19" s="1803"/>
      <c r="E19" s="1803"/>
      <c r="F19" s="1803"/>
      <c r="G19" s="1803"/>
    </row>
    <row r="21" spans="1:7">
      <c r="A21" s="1250" t="s">
        <v>1252</v>
      </c>
      <c r="B21" s="1251"/>
      <c r="C21" s="1252" t="s">
        <v>1302</v>
      </c>
    </row>
    <row r="22" spans="1:7">
      <c r="A22" s="1253" t="s">
        <v>1242</v>
      </c>
      <c r="B22" s="1253"/>
      <c r="C22" s="1257"/>
      <c r="E22" s="1801" t="s">
        <v>1287</v>
      </c>
      <c r="F22" s="1801"/>
      <c r="G22" s="1801"/>
    </row>
    <row r="23" spans="1:7">
      <c r="A23" s="1253" t="s">
        <v>1243</v>
      </c>
      <c r="B23" s="1253"/>
      <c r="C23" s="1257"/>
      <c r="E23" s="1801" t="s">
        <v>1289</v>
      </c>
      <c r="F23" s="1801"/>
      <c r="G23" s="1801"/>
    </row>
    <row r="24" spans="1:7">
      <c r="A24" s="1253" t="s">
        <v>1244</v>
      </c>
      <c r="B24" s="1253"/>
      <c r="C24" s="1257"/>
      <c r="E24" s="1801" t="s">
        <v>1288</v>
      </c>
      <c r="F24" s="1801"/>
      <c r="G24" s="1801"/>
    </row>
    <row r="25" spans="1:7">
      <c r="A25" s="1253" t="s">
        <v>1245</v>
      </c>
      <c r="B25" s="1253"/>
      <c r="C25" s="1257"/>
      <c r="E25" s="1801" t="s">
        <v>1290</v>
      </c>
      <c r="F25" s="1801"/>
      <c r="G25" s="1801"/>
    </row>
    <row r="26" spans="1:7">
      <c r="A26" s="1253" t="s">
        <v>1246</v>
      </c>
      <c r="B26" s="1253"/>
      <c r="C26" s="1257"/>
      <c r="E26" s="1801" t="s">
        <v>1292</v>
      </c>
      <c r="F26" s="1801"/>
      <c r="G26" s="1801"/>
    </row>
    <row r="27" spans="1:7">
      <c r="A27" s="1253" t="s">
        <v>1247</v>
      </c>
      <c r="B27" s="1253"/>
      <c r="C27" s="1257">
        <v>0</v>
      </c>
      <c r="E27" s="1801" t="s">
        <v>1291</v>
      </c>
      <c r="F27" s="1801"/>
      <c r="G27" s="1801"/>
    </row>
    <row r="28" spans="1:7">
      <c r="A28" s="1253" t="s">
        <v>1262</v>
      </c>
      <c r="B28" s="1253"/>
      <c r="C28" s="1257"/>
      <c r="E28" s="1801" t="s">
        <v>1293</v>
      </c>
      <c r="F28" s="1801"/>
      <c r="G28" s="1801"/>
    </row>
    <row r="29" spans="1:7">
      <c r="A29" s="1253" t="s">
        <v>1263</v>
      </c>
      <c r="B29" s="1253"/>
      <c r="C29" s="1257"/>
      <c r="E29" s="1801" t="s">
        <v>1294</v>
      </c>
      <c r="F29" s="1801"/>
      <c r="G29" s="1801"/>
    </row>
    <row r="30" spans="1:7">
      <c r="A30" s="1253" t="s">
        <v>1265</v>
      </c>
      <c r="B30" s="1254"/>
      <c r="C30" s="1258"/>
      <c r="E30" s="1801" t="s">
        <v>1295</v>
      </c>
      <c r="F30" s="1801"/>
      <c r="G30" s="1801"/>
    </row>
    <row r="31" spans="1:7">
      <c r="A31" s="1253" t="s">
        <v>1264</v>
      </c>
      <c r="B31" s="1254"/>
      <c r="C31" s="1258"/>
      <c r="E31" s="1801" t="s">
        <v>1296</v>
      </c>
      <c r="F31" s="1801"/>
      <c r="G31" s="1801"/>
    </row>
    <row r="32" spans="1:7">
      <c r="A32" s="1253" t="s">
        <v>1280</v>
      </c>
      <c r="B32" s="1254"/>
      <c r="C32" s="1258">
        <v>0</v>
      </c>
      <c r="E32" s="1801" t="s">
        <v>1298</v>
      </c>
      <c r="F32" s="1801"/>
      <c r="G32" s="1801"/>
    </row>
    <row r="33" spans="1:9">
      <c r="A33" s="1255" t="s">
        <v>1251</v>
      </c>
      <c r="B33" s="1255"/>
      <c r="C33" s="1259"/>
      <c r="E33" s="1261"/>
      <c r="F33" s="1261"/>
      <c r="G33" s="1261"/>
    </row>
    <row r="34" spans="1:9">
      <c r="A34" s="1253" t="s">
        <v>181</v>
      </c>
      <c r="B34" s="1253"/>
      <c r="C34" s="1257">
        <v>0</v>
      </c>
      <c r="E34" s="1813" t="s">
        <v>1297</v>
      </c>
      <c r="F34" s="1813"/>
      <c r="G34" s="1813"/>
    </row>
    <row r="35" spans="1:9">
      <c r="A35" s="1253" t="s">
        <v>1222</v>
      </c>
      <c r="B35" s="1253"/>
      <c r="C35" s="1257">
        <v>0</v>
      </c>
      <c r="E35" s="1813"/>
      <c r="F35" s="1813"/>
      <c r="G35" s="1813"/>
      <c r="I35" t="s">
        <v>1272</v>
      </c>
    </row>
    <row r="36" spans="1:9">
      <c r="A36" s="1253" t="s">
        <v>1223</v>
      </c>
      <c r="B36" s="1253"/>
      <c r="C36" s="1257"/>
      <c r="E36" s="1813"/>
      <c r="F36" s="1813"/>
      <c r="G36" s="1813"/>
      <c r="I36" t="s">
        <v>1273</v>
      </c>
    </row>
    <row r="37" spans="1:9" ht="15.95" customHeight="1">
      <c r="A37" s="1253" t="s">
        <v>1224</v>
      </c>
      <c r="B37" s="1253"/>
      <c r="C37" s="1257"/>
      <c r="E37" s="1813"/>
      <c r="F37" s="1813"/>
      <c r="G37" s="1813"/>
      <c r="I37" t="s">
        <v>1274</v>
      </c>
    </row>
    <row r="38" spans="1:9" ht="15.95" customHeight="1">
      <c r="A38" s="1253"/>
      <c r="B38" s="1253"/>
      <c r="C38" s="1257"/>
      <c r="E38" s="1261"/>
      <c r="F38" s="1261"/>
      <c r="G38" s="1261"/>
    </row>
    <row r="39" spans="1:9">
      <c r="A39" s="1253" t="s">
        <v>1225</v>
      </c>
      <c r="B39" s="1253"/>
      <c r="C39" s="1257">
        <v>0</v>
      </c>
      <c r="E39" s="1801" t="s">
        <v>1299</v>
      </c>
      <c r="F39" s="1801"/>
      <c r="G39" s="1801"/>
    </row>
    <row r="40" spans="1:9">
      <c r="A40" s="1253" t="s">
        <v>1226</v>
      </c>
      <c r="B40" s="1253"/>
      <c r="C40" s="1257"/>
      <c r="E40" s="1801" t="s">
        <v>1300</v>
      </c>
      <c r="F40" s="1801"/>
      <c r="G40" s="1801"/>
    </row>
    <row r="41" spans="1:9">
      <c r="A41" s="1253" t="s">
        <v>1227</v>
      </c>
      <c r="B41" s="1253"/>
      <c r="C41" s="1257"/>
      <c r="E41" s="1801" t="s">
        <v>1301</v>
      </c>
      <c r="F41" s="1801"/>
      <c r="G41" s="1801"/>
    </row>
    <row r="42" spans="1:9" ht="16.5" thickBot="1"/>
    <row r="43" spans="1:9" ht="15.95" customHeight="1">
      <c r="A43" s="1804" t="s">
        <v>1304</v>
      </c>
      <c r="B43" s="1805"/>
      <c r="C43" s="1805"/>
      <c r="D43" s="1805"/>
      <c r="E43" s="1805"/>
      <c r="F43" s="1805"/>
      <c r="G43" s="1806"/>
    </row>
    <row r="44" spans="1:9">
      <c r="A44" s="1807"/>
      <c r="B44" s="1808"/>
      <c r="C44" s="1808"/>
      <c r="D44" s="1808"/>
      <c r="E44" s="1808"/>
      <c r="F44" s="1808"/>
      <c r="G44" s="1809"/>
    </row>
    <row r="45" spans="1:9">
      <c r="A45" s="1807"/>
      <c r="B45" s="1808"/>
      <c r="C45" s="1808"/>
      <c r="D45" s="1808"/>
      <c r="E45" s="1808"/>
      <c r="F45" s="1808"/>
      <c r="G45" s="1809"/>
    </row>
    <row r="46" spans="1:9">
      <c r="A46" s="1807"/>
      <c r="B46" s="1808"/>
      <c r="C46" s="1808"/>
      <c r="D46" s="1808"/>
      <c r="E46" s="1808"/>
      <c r="F46" s="1808"/>
      <c r="G46" s="1809"/>
    </row>
    <row r="47" spans="1:9">
      <c r="A47" s="1807"/>
      <c r="B47" s="1808"/>
      <c r="C47" s="1808"/>
      <c r="D47" s="1808"/>
      <c r="E47" s="1808"/>
      <c r="F47" s="1808"/>
      <c r="G47" s="1809"/>
    </row>
    <row r="48" spans="1:9">
      <c r="A48" s="1807"/>
      <c r="B48" s="1808"/>
      <c r="C48" s="1808"/>
      <c r="D48" s="1808"/>
      <c r="E48" s="1808"/>
      <c r="F48" s="1808"/>
      <c r="G48" s="1809"/>
    </row>
    <row r="49" spans="1:7">
      <c r="A49" s="1807"/>
      <c r="B49" s="1808"/>
      <c r="C49" s="1808"/>
      <c r="D49" s="1808"/>
      <c r="E49" s="1808"/>
      <c r="F49" s="1808"/>
      <c r="G49" s="1809"/>
    </row>
    <row r="50" spans="1:7">
      <c r="A50" s="1807"/>
      <c r="B50" s="1808"/>
      <c r="C50" s="1808"/>
      <c r="D50" s="1808"/>
      <c r="E50" s="1808"/>
      <c r="F50" s="1808"/>
      <c r="G50" s="1809"/>
    </row>
    <row r="51" spans="1:7">
      <c r="A51" s="1807"/>
      <c r="B51" s="1808"/>
      <c r="C51" s="1808"/>
      <c r="D51" s="1808"/>
      <c r="E51" s="1808"/>
      <c r="F51" s="1808"/>
      <c r="G51" s="1809"/>
    </row>
    <row r="52" spans="1:7">
      <c r="A52" s="1807"/>
      <c r="B52" s="1808"/>
      <c r="C52" s="1808"/>
      <c r="D52" s="1808"/>
      <c r="E52" s="1808"/>
      <c r="F52" s="1808"/>
      <c r="G52" s="1809"/>
    </row>
    <row r="53" spans="1:7">
      <c r="A53" s="1807"/>
      <c r="B53" s="1808"/>
      <c r="C53" s="1808"/>
      <c r="D53" s="1808"/>
      <c r="E53" s="1808"/>
      <c r="F53" s="1808"/>
      <c r="G53" s="1809"/>
    </row>
    <row r="54" spans="1:7">
      <c r="A54" s="1807"/>
      <c r="B54" s="1808"/>
      <c r="C54" s="1808"/>
      <c r="D54" s="1808"/>
      <c r="E54" s="1808"/>
      <c r="F54" s="1808"/>
      <c r="G54" s="1809"/>
    </row>
    <row r="55" spans="1:7">
      <c r="A55" s="1807"/>
      <c r="B55" s="1808"/>
      <c r="C55" s="1808"/>
      <c r="D55" s="1808"/>
      <c r="E55" s="1808"/>
      <c r="F55" s="1808"/>
      <c r="G55" s="1809"/>
    </row>
    <row r="56" spans="1:7">
      <c r="A56" s="1807"/>
      <c r="B56" s="1808"/>
      <c r="C56" s="1808"/>
      <c r="D56" s="1808"/>
      <c r="E56" s="1808"/>
      <c r="F56" s="1808"/>
      <c r="G56" s="1809"/>
    </row>
    <row r="57" spans="1:7">
      <c r="A57" s="1807"/>
      <c r="B57" s="1808"/>
      <c r="C57" s="1808"/>
      <c r="D57" s="1808"/>
      <c r="E57" s="1808"/>
      <c r="F57" s="1808"/>
      <c r="G57" s="1809"/>
    </row>
    <row r="58" spans="1:7">
      <c r="A58" s="1807"/>
      <c r="B58" s="1808"/>
      <c r="C58" s="1808"/>
      <c r="D58" s="1808"/>
      <c r="E58" s="1808"/>
      <c r="F58" s="1808"/>
      <c r="G58" s="1809"/>
    </row>
    <row r="59" spans="1:7">
      <c r="A59" s="1807"/>
      <c r="B59" s="1808"/>
      <c r="C59" s="1808"/>
      <c r="D59" s="1808"/>
      <c r="E59" s="1808"/>
      <c r="F59" s="1808"/>
      <c r="G59" s="1809"/>
    </row>
    <row r="60" spans="1:7" ht="16.5" thickBot="1">
      <c r="A60" s="1810"/>
      <c r="B60" s="1811"/>
      <c r="C60" s="1811"/>
      <c r="D60" s="1811"/>
      <c r="E60" s="1811"/>
      <c r="F60" s="1811"/>
      <c r="G60" s="1812"/>
    </row>
  </sheetData>
  <mergeCells count="19">
    <mergeCell ref="A43:G60"/>
    <mergeCell ref="E34:G37"/>
    <mergeCell ref="E22:G22"/>
    <mergeCell ref="E23:G23"/>
    <mergeCell ref="E24:G24"/>
    <mergeCell ref="E25:G25"/>
    <mergeCell ref="E26:G26"/>
    <mergeCell ref="E27:G27"/>
    <mergeCell ref="E28:G28"/>
    <mergeCell ref="E29:G29"/>
    <mergeCell ref="E30:G30"/>
    <mergeCell ref="E31:G31"/>
    <mergeCell ref="E32:G32"/>
    <mergeCell ref="E39:G39"/>
    <mergeCell ref="E40:G40"/>
    <mergeCell ref="E41:G41"/>
    <mergeCell ref="E14:G15"/>
    <mergeCell ref="E7:G8"/>
    <mergeCell ref="A19:G19"/>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'What If Data'!$A$6:$A$20</xm:f>
          </x14:formula1>
          <xm:sqref>E5</xm:sqref>
        </x14:dataValidation>
        <x14:dataValidation type="list" allowBlank="1" showInputMessage="1" showErrorMessage="1">
          <x14:formula1>
            <xm:f>'What If Data'!$A$64:$A$65</xm:f>
          </x14:formula1>
          <xm:sqref>C14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T65"/>
  <sheetViews>
    <sheetView topLeftCell="A18" workbookViewId="0">
      <selection activeCell="D55" sqref="D55"/>
    </sheetView>
  </sheetViews>
  <sheetFormatPr defaultColWidth="11" defaultRowHeight="15.75"/>
  <cols>
    <col min="1" max="1" width="17.125" customWidth="1"/>
    <col min="2" max="2" width="15.125" customWidth="1"/>
    <col min="3" max="3" width="17.625" customWidth="1"/>
    <col min="4" max="13" width="13.875" customWidth="1"/>
    <col min="14" max="14" width="11.5" customWidth="1"/>
    <col min="17" max="17" width="12.125" customWidth="1"/>
  </cols>
  <sheetData>
    <row r="2" spans="1:12">
      <c r="A2" s="943" t="s">
        <v>1278</v>
      </c>
      <c r="B2" s="943"/>
      <c r="C2" s="943" t="s">
        <v>1279</v>
      </c>
      <c r="D2" s="943"/>
      <c r="E2" s="943"/>
      <c r="F2" s="943"/>
    </row>
    <row r="5" spans="1:12" ht="31.5">
      <c r="A5" s="220"/>
      <c r="B5" s="1229" t="s">
        <v>1228</v>
      </c>
      <c r="C5" s="1228" t="s">
        <v>1213</v>
      </c>
      <c r="D5" s="1228" t="s">
        <v>1214</v>
      </c>
      <c r="E5" s="1228" t="s">
        <v>1215</v>
      </c>
      <c r="F5" s="1228" t="s">
        <v>1216</v>
      </c>
      <c r="H5" s="1229" t="s">
        <v>1228</v>
      </c>
      <c r="I5" s="1228" t="s">
        <v>1213</v>
      </c>
      <c r="J5" s="1228" t="s">
        <v>1214</v>
      </c>
      <c r="K5" s="1228" t="s">
        <v>1215</v>
      </c>
      <c r="L5" s="1228" t="s">
        <v>1216</v>
      </c>
    </row>
    <row r="6" spans="1:12">
      <c r="A6" t="s">
        <v>639</v>
      </c>
      <c r="B6" s="241">
        <v>22952677</v>
      </c>
      <c r="C6" s="241">
        <v>24160078</v>
      </c>
      <c r="D6" s="241">
        <v>25001758.759312462</v>
      </c>
      <c r="E6" s="241">
        <f>'Step 7 Final Adjustments'!Q16</f>
        <v>24306595.958287429</v>
      </c>
      <c r="F6" s="241">
        <f>E6-D6</f>
        <v>-695162.801025033</v>
      </c>
      <c r="H6" s="241">
        <f>IF($A6='What If Tool'!$E$5,B6,0)</f>
        <v>0</v>
      </c>
      <c r="I6" s="241">
        <f>IF($A6='What If Tool'!$E$5,C6,0)</f>
        <v>0</v>
      </c>
      <c r="J6" s="241">
        <f>IF($A6='What If Tool'!$E$5,D6,0)</f>
        <v>0</v>
      </c>
      <c r="K6" s="241">
        <f>IF($A6='What If Tool'!$E$5,E6,0)</f>
        <v>0</v>
      </c>
      <c r="L6" s="241">
        <f>IF($A6='What If Tool'!$E$5,F6,0)</f>
        <v>0</v>
      </c>
    </row>
    <row r="7" spans="1:12">
      <c r="A7" t="s">
        <v>6</v>
      </c>
      <c r="B7" s="821">
        <v>20340741</v>
      </c>
      <c r="C7" s="821">
        <v>20462422</v>
      </c>
      <c r="D7" s="821">
        <v>20285337.772514664</v>
      </c>
      <c r="E7" s="821">
        <f>'Step 7 Final Adjustments'!Q17</f>
        <v>21766302.898492426</v>
      </c>
      <c r="F7" s="821">
        <f t="shared" ref="F7:F16" si="0">E7-D7</f>
        <v>1480965.125977762</v>
      </c>
      <c r="H7" s="821">
        <f>IF($A7='What If Tool'!$E$5,B7,0)</f>
        <v>0</v>
      </c>
      <c r="I7" s="821">
        <f>IF($A7='What If Tool'!$E$5,C7,0)</f>
        <v>0</v>
      </c>
      <c r="J7" s="821">
        <f>IF($A7='What If Tool'!$E$5,D7,0)</f>
        <v>0</v>
      </c>
      <c r="K7" s="821">
        <f>IF($A7='What If Tool'!$E$5,E7,0)</f>
        <v>0</v>
      </c>
      <c r="L7" s="821">
        <f>IF($A7='What If Tool'!$E$5,F7,0)</f>
        <v>0</v>
      </c>
    </row>
    <row r="8" spans="1:12">
      <c r="A8" t="s">
        <v>5</v>
      </c>
      <c r="B8" s="821">
        <v>14434039</v>
      </c>
      <c r="C8" s="821">
        <v>14831995</v>
      </c>
      <c r="D8" s="821">
        <v>14741202.939066634</v>
      </c>
      <c r="E8" s="821">
        <f>'Step 7 Final Adjustments'!Q23</f>
        <v>18959086.782090027</v>
      </c>
      <c r="F8" s="821">
        <f t="shared" si="0"/>
        <v>4217883.8430233933</v>
      </c>
      <c r="H8" s="821">
        <f>IF($A8='What If Tool'!$E$5,B8,0)</f>
        <v>14434039</v>
      </c>
      <c r="I8" s="821">
        <f>IF($A8='What If Tool'!$E$5,C8,0)</f>
        <v>14831995</v>
      </c>
      <c r="J8" s="821">
        <f>IF($A8='What If Tool'!$E$5,D8,0)</f>
        <v>14741202.939066634</v>
      </c>
      <c r="K8" s="821">
        <f>IF($A8='What If Tool'!$E$5,E8,0)</f>
        <v>18959086.782090027</v>
      </c>
      <c r="L8" s="821">
        <f>IF($A8='What If Tool'!$E$5,F8,0)</f>
        <v>4217883.8430233933</v>
      </c>
    </row>
    <row r="9" spans="1:12">
      <c r="A9" t="s">
        <v>3</v>
      </c>
      <c r="B9" s="241">
        <v>43369613</v>
      </c>
      <c r="C9" s="241">
        <v>45894131</v>
      </c>
      <c r="D9" s="241">
        <v>45922829.802812383</v>
      </c>
      <c r="E9" s="241">
        <f>'Step 7 Final Adjustments'!Q22</f>
        <v>44794677.217382081</v>
      </c>
      <c r="F9" s="241">
        <f t="shared" si="0"/>
        <v>-1128152.5854303017</v>
      </c>
      <c r="H9" s="241">
        <f>IF($A9='What If Tool'!$E$5,B9,0)</f>
        <v>0</v>
      </c>
      <c r="I9" s="241">
        <f>IF($A9='What If Tool'!$E$5,C9,0)</f>
        <v>0</v>
      </c>
      <c r="J9" s="241">
        <f>IF($A9='What If Tool'!$E$5,D9,0)</f>
        <v>0</v>
      </c>
      <c r="K9" s="241">
        <f>IF($A9='What If Tool'!$E$5,E9,0)</f>
        <v>0</v>
      </c>
      <c r="L9" s="241">
        <f>IF($A9='What If Tool'!$E$5,F9,0)</f>
        <v>0</v>
      </c>
    </row>
    <row r="10" spans="1:12">
      <c r="A10" t="s">
        <v>8</v>
      </c>
      <c r="B10" s="821">
        <v>4791672</v>
      </c>
      <c r="C10" s="821">
        <v>4806568</v>
      </c>
      <c r="D10" s="821">
        <v>4830007.8363892129</v>
      </c>
      <c r="E10" s="821">
        <f>'Step 7 Final Adjustments'!Q21</f>
        <v>5513657.0242793197</v>
      </c>
      <c r="F10" s="821">
        <f t="shared" si="0"/>
        <v>683649.18789010681</v>
      </c>
      <c r="H10" s="821">
        <f>IF($A10='What If Tool'!$E$5,B10,0)</f>
        <v>0</v>
      </c>
      <c r="I10" s="821">
        <f>IF($A10='What If Tool'!$E$5,C10,0)</f>
        <v>0</v>
      </c>
      <c r="J10" s="821">
        <f>IF($A10='What If Tool'!$E$5,D10,0)</f>
        <v>0</v>
      </c>
      <c r="K10" s="821">
        <f>IF($A10='What If Tool'!$E$5,E10,0)</f>
        <v>0</v>
      </c>
      <c r="L10" s="821">
        <f>IF($A10='What If Tool'!$E$5,F10,0)</f>
        <v>0</v>
      </c>
    </row>
    <row r="11" spans="1:12">
      <c r="A11" t="s">
        <v>7</v>
      </c>
      <c r="B11" s="821">
        <v>57240954</v>
      </c>
      <c r="C11" s="821">
        <v>61306607</v>
      </c>
      <c r="D11" s="821">
        <v>64222078.737047724</v>
      </c>
      <c r="E11" s="821">
        <f>'Step 7 Final Adjustments'!Q18</f>
        <v>67801102.237237439</v>
      </c>
      <c r="F11" s="821">
        <f t="shared" si="0"/>
        <v>3579023.5001897141</v>
      </c>
      <c r="H11" s="821">
        <f>IF($A11='What If Tool'!$E$5,B11,0)</f>
        <v>0</v>
      </c>
      <c r="I11" s="821">
        <f>IF($A11='What If Tool'!$E$5,C11,0)</f>
        <v>0</v>
      </c>
      <c r="J11" s="821">
        <f>IF($A11='What If Tool'!$E$5,D11,0)</f>
        <v>0</v>
      </c>
      <c r="K11" s="821">
        <f>IF($A11='What If Tool'!$E$5,E11,0)</f>
        <v>0</v>
      </c>
      <c r="L11" s="821">
        <f>IF($A11='What If Tool'!$E$5,F11,0)</f>
        <v>0</v>
      </c>
    </row>
    <row r="12" spans="1:12">
      <c r="A12" t="s">
        <v>2</v>
      </c>
      <c r="B12" s="241">
        <v>8833735</v>
      </c>
      <c r="C12" s="241">
        <v>9355600</v>
      </c>
      <c r="D12" s="241">
        <v>9346906.6282929424</v>
      </c>
      <c r="E12" s="241">
        <f>'Step 7 Final Adjustments'!Q19</f>
        <v>9534064.2899717987</v>
      </c>
      <c r="F12" s="241">
        <f t="shared" si="0"/>
        <v>187157.66167885624</v>
      </c>
      <c r="H12" s="241">
        <f>IF($A12='What If Tool'!$E$5,B12,0)</f>
        <v>0</v>
      </c>
      <c r="I12" s="241">
        <f>IF($A12='What If Tool'!$E$5,C12,0)</f>
        <v>0</v>
      </c>
      <c r="J12" s="241">
        <f>IF($A12='What If Tool'!$E$5,D12,0)</f>
        <v>0</v>
      </c>
      <c r="K12" s="241">
        <f>IF($A12='What If Tool'!$E$5,E12,0)</f>
        <v>0</v>
      </c>
      <c r="L12" s="241">
        <f>IF($A12='What If Tool'!$E$5,F12,0)</f>
        <v>0</v>
      </c>
    </row>
    <row r="13" spans="1:12">
      <c r="A13" t="s">
        <v>10</v>
      </c>
      <c r="B13" s="821">
        <v>12573591</v>
      </c>
      <c r="C13" s="821">
        <v>12737398</v>
      </c>
      <c r="D13" s="821">
        <v>12673049.798480507</v>
      </c>
      <c r="E13" s="821">
        <f>'Step 7 Final Adjustments'!Q24</f>
        <v>12713781.83332295</v>
      </c>
      <c r="F13" s="821">
        <f t="shared" si="0"/>
        <v>40732.034842442721</v>
      </c>
      <c r="H13" s="821">
        <f>IF($A13='What If Tool'!$E$5,B13,0)</f>
        <v>0</v>
      </c>
      <c r="I13" s="821">
        <f>IF($A13='What If Tool'!$E$5,C13,0)</f>
        <v>0</v>
      </c>
      <c r="J13" s="821">
        <f>IF($A13='What If Tool'!$E$5,D13,0)</f>
        <v>0</v>
      </c>
      <c r="K13" s="821">
        <f>IF($A13='What If Tool'!$E$5,E13,0)</f>
        <v>0</v>
      </c>
      <c r="L13" s="821">
        <f>IF($A13='What If Tool'!$E$5,F13,0)</f>
        <v>0</v>
      </c>
    </row>
    <row r="14" spans="1:12">
      <c r="A14" t="s">
        <v>9</v>
      </c>
      <c r="B14" s="821">
        <v>19991639</v>
      </c>
      <c r="C14" s="821">
        <v>20440194</v>
      </c>
      <c r="D14" s="821">
        <v>19856321.585655142</v>
      </c>
      <c r="E14" s="821">
        <f>'Step 7 Final Adjustments'!Q20</f>
        <v>19700561.800000001</v>
      </c>
      <c r="F14" s="821">
        <f t="shared" si="0"/>
        <v>-155759.78565514088</v>
      </c>
      <c r="H14" s="821">
        <f>IF($A14='What If Tool'!$E$5,B14,0)</f>
        <v>0</v>
      </c>
      <c r="I14" s="821">
        <f>IF($A14='What If Tool'!$E$5,C14,0)</f>
        <v>0</v>
      </c>
      <c r="J14" s="821">
        <f>IF($A14='What If Tool'!$E$5,D14,0)</f>
        <v>0</v>
      </c>
      <c r="K14" s="821">
        <f>IF($A14='What If Tool'!$E$5,E14,0)</f>
        <v>0</v>
      </c>
      <c r="L14" s="821">
        <f>IF($A14='What If Tool'!$E$5,F14,0)</f>
        <v>0</v>
      </c>
    </row>
    <row r="15" spans="1:12">
      <c r="A15" t="s">
        <v>4</v>
      </c>
      <c r="B15" s="241">
        <v>40678621</v>
      </c>
      <c r="C15" s="241">
        <v>41127158</v>
      </c>
      <c r="D15" s="241">
        <v>41762479.565978713</v>
      </c>
      <c r="E15" s="241">
        <f>'Step 7 Final Adjustments'!Q25</f>
        <v>44437127.901171856</v>
      </c>
      <c r="F15" s="241">
        <f t="shared" si="0"/>
        <v>2674648.3351931423</v>
      </c>
      <c r="H15" s="241">
        <f>IF($A15='What If Tool'!$E$5,B15,0)</f>
        <v>0</v>
      </c>
      <c r="I15" s="241">
        <f>IF($A15='What If Tool'!$E$5,C15,0)</f>
        <v>0</v>
      </c>
      <c r="J15" s="241">
        <f>IF($A15='What If Tool'!$E$5,D15,0)</f>
        <v>0</v>
      </c>
      <c r="K15" s="241">
        <f>IF($A15='What If Tool'!$E$5,E15,0)</f>
        <v>0</v>
      </c>
      <c r="L15" s="241">
        <f>IF($A15='What If Tool'!$E$5,F15,0)</f>
        <v>0</v>
      </c>
    </row>
    <row r="16" spans="1:12">
      <c r="A16" t="s">
        <v>1</v>
      </c>
      <c r="B16" s="821">
        <v>24513720</v>
      </c>
      <c r="C16" s="821">
        <v>24909417</v>
      </c>
      <c r="D16" s="821">
        <v>24861945.565714028</v>
      </c>
      <c r="E16" s="821">
        <f>'Step 7 Final Adjustments'!Q26</f>
        <v>26449266.98000063</v>
      </c>
      <c r="F16" s="821">
        <f t="shared" si="0"/>
        <v>1587321.4142866023</v>
      </c>
      <c r="H16" s="821">
        <f>IF($A16='What If Tool'!$E$5,B16,0)</f>
        <v>0</v>
      </c>
      <c r="I16" s="821">
        <f>IF($A16='What If Tool'!$E$5,C16,0)</f>
        <v>0</v>
      </c>
      <c r="J16" s="821">
        <f>IF($A16='What If Tool'!$E$5,D16,0)</f>
        <v>0</v>
      </c>
      <c r="K16" s="821">
        <f>IF($A16='What If Tool'!$E$5,E16,0)</f>
        <v>0</v>
      </c>
      <c r="L16" s="821">
        <f>IF($A16='What If Tool'!$E$5,F16,0)</f>
        <v>0</v>
      </c>
    </row>
    <row r="18" spans="1:20">
      <c r="A18" t="s">
        <v>1208</v>
      </c>
      <c r="B18" s="241">
        <v>2438816</v>
      </c>
      <c r="C18" s="241">
        <v>2839964</v>
      </c>
      <c r="D18" s="241">
        <v>3076862.3114752835</v>
      </c>
      <c r="E18" s="241">
        <f>'Step 7 Final Adjustments'!Q28</f>
        <v>3042934.2942578932</v>
      </c>
      <c r="F18" s="241">
        <f>E18-D18</f>
        <v>-33928.017217390239</v>
      </c>
      <c r="H18" s="241">
        <f>IF($A18='What If Tool'!$E$5,B18,0)</f>
        <v>0</v>
      </c>
      <c r="I18" s="241">
        <f>IF($A18='What If Tool'!$E$5,C18,0)</f>
        <v>0</v>
      </c>
      <c r="J18" s="241">
        <f>IF($A18='What If Tool'!$E$5,D18,0)</f>
        <v>0</v>
      </c>
      <c r="K18" s="241">
        <f>IF($A18='What If Tool'!$E$5,E18,0)</f>
        <v>0</v>
      </c>
      <c r="L18" s="241">
        <f>IF($A18='What If Tool'!$E$5,F18,0)</f>
        <v>0</v>
      </c>
    </row>
    <row r="19" spans="1:20">
      <c r="A19" t="s">
        <v>1209</v>
      </c>
      <c r="B19" s="821">
        <v>11252786</v>
      </c>
      <c r="C19" s="821">
        <v>11354618</v>
      </c>
      <c r="D19" s="821">
        <v>11331878.453987531</v>
      </c>
      <c r="E19" s="821">
        <f>'Step 7 Final Adjustments'!Q34</f>
        <v>11507822.71382935</v>
      </c>
      <c r="F19" s="821">
        <f>E19-D19</f>
        <v>175944.25984181836</v>
      </c>
      <c r="H19" s="821">
        <f>IF($A19='What If Tool'!$E$5,B19,0)</f>
        <v>0</v>
      </c>
      <c r="I19" s="821">
        <f>IF($A19='What If Tool'!$E$5,C19,0)</f>
        <v>0</v>
      </c>
      <c r="J19" s="821">
        <f>IF($A19='What If Tool'!$E$5,D19,0)</f>
        <v>0</v>
      </c>
      <c r="K19" s="821">
        <f>IF($A19='What If Tool'!$E$5,E19,0)</f>
        <v>0</v>
      </c>
      <c r="L19" s="821">
        <f>IF($A19='What If Tool'!$E$5,F19,0)</f>
        <v>0</v>
      </c>
    </row>
    <row r="20" spans="1:20">
      <c r="A20" t="s">
        <v>1210</v>
      </c>
      <c r="B20" s="821">
        <v>823212</v>
      </c>
      <c r="C20" s="821">
        <v>833083</v>
      </c>
      <c r="D20" s="821">
        <v>1185279.7481987444</v>
      </c>
      <c r="E20" s="821">
        <f>'Step 7 Final Adjustments'!Q32</f>
        <v>974528.97029279219</v>
      </c>
      <c r="F20" s="821">
        <f>E20-D20</f>
        <v>-210750.77790595219</v>
      </c>
      <c r="H20" s="821">
        <f>IF($A20='What If Tool'!$E$5,B20,0)</f>
        <v>0</v>
      </c>
      <c r="I20" s="821">
        <f>IF($A20='What If Tool'!$E$5,C20,0)</f>
        <v>0</v>
      </c>
      <c r="J20" s="821">
        <f>IF($A20='What If Tool'!$E$5,D20,0)</f>
        <v>0</v>
      </c>
      <c r="K20" s="821">
        <f>IF($A20='What If Tool'!$E$5,E20,0)</f>
        <v>0</v>
      </c>
      <c r="L20" s="821">
        <f>IF($A20='What If Tool'!$E$5,F20,0)</f>
        <v>0</v>
      </c>
    </row>
    <row r="21" spans="1:20">
      <c r="H21" s="241">
        <f>SUM(H6:H20)</f>
        <v>14434039</v>
      </c>
      <c r="I21" s="241">
        <f>SUM(I6:I20)</f>
        <v>14831995</v>
      </c>
      <c r="J21" s="241">
        <f>SUM(J6:J20)</f>
        <v>14741202.939066634</v>
      </c>
      <c r="K21" s="241">
        <f>SUM(K6:K20)</f>
        <v>18959086.782090027</v>
      </c>
      <c r="L21" s="241">
        <f>SUM(L6:L20)</f>
        <v>4217883.8430233933</v>
      </c>
    </row>
    <row r="22" spans="1:20">
      <c r="B22" s="1814" t="s">
        <v>1283</v>
      </c>
      <c r="C22" s="1814"/>
      <c r="D22" s="1814"/>
      <c r="E22" s="1814"/>
      <c r="F22" s="1814"/>
      <c r="G22" s="1814"/>
      <c r="H22" s="1814"/>
      <c r="I22" s="1814"/>
      <c r="J22" s="1814"/>
      <c r="K22" s="1814"/>
    </row>
    <row r="23" spans="1:20" ht="31.5">
      <c r="A23" s="1239" t="str">
        <f>'What If Tool'!E5</f>
        <v>CEOAS</v>
      </c>
      <c r="B23" s="1228" t="s">
        <v>1259</v>
      </c>
      <c r="C23" s="1228" t="s">
        <v>1258</v>
      </c>
      <c r="D23" s="1228" t="s">
        <v>1218</v>
      </c>
      <c r="E23" s="1228" t="s">
        <v>1219</v>
      </c>
      <c r="F23" s="1228" t="s">
        <v>1220</v>
      </c>
      <c r="G23" s="1228" t="s">
        <v>1221</v>
      </c>
      <c r="H23" s="1235" t="s">
        <v>1267</v>
      </c>
      <c r="I23" s="1235" t="s">
        <v>1268</v>
      </c>
      <c r="J23" s="1235" t="s">
        <v>1269</v>
      </c>
      <c r="K23" s="1235" t="s">
        <v>1266</v>
      </c>
      <c r="L23" s="1228" t="s">
        <v>181</v>
      </c>
      <c r="M23" s="1228" t="s">
        <v>1222</v>
      </c>
      <c r="N23" s="1228" t="s">
        <v>1223</v>
      </c>
      <c r="O23" s="1228" t="s">
        <v>1224</v>
      </c>
      <c r="P23" s="1228" t="s">
        <v>1225</v>
      </c>
      <c r="Q23" s="1228" t="s">
        <v>1226</v>
      </c>
      <c r="R23" s="1228" t="s">
        <v>1227</v>
      </c>
      <c r="S23" s="1228" t="s">
        <v>1281</v>
      </c>
      <c r="T23" s="1228" t="s">
        <v>1282</v>
      </c>
    </row>
    <row r="24" spans="1:20">
      <c r="A24" s="1240"/>
      <c r="B24" s="1230">
        <f>'What If Tool'!C22</f>
        <v>0</v>
      </c>
      <c r="C24" s="1230">
        <f>'What If Tool'!C23</f>
        <v>0</v>
      </c>
      <c r="D24" s="1230">
        <f>'What If Tool'!C24</f>
        <v>0</v>
      </c>
      <c r="E24" s="1230">
        <f>'What If Tool'!C25</f>
        <v>0</v>
      </c>
      <c r="F24" s="1230">
        <f>'What If Tool'!C26</f>
        <v>0</v>
      </c>
      <c r="G24" s="1230">
        <f>'What If Tool'!C27</f>
        <v>0</v>
      </c>
      <c r="H24" s="1233">
        <f>'What If Tool'!C28</f>
        <v>0</v>
      </c>
      <c r="I24" s="1233">
        <f>'What If Tool'!C29</f>
        <v>0</v>
      </c>
      <c r="J24" s="1233">
        <f>'What If Tool'!C30</f>
        <v>0</v>
      </c>
      <c r="K24" s="1233">
        <f>'What If Tool'!C31</f>
        <v>0</v>
      </c>
      <c r="L24" s="1230">
        <f>'What If Tool'!C34</f>
        <v>0</v>
      </c>
      <c r="M24" s="1230">
        <f>'What If Tool'!C35</f>
        <v>0</v>
      </c>
      <c r="N24" s="1230">
        <f>'What If Tool'!C36</f>
        <v>0</v>
      </c>
      <c r="O24" s="1230">
        <f>'What If Tool'!C37</f>
        <v>0</v>
      </c>
      <c r="P24" s="1230">
        <f>'What If Tool'!C39</f>
        <v>0</v>
      </c>
      <c r="Q24" s="1230">
        <f>'What If Tool'!C40</f>
        <v>0</v>
      </c>
      <c r="R24" s="1230">
        <f>'What If Tool'!C41</f>
        <v>0</v>
      </c>
      <c r="S24" s="1230">
        <f>'What If Tool'!C38</f>
        <v>0</v>
      </c>
      <c r="T24" s="1230">
        <f>'What If Tool'!C32</f>
        <v>0</v>
      </c>
    </row>
    <row r="25" spans="1:20">
      <c r="A25" t="s">
        <v>639</v>
      </c>
      <c r="B25" s="321">
        <f>IF($A$23=$A25,B$24,0)</f>
        <v>0</v>
      </c>
      <c r="C25" s="321">
        <f t="shared" ref="C25:T25" si="1">IF($A$23=$A25,C$24,0)</f>
        <v>0</v>
      </c>
      <c r="D25" s="321">
        <f t="shared" si="1"/>
        <v>0</v>
      </c>
      <c r="E25" s="321">
        <f t="shared" si="1"/>
        <v>0</v>
      </c>
      <c r="F25" s="321">
        <f t="shared" si="1"/>
        <v>0</v>
      </c>
      <c r="G25" s="321">
        <f t="shared" si="1"/>
        <v>0</v>
      </c>
      <c r="H25" s="321">
        <f t="shared" si="1"/>
        <v>0</v>
      </c>
      <c r="I25" s="321">
        <f t="shared" si="1"/>
        <v>0</v>
      </c>
      <c r="J25" s="321">
        <f t="shared" si="1"/>
        <v>0</v>
      </c>
      <c r="K25" s="321">
        <f t="shared" si="1"/>
        <v>0</v>
      </c>
      <c r="L25" s="321">
        <f t="shared" si="1"/>
        <v>0</v>
      </c>
      <c r="M25" s="321">
        <f t="shared" si="1"/>
        <v>0</v>
      </c>
      <c r="N25" s="321">
        <f t="shared" si="1"/>
        <v>0</v>
      </c>
      <c r="O25" s="321">
        <f t="shared" si="1"/>
        <v>0</v>
      </c>
      <c r="P25" s="321">
        <f t="shared" si="1"/>
        <v>0</v>
      </c>
      <c r="Q25" s="321">
        <f t="shared" si="1"/>
        <v>0</v>
      </c>
      <c r="R25" s="321">
        <f t="shared" si="1"/>
        <v>0</v>
      </c>
      <c r="S25" s="321">
        <f t="shared" si="1"/>
        <v>0</v>
      </c>
      <c r="T25" s="321">
        <f t="shared" si="1"/>
        <v>0</v>
      </c>
    </row>
    <row r="26" spans="1:20">
      <c r="A26" t="s">
        <v>6</v>
      </c>
      <c r="B26" s="321">
        <f t="shared" ref="B26:T36" si="2">IF($A$23=$A26,B$24,0)</f>
        <v>0</v>
      </c>
      <c r="C26" s="321">
        <f t="shared" si="2"/>
        <v>0</v>
      </c>
      <c r="D26" s="321">
        <f t="shared" si="2"/>
        <v>0</v>
      </c>
      <c r="E26" s="321">
        <f t="shared" si="2"/>
        <v>0</v>
      </c>
      <c r="F26" s="321">
        <f t="shared" si="2"/>
        <v>0</v>
      </c>
      <c r="G26" s="321">
        <f t="shared" si="2"/>
        <v>0</v>
      </c>
      <c r="H26" s="321">
        <f t="shared" si="2"/>
        <v>0</v>
      </c>
      <c r="I26" s="321">
        <f t="shared" si="2"/>
        <v>0</v>
      </c>
      <c r="J26" s="321">
        <f t="shared" si="2"/>
        <v>0</v>
      </c>
      <c r="K26" s="321">
        <f t="shared" si="2"/>
        <v>0</v>
      </c>
      <c r="L26" s="321">
        <f t="shared" si="2"/>
        <v>0</v>
      </c>
      <c r="M26" s="321">
        <f t="shared" si="2"/>
        <v>0</v>
      </c>
      <c r="N26" s="321">
        <f t="shared" si="2"/>
        <v>0</v>
      </c>
      <c r="O26" s="321">
        <f t="shared" si="2"/>
        <v>0</v>
      </c>
      <c r="P26" s="321">
        <f t="shared" si="2"/>
        <v>0</v>
      </c>
      <c r="Q26" s="321">
        <f t="shared" si="2"/>
        <v>0</v>
      </c>
      <c r="R26" s="321">
        <f t="shared" si="2"/>
        <v>0</v>
      </c>
      <c r="S26" s="321">
        <f t="shared" si="2"/>
        <v>0</v>
      </c>
      <c r="T26" s="321">
        <f t="shared" si="2"/>
        <v>0</v>
      </c>
    </row>
    <row r="27" spans="1:20">
      <c r="A27" t="s">
        <v>8</v>
      </c>
      <c r="B27" s="321">
        <f t="shared" si="2"/>
        <v>0</v>
      </c>
      <c r="C27" s="321">
        <f t="shared" si="2"/>
        <v>0</v>
      </c>
      <c r="D27" s="321">
        <f t="shared" si="2"/>
        <v>0</v>
      </c>
      <c r="E27" s="321">
        <f t="shared" si="2"/>
        <v>0</v>
      </c>
      <c r="F27" s="321">
        <f t="shared" si="2"/>
        <v>0</v>
      </c>
      <c r="G27" s="321">
        <f t="shared" si="2"/>
        <v>0</v>
      </c>
      <c r="H27" s="321">
        <f t="shared" si="2"/>
        <v>0</v>
      </c>
      <c r="I27" s="321">
        <f t="shared" si="2"/>
        <v>0</v>
      </c>
      <c r="J27" s="321">
        <f t="shared" si="2"/>
        <v>0</v>
      </c>
      <c r="K27" s="321">
        <f t="shared" si="2"/>
        <v>0</v>
      </c>
      <c r="L27" s="321">
        <f t="shared" si="2"/>
        <v>0</v>
      </c>
      <c r="M27" s="321">
        <f t="shared" si="2"/>
        <v>0</v>
      </c>
      <c r="N27" s="321">
        <f t="shared" si="2"/>
        <v>0</v>
      </c>
      <c r="O27" s="321">
        <f t="shared" si="2"/>
        <v>0</v>
      </c>
      <c r="P27" s="321">
        <f t="shared" si="2"/>
        <v>0</v>
      </c>
      <c r="Q27" s="321">
        <f t="shared" si="2"/>
        <v>0</v>
      </c>
      <c r="R27" s="321">
        <f t="shared" si="2"/>
        <v>0</v>
      </c>
      <c r="S27" s="321">
        <f t="shared" si="2"/>
        <v>0</v>
      </c>
      <c r="T27" s="321">
        <f t="shared" si="2"/>
        <v>0</v>
      </c>
    </row>
    <row r="28" spans="1:20">
      <c r="A28" t="s">
        <v>2</v>
      </c>
      <c r="B28" s="321">
        <f t="shared" si="2"/>
        <v>0</v>
      </c>
      <c r="C28" s="321">
        <f t="shared" si="2"/>
        <v>0</v>
      </c>
      <c r="D28" s="321">
        <f t="shared" si="2"/>
        <v>0</v>
      </c>
      <c r="E28" s="321">
        <f t="shared" si="2"/>
        <v>0</v>
      </c>
      <c r="F28" s="321">
        <f t="shared" si="2"/>
        <v>0</v>
      </c>
      <c r="G28" s="321">
        <f t="shared" si="2"/>
        <v>0</v>
      </c>
      <c r="H28" s="321">
        <f t="shared" si="2"/>
        <v>0</v>
      </c>
      <c r="I28" s="321">
        <f t="shared" si="2"/>
        <v>0</v>
      </c>
      <c r="J28" s="321">
        <f t="shared" si="2"/>
        <v>0</v>
      </c>
      <c r="K28" s="321">
        <f t="shared" si="2"/>
        <v>0</v>
      </c>
      <c r="L28" s="321">
        <f t="shared" si="2"/>
        <v>0</v>
      </c>
      <c r="M28" s="321">
        <f t="shared" si="2"/>
        <v>0</v>
      </c>
      <c r="N28" s="321">
        <f t="shared" si="2"/>
        <v>0</v>
      </c>
      <c r="O28" s="321">
        <f t="shared" si="2"/>
        <v>0</v>
      </c>
      <c r="P28" s="321">
        <f t="shared" si="2"/>
        <v>0</v>
      </c>
      <c r="Q28" s="321">
        <f t="shared" si="2"/>
        <v>0</v>
      </c>
      <c r="R28" s="321">
        <f t="shared" si="2"/>
        <v>0</v>
      </c>
      <c r="S28" s="321">
        <f t="shared" si="2"/>
        <v>0</v>
      </c>
      <c r="T28" s="321">
        <f t="shared" si="2"/>
        <v>0</v>
      </c>
    </row>
    <row r="29" spans="1:20">
      <c r="A29" t="s">
        <v>10</v>
      </c>
      <c r="B29" s="321">
        <f t="shared" si="2"/>
        <v>0</v>
      </c>
      <c r="C29" s="321">
        <f t="shared" si="2"/>
        <v>0</v>
      </c>
      <c r="D29" s="321">
        <f t="shared" si="2"/>
        <v>0</v>
      </c>
      <c r="E29" s="321">
        <f t="shared" si="2"/>
        <v>0</v>
      </c>
      <c r="F29" s="321">
        <f t="shared" si="2"/>
        <v>0</v>
      </c>
      <c r="G29" s="321">
        <f t="shared" si="2"/>
        <v>0</v>
      </c>
      <c r="H29" s="321">
        <f t="shared" si="2"/>
        <v>0</v>
      </c>
      <c r="I29" s="321">
        <f t="shared" si="2"/>
        <v>0</v>
      </c>
      <c r="J29" s="321">
        <f t="shared" si="2"/>
        <v>0</v>
      </c>
      <c r="K29" s="321">
        <f t="shared" si="2"/>
        <v>0</v>
      </c>
      <c r="L29" s="321">
        <f t="shared" si="2"/>
        <v>0</v>
      </c>
      <c r="M29" s="321">
        <f t="shared" si="2"/>
        <v>0</v>
      </c>
      <c r="N29" s="321">
        <f t="shared" si="2"/>
        <v>0</v>
      </c>
      <c r="O29" s="321">
        <f t="shared" si="2"/>
        <v>0</v>
      </c>
      <c r="P29" s="321">
        <f t="shared" si="2"/>
        <v>0</v>
      </c>
      <c r="Q29" s="321">
        <f t="shared" si="2"/>
        <v>0</v>
      </c>
      <c r="R29" s="321">
        <f t="shared" si="2"/>
        <v>0</v>
      </c>
      <c r="S29" s="321">
        <f t="shared" si="2"/>
        <v>0</v>
      </c>
      <c r="T29" s="321">
        <f t="shared" si="2"/>
        <v>0</v>
      </c>
    </row>
    <row r="30" spans="1:20">
      <c r="A30" t="s">
        <v>4</v>
      </c>
      <c r="B30" s="321">
        <f t="shared" si="2"/>
        <v>0</v>
      </c>
      <c r="C30" s="321">
        <f t="shared" si="2"/>
        <v>0</v>
      </c>
      <c r="D30" s="321">
        <f t="shared" si="2"/>
        <v>0</v>
      </c>
      <c r="E30" s="321">
        <f t="shared" si="2"/>
        <v>0</v>
      </c>
      <c r="F30" s="321">
        <f t="shared" si="2"/>
        <v>0</v>
      </c>
      <c r="G30" s="321">
        <f t="shared" si="2"/>
        <v>0</v>
      </c>
      <c r="H30" s="321">
        <f t="shared" si="2"/>
        <v>0</v>
      </c>
      <c r="I30" s="321">
        <f t="shared" si="2"/>
        <v>0</v>
      </c>
      <c r="J30" s="321">
        <f t="shared" si="2"/>
        <v>0</v>
      </c>
      <c r="K30" s="321">
        <f t="shared" si="2"/>
        <v>0</v>
      </c>
      <c r="L30" s="321">
        <f t="shared" si="2"/>
        <v>0</v>
      </c>
      <c r="M30" s="321">
        <f t="shared" si="2"/>
        <v>0</v>
      </c>
      <c r="N30" s="321">
        <f t="shared" si="2"/>
        <v>0</v>
      </c>
      <c r="O30" s="321">
        <f t="shared" si="2"/>
        <v>0</v>
      </c>
      <c r="P30" s="321">
        <f t="shared" si="2"/>
        <v>0</v>
      </c>
      <c r="Q30" s="321">
        <f t="shared" si="2"/>
        <v>0</v>
      </c>
      <c r="R30" s="321">
        <f t="shared" si="2"/>
        <v>0</v>
      </c>
      <c r="S30" s="321">
        <f t="shared" si="2"/>
        <v>0</v>
      </c>
      <c r="T30" s="321">
        <f t="shared" si="2"/>
        <v>0</v>
      </c>
    </row>
    <row r="31" spans="1:20">
      <c r="A31" s="481" t="s">
        <v>14</v>
      </c>
      <c r="B31" s="321">
        <f t="shared" si="2"/>
        <v>0</v>
      </c>
      <c r="C31" s="321">
        <f t="shared" si="2"/>
        <v>0</v>
      </c>
      <c r="D31" s="321">
        <f t="shared" si="2"/>
        <v>0</v>
      </c>
      <c r="E31" s="321">
        <f t="shared" si="2"/>
        <v>0</v>
      </c>
      <c r="F31" s="321">
        <f t="shared" si="2"/>
        <v>0</v>
      </c>
      <c r="G31" s="321">
        <f t="shared" si="2"/>
        <v>0</v>
      </c>
      <c r="H31" s="321">
        <f t="shared" si="2"/>
        <v>0</v>
      </c>
      <c r="I31" s="321">
        <f t="shared" si="2"/>
        <v>0</v>
      </c>
      <c r="J31" s="321">
        <f t="shared" si="2"/>
        <v>0</v>
      </c>
      <c r="K31" s="321">
        <f t="shared" si="2"/>
        <v>0</v>
      </c>
      <c r="L31" s="321">
        <f t="shared" si="2"/>
        <v>0</v>
      </c>
      <c r="M31" s="321">
        <f t="shared" si="2"/>
        <v>0</v>
      </c>
      <c r="N31" s="321">
        <f t="shared" si="2"/>
        <v>0</v>
      </c>
      <c r="O31" s="321">
        <f t="shared" si="2"/>
        <v>0</v>
      </c>
      <c r="P31" s="321">
        <f t="shared" si="2"/>
        <v>0</v>
      </c>
      <c r="Q31" s="321">
        <f t="shared" si="2"/>
        <v>0</v>
      </c>
      <c r="R31" s="321">
        <f t="shared" si="2"/>
        <v>0</v>
      </c>
      <c r="S31" s="321">
        <f t="shared" si="2"/>
        <v>0</v>
      </c>
      <c r="T31" s="321">
        <f t="shared" si="2"/>
        <v>0</v>
      </c>
    </row>
    <row r="32" spans="1:20">
      <c r="A32" t="s">
        <v>3</v>
      </c>
      <c r="B32" s="321">
        <f t="shared" si="2"/>
        <v>0</v>
      </c>
      <c r="C32" s="321">
        <f t="shared" si="2"/>
        <v>0</v>
      </c>
      <c r="D32" s="321">
        <f t="shared" si="2"/>
        <v>0</v>
      </c>
      <c r="E32" s="321">
        <f t="shared" si="2"/>
        <v>0</v>
      </c>
      <c r="F32" s="321">
        <f t="shared" si="2"/>
        <v>0</v>
      </c>
      <c r="G32" s="321">
        <f t="shared" si="2"/>
        <v>0</v>
      </c>
      <c r="H32" s="321">
        <f t="shared" si="2"/>
        <v>0</v>
      </c>
      <c r="I32" s="321">
        <f t="shared" si="2"/>
        <v>0</v>
      </c>
      <c r="J32" s="321">
        <f t="shared" si="2"/>
        <v>0</v>
      </c>
      <c r="K32" s="321">
        <f t="shared" si="2"/>
        <v>0</v>
      </c>
      <c r="L32" s="321">
        <f t="shared" si="2"/>
        <v>0</v>
      </c>
      <c r="M32" s="321">
        <f t="shared" si="2"/>
        <v>0</v>
      </c>
      <c r="N32" s="321">
        <f t="shared" si="2"/>
        <v>0</v>
      </c>
      <c r="O32" s="321">
        <f t="shared" si="2"/>
        <v>0</v>
      </c>
      <c r="P32" s="321">
        <f t="shared" si="2"/>
        <v>0</v>
      </c>
      <c r="Q32" s="321">
        <f t="shared" si="2"/>
        <v>0</v>
      </c>
      <c r="R32" s="321">
        <f t="shared" si="2"/>
        <v>0</v>
      </c>
      <c r="S32" s="321">
        <f t="shared" si="2"/>
        <v>0</v>
      </c>
      <c r="T32" s="321">
        <f t="shared" si="2"/>
        <v>0</v>
      </c>
    </row>
    <row r="33" spans="1:20">
      <c r="A33" t="s">
        <v>1</v>
      </c>
      <c r="B33" s="321">
        <f t="shared" si="2"/>
        <v>0</v>
      </c>
      <c r="C33" s="321">
        <f t="shared" si="2"/>
        <v>0</v>
      </c>
      <c r="D33" s="321">
        <f t="shared" si="2"/>
        <v>0</v>
      </c>
      <c r="E33" s="321">
        <f t="shared" si="2"/>
        <v>0</v>
      </c>
      <c r="F33" s="321">
        <f t="shared" si="2"/>
        <v>0</v>
      </c>
      <c r="G33" s="321">
        <f t="shared" si="2"/>
        <v>0</v>
      </c>
      <c r="H33" s="321">
        <f t="shared" si="2"/>
        <v>0</v>
      </c>
      <c r="I33" s="321">
        <f t="shared" si="2"/>
        <v>0</v>
      </c>
      <c r="J33" s="321">
        <f t="shared" si="2"/>
        <v>0</v>
      </c>
      <c r="K33" s="321">
        <f t="shared" si="2"/>
        <v>0</v>
      </c>
      <c r="L33" s="321">
        <f t="shared" si="2"/>
        <v>0</v>
      </c>
      <c r="M33" s="321">
        <f t="shared" si="2"/>
        <v>0</v>
      </c>
      <c r="N33" s="321">
        <f t="shared" si="2"/>
        <v>0</v>
      </c>
      <c r="O33" s="321">
        <f t="shared" si="2"/>
        <v>0</v>
      </c>
      <c r="P33" s="321">
        <f t="shared" si="2"/>
        <v>0</v>
      </c>
      <c r="Q33" s="321">
        <f t="shared" si="2"/>
        <v>0</v>
      </c>
      <c r="R33" s="321">
        <f t="shared" si="2"/>
        <v>0</v>
      </c>
      <c r="S33" s="321">
        <f t="shared" si="2"/>
        <v>0</v>
      </c>
      <c r="T33" s="321">
        <f t="shared" si="2"/>
        <v>0</v>
      </c>
    </row>
    <row r="34" spans="1:20">
      <c r="A34" t="s">
        <v>7</v>
      </c>
      <c r="B34" s="321">
        <f t="shared" si="2"/>
        <v>0</v>
      </c>
      <c r="C34" s="321">
        <f t="shared" si="2"/>
        <v>0</v>
      </c>
      <c r="D34" s="321">
        <f t="shared" si="2"/>
        <v>0</v>
      </c>
      <c r="E34" s="321">
        <f t="shared" si="2"/>
        <v>0</v>
      </c>
      <c r="F34" s="321">
        <f t="shared" si="2"/>
        <v>0</v>
      </c>
      <c r="G34" s="321">
        <f t="shared" si="2"/>
        <v>0</v>
      </c>
      <c r="H34" s="321">
        <f t="shared" si="2"/>
        <v>0</v>
      </c>
      <c r="I34" s="321">
        <f t="shared" si="2"/>
        <v>0</v>
      </c>
      <c r="J34" s="321">
        <f t="shared" si="2"/>
        <v>0</v>
      </c>
      <c r="K34" s="321">
        <f t="shared" si="2"/>
        <v>0</v>
      </c>
      <c r="L34" s="321">
        <f t="shared" si="2"/>
        <v>0</v>
      </c>
      <c r="M34" s="321">
        <f t="shared" si="2"/>
        <v>0</v>
      </c>
      <c r="N34" s="321">
        <f t="shared" si="2"/>
        <v>0</v>
      </c>
      <c r="O34" s="321">
        <f t="shared" si="2"/>
        <v>0</v>
      </c>
      <c r="P34" s="321">
        <f t="shared" si="2"/>
        <v>0</v>
      </c>
      <c r="Q34" s="321">
        <f t="shared" si="2"/>
        <v>0</v>
      </c>
      <c r="R34" s="321">
        <f t="shared" si="2"/>
        <v>0</v>
      </c>
      <c r="S34" s="321">
        <f t="shared" si="2"/>
        <v>0</v>
      </c>
      <c r="T34" s="321">
        <f t="shared" si="2"/>
        <v>0</v>
      </c>
    </row>
    <row r="35" spans="1:20">
      <c r="A35" t="s">
        <v>9</v>
      </c>
      <c r="B35" s="321">
        <f t="shared" si="2"/>
        <v>0</v>
      </c>
      <c r="C35" s="321">
        <f t="shared" si="2"/>
        <v>0</v>
      </c>
      <c r="D35" s="321">
        <f t="shared" si="2"/>
        <v>0</v>
      </c>
      <c r="E35" s="321">
        <f t="shared" si="2"/>
        <v>0</v>
      </c>
      <c r="F35" s="321">
        <f t="shared" si="2"/>
        <v>0</v>
      </c>
      <c r="G35" s="321">
        <f t="shared" si="2"/>
        <v>0</v>
      </c>
      <c r="H35" s="321">
        <f t="shared" si="2"/>
        <v>0</v>
      </c>
      <c r="I35" s="321">
        <f t="shared" si="2"/>
        <v>0</v>
      </c>
      <c r="J35" s="321">
        <f t="shared" si="2"/>
        <v>0</v>
      </c>
      <c r="K35" s="321">
        <f t="shared" si="2"/>
        <v>0</v>
      </c>
      <c r="L35" s="321">
        <f t="shared" si="2"/>
        <v>0</v>
      </c>
      <c r="M35" s="321">
        <f t="shared" si="2"/>
        <v>0</v>
      </c>
      <c r="N35" s="321">
        <f t="shared" si="2"/>
        <v>0</v>
      </c>
      <c r="O35" s="321">
        <f t="shared" si="2"/>
        <v>0</v>
      </c>
      <c r="P35" s="321">
        <f t="shared" si="2"/>
        <v>0</v>
      </c>
      <c r="Q35" s="321">
        <f t="shared" si="2"/>
        <v>0</v>
      </c>
      <c r="R35" s="321">
        <f t="shared" si="2"/>
        <v>0</v>
      </c>
      <c r="S35" s="321">
        <f t="shared" si="2"/>
        <v>0</v>
      </c>
      <c r="T35" s="321">
        <f t="shared" si="2"/>
        <v>0</v>
      </c>
    </row>
    <row r="36" spans="1:20">
      <c r="A36" s="62" t="s">
        <v>5</v>
      </c>
      <c r="B36" s="1203">
        <f t="shared" si="2"/>
        <v>0</v>
      </c>
      <c r="C36" s="1203">
        <f t="shared" si="2"/>
        <v>0</v>
      </c>
      <c r="D36" s="1203">
        <f t="shared" si="2"/>
        <v>0</v>
      </c>
      <c r="E36" s="1203">
        <f t="shared" si="2"/>
        <v>0</v>
      </c>
      <c r="F36" s="1203">
        <f t="shared" si="2"/>
        <v>0</v>
      </c>
      <c r="G36" s="1203">
        <f t="shared" si="2"/>
        <v>0</v>
      </c>
      <c r="H36" s="1203">
        <f t="shared" si="2"/>
        <v>0</v>
      </c>
      <c r="I36" s="1203">
        <f t="shared" si="2"/>
        <v>0</v>
      </c>
      <c r="J36" s="1203">
        <f t="shared" si="2"/>
        <v>0</v>
      </c>
      <c r="K36" s="1203">
        <f t="shared" si="2"/>
        <v>0</v>
      </c>
      <c r="L36" s="1203">
        <f t="shared" si="2"/>
        <v>0</v>
      </c>
      <c r="M36" s="1203">
        <f t="shared" si="2"/>
        <v>0</v>
      </c>
      <c r="N36" s="1203">
        <f t="shared" si="2"/>
        <v>0</v>
      </c>
      <c r="O36" s="1203">
        <f t="shared" si="2"/>
        <v>0</v>
      </c>
      <c r="P36" s="1203">
        <f t="shared" si="2"/>
        <v>0</v>
      </c>
      <c r="Q36" s="1203">
        <f t="shared" si="2"/>
        <v>0</v>
      </c>
      <c r="R36" s="1203">
        <f t="shared" si="2"/>
        <v>0</v>
      </c>
      <c r="S36" s="1203">
        <f t="shared" si="2"/>
        <v>0</v>
      </c>
      <c r="T36" s="1203">
        <f t="shared" si="2"/>
        <v>0</v>
      </c>
    </row>
    <row r="37" spans="1:20">
      <c r="A37" s="62"/>
      <c r="B37" s="1203"/>
      <c r="C37" s="1203"/>
      <c r="D37" s="1203"/>
      <c r="E37" s="1203"/>
      <c r="F37" s="1203"/>
      <c r="G37" s="1203"/>
      <c r="H37" s="1203"/>
      <c r="I37" s="1203"/>
      <c r="J37" s="1203"/>
      <c r="K37" s="1203"/>
      <c r="L37" s="1203"/>
      <c r="M37" s="1203"/>
      <c r="N37" s="1203"/>
      <c r="O37" s="1203"/>
      <c r="P37" s="1203"/>
      <c r="Q37" s="1203"/>
      <c r="R37" s="1203"/>
      <c r="S37" s="1203"/>
      <c r="T37" s="1203"/>
    </row>
    <row r="38" spans="1:20">
      <c r="A38" s="62"/>
      <c r="B38" s="1203"/>
      <c r="C38" s="1203"/>
      <c r="D38" s="1203"/>
      <c r="E38" s="1203"/>
      <c r="F38" s="1203"/>
      <c r="G38" s="1203"/>
      <c r="H38" s="1203"/>
      <c r="I38" s="1203"/>
      <c r="J38" s="1203"/>
      <c r="K38" s="1203"/>
      <c r="L38" s="1203"/>
      <c r="M38" s="1203"/>
      <c r="N38" s="1203"/>
      <c r="O38" s="1203"/>
      <c r="P38" s="1203"/>
      <c r="Q38" s="1203"/>
      <c r="R38" s="1203"/>
      <c r="S38" s="1203"/>
      <c r="T38" s="1203"/>
    </row>
    <row r="39" spans="1:20">
      <c r="A39" s="62"/>
      <c r="B39" s="1203"/>
      <c r="C39" s="1203"/>
      <c r="D39" s="1203"/>
      <c r="E39" s="1203"/>
      <c r="F39" s="1203"/>
      <c r="G39" s="1203"/>
      <c r="H39" s="1203"/>
      <c r="I39" s="1203"/>
      <c r="J39" s="1203"/>
      <c r="K39" s="1203"/>
      <c r="L39" s="1203"/>
      <c r="M39" s="1203"/>
      <c r="N39" s="1203"/>
      <c r="O39" s="1203"/>
      <c r="P39" s="1203"/>
      <c r="Q39" s="1203"/>
      <c r="R39" s="1203"/>
      <c r="S39" s="1203"/>
      <c r="T39" s="1203"/>
    </row>
    <row r="40" spans="1:20" ht="16.5" thickBot="1">
      <c r="A40" s="363" t="s">
        <v>1208</v>
      </c>
      <c r="B40" s="1241">
        <f t="shared" ref="B40:T40" si="3">IF($A$23=$A40,B$24,0)</f>
        <v>0</v>
      </c>
      <c r="C40" s="1241">
        <f t="shared" si="3"/>
        <v>0</v>
      </c>
      <c r="D40" s="1241">
        <f t="shared" si="3"/>
        <v>0</v>
      </c>
      <c r="E40" s="1241">
        <f t="shared" si="3"/>
        <v>0</v>
      </c>
      <c r="F40" s="1241">
        <f t="shared" si="3"/>
        <v>0</v>
      </c>
      <c r="G40" s="1241">
        <f t="shared" si="3"/>
        <v>0</v>
      </c>
      <c r="H40" s="1241">
        <f t="shared" si="3"/>
        <v>0</v>
      </c>
      <c r="I40" s="1241">
        <f t="shared" si="3"/>
        <v>0</v>
      </c>
      <c r="J40" s="1241">
        <f t="shared" si="3"/>
        <v>0</v>
      </c>
      <c r="K40" s="1241">
        <f t="shared" si="3"/>
        <v>0</v>
      </c>
      <c r="L40" s="1241">
        <f t="shared" si="3"/>
        <v>0</v>
      </c>
      <c r="M40" s="1241">
        <f t="shared" si="3"/>
        <v>0</v>
      </c>
      <c r="N40" s="1241">
        <f t="shared" si="3"/>
        <v>0</v>
      </c>
      <c r="O40" s="1241">
        <f t="shared" si="3"/>
        <v>0</v>
      </c>
      <c r="P40" s="1241">
        <f t="shared" si="3"/>
        <v>0</v>
      </c>
      <c r="Q40" s="1241">
        <f t="shared" si="3"/>
        <v>0</v>
      </c>
      <c r="R40" s="1241">
        <f t="shared" si="3"/>
        <v>0</v>
      </c>
      <c r="S40" s="1241">
        <f t="shared" si="3"/>
        <v>0</v>
      </c>
      <c r="T40" s="1241">
        <f t="shared" si="3"/>
        <v>0</v>
      </c>
    </row>
    <row r="41" spans="1:20" ht="16.5" thickTop="1"/>
    <row r="42" spans="1:20">
      <c r="A42" t="s">
        <v>1229</v>
      </c>
    </row>
    <row r="43" spans="1:20">
      <c r="A43" s="1204" t="s">
        <v>1231</v>
      </c>
      <c r="B43" t="s">
        <v>1230</v>
      </c>
      <c r="D43" s="321" t="s">
        <v>1240</v>
      </c>
      <c r="E43" s="321" t="s">
        <v>487</v>
      </c>
      <c r="F43" s="321" t="s">
        <v>1254</v>
      </c>
    </row>
    <row r="44" spans="1:20">
      <c r="A44" s="1232" t="s">
        <v>1217</v>
      </c>
      <c r="B44" t="s">
        <v>1255</v>
      </c>
      <c r="D44" s="208">
        <f>0.88*(0.33*594+0.67*195)</f>
        <v>287.46960000000001</v>
      </c>
      <c r="E44">
        <f>B24+C24+T24</f>
        <v>0</v>
      </c>
      <c r="F44" s="1243">
        <f>(E44)*D44</f>
        <v>0</v>
      </c>
    </row>
    <row r="45" spans="1:20">
      <c r="A45" s="1232" t="s">
        <v>1218</v>
      </c>
      <c r="B45" t="s">
        <v>1255</v>
      </c>
      <c r="D45" s="208">
        <f>D44</f>
        <v>287.46960000000001</v>
      </c>
      <c r="E45">
        <f>D24</f>
        <v>0</v>
      </c>
      <c r="F45" s="1243">
        <f t="shared" ref="F45:F52" si="4">E45*D45</f>
        <v>0</v>
      </c>
    </row>
    <row r="46" spans="1:20">
      <c r="A46" s="1232" t="s">
        <v>1219</v>
      </c>
      <c r="B46" t="s">
        <v>1255</v>
      </c>
      <c r="D46" s="208">
        <f>D45</f>
        <v>287.46960000000001</v>
      </c>
      <c r="E46">
        <f>E24</f>
        <v>0</v>
      </c>
      <c r="F46" s="1243">
        <f t="shared" si="4"/>
        <v>0</v>
      </c>
    </row>
    <row r="47" spans="1:20">
      <c r="A47" s="1232" t="s">
        <v>1220</v>
      </c>
      <c r="B47" t="s">
        <v>1233</v>
      </c>
      <c r="D47" s="208">
        <f>0.35*843+0.65*457</f>
        <v>592.09999999999991</v>
      </c>
      <c r="E47">
        <f>F24</f>
        <v>0</v>
      </c>
      <c r="F47" s="1243">
        <f t="shared" si="4"/>
        <v>0</v>
      </c>
    </row>
    <row r="48" spans="1:20">
      <c r="A48" s="1232" t="s">
        <v>1221</v>
      </c>
      <c r="B48" t="s">
        <v>1233</v>
      </c>
      <c r="D48" s="208">
        <f>D47</f>
        <v>592.09999999999991</v>
      </c>
      <c r="E48">
        <f>G24</f>
        <v>0</v>
      </c>
      <c r="F48" s="219">
        <f t="shared" si="4"/>
        <v>0</v>
      </c>
    </row>
    <row r="49" spans="1:6">
      <c r="A49" s="1232" t="s">
        <v>1270</v>
      </c>
      <c r="B49" t="s">
        <v>1234</v>
      </c>
      <c r="D49" s="208">
        <v>288</v>
      </c>
      <c r="E49">
        <f>H24</f>
        <v>0</v>
      </c>
      <c r="F49" s="1243">
        <f t="shared" si="4"/>
        <v>0</v>
      </c>
    </row>
    <row r="50" spans="1:6">
      <c r="A50" s="1232" t="s">
        <v>1268</v>
      </c>
      <c r="B50" t="s">
        <v>1234</v>
      </c>
      <c r="D50" s="208">
        <v>528</v>
      </c>
      <c r="E50">
        <f>I24</f>
        <v>0</v>
      </c>
      <c r="F50" s="1243">
        <f t="shared" si="4"/>
        <v>0</v>
      </c>
    </row>
    <row r="51" spans="1:6">
      <c r="A51" s="1232" t="s">
        <v>1271</v>
      </c>
      <c r="B51" t="s">
        <v>1234</v>
      </c>
      <c r="D51" s="208">
        <v>201</v>
      </c>
      <c r="E51">
        <f>J24</f>
        <v>0</v>
      </c>
      <c r="F51" s="1243">
        <f t="shared" si="4"/>
        <v>0</v>
      </c>
    </row>
    <row r="52" spans="1:6">
      <c r="A52" s="1232" t="s">
        <v>1266</v>
      </c>
      <c r="B52" t="s">
        <v>1234</v>
      </c>
      <c r="D52" s="208">
        <v>457</v>
      </c>
      <c r="E52">
        <f>K24</f>
        <v>0</v>
      </c>
      <c r="F52" s="1243">
        <f t="shared" si="4"/>
        <v>0</v>
      </c>
    </row>
    <row r="53" spans="1:6">
      <c r="A53" s="1232"/>
      <c r="F53" s="1243"/>
    </row>
    <row r="54" spans="1:6">
      <c r="A54" s="1231" t="s">
        <v>1232</v>
      </c>
      <c r="F54" s="1243"/>
    </row>
    <row r="55" spans="1:6">
      <c r="A55" s="1232" t="s">
        <v>181</v>
      </c>
      <c r="B55" t="s">
        <v>1237</v>
      </c>
      <c r="D55">
        <f>1*40*2*D44</f>
        <v>22997.567999999999</v>
      </c>
      <c r="E55">
        <f>L24+S24</f>
        <v>0</v>
      </c>
      <c r="F55" s="1243">
        <f>D55*E55-F46</f>
        <v>0</v>
      </c>
    </row>
    <row r="56" spans="1:6">
      <c r="A56" s="1232" t="s">
        <v>1222</v>
      </c>
      <c r="B56" t="s">
        <v>1238</v>
      </c>
      <c r="D56">
        <f>2*36*D47</f>
        <v>42631.199999999997</v>
      </c>
      <c r="E56">
        <f>M24</f>
        <v>0</v>
      </c>
      <c r="F56" s="219">
        <f>D56*E56-F48</f>
        <v>0</v>
      </c>
    </row>
    <row r="57" spans="1:6">
      <c r="A57" s="1232" t="s">
        <v>1223</v>
      </c>
      <c r="B57" t="s">
        <v>1239</v>
      </c>
      <c r="D57">
        <f>0</f>
        <v>0</v>
      </c>
      <c r="E57">
        <f>N24</f>
        <v>0</v>
      </c>
      <c r="F57" s="1243">
        <f>D57*E57</f>
        <v>0</v>
      </c>
    </row>
    <row r="58" spans="1:6">
      <c r="A58" s="1232" t="s">
        <v>1224</v>
      </c>
      <c r="B58" t="s">
        <v>1235</v>
      </c>
      <c r="D58">
        <f>0.2*36*D48</f>
        <v>4263.12</v>
      </c>
      <c r="E58">
        <f>O24</f>
        <v>0</v>
      </c>
      <c r="F58" s="1243">
        <f>D58*E58</f>
        <v>0</v>
      </c>
    </row>
    <row r="59" spans="1:6">
      <c r="A59" s="1232" t="s">
        <v>1225</v>
      </c>
      <c r="B59" t="s">
        <v>1236</v>
      </c>
      <c r="D59">
        <v>0</v>
      </c>
      <c r="E59">
        <f>P24</f>
        <v>0</v>
      </c>
      <c r="F59" s="1243">
        <f>D59*E59</f>
        <v>0</v>
      </c>
    </row>
    <row r="60" spans="1:6">
      <c r="A60" s="1232" t="s">
        <v>1253</v>
      </c>
      <c r="B60" t="s">
        <v>1236</v>
      </c>
      <c r="D60">
        <v>0</v>
      </c>
      <c r="E60">
        <f>Q24</f>
        <v>0</v>
      </c>
      <c r="F60" s="1243">
        <f>D60*E60</f>
        <v>0</v>
      </c>
    </row>
    <row r="61" spans="1:6">
      <c r="A61" s="1232" t="s">
        <v>1227</v>
      </c>
      <c r="B61" t="s">
        <v>1236</v>
      </c>
      <c r="D61">
        <v>0</v>
      </c>
      <c r="E61">
        <f>R24</f>
        <v>0</v>
      </c>
      <c r="F61" s="1243">
        <f>D61*E61</f>
        <v>0</v>
      </c>
    </row>
    <row r="62" spans="1:6" ht="16.5" thickBot="1">
      <c r="F62" s="1243"/>
    </row>
    <row r="63" spans="1:6" ht="16.5" thickBot="1">
      <c r="F63" s="1244">
        <f>IF('What If Tool'!C14="yes",SUM('What If Data'!F44:F61),0)</f>
        <v>0</v>
      </c>
    </row>
    <row r="64" spans="1:6">
      <c r="A64" s="1234" t="s">
        <v>1249</v>
      </c>
    </row>
    <row r="65" spans="1:1">
      <c r="A65" s="1234" t="s">
        <v>1250</v>
      </c>
    </row>
  </sheetData>
  <mergeCells count="1">
    <mergeCell ref="B22:K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67"/>
  <sheetViews>
    <sheetView workbookViewId="0">
      <selection activeCell="J2" sqref="J2:L14"/>
    </sheetView>
  </sheetViews>
  <sheetFormatPr defaultColWidth="11" defaultRowHeight="15.75"/>
  <cols>
    <col min="1" max="1" width="34.875" customWidth="1"/>
    <col min="2" max="2" width="20" customWidth="1"/>
    <col min="3" max="3" width="31.625" customWidth="1"/>
    <col min="4" max="4" width="16.125" customWidth="1"/>
    <col min="7" max="7" width="24.625" customWidth="1"/>
    <col min="10" max="10" width="24.125" customWidth="1"/>
    <col min="12" max="12" width="9.5" customWidth="1"/>
  </cols>
  <sheetData>
    <row r="1" spans="1:12">
      <c r="A1" s="10" t="s">
        <v>325</v>
      </c>
      <c r="B1" s="245"/>
      <c r="C1" s="245"/>
      <c r="E1" s="246"/>
    </row>
    <row r="2" spans="1:12">
      <c r="A2" s="10" t="s">
        <v>326</v>
      </c>
      <c r="B2" s="247">
        <v>41968</v>
      </c>
      <c r="C2" s="245"/>
      <c r="E2" s="246"/>
      <c r="G2" t="s">
        <v>405</v>
      </c>
    </row>
    <row r="3" spans="1:12" ht="16.5" thickBot="1">
      <c r="A3" t="s">
        <v>327</v>
      </c>
      <c r="B3" s="245"/>
      <c r="C3" s="245"/>
      <c r="E3" s="246"/>
    </row>
    <row r="4" spans="1:12">
      <c r="A4" s="248" t="s">
        <v>328</v>
      </c>
      <c r="B4" s="249" t="s">
        <v>69</v>
      </c>
      <c r="C4" s="249" t="s">
        <v>329</v>
      </c>
      <c r="D4" s="249" t="s">
        <v>330</v>
      </c>
      <c r="E4" s="250" t="s">
        <v>331</v>
      </c>
      <c r="G4" s="250" t="s">
        <v>331</v>
      </c>
      <c r="J4" s="270" t="s">
        <v>345</v>
      </c>
      <c r="K4" s="271">
        <v>1.4E-2</v>
      </c>
      <c r="L4" s="16">
        <f>K4/K$11</f>
        <v>0.1891891891891892</v>
      </c>
    </row>
    <row r="5" spans="1:12">
      <c r="A5" s="251" t="s">
        <v>332</v>
      </c>
      <c r="B5" s="252" t="s">
        <v>333</v>
      </c>
      <c r="C5" s="252" t="s">
        <v>334</v>
      </c>
      <c r="D5" s="1815" t="s">
        <v>335</v>
      </c>
      <c r="E5" s="1818">
        <v>1.0999999999999999E-2</v>
      </c>
      <c r="G5" s="1818"/>
      <c r="J5" s="272" t="s">
        <v>147</v>
      </c>
      <c r="K5" s="273">
        <v>2.1999999999999999E-2</v>
      </c>
      <c r="L5" s="16">
        <f t="shared" ref="L5:L10" si="0">K5/K$11</f>
        <v>0.29729729729729731</v>
      </c>
    </row>
    <row r="6" spans="1:12">
      <c r="A6" s="253"/>
      <c r="B6" s="252"/>
      <c r="C6" s="252" t="s">
        <v>148</v>
      </c>
      <c r="D6" s="1816"/>
      <c r="E6" s="1816"/>
      <c r="G6" s="1816"/>
      <c r="J6" s="272" t="s">
        <v>14</v>
      </c>
      <c r="K6" s="273">
        <v>5.0000000000000001E-3</v>
      </c>
      <c r="L6" s="16">
        <f t="shared" si="0"/>
        <v>6.7567567567567571E-2</v>
      </c>
    </row>
    <row r="7" spans="1:12">
      <c r="A7" s="239"/>
      <c r="B7" s="252"/>
      <c r="C7" s="252" t="s">
        <v>336</v>
      </c>
      <c r="D7" s="1816"/>
      <c r="E7" s="1816"/>
      <c r="G7" s="1816"/>
      <c r="J7" s="272" t="s">
        <v>406</v>
      </c>
      <c r="K7" s="273">
        <v>5.0000000000000001E-3</v>
      </c>
      <c r="L7" s="16">
        <f t="shared" si="0"/>
        <v>6.7567567567567571E-2</v>
      </c>
    </row>
    <row r="8" spans="1:12">
      <c r="A8" s="239"/>
      <c r="B8" s="252"/>
      <c r="C8" s="252" t="s">
        <v>337</v>
      </c>
      <c r="D8" s="1816"/>
      <c r="E8" s="1816"/>
      <c r="G8" s="1816"/>
      <c r="J8" s="272" t="s">
        <v>381</v>
      </c>
      <c r="K8" s="273">
        <v>1.0999999999999999E-2</v>
      </c>
      <c r="L8" s="16">
        <f t="shared" si="0"/>
        <v>0.14864864864864866</v>
      </c>
    </row>
    <row r="9" spans="1:12">
      <c r="A9" s="239"/>
      <c r="B9" s="252"/>
      <c r="C9" s="252" t="s">
        <v>338</v>
      </c>
      <c r="D9" s="1817"/>
      <c r="E9" s="1817"/>
      <c r="G9" s="1817"/>
      <c r="J9" s="272" t="s">
        <v>407</v>
      </c>
      <c r="K9" s="273">
        <v>1.0999999999999999E-2</v>
      </c>
      <c r="L9" s="16">
        <f t="shared" si="0"/>
        <v>0.14864864864864866</v>
      </c>
    </row>
    <row r="10" spans="1:12" ht="30">
      <c r="A10" s="239"/>
      <c r="B10" s="252" t="s">
        <v>339</v>
      </c>
      <c r="C10" s="252" t="s">
        <v>340</v>
      </c>
      <c r="D10" s="254" t="s">
        <v>341</v>
      </c>
      <c r="E10" s="255">
        <v>1E-3</v>
      </c>
      <c r="G10" s="255"/>
      <c r="J10" s="272" t="s">
        <v>394</v>
      </c>
      <c r="K10" s="273">
        <v>6.0000000000000001E-3</v>
      </c>
      <c r="L10" s="16">
        <f t="shared" si="0"/>
        <v>8.1081081081081086E-2</v>
      </c>
    </row>
    <row r="11" spans="1:12" ht="16.5" thickBot="1">
      <c r="A11" s="239"/>
      <c r="B11" s="252"/>
      <c r="C11" s="252" t="s">
        <v>342</v>
      </c>
      <c r="D11" s="256" t="s">
        <v>343</v>
      </c>
      <c r="E11" s="255">
        <v>2E-3</v>
      </c>
      <c r="G11" s="255"/>
      <c r="J11" s="274"/>
      <c r="K11" s="275">
        <f>SUM(K4:K10)</f>
        <v>7.3999999999999996E-2</v>
      </c>
      <c r="L11" s="275">
        <f>SUM(L4:L10)</f>
        <v>1</v>
      </c>
    </row>
    <row r="12" spans="1:12">
      <c r="A12" s="239"/>
      <c r="B12" s="252"/>
      <c r="C12" s="252" t="s">
        <v>344</v>
      </c>
      <c r="D12" s="256" t="s">
        <v>343</v>
      </c>
      <c r="E12" s="255">
        <v>1.6E-2</v>
      </c>
      <c r="G12" s="255"/>
    </row>
    <row r="13" spans="1:12">
      <c r="A13" s="257"/>
      <c r="B13" s="258"/>
      <c r="C13" s="258"/>
      <c r="D13" s="197"/>
      <c r="E13" s="259"/>
      <c r="G13" s="259"/>
    </row>
    <row r="14" spans="1:12">
      <c r="A14" s="239" t="s">
        <v>345</v>
      </c>
      <c r="B14" s="252" t="s">
        <v>345</v>
      </c>
      <c r="C14" s="252" t="s">
        <v>346</v>
      </c>
      <c r="D14" s="1815" t="s">
        <v>343</v>
      </c>
      <c r="E14" s="1819">
        <v>1.4E-2</v>
      </c>
      <c r="G14" s="1819">
        <v>1.4E-2</v>
      </c>
    </row>
    <row r="15" spans="1:12">
      <c r="A15" s="239"/>
      <c r="B15" s="252"/>
      <c r="C15" s="252" t="s">
        <v>347</v>
      </c>
      <c r="D15" s="1816"/>
      <c r="E15" s="1820"/>
      <c r="G15" s="1820"/>
    </row>
    <row r="16" spans="1:12">
      <c r="A16" s="239"/>
      <c r="B16" s="252"/>
      <c r="C16" s="252" t="s">
        <v>348</v>
      </c>
      <c r="D16" s="1816"/>
      <c r="E16" s="1820"/>
      <c r="G16" s="1820"/>
    </row>
    <row r="17" spans="1:7">
      <c r="A17" s="239"/>
      <c r="B17" s="252"/>
      <c r="C17" s="252" t="s">
        <v>349</v>
      </c>
      <c r="D17" s="1817"/>
      <c r="E17" s="1821"/>
      <c r="G17" s="1821"/>
    </row>
    <row r="18" spans="1:7">
      <c r="A18" s="239"/>
      <c r="B18" s="252"/>
      <c r="C18" s="252" t="s">
        <v>350</v>
      </c>
      <c r="D18" s="252" t="s">
        <v>351</v>
      </c>
      <c r="E18" s="255">
        <v>1E-3</v>
      </c>
      <c r="G18" s="255"/>
    </row>
    <row r="19" spans="1:7">
      <c r="A19" s="257"/>
      <c r="B19" s="258"/>
      <c r="C19" s="258"/>
      <c r="D19" s="197"/>
      <c r="E19" s="260"/>
      <c r="G19" s="260"/>
    </row>
    <row r="20" spans="1:7">
      <c r="A20" s="239" t="s">
        <v>147</v>
      </c>
      <c r="B20" s="252" t="s">
        <v>56</v>
      </c>
      <c r="C20" s="252" t="s">
        <v>352</v>
      </c>
      <c r="D20" s="1815" t="s">
        <v>335</v>
      </c>
      <c r="E20" s="1819">
        <v>2.1999999999999999E-2</v>
      </c>
      <c r="G20" s="1819">
        <v>2.1999999999999999E-2</v>
      </c>
    </row>
    <row r="21" spans="1:7">
      <c r="A21" s="239"/>
      <c r="B21" s="252"/>
      <c r="C21" s="252" t="s">
        <v>353</v>
      </c>
      <c r="D21" s="1816"/>
      <c r="E21" s="1822"/>
      <c r="G21" s="1822"/>
    </row>
    <row r="22" spans="1:7">
      <c r="A22" s="239"/>
      <c r="B22" s="252"/>
      <c r="C22" s="252" t="s">
        <v>354</v>
      </c>
      <c r="D22" s="1816"/>
      <c r="E22" s="1822"/>
      <c r="G22" s="1822"/>
    </row>
    <row r="23" spans="1:7">
      <c r="A23" s="239"/>
      <c r="B23" s="252"/>
      <c r="C23" s="252" t="s">
        <v>355</v>
      </c>
      <c r="D23" s="1816"/>
      <c r="E23" s="1822"/>
      <c r="G23" s="1822"/>
    </row>
    <row r="24" spans="1:7">
      <c r="A24" s="239"/>
      <c r="B24" s="252"/>
      <c r="C24" s="252" t="s">
        <v>356</v>
      </c>
      <c r="D24" s="1817"/>
      <c r="E24" s="1823"/>
      <c r="G24" s="1823"/>
    </row>
    <row r="25" spans="1:7">
      <c r="A25" s="257"/>
      <c r="B25" s="258"/>
      <c r="C25" s="258"/>
      <c r="D25" s="197"/>
      <c r="E25" s="260"/>
      <c r="G25" s="260"/>
    </row>
    <row r="26" spans="1:7" ht="30">
      <c r="A26" s="239" t="s">
        <v>357</v>
      </c>
      <c r="B26" s="252" t="s">
        <v>357</v>
      </c>
      <c r="C26" s="252" t="s">
        <v>357</v>
      </c>
      <c r="D26" s="254" t="s">
        <v>358</v>
      </c>
      <c r="E26" s="255">
        <v>1.9E-2</v>
      </c>
      <c r="G26" s="255"/>
    </row>
    <row r="27" spans="1:7">
      <c r="A27" s="257"/>
      <c r="B27" s="258"/>
      <c r="C27" s="258"/>
      <c r="D27" s="197"/>
      <c r="E27" s="260"/>
      <c r="G27" s="260"/>
    </row>
    <row r="28" spans="1:7">
      <c r="A28" s="239" t="s">
        <v>359</v>
      </c>
      <c r="B28" s="252" t="s">
        <v>14</v>
      </c>
      <c r="C28" s="252" t="s">
        <v>14</v>
      </c>
      <c r="D28" s="252" t="s">
        <v>360</v>
      </c>
      <c r="E28" s="255">
        <v>5.0000000000000001E-3</v>
      </c>
      <c r="G28" s="255">
        <v>5.0000000000000001E-3</v>
      </c>
    </row>
    <row r="29" spans="1:7">
      <c r="A29" s="257"/>
      <c r="B29" s="258"/>
      <c r="C29" s="258"/>
      <c r="D29" s="197"/>
      <c r="E29" s="259"/>
      <c r="G29" s="259"/>
    </row>
    <row r="30" spans="1:7">
      <c r="A30" s="239" t="s">
        <v>361</v>
      </c>
      <c r="B30" s="252"/>
      <c r="C30" s="252" t="s">
        <v>362</v>
      </c>
      <c r="D30" s="1815" t="s">
        <v>343</v>
      </c>
      <c r="E30" s="1818">
        <v>1.0999999999999999E-2</v>
      </c>
      <c r="G30" s="1818"/>
    </row>
    <row r="31" spans="1:7">
      <c r="A31" s="239"/>
      <c r="B31" s="252"/>
      <c r="C31" s="252" t="s">
        <v>363</v>
      </c>
      <c r="D31" s="1816"/>
      <c r="E31" s="1824"/>
      <c r="G31" s="1824"/>
    </row>
    <row r="32" spans="1:7">
      <c r="A32" s="239"/>
      <c r="B32" s="252"/>
      <c r="C32" s="252" t="s">
        <v>364</v>
      </c>
      <c r="D32" s="1816"/>
      <c r="E32" s="1824"/>
      <c r="G32" s="1824"/>
    </row>
    <row r="33" spans="1:7">
      <c r="A33" s="239"/>
      <c r="B33" s="252"/>
      <c r="C33" s="252" t="s">
        <v>365</v>
      </c>
      <c r="D33" s="1817"/>
      <c r="E33" s="1825"/>
      <c r="G33" s="1825"/>
    </row>
    <row r="34" spans="1:7">
      <c r="A34" s="257"/>
      <c r="B34" s="258"/>
      <c r="C34" s="258"/>
      <c r="D34" s="197"/>
      <c r="E34" s="259"/>
      <c r="G34" s="259"/>
    </row>
    <row r="35" spans="1:7" ht="30">
      <c r="A35" s="239" t="s">
        <v>366</v>
      </c>
      <c r="B35" s="252" t="s">
        <v>367</v>
      </c>
      <c r="C35" s="252" t="s">
        <v>368</v>
      </c>
      <c r="D35" s="254" t="s">
        <v>369</v>
      </c>
      <c r="E35" s="255">
        <v>5.0000000000000001E-3</v>
      </c>
      <c r="G35" s="255">
        <v>5.0000000000000001E-3</v>
      </c>
    </row>
    <row r="36" spans="1:7">
      <c r="A36" s="257"/>
      <c r="B36" s="258"/>
      <c r="C36" s="258"/>
      <c r="D36" s="261"/>
      <c r="E36" s="259"/>
      <c r="G36" s="259"/>
    </row>
    <row r="37" spans="1:7">
      <c r="A37" s="239" t="s">
        <v>370</v>
      </c>
      <c r="B37" s="252" t="s">
        <v>58</v>
      </c>
      <c r="C37" s="252" t="s">
        <v>371</v>
      </c>
      <c r="D37" s="1815" t="s">
        <v>343</v>
      </c>
      <c r="E37" s="1818">
        <v>3.5999999999999997E-2</v>
      </c>
      <c r="G37" s="1818"/>
    </row>
    <row r="38" spans="1:7">
      <c r="A38" s="239"/>
      <c r="B38" s="252"/>
      <c r="C38" s="252" t="s">
        <v>372</v>
      </c>
      <c r="D38" s="1816"/>
      <c r="E38" s="1816"/>
      <c r="G38" s="1816"/>
    </row>
    <row r="39" spans="1:7">
      <c r="A39" s="239"/>
      <c r="B39" s="252"/>
      <c r="C39" s="252" t="s">
        <v>373</v>
      </c>
      <c r="D39" s="1817"/>
      <c r="E39" s="1817"/>
      <c r="G39" s="1817"/>
    </row>
    <row r="40" spans="1:7">
      <c r="A40" s="257"/>
      <c r="B40" s="258"/>
      <c r="C40" s="258"/>
      <c r="D40" s="197"/>
      <c r="E40" s="260"/>
      <c r="G40" s="260"/>
    </row>
    <row r="41" spans="1:7">
      <c r="A41" s="239" t="s">
        <v>374</v>
      </c>
      <c r="B41" s="252" t="s">
        <v>375</v>
      </c>
      <c r="C41" s="252" t="s">
        <v>376</v>
      </c>
      <c r="D41" s="1815" t="s">
        <v>343</v>
      </c>
      <c r="E41" s="1818">
        <v>6.0000000000000001E-3</v>
      </c>
      <c r="G41" s="1818"/>
    </row>
    <row r="42" spans="1:7">
      <c r="A42" s="239"/>
      <c r="B42" s="252"/>
      <c r="C42" s="252" t="s">
        <v>377</v>
      </c>
      <c r="D42" s="1816"/>
      <c r="E42" s="1824"/>
      <c r="G42" s="1824"/>
    </row>
    <row r="43" spans="1:7">
      <c r="A43" s="239"/>
      <c r="B43" s="252"/>
      <c r="C43" s="252" t="s">
        <v>378</v>
      </c>
      <c r="D43" s="1817"/>
      <c r="E43" s="1825"/>
      <c r="G43" s="1825"/>
    </row>
    <row r="44" spans="1:7">
      <c r="A44" s="257"/>
      <c r="B44" s="258"/>
      <c r="C44" s="258"/>
      <c r="D44" s="261"/>
      <c r="E44" s="259"/>
      <c r="G44" s="259"/>
    </row>
    <row r="45" spans="1:7">
      <c r="A45" s="262" t="s">
        <v>379</v>
      </c>
      <c r="B45" s="252" t="s">
        <v>380</v>
      </c>
      <c r="C45" s="252" t="s">
        <v>381</v>
      </c>
      <c r="D45" s="252" t="s">
        <v>335</v>
      </c>
      <c r="E45" s="255">
        <v>1.0999999999999999E-2</v>
      </c>
      <c r="G45" s="255">
        <v>1.0999999999999999E-2</v>
      </c>
    </row>
    <row r="46" spans="1:7">
      <c r="A46" s="239"/>
      <c r="B46" s="252" t="s">
        <v>382</v>
      </c>
      <c r="C46" s="252" t="s">
        <v>383</v>
      </c>
      <c r="D46" s="1815" t="s">
        <v>335</v>
      </c>
      <c r="E46" s="1819">
        <v>1.0999999999999999E-2</v>
      </c>
      <c r="G46" s="1819">
        <v>1.0999999999999999E-2</v>
      </c>
    </row>
    <row r="47" spans="1:7">
      <c r="A47" s="239"/>
      <c r="B47" s="252"/>
      <c r="C47" s="252" t="s">
        <v>384</v>
      </c>
      <c r="D47" s="1816"/>
      <c r="E47" s="1822"/>
      <c r="G47" s="1822"/>
    </row>
    <row r="48" spans="1:7">
      <c r="A48" s="239"/>
      <c r="B48" s="252"/>
      <c r="C48" s="252" t="s">
        <v>385</v>
      </c>
      <c r="D48" s="1816"/>
      <c r="E48" s="1822"/>
      <c r="G48" s="1822"/>
    </row>
    <row r="49" spans="1:7">
      <c r="A49" s="239"/>
      <c r="B49" s="252"/>
      <c r="C49" s="252" t="s">
        <v>386</v>
      </c>
      <c r="D49" s="1816"/>
      <c r="E49" s="1822"/>
      <c r="G49" s="1822"/>
    </row>
    <row r="50" spans="1:7">
      <c r="A50" s="239"/>
      <c r="B50" s="252"/>
      <c r="C50" s="252" t="s">
        <v>387</v>
      </c>
      <c r="D50" s="1816"/>
      <c r="E50" s="1822"/>
      <c r="G50" s="1822"/>
    </row>
    <row r="51" spans="1:7">
      <c r="A51" s="239"/>
      <c r="B51" s="252"/>
      <c r="C51" s="252" t="s">
        <v>388</v>
      </c>
      <c r="D51" s="1816"/>
      <c r="E51" s="1822"/>
      <c r="G51" s="1822"/>
    </row>
    <row r="52" spans="1:7">
      <c r="A52" s="239"/>
      <c r="B52" s="252" t="s">
        <v>59</v>
      </c>
      <c r="C52" s="252" t="s">
        <v>389</v>
      </c>
      <c r="D52" s="1816"/>
      <c r="E52" s="1822"/>
      <c r="G52" s="1822"/>
    </row>
    <row r="53" spans="1:7">
      <c r="A53" s="239"/>
      <c r="B53" s="252"/>
      <c r="C53" s="252" t="s">
        <v>390</v>
      </c>
      <c r="D53" s="1816"/>
      <c r="E53" s="1822"/>
      <c r="G53" s="1822"/>
    </row>
    <row r="54" spans="1:7">
      <c r="A54" s="239"/>
      <c r="B54" s="252"/>
      <c r="C54" s="252" t="s">
        <v>391</v>
      </c>
      <c r="D54" s="1816"/>
      <c r="E54" s="1822"/>
      <c r="G54" s="1822"/>
    </row>
    <row r="55" spans="1:7">
      <c r="A55" s="239"/>
      <c r="B55" s="252"/>
      <c r="C55" s="252" t="s">
        <v>392</v>
      </c>
      <c r="D55" s="1817"/>
      <c r="E55" s="1823"/>
      <c r="G55" s="1823"/>
    </row>
    <row r="56" spans="1:7">
      <c r="A56" s="257"/>
      <c r="B56" s="258"/>
      <c r="C56" s="258"/>
      <c r="D56" s="263"/>
      <c r="E56" s="264"/>
      <c r="G56" s="264"/>
    </row>
    <row r="57" spans="1:7">
      <c r="A57" s="239" t="s">
        <v>393</v>
      </c>
      <c r="B57" s="252" t="s">
        <v>394</v>
      </c>
      <c r="C57" s="252"/>
      <c r="D57" s="252" t="s">
        <v>335</v>
      </c>
      <c r="E57" s="255">
        <v>6.0000000000000001E-3</v>
      </c>
      <c r="G57" s="255">
        <v>6.0000000000000001E-3</v>
      </c>
    </row>
    <row r="58" spans="1:7">
      <c r="A58" s="1"/>
      <c r="B58" s="256" t="s">
        <v>61</v>
      </c>
      <c r="C58" s="256" t="s">
        <v>61</v>
      </c>
      <c r="D58" s="1826" t="s">
        <v>395</v>
      </c>
      <c r="E58" s="1819">
        <v>3.5999999999999997E-2</v>
      </c>
      <c r="G58" s="1819"/>
    </row>
    <row r="59" spans="1:7">
      <c r="A59" s="239"/>
      <c r="B59" s="256" t="s">
        <v>396</v>
      </c>
      <c r="C59" s="256" t="s">
        <v>397</v>
      </c>
      <c r="D59" s="1821"/>
      <c r="E59" s="1821"/>
      <c r="G59" s="1821"/>
    </row>
    <row r="60" spans="1:7">
      <c r="A60" s="257"/>
      <c r="B60" s="258"/>
      <c r="C60" s="258"/>
      <c r="D60" s="197"/>
      <c r="E60" s="260"/>
      <c r="G60" s="260"/>
    </row>
    <row r="61" spans="1:7">
      <c r="A61" s="239"/>
      <c r="B61" s="256" t="s">
        <v>398</v>
      </c>
      <c r="C61" s="256" t="s">
        <v>399</v>
      </c>
      <c r="D61" s="256" t="s">
        <v>343</v>
      </c>
      <c r="E61" s="265">
        <v>0.114</v>
      </c>
      <c r="G61" s="265"/>
    </row>
    <row r="62" spans="1:7">
      <c r="A62" s="1"/>
      <c r="B62" s="266"/>
      <c r="C62" s="266"/>
      <c r="D62" s="1"/>
      <c r="E62" s="267"/>
      <c r="G62" s="267"/>
    </row>
    <row r="63" spans="1:7">
      <c r="A63" s="1"/>
      <c r="B63" s="266"/>
      <c r="C63" s="252" t="s">
        <v>400</v>
      </c>
      <c r="D63" s="252" t="s">
        <v>401</v>
      </c>
      <c r="E63" s="255">
        <v>2.5000000000000001E-2</v>
      </c>
      <c r="G63" s="255"/>
    </row>
    <row r="64" spans="1:7">
      <c r="A64" s="1"/>
      <c r="B64" s="266"/>
      <c r="C64" s="252" t="s">
        <v>402</v>
      </c>
      <c r="D64" s="252" t="s">
        <v>401</v>
      </c>
      <c r="E64" s="255">
        <v>2.7E-2</v>
      </c>
      <c r="G64" s="255"/>
    </row>
    <row r="65" spans="1:7">
      <c r="A65" s="1"/>
      <c r="B65" s="266"/>
      <c r="C65" s="268" t="s">
        <v>403</v>
      </c>
      <c r="D65" s="268" t="s">
        <v>360</v>
      </c>
      <c r="E65" s="255">
        <v>2.5999999999999999E-2</v>
      </c>
      <c r="G65" s="255"/>
    </row>
    <row r="66" spans="1:7">
      <c r="A66" s="1"/>
      <c r="B66" s="266"/>
      <c r="C66" s="266"/>
      <c r="D66" s="1"/>
      <c r="E66" s="267"/>
      <c r="G66" s="267"/>
    </row>
    <row r="67" spans="1:7">
      <c r="A67" s="1"/>
      <c r="B67" s="266"/>
      <c r="C67" s="11" t="s">
        <v>404</v>
      </c>
      <c r="D67" s="1"/>
      <c r="E67" s="267"/>
      <c r="G67" s="269">
        <f>SUM(G5:G65)</f>
        <v>7.3999999999999996E-2</v>
      </c>
    </row>
  </sheetData>
  <mergeCells count="24">
    <mergeCell ref="G46:G55"/>
    <mergeCell ref="G58:G59"/>
    <mergeCell ref="D46:D55"/>
    <mergeCell ref="E46:E55"/>
    <mergeCell ref="D58:D59"/>
    <mergeCell ref="E58:E59"/>
    <mergeCell ref="G5:G9"/>
    <mergeCell ref="G14:G17"/>
    <mergeCell ref="G20:G24"/>
    <mergeCell ref="G30:G33"/>
    <mergeCell ref="G37:G39"/>
    <mergeCell ref="G41:G43"/>
    <mergeCell ref="D30:D33"/>
    <mergeCell ref="E30:E33"/>
    <mergeCell ref="D37:D39"/>
    <mergeCell ref="E37:E39"/>
    <mergeCell ref="D41:D43"/>
    <mergeCell ref="E41:E43"/>
    <mergeCell ref="D5:D9"/>
    <mergeCell ref="E5:E9"/>
    <mergeCell ref="D14:D17"/>
    <mergeCell ref="E14:E17"/>
    <mergeCell ref="D20:D24"/>
    <mergeCell ref="E20:E24"/>
  </mergeCells>
  <phoneticPr fontId="52" type="noConversion"/>
  <pageMargins left="0.75" right="0.75" top="1" bottom="1" header="0.5" footer="0.5"/>
  <pageSetup orientation="portrait" horizontalDpi="4294967292" verticalDpi="429496729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G60"/>
  <sheetViews>
    <sheetView workbookViewId="0">
      <selection activeCell="H61" sqref="H61"/>
    </sheetView>
  </sheetViews>
  <sheetFormatPr defaultColWidth="8.875" defaultRowHeight="15.75"/>
  <cols>
    <col min="1" max="1" width="31.875" customWidth="1"/>
    <col min="2" max="2" width="28.625" customWidth="1"/>
    <col min="3" max="3" width="5.375" customWidth="1"/>
    <col min="4" max="4" width="39.875" customWidth="1"/>
    <col min="5" max="5" width="14.625" customWidth="1"/>
    <col min="6" max="6" width="14" customWidth="1"/>
    <col min="7" max="7" width="35.5" customWidth="1"/>
  </cols>
  <sheetData>
    <row r="1" spans="1:7">
      <c r="A1" s="1827" t="s">
        <v>18</v>
      </c>
      <c r="B1" s="1827"/>
      <c r="C1" s="1827"/>
      <c r="D1" s="1827"/>
    </row>
    <row r="2" spans="1:7">
      <c r="A2" s="1827" t="s">
        <v>965</v>
      </c>
      <c r="B2" s="1827"/>
      <c r="C2" s="1827"/>
      <c r="D2" s="1827"/>
    </row>
    <row r="3" spans="1:7">
      <c r="A3" s="1827" t="s">
        <v>1761</v>
      </c>
      <c r="B3" s="1827"/>
      <c r="C3" s="1827"/>
      <c r="D3" s="1827"/>
    </row>
    <row r="4" spans="1:7">
      <c r="A4" s="34"/>
      <c r="B4" s="46"/>
    </row>
    <row r="5" spans="1:7">
      <c r="B5" s="1103" t="s">
        <v>1762</v>
      </c>
      <c r="C5" s="1173"/>
      <c r="D5" s="1173" t="s">
        <v>966</v>
      </c>
      <c r="E5" t="s">
        <v>1763</v>
      </c>
      <c r="F5" s="1663" t="s">
        <v>1305</v>
      </c>
      <c r="G5" s="1663" t="s">
        <v>966</v>
      </c>
    </row>
    <row r="6" spans="1:7">
      <c r="A6" s="47"/>
      <c r="B6" s="388"/>
      <c r="C6" s="1104"/>
      <c r="D6" s="34"/>
    </row>
    <row r="7" spans="1:7">
      <c r="A7" s="54" t="s">
        <v>73</v>
      </c>
      <c r="B7" s="388">
        <v>843760</v>
      </c>
      <c r="C7" s="1104"/>
      <c r="D7" s="34" t="s">
        <v>967</v>
      </c>
      <c r="E7" s="12">
        <f>-B7</f>
        <v>-843760</v>
      </c>
      <c r="F7" s="411">
        <v>0</v>
      </c>
      <c r="G7" t="s">
        <v>1832</v>
      </c>
    </row>
    <row r="8" spans="1:7">
      <c r="A8" s="54"/>
      <c r="B8" s="388">
        <v>1598265</v>
      </c>
      <c r="C8" s="1104"/>
      <c r="D8" s="34" t="s">
        <v>968</v>
      </c>
      <c r="E8" s="12">
        <f>-B8</f>
        <v>-1598265</v>
      </c>
      <c r="F8" s="411">
        <v>0</v>
      </c>
      <c r="G8" t="s">
        <v>1832</v>
      </c>
    </row>
    <row r="9" spans="1:7">
      <c r="A9" s="47"/>
      <c r="B9" s="388"/>
      <c r="C9" s="1104"/>
      <c r="D9" s="34"/>
    </row>
    <row r="10" spans="1:7">
      <c r="A10" s="54" t="s">
        <v>76</v>
      </c>
      <c r="B10" s="388">
        <v>95520</v>
      </c>
      <c r="C10" s="1104"/>
      <c r="D10" s="34" t="s">
        <v>969</v>
      </c>
      <c r="E10" s="12">
        <f t="shared" ref="E10:E11" si="0">-B10</f>
        <v>-95520</v>
      </c>
      <c r="F10" s="411">
        <v>0</v>
      </c>
      <c r="G10" t="s">
        <v>1832</v>
      </c>
    </row>
    <row r="11" spans="1:7">
      <c r="A11" s="54"/>
      <c r="B11" s="388">
        <v>619180</v>
      </c>
      <c r="C11" s="1104"/>
      <c r="D11" s="34" t="s">
        <v>970</v>
      </c>
      <c r="E11" s="12">
        <f t="shared" si="0"/>
        <v>-619180</v>
      </c>
      <c r="F11" s="411">
        <v>0</v>
      </c>
      <c r="G11" t="s">
        <v>1832</v>
      </c>
    </row>
    <row r="12" spans="1:7">
      <c r="A12" s="47"/>
      <c r="B12" s="388"/>
      <c r="C12" s="1104"/>
      <c r="D12" s="34"/>
    </row>
    <row r="13" spans="1:7">
      <c r="A13" s="54"/>
      <c r="B13" s="388"/>
      <c r="C13" s="1104"/>
    </row>
    <row r="14" spans="1:7">
      <c r="A14" s="54" t="s">
        <v>79</v>
      </c>
      <c r="B14" s="388">
        <v>75000</v>
      </c>
      <c r="C14" s="1104"/>
      <c r="D14" s="34" t="s">
        <v>971</v>
      </c>
      <c r="E14" s="1743">
        <v>225000</v>
      </c>
      <c r="F14" s="1743">
        <v>300000</v>
      </c>
      <c r="G14" t="s">
        <v>1836</v>
      </c>
    </row>
    <row r="15" spans="1:7">
      <c r="A15" s="54"/>
      <c r="B15" s="388"/>
      <c r="C15" s="1104"/>
      <c r="D15" s="34"/>
    </row>
    <row r="16" spans="1:7">
      <c r="A16" s="54" t="s">
        <v>972</v>
      </c>
      <c r="B16" s="388">
        <v>10875</v>
      </c>
      <c r="C16" s="1104"/>
      <c r="D16" s="34" t="s">
        <v>973</v>
      </c>
      <c r="F16" s="1743">
        <v>10875</v>
      </c>
    </row>
    <row r="17" spans="1:7">
      <c r="A17" s="54"/>
      <c r="B17" s="388"/>
      <c r="C17" s="1104"/>
    </row>
    <row r="18" spans="1:7">
      <c r="A18" s="47" t="s">
        <v>83</v>
      </c>
      <c r="B18" s="388">
        <v>-48085</v>
      </c>
      <c r="C18" s="1104"/>
      <c r="D18" s="34" t="s">
        <v>974</v>
      </c>
      <c r="E18" s="194"/>
      <c r="F18" s="194">
        <f>-48085</f>
        <v>-48085</v>
      </c>
    </row>
    <row r="19" spans="1:7">
      <c r="A19" s="47"/>
      <c r="E19" s="194">
        <v>168913</v>
      </c>
      <c r="F19" s="194">
        <v>168913</v>
      </c>
      <c r="G19" t="s">
        <v>1837</v>
      </c>
    </row>
    <row r="20" spans="1:7">
      <c r="A20" s="49" t="s">
        <v>975</v>
      </c>
      <c r="B20" s="388">
        <v>20000</v>
      </c>
      <c r="C20" s="1104"/>
      <c r="D20" s="34" t="s">
        <v>488</v>
      </c>
      <c r="F20">
        <v>20000</v>
      </c>
    </row>
    <row r="21" spans="1:7">
      <c r="A21" s="46"/>
      <c r="B21" s="388"/>
      <c r="C21" s="1104"/>
      <c r="E21" s="1743">
        <v>300000</v>
      </c>
      <c r="F21">
        <v>300000</v>
      </c>
      <c r="G21" t="s">
        <v>1838</v>
      </c>
    </row>
    <row r="22" spans="1:7">
      <c r="A22" s="46" t="s">
        <v>1839</v>
      </c>
      <c r="B22" s="388"/>
      <c r="C22" s="1104"/>
      <c r="E22" s="1743">
        <v>250000</v>
      </c>
      <c r="F22">
        <v>250000</v>
      </c>
      <c r="G22" t="s">
        <v>1840</v>
      </c>
    </row>
    <row r="23" spans="1:7">
      <c r="A23" s="46"/>
      <c r="B23" s="388"/>
      <c r="C23" s="1104"/>
      <c r="E23" s="1743"/>
    </row>
    <row r="24" spans="1:7">
      <c r="A24" s="46"/>
      <c r="B24" s="388"/>
      <c r="C24" s="1104"/>
      <c r="E24" s="1743"/>
    </row>
    <row r="25" spans="1:7">
      <c r="A25" s="46" t="s">
        <v>4</v>
      </c>
      <c r="B25" s="388"/>
      <c r="C25" s="1104"/>
      <c r="E25" s="1743">
        <v>500000</v>
      </c>
      <c r="F25" s="1743">
        <f>E25</f>
        <v>500000</v>
      </c>
      <c r="G25" t="s">
        <v>1841</v>
      </c>
    </row>
    <row r="26" spans="1:7">
      <c r="A26" s="46"/>
      <c r="B26" s="388"/>
      <c r="C26" s="1104"/>
      <c r="E26" s="1743">
        <v>250000</v>
      </c>
      <c r="F26" s="1743">
        <f t="shared" ref="F26:F27" si="1">E26</f>
        <v>250000</v>
      </c>
      <c r="G26" t="s">
        <v>1842</v>
      </c>
    </row>
    <row r="27" spans="1:7">
      <c r="A27" s="46"/>
      <c r="B27" s="388"/>
      <c r="C27" s="1104"/>
      <c r="E27" s="1743">
        <v>19226</v>
      </c>
      <c r="F27" s="1743">
        <f t="shared" si="1"/>
        <v>19226</v>
      </c>
      <c r="G27" t="s">
        <v>1843</v>
      </c>
    </row>
    <row r="28" spans="1:7">
      <c r="A28" s="46"/>
      <c r="B28" s="388"/>
      <c r="C28" s="1104"/>
      <c r="E28" s="1743"/>
    </row>
    <row r="29" spans="1:7">
      <c r="A29" s="46"/>
      <c r="B29" s="388"/>
      <c r="C29" s="1104"/>
      <c r="E29" s="1743"/>
    </row>
    <row r="30" spans="1:7">
      <c r="A30" s="46"/>
      <c r="B30" s="388"/>
      <c r="C30" s="1104"/>
      <c r="E30" s="1743"/>
    </row>
    <row r="31" spans="1:7">
      <c r="A31" s="46" t="s">
        <v>94</v>
      </c>
      <c r="B31" s="388">
        <v>26585</v>
      </c>
      <c r="C31" s="1104"/>
      <c r="D31" t="s">
        <v>976</v>
      </c>
    </row>
    <row r="32" spans="1:7">
      <c r="A32" s="46"/>
      <c r="B32" s="388"/>
      <c r="C32" s="1104"/>
    </row>
    <row r="33" spans="1:7">
      <c r="A33" s="34" t="s">
        <v>977</v>
      </c>
      <c r="B33" s="388">
        <v>300000</v>
      </c>
      <c r="C33" s="1104"/>
      <c r="D33" s="34" t="s">
        <v>489</v>
      </c>
    </row>
    <row r="34" spans="1:7">
      <c r="B34" s="388">
        <v>55000</v>
      </c>
      <c r="C34" s="1104"/>
      <c r="D34" s="34" t="s">
        <v>491</v>
      </c>
    </row>
    <row r="35" spans="1:7">
      <c r="B35" s="388">
        <v>20000</v>
      </c>
      <c r="C35" s="1104"/>
      <c r="D35" s="34" t="s">
        <v>492</v>
      </c>
    </row>
    <row r="36" spans="1:7">
      <c r="B36" s="388">
        <v>5500000</v>
      </c>
      <c r="C36" s="1104"/>
      <c r="D36" s="34" t="s">
        <v>344</v>
      </c>
    </row>
    <row r="37" spans="1:7">
      <c r="B37" s="388">
        <v>25000</v>
      </c>
      <c r="C37" s="1104"/>
      <c r="D37" s="34" t="s">
        <v>978</v>
      </c>
    </row>
    <row r="38" spans="1:7">
      <c r="B38" s="388"/>
      <c r="C38" s="1104"/>
      <c r="D38" s="34"/>
    </row>
    <row r="39" spans="1:7">
      <c r="A39" t="s">
        <v>344</v>
      </c>
      <c r="B39" s="388"/>
      <c r="C39" s="1104"/>
      <c r="D39" s="34"/>
      <c r="E39">
        <v>5500000</v>
      </c>
      <c r="F39">
        <v>7340700</v>
      </c>
      <c r="G39" t="s">
        <v>1833</v>
      </c>
    </row>
    <row r="40" spans="1:7">
      <c r="B40" s="388"/>
      <c r="C40" s="1104"/>
      <c r="D40" s="34"/>
      <c r="E40">
        <v>1840700</v>
      </c>
      <c r="G40" t="s">
        <v>1834</v>
      </c>
    </row>
    <row r="41" spans="1:7">
      <c r="B41" s="388"/>
      <c r="C41" s="1104"/>
      <c r="D41" s="34"/>
    </row>
    <row r="42" spans="1:7">
      <c r="A42" s="34" t="s">
        <v>979</v>
      </c>
      <c r="B42" s="388">
        <v>150000</v>
      </c>
      <c r="C42" s="1104"/>
      <c r="D42" s="34" t="s">
        <v>980</v>
      </c>
      <c r="E42" s="12">
        <f>-B42</f>
        <v>-150000</v>
      </c>
      <c r="F42" s="411">
        <v>0</v>
      </c>
      <c r="G42" t="s">
        <v>1832</v>
      </c>
    </row>
    <row r="43" spans="1:7">
      <c r="B43" s="388"/>
      <c r="C43" s="1104"/>
      <c r="D43" s="34"/>
    </row>
    <row r="44" spans="1:7">
      <c r="A44" s="34" t="s">
        <v>981</v>
      </c>
      <c r="B44" s="388">
        <v>80000</v>
      </c>
      <c r="C44" s="1104"/>
      <c r="D44" s="34" t="s">
        <v>489</v>
      </c>
      <c r="E44" s="12">
        <f>-B44</f>
        <v>-80000</v>
      </c>
      <c r="F44" s="411"/>
      <c r="G44" t="s">
        <v>1835</v>
      </c>
    </row>
    <row r="45" spans="1:7">
      <c r="B45" s="388">
        <v>950000</v>
      </c>
      <c r="C45" s="1104"/>
      <c r="D45" s="34" t="s">
        <v>982</v>
      </c>
      <c r="F45" s="411">
        <f>950000</f>
        <v>950000</v>
      </c>
    </row>
    <row r="46" spans="1:7">
      <c r="B46" s="46"/>
    </row>
    <row r="47" spans="1:7">
      <c r="A47" t="s">
        <v>983</v>
      </c>
      <c r="B47" s="388">
        <v>100000</v>
      </c>
      <c r="D47" t="s">
        <v>984</v>
      </c>
      <c r="E47" s="12">
        <f t="shared" ref="E47:E48" si="2">-B47</f>
        <v>-100000</v>
      </c>
      <c r="F47" s="411">
        <v>0</v>
      </c>
      <c r="G47" t="s">
        <v>1832</v>
      </c>
    </row>
    <row r="48" spans="1:7">
      <c r="B48" s="388">
        <v>327000</v>
      </c>
      <c r="D48" t="s">
        <v>490</v>
      </c>
      <c r="E48" s="12">
        <f t="shared" si="2"/>
        <v>-327000</v>
      </c>
      <c r="F48" s="411">
        <v>0</v>
      </c>
      <c r="G48" t="s">
        <v>1832</v>
      </c>
    </row>
    <row r="49" spans="1:7">
      <c r="B49" s="388"/>
    </row>
    <row r="50" spans="1:7">
      <c r="A50" s="34" t="s">
        <v>86</v>
      </c>
      <c r="B50" s="388">
        <v>722370</v>
      </c>
      <c r="D50" s="389" t="s">
        <v>985</v>
      </c>
      <c r="E50" s="12">
        <f t="shared" ref="E50:E51" si="3">-B50</f>
        <v>-722370</v>
      </c>
      <c r="F50" s="411">
        <v>0</v>
      </c>
      <c r="G50" t="s">
        <v>1832</v>
      </c>
    </row>
    <row r="51" spans="1:7">
      <c r="A51" s="34"/>
      <c r="B51" s="388">
        <v>72357</v>
      </c>
      <c r="D51" s="389" t="s">
        <v>986</v>
      </c>
      <c r="E51" s="12">
        <f t="shared" si="3"/>
        <v>-72357</v>
      </c>
      <c r="F51" s="411">
        <v>0</v>
      </c>
      <c r="G51" t="s">
        <v>1832</v>
      </c>
    </row>
    <row r="52" spans="1:7">
      <c r="B52" s="46"/>
    </row>
    <row r="53" spans="1:7">
      <c r="A53" s="49" t="s">
        <v>987</v>
      </c>
      <c r="B53" s="388">
        <v>40000</v>
      </c>
      <c r="C53" s="1104"/>
      <c r="D53" s="34" t="s">
        <v>988</v>
      </c>
    </row>
    <row r="54" spans="1:7">
      <c r="A54" s="49"/>
      <c r="B54" s="388"/>
      <c r="C54" s="1104"/>
      <c r="D54" s="34"/>
    </row>
    <row r="55" spans="1:7">
      <c r="A55" s="49" t="s">
        <v>989</v>
      </c>
      <c r="B55" s="388">
        <v>172820</v>
      </c>
      <c r="C55" s="1104"/>
      <c r="D55" s="34" t="s">
        <v>990</v>
      </c>
      <c r="E55" s="12">
        <f t="shared" ref="E55:E56" si="4">-B55</f>
        <v>-172820</v>
      </c>
      <c r="F55" s="411">
        <v>0</v>
      </c>
    </row>
    <row r="56" spans="1:7">
      <c r="A56" s="49"/>
      <c r="B56" s="388">
        <v>116900</v>
      </c>
      <c r="C56" s="1104"/>
      <c r="D56" s="34" t="s">
        <v>991</v>
      </c>
      <c r="E56" s="12">
        <f t="shared" si="4"/>
        <v>-116900</v>
      </c>
      <c r="F56" s="411">
        <v>0</v>
      </c>
    </row>
    <row r="57" spans="1:7">
      <c r="A57" s="49"/>
      <c r="B57" s="388"/>
      <c r="C57" s="1104"/>
      <c r="D57" s="34"/>
    </row>
    <row r="58" spans="1:7">
      <c r="A58" s="46"/>
      <c r="B58" s="388"/>
      <c r="C58" s="1104"/>
    </row>
    <row r="59" spans="1:7" ht="16.5" thickBot="1">
      <c r="A59" s="34" t="s">
        <v>992</v>
      </c>
      <c r="B59" s="1105">
        <f>SUM(B6:B58)</f>
        <v>11872547</v>
      </c>
      <c r="C59" s="1106"/>
    </row>
    <row r="60" spans="1:7" ht="16.5" thickTop="1"/>
  </sheetData>
  <mergeCells count="3">
    <mergeCell ref="A1:D1"/>
    <mergeCell ref="A2:D2"/>
    <mergeCell ref="A3:D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50"/>
  <sheetViews>
    <sheetView workbookViewId="0">
      <selection activeCell="M42" sqref="M42"/>
    </sheetView>
  </sheetViews>
  <sheetFormatPr defaultColWidth="11" defaultRowHeight="15.75"/>
  <cols>
    <col min="1" max="1" width="38.5" customWidth="1"/>
    <col min="2" max="2" width="5.625" customWidth="1"/>
    <col min="3" max="3" width="16.125" customWidth="1"/>
  </cols>
  <sheetData>
    <row r="1" spans="1:9">
      <c r="A1" s="1178"/>
      <c r="B1" s="1178"/>
      <c r="C1" s="1179" t="s">
        <v>65</v>
      </c>
      <c r="D1" s="1178"/>
      <c r="E1" s="1178"/>
      <c r="F1" s="1178"/>
      <c r="G1" s="1178"/>
      <c r="H1" s="1178"/>
      <c r="I1" s="1178"/>
    </row>
    <row r="2" spans="1:9">
      <c r="A2" s="1178"/>
      <c r="B2" s="1178"/>
      <c r="C2" s="1180" t="s">
        <v>70</v>
      </c>
      <c r="D2" s="1178"/>
      <c r="E2" s="1178"/>
      <c r="F2" s="1178"/>
      <c r="G2" s="1178"/>
      <c r="H2" s="1178"/>
      <c r="I2" s="1178"/>
    </row>
    <row r="3" spans="1:9">
      <c r="A3" s="1178"/>
      <c r="B3" s="1178"/>
      <c r="C3" s="1178"/>
      <c r="D3" s="1178"/>
      <c r="E3" s="1178"/>
      <c r="F3" s="1178"/>
      <c r="G3" s="1178"/>
      <c r="H3" s="1178"/>
      <c r="I3" s="1178"/>
    </row>
    <row r="4" spans="1:9">
      <c r="A4" s="1181" t="s">
        <v>69</v>
      </c>
      <c r="B4" s="1178"/>
      <c r="C4" s="1182"/>
      <c r="D4" s="1178"/>
      <c r="E4" s="1178"/>
      <c r="F4" s="1178"/>
      <c r="G4" s="1178"/>
      <c r="H4" s="1178"/>
      <c r="I4" s="1178"/>
    </row>
    <row r="5" spans="1:9">
      <c r="A5" s="1183" t="s">
        <v>71</v>
      </c>
      <c r="B5" s="1184"/>
      <c r="C5" s="1184">
        <v>0</v>
      </c>
      <c r="D5" s="1178"/>
      <c r="E5" s="1178"/>
      <c r="F5" s="1178"/>
      <c r="G5" s="1178"/>
      <c r="H5" s="1178"/>
      <c r="I5" s="1178"/>
    </row>
    <row r="6" spans="1:9">
      <c r="A6" s="1185"/>
      <c r="B6" s="1182"/>
      <c r="C6" s="1182"/>
      <c r="D6" s="1178"/>
      <c r="E6" s="1178"/>
      <c r="F6" s="1178"/>
      <c r="G6" s="1178"/>
      <c r="H6" s="1178"/>
      <c r="I6" s="1178"/>
    </row>
    <row r="7" spans="1:9">
      <c r="A7" s="1186" t="s">
        <v>72</v>
      </c>
      <c r="B7" s="1187"/>
      <c r="C7" s="1187"/>
      <c r="D7" s="1178"/>
      <c r="E7" s="1178"/>
      <c r="F7" s="1178"/>
      <c r="G7" s="1178"/>
      <c r="H7" s="1178"/>
      <c r="I7" s="1178"/>
    </row>
    <row r="8" spans="1:9">
      <c r="A8" s="1188" t="s">
        <v>73</v>
      </c>
      <c r="B8" s="1184"/>
      <c r="C8" s="1184">
        <f>661808+290700</f>
        <v>952508</v>
      </c>
      <c r="D8" s="1178" t="s">
        <v>1074</v>
      </c>
      <c r="E8" s="1178"/>
      <c r="F8" s="1178"/>
      <c r="G8" s="1178"/>
      <c r="H8" s="1178"/>
      <c r="I8" s="1178"/>
    </row>
    <row r="9" spans="1:9">
      <c r="A9" s="1189" t="s">
        <v>74</v>
      </c>
      <c r="B9" s="1190"/>
      <c r="C9" s="1190">
        <v>0</v>
      </c>
      <c r="D9" s="1178"/>
      <c r="E9" s="1178"/>
      <c r="F9" s="1178"/>
      <c r="G9" s="1178"/>
      <c r="H9" s="1178"/>
      <c r="I9" s="1178"/>
    </row>
    <row r="10" spans="1:9">
      <c r="A10" s="1191" t="s">
        <v>75</v>
      </c>
      <c r="B10" s="1190"/>
      <c r="C10" s="1190">
        <v>7000000</v>
      </c>
      <c r="D10" s="1178" t="s">
        <v>1072</v>
      </c>
      <c r="E10" s="1178"/>
      <c r="F10" s="1178"/>
      <c r="G10" s="1178"/>
      <c r="H10" s="1178"/>
      <c r="I10" s="1178"/>
    </row>
    <row r="11" spans="1:9">
      <c r="A11" s="1188" t="s">
        <v>76</v>
      </c>
      <c r="B11" s="1184"/>
      <c r="C11" s="1184">
        <v>1814888</v>
      </c>
      <c r="D11" s="1187" t="s">
        <v>447</v>
      </c>
      <c r="E11" s="1178"/>
      <c r="F11" s="1178"/>
      <c r="G11" s="1178"/>
      <c r="H11" s="1178"/>
      <c r="I11" s="1178"/>
    </row>
    <row r="12" spans="1:9">
      <c r="A12" s="1189" t="s">
        <v>77</v>
      </c>
      <c r="B12" s="1190"/>
      <c r="C12" s="1190">
        <v>0</v>
      </c>
      <c r="D12" s="1178"/>
      <c r="E12" s="1178"/>
      <c r="F12" s="1178"/>
      <c r="G12" s="1178"/>
      <c r="H12" s="1178"/>
      <c r="I12" s="1178"/>
    </row>
    <row r="13" spans="1:9">
      <c r="A13" s="1191" t="s">
        <v>78</v>
      </c>
      <c r="B13" s="1190"/>
      <c r="C13" s="1190">
        <v>0</v>
      </c>
      <c r="D13" s="1178"/>
      <c r="E13" s="1178"/>
      <c r="F13" s="1178"/>
      <c r="G13" s="1178"/>
      <c r="H13" s="1178"/>
      <c r="I13" s="1178"/>
    </row>
    <row r="14" spans="1:9">
      <c r="A14" s="1188" t="s">
        <v>79</v>
      </c>
      <c r="B14" s="1184"/>
      <c r="C14" s="1184">
        <v>0</v>
      </c>
      <c r="D14" s="1178"/>
      <c r="E14" s="1178"/>
      <c r="F14" s="1178"/>
      <c r="G14" s="1178"/>
      <c r="H14" s="1178"/>
      <c r="I14" s="1178"/>
    </row>
    <row r="15" spans="1:9">
      <c r="A15" s="1191" t="s">
        <v>80</v>
      </c>
      <c r="B15" s="1190"/>
      <c r="C15" s="1190">
        <f>3000000+167020+330905+142800</f>
        <v>3640725</v>
      </c>
      <c r="D15" s="1189" t="s">
        <v>1830</v>
      </c>
      <c r="E15" s="1178"/>
      <c r="F15" s="1178"/>
      <c r="G15" s="1178"/>
      <c r="H15" s="1178"/>
      <c r="I15" s="1178"/>
    </row>
    <row r="16" spans="1:9">
      <c r="A16" s="1191" t="s">
        <v>81</v>
      </c>
      <c r="B16" s="1190"/>
      <c r="C16" s="55">
        <v>1141201</v>
      </c>
      <c r="D16" s="1178" t="s">
        <v>493</v>
      </c>
      <c r="E16" s="1178"/>
      <c r="F16" s="1178"/>
      <c r="G16" s="1178"/>
      <c r="H16" s="1178"/>
      <c r="I16" s="1178"/>
    </row>
    <row r="17" spans="1:9">
      <c r="A17" s="1188" t="s">
        <v>82</v>
      </c>
      <c r="B17" s="1184"/>
      <c r="C17" s="43">
        <v>0</v>
      </c>
      <c r="D17" s="1178"/>
      <c r="E17" s="1178"/>
      <c r="F17" s="1178"/>
      <c r="G17" s="1178"/>
      <c r="H17" s="1178"/>
      <c r="I17" s="1178"/>
    </row>
    <row r="18" spans="1:9">
      <c r="A18" s="1191" t="s">
        <v>83</v>
      </c>
      <c r="B18" s="1190"/>
      <c r="C18" s="55">
        <v>5160455</v>
      </c>
      <c r="D18" s="1178" t="s">
        <v>494</v>
      </c>
      <c r="E18" s="1178"/>
      <c r="F18" s="1178"/>
      <c r="G18" s="1178"/>
      <c r="H18" s="1178"/>
      <c r="I18" s="1178"/>
    </row>
    <row r="19" spans="1:9">
      <c r="A19" s="1191" t="s">
        <v>84</v>
      </c>
      <c r="B19" s="1190"/>
      <c r="C19" s="1190">
        <v>0</v>
      </c>
      <c r="D19" s="1178"/>
      <c r="E19" s="1178"/>
      <c r="F19" s="1178"/>
      <c r="G19" s="1178"/>
      <c r="H19" s="1178"/>
      <c r="I19" s="1178"/>
    </row>
    <row r="20" spans="1:9">
      <c r="A20" s="1188" t="s">
        <v>85</v>
      </c>
      <c r="B20" s="1184"/>
      <c r="C20" s="1184">
        <v>0</v>
      </c>
      <c r="D20" s="1178"/>
      <c r="E20" s="1178"/>
      <c r="F20" s="1178"/>
      <c r="G20" s="1178"/>
      <c r="H20" s="1178"/>
      <c r="I20" s="1178"/>
    </row>
    <row r="21" spans="1:9">
      <c r="A21" s="1189" t="s">
        <v>87</v>
      </c>
      <c r="B21" s="1190"/>
      <c r="C21" s="1190">
        <v>0</v>
      </c>
      <c r="D21" s="1178"/>
      <c r="E21" s="1178"/>
      <c r="F21" s="1178"/>
      <c r="G21" s="1178"/>
      <c r="H21" s="1178"/>
      <c r="I21" s="1178"/>
    </row>
    <row r="22" spans="1:9">
      <c r="A22" s="1191" t="s">
        <v>88</v>
      </c>
      <c r="B22" s="1190"/>
      <c r="C22" s="1190">
        <v>0</v>
      </c>
      <c r="D22" s="1178"/>
      <c r="E22" s="1178"/>
      <c r="F22" s="1178"/>
      <c r="G22" s="1178"/>
      <c r="H22" s="1178"/>
      <c r="I22" s="1178"/>
    </row>
    <row r="23" spans="1:9">
      <c r="A23" s="1192" t="s">
        <v>948</v>
      </c>
      <c r="B23" s="1184"/>
      <c r="C23" s="1184">
        <v>0</v>
      </c>
      <c r="D23" s="1178"/>
      <c r="E23" s="1178"/>
      <c r="F23" s="1178"/>
      <c r="G23" s="1178"/>
      <c r="H23" s="1178"/>
      <c r="I23" s="1178"/>
    </row>
    <row r="24" spans="1:9">
      <c r="A24" s="1191" t="s">
        <v>89</v>
      </c>
      <c r="B24" s="1190"/>
      <c r="C24" s="1190">
        <v>49413</v>
      </c>
      <c r="D24" s="1178" t="s">
        <v>495</v>
      </c>
      <c r="E24" s="1178"/>
      <c r="F24" s="1178"/>
      <c r="G24" s="1178"/>
      <c r="H24" s="1178"/>
      <c r="I24" s="1178"/>
    </row>
    <row r="25" spans="1:9">
      <c r="A25" s="1191" t="s">
        <v>90</v>
      </c>
      <c r="B25" s="1190">
        <f>SUM(B6:B24)</f>
        <v>0</v>
      </c>
      <c r="C25" s="1190">
        <f>263888+213076</f>
        <v>476964</v>
      </c>
      <c r="D25" s="1178" t="s">
        <v>1831</v>
      </c>
      <c r="E25" s="1178"/>
      <c r="F25" s="1178"/>
      <c r="G25" s="1178"/>
      <c r="H25" s="1178"/>
      <c r="I25" s="1178"/>
    </row>
    <row r="26" spans="1:9">
      <c r="A26" s="1193" t="s">
        <v>949</v>
      </c>
      <c r="B26" s="1194"/>
      <c r="C26" s="1194"/>
      <c r="D26" s="1178"/>
      <c r="E26" s="1178"/>
      <c r="F26" s="1178"/>
      <c r="G26" s="1178"/>
      <c r="H26" s="1178"/>
      <c r="I26" s="1178"/>
    </row>
    <row r="27" spans="1:9">
      <c r="A27" s="1195" t="s">
        <v>91</v>
      </c>
      <c r="B27" s="1196"/>
      <c r="C27" s="1196">
        <f>SUM(C8:C26)</f>
        <v>20236154</v>
      </c>
      <c r="D27" s="1178"/>
      <c r="E27" s="1178"/>
      <c r="F27" s="1178"/>
      <c r="G27" s="1178"/>
      <c r="H27" s="1178"/>
      <c r="I27" s="1178"/>
    </row>
    <row r="28" spans="1:9">
      <c r="A28" s="1191"/>
      <c r="B28" s="1190"/>
      <c r="C28" s="1190"/>
      <c r="D28" s="1178"/>
      <c r="E28" s="1178"/>
      <c r="F28" s="1178"/>
      <c r="G28" s="1178"/>
      <c r="H28" s="1178"/>
      <c r="I28" s="1178"/>
    </row>
    <row r="29" spans="1:9">
      <c r="A29" s="1197" t="s">
        <v>950</v>
      </c>
      <c r="B29" s="1182"/>
      <c r="C29" s="1182"/>
      <c r="D29" s="1178"/>
      <c r="E29" s="1178"/>
      <c r="F29" s="1178"/>
      <c r="G29" s="1178"/>
      <c r="H29" s="1178"/>
      <c r="I29" s="1178"/>
    </row>
    <row r="30" spans="1:9">
      <c r="A30" s="1193" t="s">
        <v>93</v>
      </c>
      <c r="B30" s="1194"/>
      <c r="C30" s="1194">
        <v>0</v>
      </c>
      <c r="D30" s="1178"/>
      <c r="E30" s="1178"/>
      <c r="F30" s="1178"/>
      <c r="G30" s="1178"/>
      <c r="H30" s="1178"/>
      <c r="I30" s="1178"/>
    </row>
    <row r="31" spans="1:9">
      <c r="A31" s="1191" t="s">
        <v>94</v>
      </c>
      <c r="B31" s="1190"/>
      <c r="C31" s="1190">
        <v>0</v>
      </c>
      <c r="D31" s="1178"/>
      <c r="E31" s="1178"/>
      <c r="F31" s="1178"/>
      <c r="G31" s="1178"/>
      <c r="H31" s="1178"/>
      <c r="I31" s="1178"/>
    </row>
    <row r="32" spans="1:9">
      <c r="A32" s="1191" t="s">
        <v>95</v>
      </c>
      <c r="B32" s="1190"/>
      <c r="C32" s="1190">
        <v>0</v>
      </c>
      <c r="D32" s="1178"/>
      <c r="E32" s="1178"/>
      <c r="F32" s="1178"/>
      <c r="G32" s="1178"/>
      <c r="H32" s="1178"/>
      <c r="I32" s="1178"/>
    </row>
    <row r="33" spans="1:9">
      <c r="A33" s="1193" t="s">
        <v>96</v>
      </c>
      <c r="B33" s="1194"/>
      <c r="C33" s="1194">
        <v>0</v>
      </c>
      <c r="D33" s="1178"/>
      <c r="E33" s="1178"/>
      <c r="F33" s="1178"/>
      <c r="G33" s="1178"/>
      <c r="H33" s="1178"/>
      <c r="I33" s="1178"/>
    </row>
    <row r="34" spans="1:9">
      <c r="A34" s="1191" t="s">
        <v>97</v>
      </c>
      <c r="B34" s="1190"/>
      <c r="C34" s="1190"/>
      <c r="D34" s="1178"/>
      <c r="E34" s="1178"/>
      <c r="F34" s="1178"/>
      <c r="G34" s="1178"/>
      <c r="H34" s="1178"/>
      <c r="I34" s="1178"/>
    </row>
    <row r="35" spans="1:9">
      <c r="A35" s="1191" t="s">
        <v>457</v>
      </c>
      <c r="B35" s="1190"/>
      <c r="C35" s="1190"/>
      <c r="D35" s="1178"/>
      <c r="E35" s="1178"/>
      <c r="F35" s="1178"/>
      <c r="G35" s="1178"/>
      <c r="H35" s="1178"/>
      <c r="I35" s="1178"/>
    </row>
    <row r="36" spans="1:9">
      <c r="A36" s="1193" t="s">
        <v>98</v>
      </c>
      <c r="B36" s="1194"/>
      <c r="C36" s="1194">
        <v>0</v>
      </c>
      <c r="D36" s="1178"/>
      <c r="E36" s="1178"/>
      <c r="F36" s="1178"/>
      <c r="G36" s="1178"/>
      <c r="H36" s="1178"/>
      <c r="I36" s="1178"/>
    </row>
    <row r="37" spans="1:9">
      <c r="A37" s="1191" t="s">
        <v>99</v>
      </c>
      <c r="B37" s="1190"/>
      <c r="C37" s="1190">
        <v>0</v>
      </c>
      <c r="D37" s="1178"/>
      <c r="E37" s="1178"/>
      <c r="F37" s="1178"/>
      <c r="G37" s="1178"/>
      <c r="H37" s="1178"/>
      <c r="I37" s="1178"/>
    </row>
    <row r="38" spans="1:9">
      <c r="A38" s="1191" t="s">
        <v>463</v>
      </c>
      <c r="B38" s="1190"/>
      <c r="C38" s="1190">
        <v>0</v>
      </c>
      <c r="D38" s="1178"/>
      <c r="E38" s="1178"/>
      <c r="F38" s="1178"/>
      <c r="G38" s="1178"/>
      <c r="H38" s="1178"/>
      <c r="I38" s="1178"/>
    </row>
    <row r="39" spans="1:9">
      <c r="A39" s="1193" t="s">
        <v>86</v>
      </c>
      <c r="B39" s="1194"/>
      <c r="C39" s="1194">
        <v>0</v>
      </c>
      <c r="D39" s="1178"/>
      <c r="E39" s="1178"/>
      <c r="F39" s="1178"/>
      <c r="G39" s="1178"/>
      <c r="H39" s="1178"/>
      <c r="I39" s="1178"/>
    </row>
    <row r="40" spans="1:9">
      <c r="A40" s="1191" t="s">
        <v>100</v>
      </c>
      <c r="B40" s="1190"/>
      <c r="C40" s="1190">
        <v>0</v>
      </c>
      <c r="D40" s="1178"/>
      <c r="E40" s="1178"/>
      <c r="F40" s="1178"/>
      <c r="G40" s="1178"/>
      <c r="H40" s="1178"/>
      <c r="I40" s="1178"/>
    </row>
    <row r="41" spans="1:9">
      <c r="A41" s="1191" t="s">
        <v>101</v>
      </c>
      <c r="B41" s="1190"/>
      <c r="C41" s="1190">
        <v>73323</v>
      </c>
      <c r="D41" s="1178" t="s">
        <v>1073</v>
      </c>
      <c r="E41" s="1178"/>
      <c r="F41" s="1178"/>
      <c r="G41" s="1178"/>
      <c r="H41" s="1178"/>
      <c r="I41" s="1178"/>
    </row>
    <row r="42" spans="1:9">
      <c r="A42" s="1193" t="s">
        <v>102</v>
      </c>
      <c r="B42" s="1194"/>
      <c r="C42" s="1194">
        <v>0</v>
      </c>
      <c r="D42" s="1178"/>
      <c r="E42" s="1178"/>
      <c r="F42" s="1178"/>
      <c r="G42" s="1178"/>
      <c r="H42" s="1178"/>
      <c r="I42" s="1178"/>
    </row>
    <row r="43" spans="1:9">
      <c r="A43" s="1191" t="s">
        <v>103</v>
      </c>
      <c r="B43" s="1190"/>
      <c r="C43" s="1190">
        <v>0</v>
      </c>
      <c r="D43" s="1178"/>
      <c r="E43" s="1178"/>
      <c r="F43" s="1178"/>
      <c r="G43" s="1178"/>
      <c r="H43" s="1178"/>
      <c r="I43" s="1178"/>
    </row>
    <row r="44" spans="1:9">
      <c r="A44" s="1191" t="s">
        <v>458</v>
      </c>
      <c r="B44" s="1190"/>
      <c r="C44" s="1190">
        <v>0</v>
      </c>
      <c r="D44" s="1178"/>
      <c r="E44" s="1178"/>
      <c r="F44" s="1178"/>
      <c r="G44" s="1178"/>
      <c r="H44" s="1178"/>
      <c r="I44" s="1178"/>
    </row>
    <row r="45" spans="1:9">
      <c r="A45" s="1198" t="s">
        <v>951</v>
      </c>
      <c r="B45" s="1194"/>
      <c r="C45" s="1194">
        <v>0</v>
      </c>
      <c r="D45" s="1178"/>
      <c r="E45" s="1178"/>
      <c r="F45" s="1178"/>
      <c r="G45" s="1178"/>
      <c r="H45" s="1178"/>
      <c r="I45" s="1178"/>
    </row>
    <row r="46" spans="1:9">
      <c r="A46" s="1191" t="s">
        <v>460</v>
      </c>
      <c r="B46" s="1190"/>
      <c r="C46" s="1190">
        <v>0</v>
      </c>
      <c r="D46" s="1178"/>
      <c r="E46" s="1178"/>
      <c r="F46" s="1178"/>
      <c r="G46" s="1178"/>
      <c r="H46" s="1178"/>
      <c r="I46" s="1178"/>
    </row>
    <row r="47" spans="1:9">
      <c r="A47" s="1191" t="s">
        <v>105</v>
      </c>
      <c r="B47" s="1190">
        <f>SUM(B29:B46)</f>
        <v>0</v>
      </c>
      <c r="C47" s="1190">
        <v>0</v>
      </c>
      <c r="D47" s="1178"/>
      <c r="E47" s="1178"/>
      <c r="F47" s="1178"/>
      <c r="G47" s="1178"/>
      <c r="H47" s="1178"/>
      <c r="I47" s="1178"/>
    </row>
    <row r="48" spans="1:9">
      <c r="A48" s="1199" t="s">
        <v>106</v>
      </c>
      <c r="B48" s="1200"/>
      <c r="C48" s="1200">
        <v>70448</v>
      </c>
      <c r="D48" s="1178"/>
      <c r="E48" s="1178"/>
      <c r="F48" s="1178"/>
      <c r="G48" s="1178"/>
      <c r="H48" s="1178"/>
      <c r="I48" s="1178"/>
    </row>
    <row r="49" spans="1:9" ht="16.5" thickBot="1">
      <c r="A49" s="1195" t="s">
        <v>107</v>
      </c>
      <c r="B49" s="1201"/>
      <c r="C49" s="1201">
        <v>16957163</v>
      </c>
      <c r="D49" s="1178"/>
      <c r="E49" s="1178"/>
      <c r="F49" s="1178"/>
      <c r="G49" s="1178"/>
      <c r="H49" s="1178"/>
      <c r="I49" s="1178"/>
    </row>
    <row r="50" spans="1:9" ht="16.5" thickTop="1">
      <c r="A50" s="1178"/>
      <c r="B50" s="1178"/>
      <c r="C50" s="1178"/>
      <c r="D50" s="1178"/>
      <c r="E50" s="1178"/>
      <c r="F50" s="1178"/>
      <c r="G50" s="1178"/>
      <c r="H50" s="1178"/>
      <c r="I50" s="1178"/>
    </row>
  </sheetData>
  <pageMargins left="0.75" right="0.75" top="1" bottom="1" header="0.5" footer="0.5"/>
  <pageSetup orientation="portrait" horizontalDpi="4294967292" verticalDpi="429496729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83"/>
  <sheetViews>
    <sheetView workbookViewId="0">
      <selection activeCell="E10" sqref="E10"/>
    </sheetView>
  </sheetViews>
  <sheetFormatPr defaultColWidth="11" defaultRowHeight="15.75"/>
  <cols>
    <col min="1" max="1" width="36.875" customWidth="1"/>
    <col min="2" max="2" width="14.125" customWidth="1"/>
    <col min="3" max="3" width="15.5" customWidth="1"/>
    <col min="4" max="4" width="14.375" customWidth="1"/>
    <col min="5" max="5" width="13.875" customWidth="1"/>
    <col min="6" max="6" width="12.5" customWidth="1"/>
    <col min="8" max="8" width="13.625" bestFit="1" customWidth="1"/>
    <col min="9" max="9" width="5.875" customWidth="1"/>
    <col min="10" max="10" width="33.375" customWidth="1"/>
    <col min="11" max="12" width="13.625" customWidth="1"/>
    <col min="13" max="13" width="12.5" customWidth="1"/>
    <col min="15" max="15" width="13.625" customWidth="1"/>
  </cols>
  <sheetData>
    <row r="1" spans="1:16">
      <c r="A1" s="10" t="s">
        <v>1623</v>
      </c>
      <c r="J1" s="10" t="s">
        <v>740</v>
      </c>
    </row>
    <row r="2" spans="1:16">
      <c r="J2" t="s">
        <v>871</v>
      </c>
    </row>
    <row r="3" spans="1:16">
      <c r="C3" s="1013"/>
    </row>
    <row r="4" spans="1:16" ht="51">
      <c r="A4" s="1070" t="s">
        <v>69</v>
      </c>
      <c r="B4" s="1071" t="s">
        <v>914</v>
      </c>
      <c r="C4" s="1071" t="s">
        <v>915</v>
      </c>
      <c r="D4" s="1071" t="s">
        <v>916</v>
      </c>
      <c r="E4" s="1071" t="s">
        <v>917</v>
      </c>
      <c r="F4" s="1071" t="s">
        <v>918</v>
      </c>
      <c r="G4" s="1071" t="s">
        <v>919</v>
      </c>
      <c r="J4" s="1070" t="s">
        <v>69</v>
      </c>
      <c r="K4" s="1071" t="s">
        <v>914</v>
      </c>
      <c r="L4" s="1071" t="s">
        <v>915</v>
      </c>
      <c r="M4" s="1071" t="s">
        <v>916</v>
      </c>
      <c r="N4" s="1071" t="s">
        <v>917</v>
      </c>
      <c r="O4" s="1071" t="s">
        <v>918</v>
      </c>
      <c r="P4" s="1071"/>
    </row>
    <row r="5" spans="1:16">
      <c r="A5" s="150" t="s">
        <v>71</v>
      </c>
      <c r="B5" s="396"/>
      <c r="C5" s="396"/>
      <c r="D5" s="396"/>
      <c r="E5" s="396"/>
      <c r="F5" s="396"/>
      <c r="G5" s="396"/>
      <c r="J5" s="150" t="s">
        <v>71</v>
      </c>
      <c r="K5" s="396"/>
      <c r="L5" s="396"/>
      <c r="M5" s="396"/>
      <c r="N5" s="396"/>
      <c r="O5" s="396"/>
      <c r="P5" s="396"/>
    </row>
    <row r="6" spans="1:16">
      <c r="A6" s="167"/>
      <c r="B6" s="219"/>
      <c r="C6" s="219"/>
      <c r="D6" s="219"/>
      <c r="E6" s="219"/>
      <c r="F6" s="219"/>
      <c r="G6" s="219"/>
      <c r="J6" s="167"/>
      <c r="K6" s="219"/>
      <c r="L6" s="219"/>
      <c r="M6" s="219"/>
      <c r="N6" s="219"/>
      <c r="O6" s="219"/>
      <c r="P6" s="219"/>
    </row>
    <row r="7" spans="1:16">
      <c r="A7" s="1072" t="s">
        <v>72</v>
      </c>
      <c r="B7" s="219"/>
      <c r="C7" s="219"/>
      <c r="D7" s="219"/>
      <c r="E7" s="219"/>
      <c r="F7" s="219"/>
      <c r="G7" s="219"/>
      <c r="J7" s="1072" t="s">
        <v>72</v>
      </c>
      <c r="K7" s="219"/>
      <c r="L7" s="219"/>
      <c r="M7" s="219"/>
      <c r="N7" s="219"/>
      <c r="O7" s="219"/>
      <c r="P7" s="219"/>
    </row>
    <row r="8" spans="1:16" ht="15.95" customHeight="1">
      <c r="A8" s="1072" t="s">
        <v>72</v>
      </c>
      <c r="B8" s="219"/>
      <c r="C8" s="219"/>
      <c r="D8" s="219"/>
      <c r="E8" s="219"/>
      <c r="F8" s="219"/>
      <c r="G8" s="219"/>
      <c r="H8" s="1069"/>
      <c r="J8" s="1072" t="s">
        <v>72</v>
      </c>
      <c r="K8" s="219"/>
      <c r="L8" s="219"/>
      <c r="M8" s="219"/>
      <c r="N8" s="219"/>
      <c r="O8" s="219"/>
      <c r="P8" s="219"/>
    </row>
    <row r="9" spans="1:16">
      <c r="A9" s="179" t="s">
        <v>73</v>
      </c>
      <c r="B9" s="993"/>
      <c r="C9" s="993"/>
      <c r="D9" s="993"/>
      <c r="E9" s="993"/>
      <c r="F9" s="993"/>
      <c r="G9" s="993"/>
      <c r="H9" s="1069"/>
      <c r="J9" s="179" t="s">
        <v>73</v>
      </c>
      <c r="K9" s="993"/>
      <c r="L9" s="993"/>
      <c r="M9" s="993"/>
      <c r="N9" s="993"/>
      <c r="O9" s="993"/>
      <c r="P9" s="993"/>
    </row>
    <row r="10" spans="1:16">
      <c r="A10" s="178" t="s">
        <v>74</v>
      </c>
      <c r="B10" s="397">
        <f>'Differential Tuition History'!E7</f>
        <v>2130420</v>
      </c>
      <c r="C10" s="397">
        <f>'Differential Tuition History'!E24</f>
        <v>1134414.6666666667</v>
      </c>
      <c r="D10" s="397">
        <f>-0.1*B10-0.04*C10</f>
        <v>-258418.58666666667</v>
      </c>
      <c r="E10" s="397">
        <f>-0.07*B10-0.06*54*G10</f>
        <v>-163768.20600000003</v>
      </c>
      <c r="F10" s="397">
        <f>SUM(B10:E10)</f>
        <v>2842647.8739999998</v>
      </c>
      <c r="G10" s="56">
        <f>4303*1.05</f>
        <v>4518.1500000000005</v>
      </c>
      <c r="H10" s="1088"/>
      <c r="J10" s="178" t="s">
        <v>74</v>
      </c>
      <c r="K10" s="397">
        <v>826410</v>
      </c>
      <c r="L10" s="397">
        <v>280096</v>
      </c>
      <c r="M10" s="397">
        <f>-0.1*K10-0.04*L10</f>
        <v>-93844.84</v>
      </c>
      <c r="N10" s="397">
        <f>-0.07*K10-0.06*L10</f>
        <v>-74654.460000000006</v>
      </c>
      <c r="O10" s="397">
        <f>SUM(K10:N10)</f>
        <v>938006.70000000007</v>
      </c>
      <c r="P10" s="56"/>
    </row>
    <row r="11" spans="1:16">
      <c r="A11" s="178" t="s">
        <v>75</v>
      </c>
      <c r="B11" s="397">
        <f>'Differential Tuition History'!E8</f>
        <v>9196450.333333334</v>
      </c>
      <c r="C11" s="397">
        <f>'Differential Tuition History'!E25</f>
        <v>1904815</v>
      </c>
      <c r="D11" s="397">
        <f>-0.1*B11-0.04*C11</f>
        <v>-995837.63333333342</v>
      </c>
      <c r="E11" s="397">
        <f>-0.07*B11-0.06*C11</f>
        <v>-758040.42333333346</v>
      </c>
      <c r="F11" s="397">
        <f>SUM(B11:E11)</f>
        <v>9347387.2766666673</v>
      </c>
      <c r="G11" s="56"/>
      <c r="H11" s="1088"/>
      <c r="J11" s="178" t="s">
        <v>75</v>
      </c>
      <c r="K11" s="397">
        <f>5355514+1432263+1143365</f>
        <v>7931142</v>
      </c>
      <c r="L11" s="397">
        <v>67479</v>
      </c>
      <c r="M11" s="397">
        <f>-0.1*K11-0.04*L11</f>
        <v>-795813.3600000001</v>
      </c>
      <c r="N11" s="397">
        <f>-0.07*K11-0.06*L11</f>
        <v>-559228.68000000005</v>
      </c>
      <c r="O11" s="397">
        <f>SUM(K11:N11)</f>
        <v>6643578.96</v>
      </c>
      <c r="P11" s="56"/>
    </row>
    <row r="12" spans="1:16">
      <c r="A12" s="179" t="s">
        <v>76</v>
      </c>
      <c r="B12" s="396">
        <f>'Differential Tuition History'!E9</f>
        <v>129190</v>
      </c>
      <c r="C12" s="396">
        <f>'Differential Tuition History'!E26</f>
        <v>0</v>
      </c>
      <c r="D12" s="396">
        <f>-0.1*B12-0.04*C12</f>
        <v>-12919</v>
      </c>
      <c r="E12" s="396">
        <f>-0.07*B12-0.06*C12</f>
        <v>-9043.3000000000011</v>
      </c>
      <c r="F12" s="396">
        <f>SUM(B12:E12)</f>
        <v>107227.7</v>
      </c>
      <c r="G12" s="998"/>
      <c r="H12" s="1087"/>
      <c r="J12" s="179" t="s">
        <v>76</v>
      </c>
      <c r="K12" s="396"/>
      <c r="L12" s="396"/>
      <c r="M12" s="396">
        <f>-0.1*K12-0.04*L12</f>
        <v>0</v>
      </c>
      <c r="N12" s="396">
        <f>-0.07*K12-0.06*L12</f>
        <v>0</v>
      </c>
      <c r="O12" s="396">
        <f>SUM(K12:N12)</f>
        <v>0</v>
      </c>
      <c r="P12" s="998"/>
    </row>
    <row r="13" spans="1:16">
      <c r="A13" s="178" t="s">
        <v>77</v>
      </c>
      <c r="B13" s="397">
        <f>'Differential Tuition History'!E10</f>
        <v>0</v>
      </c>
      <c r="C13" s="397">
        <f>'Differential Tuition History'!E27</f>
        <v>0</v>
      </c>
      <c r="D13" s="397">
        <f>-0.1*B13-0.04*C13</f>
        <v>0</v>
      </c>
      <c r="E13" s="397">
        <f>-0.07*B13-0.06*C13</f>
        <v>0</v>
      </c>
      <c r="F13" s="397">
        <f>SUM(B13:E13)</f>
        <v>0</v>
      </c>
      <c r="G13" s="56"/>
      <c r="H13" s="1069"/>
      <c r="J13" s="178" t="s">
        <v>77</v>
      </c>
      <c r="K13" s="397"/>
      <c r="L13" s="397">
        <v>18610</v>
      </c>
      <c r="M13" s="397">
        <f>-0.1*K13-0.04*L13</f>
        <v>-744.4</v>
      </c>
      <c r="N13" s="397">
        <f>-0.07*K13-0.06*L13</f>
        <v>-1116.5999999999999</v>
      </c>
      <c r="O13" s="397">
        <f>SUM(K13:N13)</f>
        <v>16749</v>
      </c>
      <c r="P13" s="56"/>
    </row>
    <row r="14" spans="1:16">
      <c r="A14" s="178" t="s">
        <v>78</v>
      </c>
      <c r="B14" s="219">
        <f>'Differential Tuition History'!E11</f>
        <v>0</v>
      </c>
      <c r="C14" s="219">
        <f>'Differential Tuition History'!E28</f>
        <v>0</v>
      </c>
      <c r="D14" s="219"/>
      <c r="E14" s="219"/>
      <c r="F14" s="219"/>
      <c r="G14" s="194"/>
      <c r="H14" s="1069"/>
      <c r="J14" s="178" t="s">
        <v>78</v>
      </c>
      <c r="K14" s="219"/>
      <c r="L14" s="219">
        <v>880691</v>
      </c>
      <c r="M14" s="219">
        <f>-0.1*K14-0.04*L14</f>
        <v>-35227.64</v>
      </c>
      <c r="N14" s="219">
        <f>-0.07*K14-0.06*L14</f>
        <v>-52841.46</v>
      </c>
      <c r="O14" s="219">
        <f>SUM(K14:N14)</f>
        <v>792621.9</v>
      </c>
      <c r="P14" s="194"/>
    </row>
    <row r="15" spans="1:16">
      <c r="A15" s="179" t="s">
        <v>79</v>
      </c>
      <c r="B15" s="396">
        <f>'Differential Tuition History'!E12</f>
        <v>0</v>
      </c>
      <c r="C15" s="396">
        <f>'Differential Tuition History'!E29</f>
        <v>0</v>
      </c>
      <c r="D15" s="396"/>
      <c r="E15" s="396"/>
      <c r="F15" s="396"/>
      <c r="G15" s="998"/>
      <c r="H15" s="1069"/>
      <c r="J15" s="179" t="s">
        <v>79</v>
      </c>
      <c r="K15" s="396"/>
      <c r="L15" s="396"/>
      <c r="M15" s="396"/>
      <c r="N15" s="396"/>
      <c r="O15" s="396"/>
      <c r="P15" s="998"/>
    </row>
    <row r="16" spans="1:16">
      <c r="A16" s="178" t="s">
        <v>80</v>
      </c>
      <c r="B16" s="389">
        <f>'Differential Tuition History'!E13</f>
        <v>0</v>
      </c>
      <c r="C16" s="389">
        <f>'Differential Tuition History'!E30</f>
        <v>0</v>
      </c>
      <c r="D16" s="389"/>
      <c r="E16" s="389"/>
      <c r="F16" s="389"/>
      <c r="G16" s="194"/>
      <c r="H16" s="1069"/>
      <c r="J16" s="178" t="s">
        <v>80</v>
      </c>
      <c r="K16" s="389"/>
      <c r="L16" s="389"/>
      <c r="M16" s="389"/>
      <c r="N16" s="389"/>
      <c r="O16" s="389"/>
      <c r="P16" s="194"/>
    </row>
    <row r="17" spans="1:16">
      <c r="A17" s="178" t="s">
        <v>81</v>
      </c>
      <c r="B17" s="219">
        <f>'Differential Tuition History'!E14</f>
        <v>0</v>
      </c>
      <c r="C17" s="219">
        <f>'Differential Tuition History'!E31</f>
        <v>4298526.333333333</v>
      </c>
      <c r="D17" s="219">
        <f>-0.1*B17-0.04*C17</f>
        <v>-171941.05333333332</v>
      </c>
      <c r="E17" s="219">
        <f>-0.07*B17-0.06*54*G17</f>
        <v>-57843.719999999994</v>
      </c>
      <c r="F17" s="219">
        <f>SUM(B17:E17)</f>
        <v>4068741.5599999996</v>
      </c>
      <c r="G17" s="194">
        <v>17853</v>
      </c>
      <c r="H17" s="1069"/>
      <c r="J17" s="178" t="s">
        <v>81</v>
      </c>
      <c r="K17" s="219"/>
      <c r="L17" s="219"/>
      <c r="M17" s="219">
        <f>-0.1*K17-0.04*L17</f>
        <v>0</v>
      </c>
      <c r="N17" s="219">
        <f>-0.07*K17-0.06*54*P17</f>
        <v>0</v>
      </c>
      <c r="O17" s="219">
        <f>SUM(K17:N17)</f>
        <v>0</v>
      </c>
      <c r="P17" s="194"/>
    </row>
    <row r="18" spans="1:16">
      <c r="A18" s="179" t="s">
        <v>82</v>
      </c>
      <c r="B18" s="396">
        <f>'Differential Tuition History'!E15</f>
        <v>0</v>
      </c>
      <c r="C18" s="396">
        <f>'Differential Tuition History'!E32</f>
        <v>0</v>
      </c>
      <c r="D18" s="396"/>
      <c r="E18" s="396"/>
      <c r="F18" s="396"/>
      <c r="G18" s="998"/>
      <c r="H18" s="1069"/>
      <c r="J18" s="179" t="s">
        <v>82</v>
      </c>
      <c r="K18" s="396"/>
      <c r="L18" s="396">
        <v>8926</v>
      </c>
      <c r="M18" s="396"/>
      <c r="N18" s="396"/>
      <c r="O18" s="396"/>
      <c r="P18" s="998"/>
    </row>
    <row r="19" spans="1:16">
      <c r="A19" s="178" t="s">
        <v>83</v>
      </c>
      <c r="B19" s="219">
        <f>'Differential Tuition History'!E16</f>
        <v>0</v>
      </c>
      <c r="C19" s="219">
        <f>'Differential Tuition History'!E33</f>
        <v>3157246.3333333335</v>
      </c>
      <c r="D19" s="219">
        <f>-0.1*B19-0.04*C19</f>
        <v>-126289.85333333335</v>
      </c>
      <c r="E19" s="219">
        <f>-0.07*B19-0.06*54*G19</f>
        <v>-44711.999999999993</v>
      </c>
      <c r="F19" s="219">
        <f>SUM(B19:E19)</f>
        <v>2986244.48</v>
      </c>
      <c r="G19" s="194">
        <f>12000*1.15</f>
        <v>13799.999999999998</v>
      </c>
      <c r="J19" s="178" t="s">
        <v>83</v>
      </c>
      <c r="K19" s="219"/>
      <c r="L19" s="219"/>
      <c r="M19" s="219">
        <f>-0.1*K19-0.04*L19</f>
        <v>0</v>
      </c>
      <c r="N19" s="219">
        <f>-0.07*K19-0.06*54*P19</f>
        <v>0</v>
      </c>
      <c r="O19" s="219">
        <f>SUM(K19:N19)</f>
        <v>0</v>
      </c>
      <c r="P19" s="194"/>
    </row>
    <row r="20" spans="1:16">
      <c r="A20" s="178" t="s">
        <v>84</v>
      </c>
      <c r="B20" s="219">
        <f>'Differential Tuition History'!E17</f>
        <v>0</v>
      </c>
      <c r="C20" s="219">
        <f>'Differential Tuition History'!E34</f>
        <v>0</v>
      </c>
      <c r="D20" s="219"/>
      <c r="E20" s="219"/>
      <c r="F20" s="219"/>
      <c r="G20" s="194"/>
      <c r="J20" s="178" t="s">
        <v>84</v>
      </c>
      <c r="K20" s="219"/>
      <c r="L20" s="219"/>
      <c r="M20" s="219"/>
      <c r="N20" s="219"/>
      <c r="O20" s="219"/>
      <c r="P20" s="194"/>
    </row>
    <row r="21" spans="1:16">
      <c r="A21" s="179" t="s">
        <v>85</v>
      </c>
      <c r="B21" s="396">
        <f>'Differential Tuition History'!E18</f>
        <v>1734200</v>
      </c>
      <c r="C21" s="396">
        <f>'Differential Tuition History'!E35</f>
        <v>0</v>
      </c>
      <c r="D21" s="396">
        <f>-0.1*B21-0.04*C21</f>
        <v>-173420</v>
      </c>
      <c r="E21" s="396">
        <f>-0.07*B21-0.06*C21</f>
        <v>-121394.00000000001</v>
      </c>
      <c r="F21" s="396">
        <f>SUM(B21:E21)</f>
        <v>1439386</v>
      </c>
      <c r="G21" s="396"/>
      <c r="J21" s="179" t="s">
        <v>85</v>
      </c>
      <c r="K21" s="396"/>
      <c r="L21" s="396"/>
      <c r="M21" s="396">
        <f>-0.1*K21-0.04*L21</f>
        <v>0</v>
      </c>
      <c r="N21" s="396">
        <f>-0.07*K21-0.06*L21</f>
        <v>0</v>
      </c>
      <c r="O21" s="396">
        <f>SUM(K21:N21)</f>
        <v>0</v>
      </c>
      <c r="P21" s="396"/>
    </row>
    <row r="22" spans="1:16">
      <c r="A22" s="178" t="s">
        <v>87</v>
      </c>
      <c r="B22" s="219">
        <f>'Differential Tuition History'!E19</f>
        <v>0</v>
      </c>
      <c r="C22" s="219"/>
      <c r="D22" s="219"/>
      <c r="E22" s="219"/>
      <c r="F22" s="219"/>
      <c r="G22" s="219"/>
      <c r="J22" s="178" t="s">
        <v>87</v>
      </c>
      <c r="K22" s="219"/>
      <c r="L22" s="219"/>
      <c r="M22" s="219"/>
      <c r="N22" s="219"/>
      <c r="O22" s="219"/>
      <c r="P22" s="219"/>
    </row>
    <row r="23" spans="1:16">
      <c r="A23" s="178" t="s">
        <v>88</v>
      </c>
      <c r="B23" s="219"/>
      <c r="C23" s="219"/>
      <c r="D23" s="219"/>
      <c r="E23" s="219"/>
      <c r="F23" s="219"/>
      <c r="G23" s="219"/>
      <c r="J23" s="178" t="s">
        <v>88</v>
      </c>
      <c r="K23" s="219"/>
      <c r="L23" s="219"/>
      <c r="M23" s="219"/>
      <c r="N23" s="219"/>
      <c r="O23" s="219"/>
      <c r="P23" s="219"/>
    </row>
    <row r="24" spans="1:16">
      <c r="A24" s="368" t="s">
        <v>461</v>
      </c>
      <c r="B24" s="396">
        <f>'Differential Tuition History'!E21</f>
        <v>0</v>
      </c>
      <c r="C24" s="396"/>
      <c r="D24" s="396"/>
      <c r="E24" s="396"/>
      <c r="F24" s="396"/>
      <c r="G24" s="396"/>
      <c r="J24" s="368" t="s">
        <v>461</v>
      </c>
      <c r="K24" s="396"/>
      <c r="L24" s="396"/>
      <c r="M24" s="396"/>
      <c r="N24" s="396"/>
      <c r="O24" s="396"/>
      <c r="P24" s="396"/>
    </row>
    <row r="25" spans="1:16">
      <c r="A25" s="367" t="s">
        <v>462</v>
      </c>
      <c r="B25" s="219">
        <f>'Differential Tuition History'!E22</f>
        <v>0</v>
      </c>
      <c r="C25" s="219"/>
      <c r="D25" s="219"/>
      <c r="E25" s="219"/>
      <c r="F25" s="219"/>
      <c r="G25" s="219"/>
      <c r="J25" s="367" t="s">
        <v>462</v>
      </c>
      <c r="K25" s="219"/>
      <c r="L25" s="219"/>
      <c r="M25" s="219"/>
      <c r="N25" s="219"/>
      <c r="O25" s="219"/>
      <c r="P25" s="219"/>
    </row>
    <row r="26" spans="1:16">
      <c r="A26" s="178" t="s">
        <v>89</v>
      </c>
      <c r="B26" s="219">
        <f>'Differential Tuition History'!E23</f>
        <v>0</v>
      </c>
      <c r="C26" s="219"/>
      <c r="D26" s="219"/>
      <c r="E26" s="219"/>
      <c r="F26" s="219"/>
      <c r="G26" s="219"/>
      <c r="J26" s="178" t="s">
        <v>89</v>
      </c>
      <c r="K26" s="219"/>
      <c r="L26" s="219"/>
      <c r="M26" s="219"/>
      <c r="N26" s="219"/>
      <c r="O26" s="219"/>
      <c r="P26" s="219"/>
    </row>
    <row r="27" spans="1:16">
      <c r="A27" s="368" t="s">
        <v>90</v>
      </c>
      <c r="B27" s="396"/>
      <c r="C27" s="396"/>
      <c r="D27" s="396"/>
      <c r="E27" s="396"/>
      <c r="F27" s="396"/>
      <c r="G27" s="396"/>
      <c r="J27" s="368" t="s">
        <v>90</v>
      </c>
      <c r="K27" s="396"/>
      <c r="L27" s="396"/>
      <c r="M27" s="396"/>
      <c r="N27" s="396"/>
      <c r="O27" s="396"/>
      <c r="P27" s="396"/>
    </row>
    <row r="28" spans="1:16">
      <c r="A28" s="375" t="s">
        <v>91</v>
      </c>
      <c r="B28" s="398">
        <f>SUM(B9:B27)</f>
        <v>13190260.333333334</v>
      </c>
      <c r="C28" s="398">
        <f>SUM(C9:C27)</f>
        <v>10495002.333333334</v>
      </c>
      <c r="D28" s="398">
        <f>SUM(D9:D27)</f>
        <v>-1738826.1266666667</v>
      </c>
      <c r="E28" s="398">
        <f>SUM(E9:E27)</f>
        <v>-1154801.6493333336</v>
      </c>
      <c r="F28" s="398">
        <f>SUM(F9:F27)</f>
        <v>20791634.890666667</v>
      </c>
      <c r="G28" s="398"/>
      <c r="J28" s="375" t="s">
        <v>91</v>
      </c>
      <c r="K28" s="398">
        <f>SUM(K9:K27)</f>
        <v>8757552</v>
      </c>
      <c r="L28" s="398">
        <f>SUM(L9:L27)</f>
        <v>1255802</v>
      </c>
      <c r="M28" s="398">
        <f>SUM(M9:M27)</f>
        <v>-925630.24000000011</v>
      </c>
      <c r="N28" s="398">
        <f>SUM(N9:N27)</f>
        <v>-687841.2</v>
      </c>
      <c r="O28" s="398">
        <f>SUM(O9:O27)</f>
        <v>8390956.5600000005</v>
      </c>
      <c r="P28" s="398"/>
    </row>
    <row r="29" spans="1:16">
      <c r="A29" s="178"/>
      <c r="B29" s="219"/>
      <c r="C29" s="219"/>
      <c r="D29" s="219"/>
      <c r="E29" s="219"/>
      <c r="F29" s="219"/>
      <c r="G29" s="219"/>
      <c r="J29" s="178"/>
      <c r="K29" s="219"/>
      <c r="L29" s="219"/>
      <c r="M29" s="219"/>
      <c r="N29" s="219"/>
      <c r="O29" s="219"/>
      <c r="P29" s="219"/>
    </row>
    <row r="30" spans="1:16">
      <c r="A30" s="168"/>
      <c r="B30" s="219"/>
      <c r="C30" s="219"/>
      <c r="D30" s="219"/>
      <c r="E30" s="219"/>
      <c r="F30" s="219"/>
      <c r="G30" s="219"/>
      <c r="J30" s="168"/>
      <c r="K30" s="219"/>
      <c r="L30" s="219"/>
      <c r="M30" s="219"/>
      <c r="N30" s="219"/>
      <c r="O30" s="219"/>
      <c r="P30" s="219"/>
    </row>
    <row r="31" spans="1:16">
      <c r="A31" s="178" t="s">
        <v>92</v>
      </c>
      <c r="B31" s="219"/>
      <c r="C31" s="219"/>
      <c r="D31" s="219"/>
      <c r="E31" s="219"/>
      <c r="F31" s="219"/>
      <c r="G31" s="219"/>
      <c r="J31" s="178" t="s">
        <v>92</v>
      </c>
      <c r="K31" s="219"/>
      <c r="L31" s="219"/>
      <c r="M31" s="219"/>
      <c r="N31" s="219"/>
      <c r="O31" s="219"/>
      <c r="P31" s="219"/>
    </row>
    <row r="32" spans="1:16">
      <c r="A32" s="179" t="s">
        <v>93</v>
      </c>
      <c r="B32" s="179"/>
      <c r="C32" s="179"/>
      <c r="D32" s="179"/>
      <c r="E32" s="179"/>
      <c r="F32" s="179"/>
      <c r="G32" s="179"/>
      <c r="J32" s="179" t="s">
        <v>93</v>
      </c>
      <c r="K32" s="179"/>
      <c r="L32" s="179"/>
      <c r="M32" s="179"/>
      <c r="N32" s="179"/>
      <c r="O32" s="179"/>
      <c r="P32" s="179"/>
    </row>
    <row r="33" spans="1:16">
      <c r="A33" s="178" t="s">
        <v>94</v>
      </c>
      <c r="B33" s="178"/>
      <c r="C33" s="178"/>
      <c r="D33" s="178"/>
      <c r="E33" s="178"/>
      <c r="F33" s="178"/>
      <c r="G33" s="178"/>
      <c r="J33" s="178" t="s">
        <v>94</v>
      </c>
      <c r="K33" s="178"/>
      <c r="L33" s="178"/>
      <c r="M33" s="178"/>
      <c r="N33" s="178"/>
      <c r="O33" s="178"/>
      <c r="P33" s="178"/>
    </row>
    <row r="34" spans="1:16">
      <c r="A34" s="178" t="s">
        <v>95</v>
      </c>
      <c r="B34" s="178"/>
      <c r="C34" s="178"/>
      <c r="D34" s="178"/>
      <c r="E34" s="178"/>
      <c r="F34" s="178"/>
      <c r="G34" s="178"/>
      <c r="J34" s="178" t="s">
        <v>95</v>
      </c>
      <c r="K34" s="178"/>
      <c r="L34" s="178"/>
      <c r="M34" s="178"/>
      <c r="N34" s="178"/>
      <c r="O34" s="178"/>
      <c r="P34" s="178"/>
    </row>
    <row r="35" spans="1:16">
      <c r="A35" s="179" t="s">
        <v>96</v>
      </c>
      <c r="B35" s="179"/>
      <c r="C35" s="179"/>
      <c r="D35" s="179"/>
      <c r="E35" s="179"/>
      <c r="F35" s="179"/>
      <c r="G35" s="179"/>
      <c r="J35" s="179" t="s">
        <v>96</v>
      </c>
      <c r="K35" s="179"/>
      <c r="L35" s="179"/>
      <c r="M35" s="179"/>
      <c r="N35" s="179"/>
      <c r="O35" s="179"/>
      <c r="P35" s="179"/>
    </row>
    <row r="36" spans="1:16">
      <c r="A36" s="178" t="s">
        <v>97</v>
      </c>
      <c r="B36" s="178"/>
      <c r="C36" s="178"/>
      <c r="D36" s="178"/>
      <c r="E36" s="178"/>
      <c r="F36" s="178"/>
      <c r="G36" s="178"/>
      <c r="J36" s="178" t="s">
        <v>97</v>
      </c>
      <c r="K36" s="178"/>
      <c r="L36" s="178"/>
      <c r="M36" s="178"/>
      <c r="N36" s="178"/>
      <c r="O36" s="178"/>
      <c r="P36" s="178"/>
    </row>
    <row r="37" spans="1:16">
      <c r="A37" s="367" t="s">
        <v>483</v>
      </c>
      <c r="B37" s="367"/>
      <c r="C37" s="367"/>
      <c r="D37" s="367"/>
      <c r="E37" s="367"/>
      <c r="F37" s="367"/>
      <c r="G37" s="367"/>
      <c r="J37" s="367" t="s">
        <v>483</v>
      </c>
      <c r="K37" s="367"/>
      <c r="L37" s="367"/>
      <c r="M37" s="367"/>
      <c r="N37" s="367"/>
      <c r="O37" s="367"/>
      <c r="P37" s="367"/>
    </row>
    <row r="38" spans="1:16">
      <c r="A38" s="178" t="s">
        <v>98</v>
      </c>
      <c r="B38" s="178"/>
      <c r="C38" s="178"/>
      <c r="D38" s="178"/>
      <c r="E38" s="178"/>
      <c r="F38" s="178"/>
      <c r="G38" s="178"/>
      <c r="J38" s="178" t="s">
        <v>98</v>
      </c>
      <c r="K38" s="178"/>
      <c r="L38" s="178"/>
      <c r="M38" s="178"/>
      <c r="N38" s="178"/>
      <c r="O38" s="178"/>
      <c r="P38" s="178"/>
    </row>
    <row r="39" spans="1:16">
      <c r="A39" s="179" t="s">
        <v>99</v>
      </c>
      <c r="B39" s="179"/>
      <c r="C39" s="179"/>
      <c r="D39" s="179"/>
      <c r="E39" s="179"/>
      <c r="F39" s="179"/>
      <c r="G39" s="179"/>
      <c r="J39" s="179" t="s">
        <v>99</v>
      </c>
      <c r="K39" s="179"/>
      <c r="L39" s="179"/>
      <c r="M39" s="179"/>
      <c r="N39" s="179"/>
      <c r="O39" s="179"/>
      <c r="P39" s="179"/>
    </row>
    <row r="40" spans="1:16">
      <c r="A40" s="178" t="s">
        <v>484</v>
      </c>
      <c r="B40" s="178"/>
      <c r="C40" s="178"/>
      <c r="D40" s="178"/>
      <c r="E40" s="178"/>
      <c r="F40" s="178"/>
      <c r="G40" s="178"/>
      <c r="J40" s="178" t="s">
        <v>484</v>
      </c>
      <c r="K40" s="178"/>
      <c r="L40" s="178"/>
      <c r="M40" s="178"/>
      <c r="N40" s="178"/>
      <c r="O40" s="178"/>
      <c r="P40" s="178"/>
    </row>
    <row r="41" spans="1:16">
      <c r="A41" s="54" t="s">
        <v>86</v>
      </c>
      <c r="B41" s="54"/>
      <c r="C41" s="54"/>
      <c r="D41" s="54"/>
      <c r="E41" s="54"/>
      <c r="F41" s="54"/>
      <c r="G41" s="54"/>
      <c r="J41" s="54" t="s">
        <v>86</v>
      </c>
      <c r="K41" s="54"/>
      <c r="L41" s="54"/>
      <c r="M41" s="54"/>
      <c r="N41" s="54"/>
      <c r="O41" s="54"/>
      <c r="P41" s="54"/>
    </row>
    <row r="42" spans="1:16">
      <c r="A42" s="368" t="s">
        <v>100</v>
      </c>
      <c r="B42" s="368"/>
      <c r="C42" s="368"/>
      <c r="D42" s="368"/>
      <c r="E42" s="368"/>
      <c r="F42" s="368"/>
      <c r="G42" s="368"/>
      <c r="J42" s="368" t="s">
        <v>100</v>
      </c>
      <c r="K42" s="368"/>
      <c r="L42" s="368"/>
      <c r="M42" s="368"/>
      <c r="N42" s="368"/>
      <c r="O42" s="368"/>
      <c r="P42" s="368"/>
    </row>
    <row r="43" spans="1:16">
      <c r="A43" s="178" t="s">
        <v>101</v>
      </c>
      <c r="B43" s="178"/>
      <c r="C43" s="178"/>
      <c r="D43" s="178"/>
      <c r="E43" s="178"/>
      <c r="F43" s="178"/>
      <c r="G43" s="178"/>
      <c r="J43" s="178" t="s">
        <v>101</v>
      </c>
      <c r="K43" s="178"/>
      <c r="L43" s="178"/>
      <c r="M43" s="178"/>
      <c r="N43" s="178"/>
      <c r="O43" s="178"/>
      <c r="P43" s="178"/>
    </row>
    <row r="44" spans="1:16">
      <c r="A44" s="178" t="s">
        <v>102</v>
      </c>
      <c r="B44" s="178"/>
      <c r="C44" s="178"/>
      <c r="D44" s="178"/>
      <c r="E44" s="178"/>
      <c r="F44" s="178"/>
      <c r="G44" s="178"/>
      <c r="J44" s="178" t="s">
        <v>102</v>
      </c>
      <c r="K44" s="178"/>
      <c r="L44" s="178"/>
      <c r="M44" s="178"/>
      <c r="N44" s="178"/>
      <c r="O44" s="178"/>
      <c r="P44" s="178"/>
    </row>
    <row r="45" spans="1:16">
      <c r="A45" s="368" t="s">
        <v>103</v>
      </c>
      <c r="B45" s="368"/>
      <c r="C45" s="368"/>
      <c r="D45" s="368"/>
      <c r="E45" s="368"/>
      <c r="F45" s="368"/>
      <c r="G45" s="368"/>
      <c r="J45" s="368" t="s">
        <v>103</v>
      </c>
      <c r="K45" s="368"/>
      <c r="L45" s="368"/>
      <c r="M45" s="368"/>
      <c r="N45" s="368"/>
      <c r="O45" s="368"/>
      <c r="P45" s="368"/>
    </row>
    <row r="46" spans="1:16">
      <c r="A46" s="178" t="s">
        <v>104</v>
      </c>
      <c r="B46" s="178"/>
      <c r="C46" s="178"/>
      <c r="D46" s="178"/>
      <c r="E46" s="178"/>
      <c r="F46" s="178"/>
      <c r="G46" s="178"/>
      <c r="J46" s="178" t="s">
        <v>104</v>
      </c>
      <c r="K46" s="178"/>
      <c r="L46" s="178"/>
      <c r="M46" s="178"/>
      <c r="N46" s="178"/>
      <c r="O46" s="178"/>
      <c r="P46" s="178"/>
    </row>
    <row r="47" spans="1:16">
      <c r="A47" s="178" t="s">
        <v>459</v>
      </c>
      <c r="B47" s="178"/>
      <c r="C47" s="178"/>
      <c r="D47" s="178"/>
      <c r="E47" s="178"/>
      <c r="F47" s="178"/>
      <c r="G47" s="178"/>
      <c r="J47" s="178" t="s">
        <v>459</v>
      </c>
      <c r="K47" s="178"/>
      <c r="L47" s="178"/>
      <c r="M47" s="178"/>
      <c r="N47" s="178"/>
      <c r="O47" s="178"/>
      <c r="P47" s="178"/>
    </row>
    <row r="48" spans="1:16">
      <c r="A48" s="386" t="s">
        <v>485</v>
      </c>
      <c r="B48" s="386"/>
      <c r="C48" s="386"/>
      <c r="D48" s="386"/>
      <c r="E48" s="386"/>
      <c r="F48" s="386"/>
      <c r="G48" s="386"/>
      <c r="J48" s="386" t="s">
        <v>485</v>
      </c>
      <c r="K48" s="386"/>
      <c r="L48" s="386"/>
      <c r="M48" s="386"/>
      <c r="N48" s="386"/>
      <c r="O48" s="386"/>
      <c r="P48" s="386"/>
    </row>
    <row r="49" spans="1:16">
      <c r="A49" s="178" t="s">
        <v>105</v>
      </c>
      <c r="B49" s="178"/>
      <c r="C49" s="178"/>
      <c r="D49" s="178"/>
      <c r="E49" s="178"/>
      <c r="F49" s="178"/>
      <c r="G49" s="178"/>
      <c r="J49" s="178" t="s">
        <v>105</v>
      </c>
      <c r="K49" s="178"/>
      <c r="L49" s="178"/>
      <c r="M49" s="178"/>
      <c r="N49" s="178"/>
      <c r="O49" s="178"/>
      <c r="P49" s="178"/>
    </row>
    <row r="50" spans="1:16">
      <c r="A50" s="375" t="s">
        <v>106</v>
      </c>
      <c r="B50" s="375">
        <v>0</v>
      </c>
      <c r="C50" s="375"/>
      <c r="D50" s="375">
        <v>0</v>
      </c>
      <c r="E50" s="375"/>
      <c r="F50" s="375">
        <v>0</v>
      </c>
      <c r="G50" s="375"/>
      <c r="J50" s="375" t="s">
        <v>106</v>
      </c>
      <c r="K50" s="375">
        <v>0</v>
      </c>
      <c r="L50" s="375"/>
      <c r="M50" s="375">
        <v>0</v>
      </c>
      <c r="N50" s="375"/>
      <c r="O50" s="375">
        <v>0</v>
      </c>
      <c r="P50" s="375"/>
    </row>
    <row r="51" spans="1:16">
      <c r="A51" s="377" t="s">
        <v>107</v>
      </c>
      <c r="B51" s="396">
        <f>B28</f>
        <v>13190260.333333334</v>
      </c>
      <c r="C51" s="396"/>
      <c r="D51" s="396">
        <f>D28</f>
        <v>-1738826.1266666667</v>
      </c>
      <c r="E51" s="396"/>
      <c r="F51" s="396">
        <f>F28</f>
        <v>20791634.890666667</v>
      </c>
      <c r="G51" s="396"/>
      <c r="J51" s="377" t="s">
        <v>107</v>
      </c>
      <c r="K51" s="396">
        <f>K28</f>
        <v>8757552</v>
      </c>
      <c r="L51" s="396"/>
      <c r="M51" s="396">
        <f>M28</f>
        <v>-925630.24000000011</v>
      </c>
      <c r="N51" s="396"/>
      <c r="O51" s="396">
        <f>O28</f>
        <v>8390956.5600000005</v>
      </c>
      <c r="P51" s="396"/>
    </row>
    <row r="73" spans="6:8">
      <c r="F73" s="1828" t="s">
        <v>496</v>
      </c>
      <c r="G73" s="1828"/>
      <c r="H73" s="1828"/>
    </row>
    <row r="74" spans="6:8">
      <c r="F74" s="1828"/>
      <c r="G74" s="1828"/>
      <c r="H74" s="1828"/>
    </row>
    <row r="75" spans="6:8">
      <c r="F75" s="1828"/>
      <c r="G75" s="1828"/>
      <c r="H75" s="1828"/>
    </row>
    <row r="76" spans="6:8">
      <c r="F76" s="1828"/>
      <c r="G76" s="1828"/>
      <c r="H76" s="1828"/>
    </row>
    <row r="77" spans="6:8">
      <c r="F77" s="1828"/>
      <c r="G77" s="1828"/>
      <c r="H77" s="1828"/>
    </row>
    <row r="78" spans="6:8">
      <c r="F78" s="1828"/>
      <c r="G78" s="1828"/>
      <c r="H78" s="1828"/>
    </row>
    <row r="79" spans="6:8">
      <c r="F79" s="1828"/>
      <c r="G79" s="1828"/>
      <c r="H79" s="1828"/>
    </row>
    <row r="80" spans="6:8">
      <c r="F80" s="1828"/>
      <c r="G80" s="1828"/>
      <c r="H80" s="1828"/>
    </row>
    <row r="81" spans="6:8">
      <c r="F81" s="1828"/>
      <c r="G81" s="1828"/>
      <c r="H81" s="1828"/>
    </row>
    <row r="82" spans="6:8">
      <c r="F82" s="1828"/>
      <c r="G82" s="1828"/>
      <c r="H82" s="1828"/>
    </row>
    <row r="83" spans="6:8">
      <c r="F83" s="1828"/>
      <c r="G83" s="1828"/>
      <c r="H83" s="1828"/>
    </row>
  </sheetData>
  <mergeCells count="1">
    <mergeCell ref="F73:H83"/>
  </mergeCells>
  <pageMargins left="0.75" right="0.75" top="1" bottom="1" header="0.5" footer="0.5"/>
  <pageSetup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Y45"/>
  <sheetViews>
    <sheetView workbookViewId="0">
      <selection activeCell="Y7" sqref="Y7:Y9"/>
    </sheetView>
  </sheetViews>
  <sheetFormatPr defaultColWidth="11" defaultRowHeight="15.75"/>
  <cols>
    <col min="1" max="1" width="37.125" customWidth="1"/>
    <col min="2" max="2" width="14" customWidth="1"/>
    <col min="3" max="3" width="13.875" customWidth="1"/>
    <col min="4" max="4" width="13.125" customWidth="1"/>
    <col min="5" max="5" width="14" customWidth="1"/>
    <col min="9" max="9" width="22.375" customWidth="1"/>
    <col min="10" max="17" width="12.875" customWidth="1"/>
    <col min="19" max="23" width="13" customWidth="1"/>
  </cols>
  <sheetData>
    <row r="1" spans="1:25">
      <c r="A1" t="s">
        <v>1510</v>
      </c>
      <c r="H1" t="s">
        <v>1746</v>
      </c>
    </row>
    <row r="2" spans="1:25">
      <c r="H2" t="s">
        <v>1747</v>
      </c>
    </row>
    <row r="4" spans="1:25">
      <c r="A4" s="220" t="s">
        <v>111</v>
      </c>
      <c r="B4" s="1116" t="s">
        <v>426</v>
      </c>
      <c r="C4" s="1116" t="s">
        <v>863</v>
      </c>
      <c r="D4" s="1116" t="s">
        <v>898</v>
      </c>
      <c r="E4" s="1116" t="s">
        <v>1305</v>
      </c>
      <c r="H4" s="226" t="s">
        <v>1729</v>
      </c>
      <c r="I4" s="226"/>
      <c r="J4" s="226"/>
      <c r="K4" s="226"/>
      <c r="L4" s="226"/>
      <c r="N4" s="226" t="s">
        <v>1730</v>
      </c>
      <c r="O4" s="226"/>
      <c r="P4" s="226"/>
      <c r="Q4" s="226"/>
      <c r="S4" s="220" t="s">
        <v>111</v>
      </c>
      <c r="T4" s="1116" t="s">
        <v>426</v>
      </c>
      <c r="U4" s="1116" t="s">
        <v>863</v>
      </c>
      <c r="V4" s="1116" t="s">
        <v>898</v>
      </c>
      <c r="W4" s="1116" t="s">
        <v>1305</v>
      </c>
    </row>
    <row r="5" spans="1:25">
      <c r="H5" s="46"/>
      <c r="J5" t="s">
        <v>426</v>
      </c>
      <c r="K5" t="s">
        <v>863</v>
      </c>
      <c r="L5" t="s">
        <v>898</v>
      </c>
      <c r="N5">
        <v>1</v>
      </c>
      <c r="O5">
        <v>2</v>
      </c>
      <c r="P5">
        <v>3</v>
      </c>
      <c r="Q5">
        <v>4</v>
      </c>
    </row>
    <row r="6" spans="1:25">
      <c r="A6" s="179" t="s">
        <v>73</v>
      </c>
      <c r="B6" s="226"/>
      <c r="C6" s="226"/>
      <c r="D6" s="226"/>
      <c r="E6" s="226"/>
      <c r="H6" s="1251" t="s">
        <v>1731</v>
      </c>
      <c r="I6" s="1251"/>
      <c r="J6" s="1251"/>
      <c r="K6" s="1251"/>
      <c r="L6" s="1251"/>
      <c r="M6" s="1251"/>
      <c r="N6" s="1643">
        <v>1914340</v>
      </c>
      <c r="O6" s="1643">
        <v>2044660</v>
      </c>
      <c r="P6" s="1643">
        <v>2043820</v>
      </c>
      <c r="Q6" s="1643">
        <v>2130420</v>
      </c>
      <c r="S6" s="179" t="s">
        <v>73</v>
      </c>
      <c r="T6" s="226"/>
      <c r="U6" s="226"/>
      <c r="V6" s="226"/>
      <c r="W6" s="226"/>
    </row>
    <row r="7" spans="1:25">
      <c r="A7" s="178" t="s">
        <v>74</v>
      </c>
      <c r="B7" s="397">
        <f>SUM(J7,J8,J10,J11)</f>
        <v>1914340</v>
      </c>
      <c r="C7" s="397">
        <f t="shared" ref="C7:D7" si="0">SUM(K7,K8,K10,K11)</f>
        <v>2044660</v>
      </c>
      <c r="D7" s="397">
        <f t="shared" si="0"/>
        <v>2043820</v>
      </c>
      <c r="E7" s="397">
        <f>Q6</f>
        <v>2130420</v>
      </c>
      <c r="I7" t="s">
        <v>1732</v>
      </c>
      <c r="J7" s="411">
        <v>1127580</v>
      </c>
      <c r="K7" s="411">
        <v>1235660</v>
      </c>
      <c r="L7" s="411">
        <v>1298480</v>
      </c>
      <c r="N7" s="411"/>
      <c r="O7" s="411"/>
      <c r="P7" s="411"/>
      <c r="Q7" s="1644"/>
      <c r="S7" s="178" t="s">
        <v>74</v>
      </c>
      <c r="T7" s="397">
        <v>1924693.8039770245</v>
      </c>
      <c r="U7" s="397">
        <v>2052952.8277442895</v>
      </c>
      <c r="V7" s="397">
        <v>2030777.8763356796</v>
      </c>
      <c r="W7" s="397">
        <v>2108892.241710986</v>
      </c>
      <c r="Y7" s="191">
        <f t="shared" ref="Y7:Y9" si="1">E7-W7</f>
        <v>21527.758289013989</v>
      </c>
    </row>
    <row r="8" spans="1:25">
      <c r="A8" s="178" t="s">
        <v>75</v>
      </c>
      <c r="B8" s="397">
        <f>SUM(J14,J15,J17,J18)</f>
        <v>8562458</v>
      </c>
      <c r="C8" s="397">
        <f t="shared" ref="C8:D8" si="2">SUM(K14,K15,K17,K18)</f>
        <v>8847735</v>
      </c>
      <c r="D8" s="397">
        <f t="shared" si="2"/>
        <v>8966633</v>
      </c>
      <c r="E8" s="397">
        <f>Q12+Q16</f>
        <v>9196450.333333334</v>
      </c>
      <c r="I8" t="s">
        <v>1733</v>
      </c>
      <c r="J8" s="411">
        <v>520840</v>
      </c>
      <c r="K8" s="411">
        <v>571780</v>
      </c>
      <c r="L8" s="411">
        <v>611320</v>
      </c>
      <c r="N8" s="411"/>
      <c r="O8" s="411"/>
      <c r="P8" s="411"/>
      <c r="Q8" s="1644"/>
      <c r="S8" s="178" t="s">
        <v>75</v>
      </c>
      <c r="T8" s="397">
        <v>8586630.1992997769</v>
      </c>
      <c r="U8" s="397">
        <v>8879900.6392701976</v>
      </c>
      <c r="V8" s="397">
        <v>9209518.7428315822</v>
      </c>
      <c r="W8" s="397">
        <v>9514905.0706656575</v>
      </c>
      <c r="Y8" s="191">
        <f t="shared" si="1"/>
        <v>-318454.73733232357</v>
      </c>
    </row>
    <row r="9" spans="1:25">
      <c r="A9" s="179" t="s">
        <v>76</v>
      </c>
      <c r="B9" s="396">
        <f>SUM(J20,J21)</f>
        <v>124905</v>
      </c>
      <c r="C9" s="396">
        <f t="shared" ref="C9:D9" si="3">SUM(K20,K21)</f>
        <v>130500</v>
      </c>
      <c r="D9" s="396">
        <f t="shared" si="3"/>
        <v>126720</v>
      </c>
      <c r="E9" s="396">
        <f>Q19</f>
        <v>129190</v>
      </c>
      <c r="H9" s="1251" t="s">
        <v>1734</v>
      </c>
      <c r="I9" s="1251"/>
      <c r="J9" s="1643"/>
      <c r="K9" s="1643"/>
      <c r="L9" s="1643"/>
      <c r="M9" s="1251"/>
      <c r="N9" s="1643"/>
      <c r="O9" s="1643"/>
      <c r="P9" s="1643"/>
      <c r="Q9" s="1643"/>
      <c r="S9" s="179" t="s">
        <v>76</v>
      </c>
      <c r="T9" s="396">
        <v>125384.50666718092</v>
      </c>
      <c r="U9" s="396">
        <v>131218.85912572179</v>
      </c>
      <c r="V9" s="396">
        <v>129342.57214686053</v>
      </c>
      <c r="W9" s="396">
        <v>132606.71145960072</v>
      </c>
      <c r="Y9" s="191">
        <f t="shared" si="1"/>
        <v>-3416.7114596007159</v>
      </c>
    </row>
    <row r="10" spans="1:25">
      <c r="A10" s="178" t="s">
        <v>77</v>
      </c>
      <c r="B10" s="397"/>
      <c r="C10" s="397"/>
      <c r="D10" s="397"/>
      <c r="E10" s="397"/>
      <c r="I10" t="s">
        <v>1732</v>
      </c>
      <c r="J10" s="411">
        <v>193160</v>
      </c>
      <c r="K10" s="411">
        <v>166380</v>
      </c>
      <c r="L10" s="411">
        <v>97580</v>
      </c>
      <c r="N10" s="411"/>
      <c r="O10" s="411"/>
      <c r="P10" s="411"/>
      <c r="Q10" s="1644"/>
      <c r="S10" s="178" t="s">
        <v>77</v>
      </c>
      <c r="T10" s="397"/>
      <c r="U10" s="397"/>
      <c r="V10" s="397"/>
      <c r="W10" s="397"/>
    </row>
    <row r="11" spans="1:25">
      <c r="A11" s="178" t="s">
        <v>78</v>
      </c>
      <c r="B11" s="219"/>
      <c r="C11" s="219"/>
      <c r="D11" s="219"/>
      <c r="E11" s="219"/>
      <c r="I11" t="s">
        <v>1733</v>
      </c>
      <c r="J11" s="411">
        <v>72760</v>
      </c>
      <c r="K11" s="411">
        <v>70840</v>
      </c>
      <c r="L11" s="411">
        <v>36440</v>
      </c>
      <c r="N11" s="411"/>
      <c r="O11" s="411"/>
      <c r="P11" s="411"/>
      <c r="Q11" s="1644"/>
      <c r="S11" s="178" t="s">
        <v>78</v>
      </c>
      <c r="T11" s="219"/>
      <c r="U11" s="219"/>
      <c r="V11" s="219"/>
      <c r="W11" s="219"/>
    </row>
    <row r="12" spans="1:25">
      <c r="A12" s="179" t="s">
        <v>79</v>
      </c>
      <c r="B12" s="396"/>
      <c r="C12" s="396"/>
      <c r="D12" s="396"/>
      <c r="E12" s="396"/>
      <c r="H12" s="1251" t="s">
        <v>1735</v>
      </c>
      <c r="I12" s="1251"/>
      <c r="J12" s="1643"/>
      <c r="K12" s="1643"/>
      <c r="L12" s="1643"/>
      <c r="M12" s="1251"/>
      <c r="N12" s="1643">
        <v>4145450</v>
      </c>
      <c r="O12" s="1643">
        <v>4087242</v>
      </c>
      <c r="P12" s="1643">
        <v>4043552</v>
      </c>
      <c r="Q12" s="1643">
        <v>3990183.3333333335</v>
      </c>
      <c r="S12" s="179" t="s">
        <v>79</v>
      </c>
      <c r="T12" s="396"/>
      <c r="U12" s="396"/>
      <c r="V12" s="396"/>
      <c r="W12" s="396"/>
    </row>
    <row r="13" spans="1:25">
      <c r="A13" s="178" t="s">
        <v>80</v>
      </c>
      <c r="B13" s="389"/>
      <c r="C13" s="389"/>
      <c r="D13" s="389"/>
      <c r="E13" s="389"/>
      <c r="I13" t="s">
        <v>1732</v>
      </c>
      <c r="K13" s="411"/>
      <c r="L13" s="411"/>
      <c r="Q13" s="1644"/>
      <c r="S13" s="178" t="s">
        <v>80</v>
      </c>
      <c r="T13" s="389"/>
      <c r="U13" s="389"/>
      <c r="V13" s="389"/>
      <c r="W13" s="389"/>
    </row>
    <row r="14" spans="1:25">
      <c r="A14" s="178" t="s">
        <v>81</v>
      </c>
      <c r="B14" s="219"/>
      <c r="C14" s="219"/>
      <c r="D14" s="219"/>
      <c r="E14" s="219"/>
      <c r="I14" t="s">
        <v>1733</v>
      </c>
      <c r="J14" s="411">
        <v>1208224</v>
      </c>
      <c r="K14" s="411">
        <v>1270274</v>
      </c>
      <c r="L14" s="411">
        <v>1254736</v>
      </c>
      <c r="Q14" s="1644"/>
      <c r="S14" s="178" t="s">
        <v>81</v>
      </c>
      <c r="T14" s="219"/>
      <c r="U14" s="219"/>
      <c r="V14" s="219"/>
      <c r="W14" s="219"/>
    </row>
    <row r="15" spans="1:25">
      <c r="A15" s="179" t="s">
        <v>82</v>
      </c>
      <c r="B15" s="396"/>
      <c r="C15" s="396"/>
      <c r="D15" s="396"/>
      <c r="E15" s="396"/>
      <c r="I15" s="411"/>
      <c r="J15" s="411">
        <v>2937226</v>
      </c>
      <c r="K15" s="411">
        <v>2816968</v>
      </c>
      <c r="L15" s="411">
        <v>2788816</v>
      </c>
      <c r="N15" s="411"/>
      <c r="O15" s="411"/>
      <c r="P15" s="411"/>
      <c r="Q15" s="1644"/>
      <c r="S15" s="179" t="s">
        <v>82</v>
      </c>
      <c r="T15" s="396"/>
      <c r="U15" s="396"/>
      <c r="V15" s="396"/>
      <c r="W15" s="396"/>
    </row>
    <row r="16" spans="1:25">
      <c r="A16" s="178" t="s">
        <v>83</v>
      </c>
      <c r="B16" s="219"/>
      <c r="C16" s="219"/>
      <c r="D16" s="219"/>
      <c r="E16" s="219"/>
      <c r="H16" s="1251" t="s">
        <v>1736</v>
      </c>
      <c r="I16" s="1251"/>
      <c r="J16" s="1251"/>
      <c r="K16" s="1251"/>
      <c r="L16" s="1251"/>
      <c r="M16" s="1251"/>
      <c r="N16" s="1643">
        <v>4417008</v>
      </c>
      <c r="O16" s="1643">
        <v>4760493</v>
      </c>
      <c r="P16" s="1643">
        <v>4923081</v>
      </c>
      <c r="Q16" s="1643">
        <v>5206267</v>
      </c>
      <c r="S16" s="178" t="s">
        <v>83</v>
      </c>
      <c r="T16" s="219"/>
      <c r="U16" s="219"/>
      <c r="V16" s="219"/>
      <c r="W16" s="219"/>
    </row>
    <row r="17" spans="1:25">
      <c r="A17" s="178" t="s">
        <v>84</v>
      </c>
      <c r="B17" s="219"/>
      <c r="C17" s="219"/>
      <c r="D17" s="219"/>
      <c r="E17" s="219"/>
      <c r="I17" t="s">
        <v>1732</v>
      </c>
      <c r="J17" s="411">
        <v>3098658</v>
      </c>
      <c r="K17" s="411">
        <v>3375894</v>
      </c>
      <c r="L17" s="411">
        <v>3536136</v>
      </c>
      <c r="N17" s="411"/>
      <c r="O17" s="411"/>
      <c r="P17" s="411"/>
      <c r="Q17" s="1644"/>
      <c r="S17" s="178" t="s">
        <v>84</v>
      </c>
      <c r="T17" s="219"/>
      <c r="U17" s="219"/>
      <c r="V17" s="219"/>
      <c r="W17" s="219"/>
    </row>
    <row r="18" spans="1:25">
      <c r="A18" s="179" t="s">
        <v>85</v>
      </c>
      <c r="B18" s="396">
        <f>SUM(J23,J24)</f>
        <v>965030</v>
      </c>
      <c r="C18" s="396">
        <f t="shared" ref="C18:D18" si="4">SUM(K23,K24)</f>
        <v>1278992.5</v>
      </c>
      <c r="D18" s="396">
        <f t="shared" si="4"/>
        <v>1667500</v>
      </c>
      <c r="E18" s="396">
        <f>Q22</f>
        <v>1734200</v>
      </c>
      <c r="I18" t="s">
        <v>1733</v>
      </c>
      <c r="J18" s="411">
        <v>1318350</v>
      </c>
      <c r="K18" s="411">
        <v>1384599</v>
      </c>
      <c r="L18" s="411">
        <v>1386945</v>
      </c>
      <c r="N18" s="411"/>
      <c r="O18" s="411"/>
      <c r="P18" s="411"/>
      <c r="Q18" s="1644"/>
      <c r="S18" s="179" t="s">
        <v>85</v>
      </c>
      <c r="T18" s="396">
        <v>965712</v>
      </c>
      <c r="U18" s="396">
        <v>1278311</v>
      </c>
      <c r="V18" s="396">
        <v>1669232</v>
      </c>
      <c r="W18" s="396">
        <v>1736001.28</v>
      </c>
      <c r="Y18" s="191">
        <f>E18-W18</f>
        <v>-1801.2800000000279</v>
      </c>
    </row>
    <row r="19" spans="1:25">
      <c r="A19" s="178" t="s">
        <v>87</v>
      </c>
      <c r="B19" s="219"/>
      <c r="C19" s="219"/>
      <c r="D19" s="219"/>
      <c r="E19" s="219"/>
      <c r="H19" s="1251" t="s">
        <v>1737</v>
      </c>
      <c r="I19" s="1251"/>
      <c r="J19" s="1643"/>
      <c r="K19" s="1643"/>
      <c r="L19" s="1643"/>
      <c r="M19" s="1251"/>
      <c r="N19" s="1643">
        <v>124905</v>
      </c>
      <c r="O19" s="1643">
        <v>130500</v>
      </c>
      <c r="P19" s="1643">
        <v>126720</v>
      </c>
      <c r="Q19" s="1643">
        <v>129190</v>
      </c>
      <c r="S19" s="178" t="s">
        <v>87</v>
      </c>
      <c r="T19" s="219"/>
      <c r="U19" s="219"/>
      <c r="V19" s="219"/>
      <c r="W19" s="219"/>
    </row>
    <row r="20" spans="1:25">
      <c r="A20" s="1376" t="s">
        <v>1438</v>
      </c>
      <c r="B20" s="1377">
        <f>SUM(B7:B19)</f>
        <v>11566733</v>
      </c>
      <c r="C20" s="1377">
        <f>SUM(C7:C19)</f>
        <v>12301887.5</v>
      </c>
      <c r="D20" s="1377">
        <f>SUM(D7:D19)</f>
        <v>12804673</v>
      </c>
      <c r="E20" s="1377">
        <f>SUM(E7:E19)</f>
        <v>13190260.333333334</v>
      </c>
      <c r="I20" t="s">
        <v>1732</v>
      </c>
      <c r="J20" s="411">
        <v>110760</v>
      </c>
      <c r="K20" s="411">
        <v>116370</v>
      </c>
      <c r="L20" s="411">
        <v>110070</v>
      </c>
      <c r="N20" s="411"/>
      <c r="O20" s="411"/>
      <c r="P20" s="411"/>
      <c r="Q20" s="1644"/>
      <c r="S20" s="1376" t="s">
        <v>1438</v>
      </c>
      <c r="T20" s="1377">
        <f>SUM(T7:T19)</f>
        <v>11602420.509943981</v>
      </c>
      <c r="U20" s="1377">
        <f>SUM(U7:U19)</f>
        <v>12342383.32614021</v>
      </c>
      <c r="V20" s="1377">
        <f>SUM(V7:V19)</f>
        <v>13038871.191314122</v>
      </c>
      <c r="W20" s="1377">
        <f>SUM(W7:W19)</f>
        <v>13492405.303836245</v>
      </c>
    </row>
    <row r="21" spans="1:25">
      <c r="A21" s="178" t="s">
        <v>112</v>
      </c>
      <c r="I21" t="s">
        <v>1733</v>
      </c>
      <c r="J21" s="411">
        <v>14145</v>
      </c>
      <c r="K21" s="411">
        <v>14130</v>
      </c>
      <c r="L21" s="411">
        <v>16650</v>
      </c>
      <c r="N21" s="411"/>
      <c r="O21" s="411"/>
      <c r="P21" s="411"/>
      <c r="Q21" s="1644"/>
      <c r="S21" s="178" t="s">
        <v>112</v>
      </c>
    </row>
    <row r="22" spans="1:25">
      <c r="H22" s="1251" t="s">
        <v>1738</v>
      </c>
      <c r="I22" s="1251"/>
      <c r="J22" s="1643"/>
      <c r="K22" s="1643"/>
      <c r="L22" s="1643"/>
      <c r="M22" s="1251"/>
      <c r="N22" s="1645">
        <v>965030</v>
      </c>
      <c r="O22" s="1645">
        <v>1278992.5</v>
      </c>
      <c r="P22" s="1645">
        <v>1667500</v>
      </c>
      <c r="Q22" s="1646">
        <v>1734200</v>
      </c>
    </row>
    <row r="23" spans="1:25">
      <c r="A23" s="179" t="s">
        <v>73</v>
      </c>
      <c r="B23" s="226"/>
      <c r="C23" s="226"/>
      <c r="D23" s="226"/>
      <c r="E23" s="226"/>
      <c r="I23" t="s">
        <v>1732</v>
      </c>
      <c r="J23" s="411">
        <v>810898</v>
      </c>
      <c r="K23" s="411">
        <v>1093231.5</v>
      </c>
      <c r="L23" s="411">
        <v>1428500</v>
      </c>
      <c r="N23" s="411"/>
      <c r="O23" s="411"/>
      <c r="P23" s="411"/>
      <c r="Q23" s="1644"/>
      <c r="S23" s="179" t="s">
        <v>73</v>
      </c>
    </row>
    <row r="24" spans="1:25">
      <c r="A24" s="178" t="s">
        <v>74</v>
      </c>
      <c r="B24" s="397">
        <f>SUM(J26,J27)</f>
        <v>1359143</v>
      </c>
      <c r="C24" s="397">
        <f t="shared" ref="C24:D24" si="5">SUM(K26,K27)</f>
        <v>1074454</v>
      </c>
      <c r="D24" s="397">
        <f t="shared" si="5"/>
        <v>969647</v>
      </c>
      <c r="E24" s="397">
        <f>Q25</f>
        <v>1134414.6666666667</v>
      </c>
      <c r="I24" t="s">
        <v>1733</v>
      </c>
      <c r="J24" s="411">
        <v>154132</v>
      </c>
      <c r="K24" s="411">
        <v>185761</v>
      </c>
      <c r="L24" s="411">
        <v>239000</v>
      </c>
      <c r="N24" s="411"/>
      <c r="O24" s="411"/>
      <c r="P24" s="411"/>
      <c r="Q24" s="1644"/>
      <c r="S24" s="178" t="s">
        <v>74</v>
      </c>
      <c r="T24" s="397">
        <v>1471307.7658610097</v>
      </c>
      <c r="U24" s="397">
        <v>1105941.6862699538</v>
      </c>
      <c r="V24" s="397">
        <v>1185860.618432652</v>
      </c>
      <c r="W24" s="397">
        <v>1145901.152351303</v>
      </c>
      <c r="Y24" s="191">
        <f t="shared" ref="Y24:Y25" si="6">E24-W24</f>
        <v>-11486.485684636282</v>
      </c>
    </row>
    <row r="25" spans="1:25">
      <c r="A25" s="178" t="s">
        <v>75</v>
      </c>
      <c r="B25" s="397">
        <f>SUM(J29,J30)</f>
        <v>1957065</v>
      </c>
      <c r="C25" s="397">
        <f t="shared" ref="C25:D25" si="7">SUM(K29,K30)</f>
        <v>2025595</v>
      </c>
      <c r="D25" s="397">
        <f t="shared" si="7"/>
        <v>1900745</v>
      </c>
      <c r="E25" s="397">
        <f>Q28</f>
        <v>1904815</v>
      </c>
      <c r="H25" s="1251" t="s">
        <v>1739</v>
      </c>
      <c r="I25" s="1251"/>
      <c r="J25" s="1643"/>
      <c r="K25" s="1643"/>
      <c r="L25" s="1643"/>
      <c r="M25" s="1251"/>
      <c r="N25" s="1643">
        <v>1359143</v>
      </c>
      <c r="O25" s="1643">
        <v>1074454</v>
      </c>
      <c r="P25" s="1643">
        <v>969647</v>
      </c>
      <c r="Q25" s="1646">
        <v>1134414.6666666667</v>
      </c>
      <c r="S25" s="178" t="s">
        <v>75</v>
      </c>
      <c r="T25" s="397">
        <v>1861225.6618193835</v>
      </c>
      <c r="U25" s="397">
        <v>2056987.900575272</v>
      </c>
      <c r="V25" s="397">
        <v>1918458.4909614581</v>
      </c>
      <c r="W25" s="397">
        <v>2002790.1802607789</v>
      </c>
      <c r="Y25" s="191">
        <f t="shared" si="6"/>
        <v>-97975.18026077887</v>
      </c>
    </row>
    <row r="26" spans="1:25">
      <c r="A26" s="179" t="s">
        <v>76</v>
      </c>
      <c r="B26" s="396"/>
      <c r="C26" s="396"/>
      <c r="D26" s="396"/>
      <c r="E26" s="396"/>
      <c r="I26" s="46" t="s">
        <v>1732</v>
      </c>
      <c r="J26" s="1644">
        <v>145557</v>
      </c>
      <c r="K26" s="1644">
        <v>229713</v>
      </c>
      <c r="L26" s="1644">
        <v>291859</v>
      </c>
      <c r="Q26" s="1644"/>
      <c r="S26" s="179" t="s">
        <v>76</v>
      </c>
      <c r="T26" s="396"/>
      <c r="U26" s="396"/>
      <c r="V26" s="396"/>
      <c r="W26" s="396"/>
    </row>
    <row r="27" spans="1:25">
      <c r="A27" s="178" t="s">
        <v>77</v>
      </c>
      <c r="B27" s="397"/>
      <c r="C27" s="397"/>
      <c r="D27" s="397"/>
      <c r="E27" s="397"/>
      <c r="I27" s="46" t="s">
        <v>1733</v>
      </c>
      <c r="J27" s="1644">
        <v>1213586</v>
      </c>
      <c r="K27" s="1644">
        <v>844741</v>
      </c>
      <c r="L27" s="1644">
        <v>677788</v>
      </c>
      <c r="N27" s="411"/>
      <c r="O27" s="411"/>
      <c r="P27" s="411"/>
      <c r="Q27" s="1644"/>
      <c r="S27" s="178" t="s">
        <v>77</v>
      </c>
      <c r="T27" s="397"/>
      <c r="U27" s="397"/>
      <c r="V27" s="397"/>
      <c r="W27" s="397"/>
    </row>
    <row r="28" spans="1:25">
      <c r="A28" s="178" t="s">
        <v>78</v>
      </c>
      <c r="B28" s="219"/>
      <c r="C28" s="219"/>
      <c r="D28" s="219"/>
      <c r="E28" s="219"/>
      <c r="H28" s="1251" t="s">
        <v>1740</v>
      </c>
      <c r="I28" s="1251"/>
      <c r="J28" s="1643"/>
      <c r="K28" s="1643"/>
      <c r="L28" s="1643"/>
      <c r="M28" s="1251"/>
      <c r="N28" s="1643">
        <v>1957065</v>
      </c>
      <c r="O28" s="1643">
        <v>2025595</v>
      </c>
      <c r="P28" s="1643">
        <v>1900745</v>
      </c>
      <c r="Q28" s="1643">
        <v>1904815</v>
      </c>
      <c r="S28" s="178" t="s">
        <v>78</v>
      </c>
      <c r="T28" s="219"/>
      <c r="U28" s="219"/>
      <c r="V28" s="219"/>
      <c r="W28" s="219"/>
    </row>
    <row r="29" spans="1:25">
      <c r="A29" s="179" t="s">
        <v>79</v>
      </c>
      <c r="B29" s="396"/>
      <c r="C29" s="396"/>
      <c r="D29" s="396"/>
      <c r="E29" s="396"/>
      <c r="I29" t="s">
        <v>1732</v>
      </c>
      <c r="J29" s="411">
        <v>1408110</v>
      </c>
      <c r="K29" s="411">
        <v>1509090</v>
      </c>
      <c r="L29" s="411">
        <v>1464650</v>
      </c>
      <c r="N29" s="411"/>
      <c r="O29" s="411"/>
      <c r="P29" s="411"/>
      <c r="Q29" s="411"/>
      <c r="S29" s="179" t="s">
        <v>79</v>
      </c>
      <c r="T29" s="396"/>
      <c r="U29" s="396"/>
      <c r="V29" s="396"/>
      <c r="W29" s="396"/>
    </row>
    <row r="30" spans="1:25">
      <c r="A30" s="178" t="s">
        <v>80</v>
      </c>
      <c r="B30" s="389"/>
      <c r="C30" s="389"/>
      <c r="D30" s="389"/>
      <c r="E30" s="389"/>
      <c r="I30" t="s">
        <v>1733</v>
      </c>
      <c r="J30" s="411">
        <v>548955</v>
      </c>
      <c r="K30" s="411">
        <v>516505</v>
      </c>
      <c r="L30" s="411">
        <v>436095</v>
      </c>
      <c r="N30" s="411"/>
      <c r="O30" s="411"/>
      <c r="P30" s="411"/>
      <c r="Q30" s="411"/>
      <c r="S30" s="178" t="s">
        <v>80</v>
      </c>
      <c r="T30" s="389"/>
      <c r="U30" s="389"/>
      <c r="V30" s="389"/>
      <c r="W30" s="389"/>
    </row>
    <row r="31" spans="1:25">
      <c r="A31" s="178" t="s">
        <v>81</v>
      </c>
      <c r="B31" s="219">
        <f>SUM(J35,J36)</f>
        <v>3743671</v>
      </c>
      <c r="C31" s="219">
        <f t="shared" ref="C31:D31" si="8">SUM(K35,K36)</f>
        <v>3810417</v>
      </c>
      <c r="D31" s="219">
        <f t="shared" si="8"/>
        <v>4143126</v>
      </c>
      <c r="E31" s="1378">
        <f>Q34</f>
        <v>4298526.333333333</v>
      </c>
      <c r="H31" s="1251" t="s">
        <v>1741</v>
      </c>
      <c r="I31" s="1251"/>
      <c r="J31" s="1643"/>
      <c r="K31" s="1643"/>
      <c r="L31" s="1643"/>
      <c r="M31" s="1251"/>
      <c r="N31" s="1643">
        <v>3541631</v>
      </c>
      <c r="O31" s="1643">
        <v>3599343</v>
      </c>
      <c r="P31" s="1643">
        <v>3907530</v>
      </c>
      <c r="Q31" s="1643">
        <v>4048733.6666666665</v>
      </c>
      <c r="S31" s="178" t="s">
        <v>81</v>
      </c>
      <c r="T31" s="219">
        <v>3898852.4032258065</v>
      </c>
      <c r="U31" s="219">
        <v>3941944.7205882357</v>
      </c>
      <c r="V31" s="219">
        <v>4317874.2287161276</v>
      </c>
      <c r="W31" s="1378">
        <v>4471912.2763337111</v>
      </c>
      <c r="Y31" s="191">
        <f>E31-W31</f>
        <v>-173385.94300037809</v>
      </c>
    </row>
    <row r="32" spans="1:25">
      <c r="A32" s="179" t="s">
        <v>82</v>
      </c>
      <c r="B32" s="396"/>
      <c r="C32" s="396"/>
      <c r="D32" s="396"/>
      <c r="E32" s="396"/>
      <c r="I32" t="s">
        <v>1732</v>
      </c>
      <c r="J32" s="411">
        <v>2498292</v>
      </c>
      <c r="K32" s="411">
        <v>2573478</v>
      </c>
      <c r="L32" s="411">
        <v>2784897</v>
      </c>
      <c r="N32" s="411"/>
      <c r="O32" s="411"/>
      <c r="P32" s="411"/>
      <c r="Q32" s="411"/>
      <c r="S32" s="179" t="s">
        <v>82</v>
      </c>
      <c r="T32" s="396"/>
      <c r="U32" s="396"/>
      <c r="V32" s="396"/>
      <c r="W32" s="396"/>
    </row>
    <row r="33" spans="1:25">
      <c r="A33" s="178" t="s">
        <v>83</v>
      </c>
      <c r="B33" s="219">
        <f>SUM(J44,J45)</f>
        <v>2429650</v>
      </c>
      <c r="C33" s="219">
        <f t="shared" ref="C33:D33" si="9">SUM(K44,K45)</f>
        <v>2498367</v>
      </c>
      <c r="D33" s="219">
        <f t="shared" si="9"/>
        <v>2958168</v>
      </c>
      <c r="E33" s="219">
        <f>Q43</f>
        <v>3157246.3333333335</v>
      </c>
      <c r="I33" t="s">
        <v>1733</v>
      </c>
      <c r="J33" s="411">
        <v>1043339</v>
      </c>
      <c r="K33" s="411">
        <v>1025865</v>
      </c>
      <c r="L33" s="411">
        <v>1122633</v>
      </c>
      <c r="N33" s="411"/>
      <c r="O33" s="411"/>
      <c r="P33" s="411"/>
      <c r="Q33" s="411"/>
      <c r="S33" s="178" t="s">
        <v>83</v>
      </c>
      <c r="T33" s="219">
        <v>2716557.3802842409</v>
      </c>
      <c r="U33" s="219">
        <v>2773925.9957282022</v>
      </c>
      <c r="V33" s="219">
        <v>3276700.2123601898</v>
      </c>
      <c r="W33" s="219">
        <v>3482537.3615334933</v>
      </c>
      <c r="Y33" s="191">
        <f>E33-W33</f>
        <v>-325291.02820015978</v>
      </c>
    </row>
    <row r="34" spans="1:25">
      <c r="A34" s="178" t="s">
        <v>84</v>
      </c>
      <c r="B34" s="219"/>
      <c r="C34" s="219"/>
      <c r="D34" s="219"/>
      <c r="E34" s="219"/>
      <c r="H34" s="1251" t="s">
        <v>1742</v>
      </c>
      <c r="I34" s="1251"/>
      <c r="J34" s="1643"/>
      <c r="K34" s="1643"/>
      <c r="L34" s="1643"/>
      <c r="M34" s="1251"/>
      <c r="N34" s="1643">
        <v>3743671</v>
      </c>
      <c r="O34" s="1643">
        <v>3810417</v>
      </c>
      <c r="P34" s="1643">
        <v>4143126</v>
      </c>
      <c r="Q34" s="1643">
        <v>4298526.333333333</v>
      </c>
      <c r="S34" s="178" t="s">
        <v>84</v>
      </c>
      <c r="T34" s="219"/>
      <c r="U34" s="219"/>
      <c r="V34" s="219"/>
      <c r="W34" s="219"/>
    </row>
    <row r="35" spans="1:25">
      <c r="A35" s="179" t="s">
        <v>85</v>
      </c>
      <c r="B35" s="396"/>
      <c r="C35" s="396"/>
      <c r="D35" s="396"/>
      <c r="E35" s="396"/>
      <c r="I35" t="s">
        <v>1732</v>
      </c>
      <c r="J35" s="411">
        <v>2610356</v>
      </c>
      <c r="K35" s="411">
        <v>2668806</v>
      </c>
      <c r="L35" s="411">
        <v>2909961</v>
      </c>
      <c r="N35" s="411"/>
      <c r="O35" s="411"/>
      <c r="P35" s="411"/>
      <c r="Q35" s="411"/>
      <c r="S35" s="179" t="s">
        <v>85</v>
      </c>
      <c r="T35" s="396"/>
      <c r="U35" s="396"/>
      <c r="V35" s="396"/>
      <c r="W35" s="396"/>
    </row>
    <row r="36" spans="1:25">
      <c r="A36" s="178" t="s">
        <v>87</v>
      </c>
      <c r="I36" t="s">
        <v>1733</v>
      </c>
      <c r="J36" s="411">
        <v>1133315</v>
      </c>
      <c r="K36" s="411">
        <v>1141611</v>
      </c>
      <c r="L36" s="411">
        <v>1233165</v>
      </c>
      <c r="N36" s="411"/>
      <c r="O36" s="411"/>
      <c r="P36" s="411"/>
      <c r="Q36" s="411"/>
      <c r="S36" s="178" t="s">
        <v>87</v>
      </c>
    </row>
    <row r="37" spans="1:25">
      <c r="A37" s="1376" t="s">
        <v>1438</v>
      </c>
      <c r="B37" s="1377">
        <f>SUM(B24:B36)</f>
        <v>9489529</v>
      </c>
      <c r="C37" s="1377">
        <f>SUM(C24:C36)</f>
        <v>9408833</v>
      </c>
      <c r="D37" s="1377">
        <f>SUM(D24:D36)</f>
        <v>9971686</v>
      </c>
      <c r="E37" s="1377">
        <f>SUM(E24:E36)</f>
        <v>10495002.333333334</v>
      </c>
      <c r="H37" s="1251" t="s">
        <v>1743</v>
      </c>
      <c r="I37" s="1251"/>
      <c r="J37" s="1643"/>
      <c r="K37" s="1643"/>
      <c r="L37" s="1643"/>
      <c r="M37" s="1251"/>
      <c r="N37" s="1643">
        <v>132639</v>
      </c>
      <c r="O37" s="1643">
        <v>164687</v>
      </c>
      <c r="P37" s="1643">
        <v>190825</v>
      </c>
      <c r="Q37" s="1643">
        <v>220903</v>
      </c>
      <c r="S37" s="1376" t="s">
        <v>1438</v>
      </c>
      <c r="T37" s="1377">
        <f>SUM(T24:T36)</f>
        <v>9947943.2111904398</v>
      </c>
      <c r="U37" s="1377">
        <f>SUM(U24:U36)</f>
        <v>9878800.3031616639</v>
      </c>
      <c r="V37" s="1377">
        <f>SUM(V24:V36)</f>
        <v>10698893.550470427</v>
      </c>
      <c r="W37" s="1377">
        <f>SUM(W24:W36)</f>
        <v>11103140.970479285</v>
      </c>
    </row>
    <row r="38" spans="1:25">
      <c r="A38" s="178" t="s">
        <v>1434</v>
      </c>
      <c r="I38" t="s">
        <v>1732</v>
      </c>
      <c r="J38" s="411">
        <v>95067</v>
      </c>
      <c r="K38" s="411">
        <v>88128</v>
      </c>
      <c r="L38" s="411">
        <v>90027</v>
      </c>
      <c r="N38" s="411"/>
      <c r="O38" s="411"/>
      <c r="P38" s="411"/>
      <c r="Q38" s="411"/>
    </row>
    <row r="39" spans="1:25">
      <c r="A39" s="178" t="s">
        <v>1435</v>
      </c>
      <c r="I39" t="s">
        <v>1733</v>
      </c>
      <c r="J39" s="411">
        <v>37572</v>
      </c>
      <c r="K39" s="411">
        <v>76559</v>
      </c>
      <c r="L39" s="411">
        <v>100798</v>
      </c>
      <c r="N39" s="411"/>
      <c r="O39" s="411"/>
      <c r="P39" s="411"/>
      <c r="Q39" s="411"/>
    </row>
    <row r="40" spans="1:25">
      <c r="A40" s="178" t="s">
        <v>1436</v>
      </c>
      <c r="H40" s="1251" t="s">
        <v>1744</v>
      </c>
      <c r="I40" s="1251"/>
      <c r="J40" s="1643"/>
      <c r="K40" s="1643"/>
      <c r="L40" s="1643"/>
      <c r="M40" s="1251"/>
      <c r="N40" s="1643">
        <v>2353391</v>
      </c>
      <c r="O40" s="1643">
        <v>2402729</v>
      </c>
      <c r="P40" s="1643">
        <v>2861816</v>
      </c>
      <c r="Q40" s="1643">
        <v>3047737</v>
      </c>
    </row>
    <row r="41" spans="1:25">
      <c r="A41" s="178" t="s">
        <v>1437</v>
      </c>
      <c r="I41" t="s">
        <v>1732</v>
      </c>
      <c r="J41" s="411">
        <v>1222680</v>
      </c>
      <c r="K41" s="411">
        <v>1295971</v>
      </c>
      <c r="L41" s="411">
        <v>1394354</v>
      </c>
      <c r="N41" s="411"/>
      <c r="O41" s="411"/>
      <c r="P41" s="411"/>
      <c r="Q41" s="411"/>
    </row>
    <row r="42" spans="1:25">
      <c r="I42" t="s">
        <v>1733</v>
      </c>
      <c r="J42" s="411">
        <v>1130711</v>
      </c>
      <c r="K42" s="411">
        <v>1106758</v>
      </c>
      <c r="L42" s="411">
        <v>1467462</v>
      </c>
      <c r="N42" s="411"/>
      <c r="O42" s="411"/>
      <c r="P42" s="411"/>
      <c r="Q42" s="411"/>
    </row>
    <row r="43" spans="1:25">
      <c r="H43" s="1251" t="s">
        <v>1745</v>
      </c>
      <c r="I43" s="1251"/>
      <c r="J43" s="1643"/>
      <c r="K43" s="1643"/>
      <c r="L43" s="1643"/>
      <c r="M43" s="1251"/>
      <c r="N43" s="1643">
        <v>2429650</v>
      </c>
      <c r="O43" s="1643">
        <v>2498367</v>
      </c>
      <c r="P43" s="1643">
        <v>2958168</v>
      </c>
      <c r="Q43" s="1643">
        <v>3157246.3333333335</v>
      </c>
    </row>
    <row r="44" spans="1:25">
      <c r="I44" t="s">
        <v>1732</v>
      </c>
      <c r="J44" s="411">
        <v>1224949</v>
      </c>
      <c r="K44" s="411">
        <v>1298211</v>
      </c>
      <c r="L44" s="411">
        <v>1399874</v>
      </c>
      <c r="N44" s="411"/>
      <c r="O44" s="411"/>
      <c r="P44" s="411"/>
      <c r="Q44" s="411"/>
    </row>
    <row r="45" spans="1:25">
      <c r="I45" t="s">
        <v>1733</v>
      </c>
      <c r="J45" s="411">
        <v>1204701</v>
      </c>
      <c r="K45" s="411">
        <v>1200156</v>
      </c>
      <c r="L45" s="411">
        <v>1558294</v>
      </c>
      <c r="N45" s="411"/>
      <c r="O45" s="411"/>
      <c r="P45" s="411"/>
      <c r="Q45" s="411"/>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147"/>
  <sheetViews>
    <sheetView workbookViewId="0">
      <selection activeCell="D4" sqref="D4"/>
    </sheetView>
  </sheetViews>
  <sheetFormatPr defaultColWidth="11" defaultRowHeight="15.75"/>
  <cols>
    <col min="1" max="1" width="21" customWidth="1"/>
    <col min="2" max="2" width="18.875" customWidth="1"/>
    <col min="4" max="4" width="19.375" customWidth="1"/>
  </cols>
  <sheetData>
    <row r="1" spans="1:4">
      <c r="A1" t="s">
        <v>241</v>
      </c>
    </row>
    <row r="3" spans="1:4">
      <c r="A3" t="s">
        <v>242</v>
      </c>
      <c r="B3">
        <f>COUNT(B9:B75)</f>
        <v>55</v>
      </c>
      <c r="D3" t="s">
        <v>1075</v>
      </c>
    </row>
    <row r="4" spans="1:4">
      <c r="A4" s="217" t="s">
        <v>243</v>
      </c>
      <c r="B4" s="218">
        <f>SUM(B9:B74)</f>
        <v>3673680</v>
      </c>
      <c r="D4" t="s">
        <v>1076</v>
      </c>
    </row>
    <row r="8" spans="1:4" ht="16.5" thickBot="1">
      <c r="A8" s="152" t="s">
        <v>185</v>
      </c>
      <c r="B8" s="152"/>
    </row>
    <row r="9" spans="1:4" ht="16.5" thickTop="1">
      <c r="A9" s="209" t="s">
        <v>186</v>
      </c>
      <c r="B9" s="210">
        <v>58116</v>
      </c>
    </row>
    <row r="10" spans="1:4">
      <c r="A10" s="209" t="s">
        <v>187</v>
      </c>
      <c r="B10" s="210">
        <v>47689</v>
      </c>
    </row>
    <row r="11" spans="1:4">
      <c r="A11" s="209" t="s">
        <v>188</v>
      </c>
      <c r="B11" s="210">
        <v>84020</v>
      </c>
    </row>
    <row r="12" spans="1:4">
      <c r="A12" s="209" t="s">
        <v>189</v>
      </c>
      <c r="B12" s="210">
        <v>57957</v>
      </c>
    </row>
    <row r="13" spans="1:4">
      <c r="A13" s="209" t="s">
        <v>190</v>
      </c>
      <c r="B13" s="210">
        <v>97000</v>
      </c>
    </row>
    <row r="14" spans="1:4">
      <c r="A14" s="209" t="s">
        <v>191</v>
      </c>
      <c r="B14" s="210">
        <v>23019</v>
      </c>
    </row>
    <row r="15" spans="1:4">
      <c r="A15" s="209" t="s">
        <v>192</v>
      </c>
      <c r="B15" s="210">
        <v>29426</v>
      </c>
      <c r="C15" s="62"/>
      <c r="D15" s="62"/>
    </row>
    <row r="16" spans="1:4">
      <c r="A16" s="209" t="s">
        <v>193</v>
      </c>
      <c r="B16" s="210">
        <v>27329</v>
      </c>
      <c r="C16" s="62"/>
      <c r="D16" s="62"/>
    </row>
    <row r="17" spans="1:4" ht="24">
      <c r="A17" s="209" t="s">
        <v>194</v>
      </c>
      <c r="B17" s="210">
        <v>153057</v>
      </c>
      <c r="C17" s="209"/>
      <c r="D17" s="210"/>
    </row>
    <row r="18" spans="1:4">
      <c r="A18" s="209" t="s">
        <v>195</v>
      </c>
      <c r="B18" s="210">
        <v>37792</v>
      </c>
      <c r="C18" s="62"/>
      <c r="D18" s="62"/>
    </row>
    <row r="19" spans="1:4">
      <c r="A19" s="209" t="s">
        <v>196</v>
      </c>
      <c r="B19" s="210">
        <v>37329</v>
      </c>
      <c r="C19" s="62"/>
      <c r="D19" s="62"/>
    </row>
    <row r="20" spans="1:4">
      <c r="A20" s="209" t="s">
        <v>197</v>
      </c>
      <c r="B20" s="210">
        <v>20816</v>
      </c>
      <c r="C20" s="62"/>
      <c r="D20" s="62"/>
    </row>
    <row r="21" spans="1:4">
      <c r="A21" s="209" t="s">
        <v>198</v>
      </c>
      <c r="B21" s="210">
        <v>64455</v>
      </c>
      <c r="C21" s="62"/>
      <c r="D21" s="62"/>
    </row>
    <row r="22" spans="1:4">
      <c r="A22" s="209" t="s">
        <v>199</v>
      </c>
      <c r="B22" s="210">
        <v>44144</v>
      </c>
      <c r="C22" s="62"/>
      <c r="D22" s="62"/>
    </row>
    <row r="23" spans="1:4">
      <c r="A23" s="209" t="s">
        <v>200</v>
      </c>
      <c r="B23" s="210">
        <v>11673</v>
      </c>
      <c r="C23" s="62"/>
      <c r="D23" s="62"/>
    </row>
    <row r="24" spans="1:4">
      <c r="A24" s="209" t="s">
        <v>201</v>
      </c>
      <c r="B24" s="210">
        <v>83148</v>
      </c>
      <c r="C24" s="62"/>
      <c r="D24" s="62"/>
    </row>
    <row r="25" spans="1:4">
      <c r="A25" s="209" t="s">
        <v>202</v>
      </c>
      <c r="B25" s="210">
        <v>39011</v>
      </c>
      <c r="C25" s="62"/>
      <c r="D25" s="62"/>
    </row>
    <row r="26" spans="1:4">
      <c r="A26" s="209" t="s">
        <v>203</v>
      </c>
      <c r="B26" s="210">
        <v>211077</v>
      </c>
      <c r="C26" s="62"/>
      <c r="D26" s="62"/>
    </row>
    <row r="27" spans="1:4">
      <c r="A27" s="209" t="s">
        <v>204</v>
      </c>
      <c r="B27" s="210">
        <v>58600</v>
      </c>
      <c r="C27" s="62"/>
      <c r="D27" s="62"/>
    </row>
    <row r="28" spans="1:4">
      <c r="A28" s="209" t="s">
        <v>205</v>
      </c>
      <c r="B28" s="210">
        <v>55341</v>
      </c>
      <c r="C28" s="62"/>
      <c r="D28" s="62"/>
    </row>
    <row r="29" spans="1:4" ht="24">
      <c r="A29" s="209" t="s">
        <v>206</v>
      </c>
      <c r="B29" s="210">
        <v>23502</v>
      </c>
      <c r="C29" s="62"/>
      <c r="D29" s="62"/>
    </row>
    <row r="30" spans="1:4">
      <c r="A30" s="209" t="s">
        <v>207</v>
      </c>
      <c r="B30" s="210">
        <v>105456</v>
      </c>
      <c r="C30" s="62"/>
      <c r="D30" s="62"/>
    </row>
    <row r="31" spans="1:4">
      <c r="A31" s="209" t="s">
        <v>208</v>
      </c>
      <c r="B31" s="212">
        <v>63167</v>
      </c>
      <c r="C31" s="62"/>
      <c r="D31" s="62"/>
    </row>
    <row r="32" spans="1:4">
      <c r="A32" s="209" t="s">
        <v>209</v>
      </c>
      <c r="B32" s="212">
        <v>24144</v>
      </c>
      <c r="C32" s="62"/>
      <c r="D32" s="62"/>
    </row>
    <row r="33" spans="1:4">
      <c r="A33" s="209" t="s">
        <v>210</v>
      </c>
      <c r="B33" s="212">
        <v>40032</v>
      </c>
      <c r="C33" s="62"/>
      <c r="D33" s="62"/>
    </row>
    <row r="34" spans="1:4">
      <c r="A34" s="209" t="s">
        <v>211</v>
      </c>
      <c r="B34" s="212">
        <v>41374</v>
      </c>
      <c r="C34" s="62"/>
      <c r="D34" s="62"/>
    </row>
    <row r="35" spans="1:4">
      <c r="A35" s="209" t="s">
        <v>212</v>
      </c>
      <c r="B35" s="212">
        <v>76008</v>
      </c>
      <c r="C35" s="62"/>
      <c r="D35" s="62"/>
    </row>
    <row r="36" spans="1:4">
      <c r="A36" s="209" t="s">
        <v>213</v>
      </c>
      <c r="B36" s="212">
        <v>342000</v>
      </c>
      <c r="C36" s="62"/>
      <c r="D36" s="62"/>
    </row>
    <row r="37" spans="1:4">
      <c r="A37" s="209" t="s">
        <v>214</v>
      </c>
      <c r="B37" s="212">
        <v>21819</v>
      </c>
      <c r="C37" s="62"/>
      <c r="D37" s="62"/>
    </row>
    <row r="38" spans="1:4" ht="24">
      <c r="A38" s="209" t="s">
        <v>215</v>
      </c>
      <c r="B38" s="212">
        <v>115991</v>
      </c>
      <c r="C38" s="62"/>
      <c r="D38" s="62"/>
    </row>
    <row r="39" spans="1:4" ht="24">
      <c r="A39" s="209" t="s">
        <v>216</v>
      </c>
      <c r="B39" s="212">
        <v>139078</v>
      </c>
      <c r="C39" s="62"/>
      <c r="D39" s="62"/>
    </row>
    <row r="40" spans="1:4" ht="24">
      <c r="A40" s="209" t="s">
        <v>217</v>
      </c>
      <c r="B40" s="212">
        <v>46011</v>
      </c>
      <c r="C40" s="62"/>
      <c r="D40" s="62"/>
    </row>
    <row r="41" spans="1:4">
      <c r="A41" s="209"/>
      <c r="B41" s="212"/>
      <c r="C41" s="62"/>
      <c r="D41" s="62"/>
    </row>
    <row r="42" spans="1:4">
      <c r="A42" s="209" t="s">
        <v>218</v>
      </c>
      <c r="B42" s="212">
        <v>54909</v>
      </c>
      <c r="C42" s="62"/>
      <c r="D42" s="62"/>
    </row>
    <row r="43" spans="1:4" ht="24">
      <c r="A43" s="209" t="s">
        <v>219</v>
      </c>
      <c r="B43" s="212">
        <v>17588</v>
      </c>
      <c r="C43" s="62"/>
      <c r="D43" s="62"/>
    </row>
    <row r="44" spans="1:4" ht="24">
      <c r="A44" s="209" t="s">
        <v>220</v>
      </c>
      <c r="B44" s="212">
        <v>60635</v>
      </c>
      <c r="C44" s="62"/>
      <c r="D44" s="62"/>
    </row>
    <row r="45" spans="1:4">
      <c r="A45" s="209" t="s">
        <v>221</v>
      </c>
      <c r="B45" s="212">
        <v>236227</v>
      </c>
      <c r="C45" s="62"/>
      <c r="D45" s="62"/>
    </row>
    <row r="46" spans="1:4">
      <c r="A46" s="209" t="s">
        <v>222</v>
      </c>
      <c r="B46" s="212">
        <v>80368</v>
      </c>
      <c r="C46" s="62"/>
      <c r="D46" s="62"/>
    </row>
    <row r="47" spans="1:4">
      <c r="A47" s="209" t="s">
        <v>223</v>
      </c>
      <c r="B47" s="212">
        <v>182437</v>
      </c>
      <c r="C47" s="62"/>
      <c r="D47" s="62"/>
    </row>
    <row r="48" spans="1:4">
      <c r="A48" s="209" t="s">
        <v>224</v>
      </c>
      <c r="B48" s="212">
        <v>109698</v>
      </c>
      <c r="C48" s="62"/>
      <c r="D48" s="62"/>
    </row>
    <row r="49" spans="1:4">
      <c r="A49" s="209" t="s">
        <v>225</v>
      </c>
      <c r="B49" s="212">
        <v>2040</v>
      </c>
      <c r="C49" s="62"/>
      <c r="D49" s="62"/>
    </row>
    <row r="50" spans="1:4">
      <c r="A50" s="209" t="s">
        <v>226</v>
      </c>
      <c r="B50" s="212">
        <v>16188</v>
      </c>
      <c r="C50" s="62"/>
      <c r="D50" s="62"/>
    </row>
    <row r="51" spans="1:4">
      <c r="A51" s="209" t="s">
        <v>227</v>
      </c>
      <c r="B51" s="212">
        <v>87486</v>
      </c>
      <c r="C51" s="62"/>
      <c r="D51" s="62"/>
    </row>
    <row r="52" spans="1:4">
      <c r="A52" s="209" t="s">
        <v>228</v>
      </c>
      <c r="B52" s="212">
        <v>37946</v>
      </c>
      <c r="C52" s="62"/>
      <c r="D52" s="62"/>
    </row>
    <row r="53" spans="1:4">
      <c r="A53" s="209" t="s">
        <v>229</v>
      </c>
      <c r="B53" s="212">
        <v>5551</v>
      </c>
      <c r="C53" s="62"/>
      <c r="D53" s="62"/>
    </row>
    <row r="54" spans="1:4">
      <c r="A54" s="209" t="s">
        <v>230</v>
      </c>
      <c r="B54" s="212">
        <v>15364</v>
      </c>
      <c r="C54" s="62"/>
      <c r="D54" s="62"/>
    </row>
    <row r="55" spans="1:4">
      <c r="A55" s="209" t="s">
        <v>231</v>
      </c>
      <c r="B55" s="213">
        <v>107213</v>
      </c>
      <c r="C55" s="62"/>
      <c r="D55" s="62"/>
    </row>
    <row r="56" spans="1:4">
      <c r="A56" s="209" t="s">
        <v>232</v>
      </c>
      <c r="B56" s="213">
        <v>73704</v>
      </c>
      <c r="C56" s="62"/>
      <c r="D56" s="62"/>
    </row>
    <row r="57" spans="1:4">
      <c r="A57" s="209" t="s">
        <v>233</v>
      </c>
      <c r="B57" s="212">
        <v>96322</v>
      </c>
      <c r="C57" s="62"/>
      <c r="D57" s="62"/>
    </row>
    <row r="58" spans="1:4">
      <c r="A58" s="209" t="s">
        <v>234</v>
      </c>
      <c r="B58" s="212">
        <v>28380</v>
      </c>
      <c r="C58" s="62"/>
      <c r="D58" s="62"/>
    </row>
    <row r="59" spans="1:4">
      <c r="A59" s="209" t="s">
        <v>235</v>
      </c>
      <c r="B59" s="212">
        <v>13893</v>
      </c>
      <c r="C59" s="62"/>
      <c r="D59" s="62"/>
    </row>
    <row r="60" spans="1:4">
      <c r="A60" s="209" t="s">
        <v>236</v>
      </c>
      <c r="B60" s="212">
        <v>13628</v>
      </c>
      <c r="C60" s="62"/>
      <c r="D60" s="62"/>
    </row>
    <row r="61" spans="1:4" ht="24">
      <c r="A61" s="209" t="s">
        <v>237</v>
      </c>
      <c r="B61" s="212">
        <v>8283</v>
      </c>
      <c r="C61" s="62"/>
      <c r="D61" s="62"/>
    </row>
    <row r="62" spans="1:4">
      <c r="A62" s="209" t="s">
        <v>238</v>
      </c>
      <c r="B62" s="212">
        <v>2943</v>
      </c>
      <c r="C62" s="62"/>
      <c r="D62" s="62"/>
    </row>
    <row r="63" spans="1:4">
      <c r="A63" s="209" t="s">
        <v>239</v>
      </c>
      <c r="B63" s="212">
        <v>103976</v>
      </c>
      <c r="C63" s="62"/>
      <c r="D63" s="62"/>
    </row>
    <row r="64" spans="1:4">
      <c r="A64" s="209" t="s">
        <v>240</v>
      </c>
      <c r="B64" s="212">
        <v>39320</v>
      </c>
      <c r="C64" s="62"/>
      <c r="D64" s="62"/>
    </row>
    <row r="65" spans="1:4">
      <c r="A65" s="211"/>
      <c r="B65" s="209"/>
      <c r="C65" s="62"/>
      <c r="D65" s="62"/>
    </row>
    <row r="66" spans="1:4">
      <c r="A66" s="209" t="s">
        <v>244</v>
      </c>
      <c r="B66" s="209"/>
      <c r="C66" s="62"/>
      <c r="D66" s="62"/>
    </row>
    <row r="67" spans="1:4">
      <c r="A67" s="209" t="s">
        <v>245</v>
      </c>
      <c r="B67" s="209"/>
      <c r="C67" s="62"/>
      <c r="D67" s="62"/>
    </row>
    <row r="68" spans="1:4">
      <c r="A68" s="209" t="s">
        <v>246</v>
      </c>
      <c r="B68" s="209"/>
      <c r="C68" s="62"/>
      <c r="D68" s="62"/>
    </row>
    <row r="69" spans="1:4">
      <c r="A69" s="209"/>
      <c r="B69" s="209"/>
      <c r="C69" s="62"/>
      <c r="D69" s="62"/>
    </row>
    <row r="70" spans="1:4">
      <c r="A70" s="62"/>
      <c r="B70" s="62"/>
      <c r="C70" s="62"/>
      <c r="D70" s="62"/>
    </row>
    <row r="71" spans="1:4">
      <c r="A71" s="62"/>
      <c r="B71" s="62"/>
      <c r="C71" s="62"/>
      <c r="D71" s="62"/>
    </row>
    <row r="72" spans="1:4">
      <c r="A72" s="62"/>
      <c r="B72" s="62"/>
      <c r="C72" s="62"/>
      <c r="D72" s="62"/>
    </row>
    <row r="73" spans="1:4">
      <c r="A73" s="62"/>
      <c r="B73" s="62"/>
      <c r="C73" s="62"/>
      <c r="D73" s="62"/>
    </row>
    <row r="74" spans="1:4">
      <c r="A74" s="62"/>
      <c r="B74" s="62"/>
      <c r="C74" s="62"/>
      <c r="D74" s="62"/>
    </row>
    <row r="75" spans="1:4">
      <c r="A75" s="62"/>
      <c r="B75" s="62"/>
      <c r="C75" s="62"/>
      <c r="D75" s="62"/>
    </row>
    <row r="76" spans="1:4">
      <c r="A76" s="62"/>
      <c r="B76" s="62"/>
      <c r="C76" s="62"/>
      <c r="D76" s="62"/>
    </row>
    <row r="77" spans="1:4">
      <c r="A77" s="62"/>
      <c r="B77" s="62"/>
      <c r="C77" s="62"/>
      <c r="D77" s="62"/>
    </row>
    <row r="78" spans="1:4">
      <c r="A78" s="211"/>
      <c r="B78" s="211"/>
      <c r="C78" s="62"/>
      <c r="D78" s="62"/>
    </row>
    <row r="79" spans="1:4">
      <c r="A79" s="211"/>
      <c r="B79" s="211"/>
      <c r="C79" s="62"/>
      <c r="D79" s="62"/>
    </row>
    <row r="80" spans="1:4">
      <c r="A80" s="211"/>
      <c r="B80" s="211"/>
      <c r="C80" s="62"/>
      <c r="D80" s="62"/>
    </row>
    <row r="81" spans="1:4">
      <c r="A81" s="211"/>
      <c r="B81" s="211"/>
      <c r="C81" s="62"/>
      <c r="D81" s="62"/>
    </row>
    <row r="82" spans="1:4">
      <c r="A82" s="211"/>
      <c r="B82" s="211"/>
      <c r="C82" s="62"/>
      <c r="D82" s="62"/>
    </row>
    <row r="83" spans="1:4">
      <c r="A83" s="211"/>
      <c r="B83" s="211"/>
      <c r="C83" s="62"/>
      <c r="D83" s="62"/>
    </row>
    <row r="84" spans="1:4">
      <c r="A84" s="211"/>
      <c r="B84" s="211"/>
      <c r="C84" s="62"/>
      <c r="D84" s="62"/>
    </row>
    <row r="85" spans="1:4">
      <c r="A85" s="211"/>
      <c r="B85" s="211"/>
      <c r="C85" s="62"/>
      <c r="D85" s="62"/>
    </row>
    <row r="86" spans="1:4">
      <c r="A86" s="211"/>
      <c r="B86" s="211"/>
      <c r="C86" s="62"/>
      <c r="D86" s="62"/>
    </row>
    <row r="87" spans="1:4">
      <c r="A87" s="211"/>
      <c r="B87" s="211"/>
      <c r="C87" s="62"/>
      <c r="D87" s="62"/>
    </row>
    <row r="88" spans="1:4">
      <c r="A88" s="211"/>
      <c r="B88" s="211"/>
      <c r="C88" s="62"/>
      <c r="D88" s="62"/>
    </row>
    <row r="89" spans="1:4">
      <c r="A89" s="211"/>
      <c r="B89" s="211"/>
      <c r="C89" s="62"/>
      <c r="D89" s="62"/>
    </row>
    <row r="90" spans="1:4">
      <c r="A90" s="211"/>
      <c r="B90" s="211"/>
      <c r="C90" s="62"/>
      <c r="D90" s="62"/>
    </row>
    <row r="91" spans="1:4">
      <c r="A91" s="211"/>
      <c r="B91" s="211"/>
      <c r="C91" s="62"/>
      <c r="D91" s="62"/>
    </row>
    <row r="92" spans="1:4">
      <c r="A92" s="211"/>
      <c r="B92" s="211"/>
      <c r="C92" s="62"/>
      <c r="D92" s="62"/>
    </row>
    <row r="93" spans="1:4">
      <c r="A93" s="211"/>
      <c r="B93" s="211"/>
      <c r="C93" s="62"/>
      <c r="D93" s="62"/>
    </row>
    <row r="94" spans="1:4">
      <c r="A94" s="211"/>
      <c r="B94" s="211"/>
      <c r="C94" s="62"/>
      <c r="D94" s="62"/>
    </row>
    <row r="95" spans="1:4">
      <c r="A95" s="62"/>
      <c r="B95" s="62"/>
      <c r="C95" s="62"/>
      <c r="D95" s="62"/>
    </row>
    <row r="96" spans="1:4">
      <c r="A96" s="62"/>
      <c r="B96" s="62"/>
      <c r="C96" s="62"/>
      <c r="D96" s="62"/>
    </row>
    <row r="97" spans="1:4">
      <c r="A97" s="211"/>
      <c r="B97" s="211"/>
      <c r="C97" s="62"/>
      <c r="D97" s="62"/>
    </row>
    <row r="98" spans="1:4">
      <c r="A98" s="211"/>
      <c r="B98" s="211"/>
      <c r="C98" s="62"/>
      <c r="D98" s="62"/>
    </row>
    <row r="99" spans="1:4">
      <c r="A99" s="62"/>
      <c r="B99" s="62"/>
      <c r="C99" s="62"/>
      <c r="D99" s="62"/>
    </row>
    <row r="100" spans="1:4">
      <c r="A100" s="62"/>
      <c r="B100" s="62"/>
      <c r="C100" s="62"/>
      <c r="D100" s="62"/>
    </row>
    <row r="101" spans="1:4">
      <c r="A101" s="62"/>
      <c r="B101" s="62"/>
      <c r="C101" s="62"/>
      <c r="D101" s="62"/>
    </row>
    <row r="102" spans="1:4">
      <c r="A102" s="62"/>
      <c r="B102" s="62"/>
      <c r="C102" s="62"/>
      <c r="D102" s="62"/>
    </row>
    <row r="103" spans="1:4">
      <c r="A103" s="211"/>
      <c r="B103" s="211"/>
      <c r="C103" s="62"/>
      <c r="D103" s="62"/>
    </row>
    <row r="104" spans="1:4">
      <c r="A104" s="211"/>
      <c r="B104" s="211"/>
      <c r="C104" s="62"/>
      <c r="D104" s="62"/>
    </row>
    <row r="105" spans="1:4">
      <c r="A105" s="211"/>
      <c r="B105" s="211"/>
      <c r="C105" s="62"/>
      <c r="D105" s="62"/>
    </row>
    <row r="106" spans="1:4">
      <c r="A106" s="211"/>
      <c r="B106" s="211"/>
      <c r="C106" s="62"/>
      <c r="D106" s="62"/>
    </row>
    <row r="107" spans="1:4">
      <c r="A107" s="211"/>
      <c r="B107" s="211"/>
      <c r="C107" s="62"/>
      <c r="D107" s="62"/>
    </row>
    <row r="108" spans="1:4">
      <c r="A108" s="211"/>
      <c r="B108" s="211"/>
      <c r="C108" s="62"/>
      <c r="D108" s="62"/>
    </row>
    <row r="109" spans="1:4">
      <c r="A109" s="211"/>
      <c r="B109" s="211"/>
      <c r="C109" s="62"/>
      <c r="D109" s="62"/>
    </row>
    <row r="110" spans="1:4">
      <c r="A110" s="211"/>
      <c r="B110" s="211"/>
      <c r="C110" s="62"/>
      <c r="D110" s="62"/>
    </row>
    <row r="111" spans="1:4">
      <c r="A111" s="211"/>
      <c r="B111" s="211"/>
      <c r="C111" s="62"/>
      <c r="D111" s="62"/>
    </row>
    <row r="112" spans="1:4">
      <c r="A112" s="211"/>
      <c r="B112" s="211"/>
      <c r="C112" s="62"/>
      <c r="D112" s="62"/>
    </row>
    <row r="113" spans="1:4">
      <c r="A113" s="211"/>
      <c r="B113" s="211"/>
      <c r="C113" s="62"/>
      <c r="D113" s="62"/>
    </row>
    <row r="114" spans="1:4">
      <c r="A114" s="211"/>
      <c r="B114" s="211"/>
      <c r="C114" s="62"/>
      <c r="D114" s="62"/>
    </row>
    <row r="115" spans="1:4">
      <c r="A115" s="211"/>
      <c r="B115" s="211"/>
      <c r="C115" s="62"/>
      <c r="D115" s="62"/>
    </row>
    <row r="116" spans="1:4">
      <c r="A116" s="211"/>
      <c r="B116" s="211"/>
      <c r="C116" s="62"/>
      <c r="D116" s="62"/>
    </row>
    <row r="117" spans="1:4">
      <c r="A117" s="62"/>
      <c r="B117" s="62"/>
      <c r="C117" s="62"/>
      <c r="D117" s="62"/>
    </row>
    <row r="118" spans="1:4">
      <c r="A118" s="211"/>
      <c r="B118" s="211"/>
      <c r="C118" s="62"/>
      <c r="D118" s="62"/>
    </row>
    <row r="119" spans="1:4">
      <c r="A119" s="62"/>
      <c r="B119" s="62"/>
      <c r="C119" s="62"/>
      <c r="D119" s="62"/>
    </row>
    <row r="120" spans="1:4">
      <c r="A120" s="62"/>
      <c r="B120" s="62"/>
      <c r="C120" s="62"/>
      <c r="D120" s="62"/>
    </row>
    <row r="121" spans="1:4">
      <c r="A121" s="211"/>
      <c r="B121" s="211"/>
      <c r="C121" s="62"/>
      <c r="D121" s="62"/>
    </row>
    <row r="122" spans="1:4">
      <c r="A122" s="211"/>
      <c r="B122" s="211"/>
      <c r="C122" s="62"/>
      <c r="D122" s="62"/>
    </row>
    <row r="123" spans="1:4">
      <c r="A123" s="211"/>
      <c r="B123" s="211"/>
      <c r="C123" s="62"/>
      <c r="D123" s="62"/>
    </row>
    <row r="124" spans="1:4">
      <c r="A124" s="211"/>
      <c r="B124" s="211"/>
      <c r="C124" s="62"/>
      <c r="D124" s="62"/>
    </row>
    <row r="125" spans="1:4">
      <c r="A125" s="211"/>
      <c r="B125" s="211"/>
      <c r="C125" s="62"/>
      <c r="D125" s="62"/>
    </row>
    <row r="126" spans="1:4">
      <c r="A126" s="62"/>
      <c r="B126" s="62"/>
      <c r="C126" s="62"/>
      <c r="D126" s="62"/>
    </row>
    <row r="127" spans="1:4">
      <c r="A127" s="62"/>
      <c r="B127" s="62"/>
      <c r="C127" s="62"/>
      <c r="D127" s="62"/>
    </row>
    <row r="128" spans="1:4">
      <c r="A128" s="62"/>
      <c r="B128" s="62"/>
      <c r="C128" s="62"/>
      <c r="D128" s="62"/>
    </row>
    <row r="129" spans="1:4">
      <c r="A129" s="62"/>
      <c r="B129" s="62"/>
      <c r="C129" s="62"/>
      <c r="D129" s="62"/>
    </row>
    <row r="130" spans="1:4">
      <c r="A130" s="62"/>
      <c r="B130" s="62"/>
      <c r="C130" s="62"/>
      <c r="D130" s="62"/>
    </row>
    <row r="131" spans="1:4">
      <c r="A131" s="62"/>
      <c r="B131" s="62"/>
      <c r="C131" s="62"/>
      <c r="D131" s="62"/>
    </row>
    <row r="132" spans="1:4">
      <c r="A132" s="62"/>
      <c r="B132" s="62"/>
      <c r="C132" s="62"/>
      <c r="D132" s="62"/>
    </row>
    <row r="133" spans="1:4">
      <c r="A133" s="62"/>
      <c r="B133" s="62"/>
      <c r="C133" s="62"/>
      <c r="D133" s="62"/>
    </row>
    <row r="134" spans="1:4">
      <c r="A134" s="62"/>
      <c r="B134" s="62"/>
      <c r="C134" s="62"/>
      <c r="D134" s="62"/>
    </row>
    <row r="135" spans="1:4">
      <c r="A135" s="62"/>
      <c r="B135" s="62"/>
      <c r="C135" s="62"/>
      <c r="D135" s="62"/>
    </row>
    <row r="136" spans="1:4">
      <c r="A136" s="62"/>
      <c r="B136" s="62"/>
      <c r="C136" s="62"/>
      <c r="D136" s="62"/>
    </row>
    <row r="137" spans="1:4">
      <c r="A137" s="62"/>
      <c r="B137" s="62"/>
      <c r="C137" s="62"/>
      <c r="D137" s="62"/>
    </row>
    <row r="138" spans="1:4">
      <c r="A138" s="62"/>
      <c r="B138" s="62"/>
      <c r="C138" s="62"/>
      <c r="D138" s="62"/>
    </row>
    <row r="139" spans="1:4">
      <c r="A139" s="62"/>
      <c r="B139" s="62"/>
      <c r="C139" s="62"/>
      <c r="D139" s="62"/>
    </row>
    <row r="140" spans="1:4">
      <c r="A140" s="62"/>
      <c r="B140" s="62"/>
      <c r="C140" s="62"/>
      <c r="D140" s="62"/>
    </row>
    <row r="141" spans="1:4">
      <c r="A141" s="62"/>
      <c r="B141" s="62"/>
      <c r="C141" s="62"/>
      <c r="D141" s="62"/>
    </row>
    <row r="142" spans="1:4">
      <c r="A142" s="62"/>
      <c r="B142" s="62"/>
      <c r="C142" s="62"/>
      <c r="D142" s="62"/>
    </row>
    <row r="143" spans="1:4">
      <c r="A143" s="62"/>
      <c r="B143" s="62"/>
      <c r="C143" s="62"/>
      <c r="D143" s="62"/>
    </row>
    <row r="144" spans="1:4">
      <c r="A144" s="62"/>
      <c r="B144" s="62"/>
      <c r="C144" s="62"/>
      <c r="D144" s="62"/>
    </row>
    <row r="145" spans="1:4">
      <c r="A145" s="62"/>
      <c r="B145" s="62"/>
      <c r="C145" s="62"/>
      <c r="D145" s="62"/>
    </row>
    <row r="146" spans="1:4">
      <c r="A146" s="62"/>
      <c r="B146" s="62"/>
      <c r="C146" s="62"/>
      <c r="D146" s="62"/>
    </row>
    <row r="147" spans="1:4">
      <c r="A147" s="62"/>
      <c r="B147" s="62"/>
      <c r="C147" s="62"/>
      <c r="D147" s="62"/>
    </row>
  </sheetData>
  <pageMargins left="0.75" right="0.75" top="1" bottom="1" header="0.5" footer="0.5"/>
  <pageSetup orientation="portrait" horizontalDpi="4294967292" verticalDpi="429496729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112"/>
  <sheetViews>
    <sheetView topLeftCell="A56" workbookViewId="0">
      <selection sqref="A1:P125"/>
    </sheetView>
  </sheetViews>
  <sheetFormatPr defaultColWidth="11" defaultRowHeight="15.75"/>
  <cols>
    <col min="2" max="2" width="36.625" customWidth="1"/>
    <col min="9" max="9" width="26.375" customWidth="1"/>
    <col min="11" max="11" width="11.625" customWidth="1"/>
    <col min="20" max="20" width="19.875" customWidth="1"/>
  </cols>
  <sheetData>
    <row r="1" spans="2:14">
      <c r="B1" t="s">
        <v>263</v>
      </c>
      <c r="I1" t="s">
        <v>862</v>
      </c>
    </row>
    <row r="3" spans="2:14">
      <c r="B3" t="s">
        <v>1036</v>
      </c>
      <c r="I3" t="s">
        <v>1037</v>
      </c>
    </row>
    <row r="5" spans="2:14">
      <c r="B5" s="10" t="s">
        <v>1038</v>
      </c>
      <c r="C5" s="389"/>
      <c r="D5" s="389"/>
      <c r="E5" s="389"/>
      <c r="F5" s="389"/>
      <c r="G5" s="389"/>
      <c r="I5" s="10" t="s">
        <v>857</v>
      </c>
      <c r="J5" s="389"/>
      <c r="K5" s="389"/>
      <c r="L5" s="389"/>
      <c r="M5" s="389"/>
      <c r="N5" s="389"/>
    </row>
    <row r="6" spans="2:14" ht="31.5">
      <c r="B6" s="479"/>
      <c r="C6" s="985" t="s">
        <v>858</v>
      </c>
      <c r="D6" s="985" t="s">
        <v>790</v>
      </c>
      <c r="E6" s="985" t="s">
        <v>859</v>
      </c>
      <c r="F6" s="985" t="s">
        <v>860</v>
      </c>
      <c r="G6" s="986" t="s">
        <v>748</v>
      </c>
      <c r="I6" s="479"/>
      <c r="J6" s="985" t="s">
        <v>858</v>
      </c>
      <c r="K6" s="985" t="s">
        <v>790</v>
      </c>
      <c r="L6" s="985" t="s">
        <v>859</v>
      </c>
      <c r="M6" s="985" t="s">
        <v>860</v>
      </c>
      <c r="N6" s="986" t="s">
        <v>748</v>
      </c>
    </row>
    <row r="7" spans="2:14">
      <c r="B7" s="989" t="s">
        <v>538</v>
      </c>
      <c r="C7" s="987">
        <v>0.73825523572651897</v>
      </c>
      <c r="D7" s="987">
        <v>1.3814582627890051</v>
      </c>
      <c r="E7" s="987">
        <v>2.729632612875367</v>
      </c>
      <c r="F7" s="987">
        <v>2.9165348264629047</v>
      </c>
      <c r="G7" s="987"/>
      <c r="I7" s="989" t="s">
        <v>538</v>
      </c>
      <c r="J7" s="987">
        <v>0.94285804588777133</v>
      </c>
      <c r="K7" s="1165">
        <v>1.35</v>
      </c>
      <c r="L7" s="1165">
        <v>2.65</v>
      </c>
      <c r="M7" s="1165">
        <v>3.25</v>
      </c>
      <c r="N7" s="389"/>
    </row>
    <row r="8" spans="2:14">
      <c r="B8" s="989" t="s">
        <v>6</v>
      </c>
      <c r="C8" s="987">
        <v>0.61576638800854122</v>
      </c>
      <c r="D8" s="987">
        <v>0.92029535976171861</v>
      </c>
      <c r="E8" s="987">
        <v>1.7073273464509895</v>
      </c>
      <c r="F8" s="987">
        <v>4.1733890097133033</v>
      </c>
      <c r="G8" s="987"/>
      <c r="I8" s="989" t="s">
        <v>6</v>
      </c>
      <c r="J8" s="987">
        <v>0.75960672057781731</v>
      </c>
      <c r="K8" s="1165">
        <v>1</v>
      </c>
      <c r="L8" s="1165">
        <v>2.0499999999999998</v>
      </c>
      <c r="M8" s="1165">
        <v>4.95</v>
      </c>
      <c r="N8" s="389"/>
    </row>
    <row r="9" spans="2:14">
      <c r="B9" s="989" t="s">
        <v>8</v>
      </c>
      <c r="C9" s="987">
        <v>0.78234378161025708</v>
      </c>
      <c r="D9" s="987">
        <v>0.93742665362039157</v>
      </c>
      <c r="E9" s="987">
        <v>1.4597833437439227</v>
      </c>
      <c r="F9" s="987">
        <v>2.5274364485170504</v>
      </c>
      <c r="G9" s="987"/>
      <c r="I9" s="989" t="s">
        <v>8</v>
      </c>
      <c r="J9" s="987">
        <v>0.85916654384777491</v>
      </c>
      <c r="K9" s="1165">
        <v>1.1000000000000001</v>
      </c>
      <c r="L9" s="1165">
        <v>1.6</v>
      </c>
      <c r="M9" s="1165">
        <v>2.9</v>
      </c>
      <c r="N9" s="389"/>
    </row>
    <row r="10" spans="2:14">
      <c r="B10" s="990" t="s">
        <v>2</v>
      </c>
      <c r="C10" s="1166">
        <v>0.68615868064819785</v>
      </c>
      <c r="D10" s="1223">
        <v>1.3839999999999999</v>
      </c>
      <c r="E10" s="1166">
        <v>2.5215181068519161</v>
      </c>
      <c r="F10" s="1166">
        <v>2.5357100841546707</v>
      </c>
      <c r="G10" s="1166"/>
      <c r="I10" s="990" t="s">
        <v>2</v>
      </c>
      <c r="J10" s="1166">
        <v>1.1220789127479602</v>
      </c>
      <c r="K10" s="1167">
        <v>1.5</v>
      </c>
      <c r="L10" s="1167">
        <v>2.7</v>
      </c>
      <c r="M10" s="1167">
        <v>2.7</v>
      </c>
      <c r="N10" s="993"/>
    </row>
    <row r="11" spans="2:14">
      <c r="B11" s="989" t="s">
        <v>1173</v>
      </c>
      <c r="C11" s="987"/>
      <c r="D11" s="987"/>
      <c r="E11" s="987">
        <v>5.8710151352874629</v>
      </c>
      <c r="F11" s="987">
        <v>3.1256203051170219</v>
      </c>
      <c r="G11" s="1223">
        <v>8.2690000000000001</v>
      </c>
      <c r="I11" s="989" t="s">
        <v>10</v>
      </c>
      <c r="J11" s="987"/>
      <c r="K11" s="1165"/>
      <c r="L11" s="389"/>
      <c r="M11" s="1165">
        <v>4.9000000000000004</v>
      </c>
      <c r="N11" s="1165">
        <v>9.3000000000000007</v>
      </c>
    </row>
    <row r="12" spans="2:14">
      <c r="B12" s="989" t="s">
        <v>4</v>
      </c>
      <c r="C12" s="987">
        <v>0.7842708946636604</v>
      </c>
      <c r="D12" s="987">
        <v>1.1402031631853178</v>
      </c>
      <c r="E12" s="987">
        <v>2.5189298202715129</v>
      </c>
      <c r="F12" s="987">
        <v>2.9906187797930048</v>
      </c>
      <c r="G12" s="987"/>
      <c r="I12" s="989" t="s">
        <v>4</v>
      </c>
      <c r="J12" s="987">
        <v>0.95885221991185321</v>
      </c>
      <c r="K12" s="1165">
        <v>1.4</v>
      </c>
      <c r="L12" s="1165">
        <v>2.75</v>
      </c>
      <c r="M12" s="1165">
        <v>3.35</v>
      </c>
      <c r="N12" s="389"/>
    </row>
    <row r="13" spans="2:14">
      <c r="B13" s="989" t="s">
        <v>14</v>
      </c>
      <c r="C13" s="987"/>
      <c r="D13" s="987"/>
      <c r="E13" s="987">
        <v>2.6585575928061984</v>
      </c>
      <c r="F13" s="987">
        <v>2.8753859676822429</v>
      </c>
      <c r="G13" s="987"/>
      <c r="I13" s="989" t="s">
        <v>14</v>
      </c>
      <c r="J13" s="987">
        <v>0.99455274247883108</v>
      </c>
      <c r="K13" s="1165">
        <v>1.25</v>
      </c>
      <c r="L13" s="1165">
        <v>2.9</v>
      </c>
      <c r="M13" s="1165">
        <v>3.1</v>
      </c>
      <c r="N13" s="389"/>
    </row>
    <row r="14" spans="2:14">
      <c r="B14" s="990" t="s">
        <v>17</v>
      </c>
      <c r="C14" s="1166">
        <v>0.62524737129045094</v>
      </c>
      <c r="D14" s="1166">
        <v>0.9661071118879152</v>
      </c>
      <c r="E14" s="1166">
        <v>2.0712334710740294</v>
      </c>
      <c r="F14" s="1166">
        <v>3.1926454095378611</v>
      </c>
      <c r="G14" s="1166"/>
      <c r="I14" s="990" t="s">
        <v>17</v>
      </c>
      <c r="J14" s="1166">
        <v>0.75288725579887528</v>
      </c>
      <c r="K14" s="1167">
        <v>1.1000000000000001</v>
      </c>
      <c r="L14" s="1167">
        <v>2.4</v>
      </c>
      <c r="M14" s="1167">
        <v>3.6</v>
      </c>
      <c r="N14" s="993"/>
    </row>
    <row r="15" spans="2:14">
      <c r="B15" s="989" t="s">
        <v>1174</v>
      </c>
      <c r="C15" s="987"/>
      <c r="D15" s="987"/>
      <c r="E15" s="987">
        <v>2.3077760272136798</v>
      </c>
      <c r="F15" s="987">
        <v>0</v>
      </c>
      <c r="G15" s="1223">
        <v>12.77</v>
      </c>
      <c r="I15" s="989" t="s">
        <v>324</v>
      </c>
      <c r="J15" s="987"/>
      <c r="K15" s="1165"/>
      <c r="L15" s="389"/>
      <c r="M15" s="1165"/>
      <c r="N15" s="1165">
        <v>14.45</v>
      </c>
    </row>
    <row r="16" spans="2:14">
      <c r="B16" s="989" t="s">
        <v>7</v>
      </c>
      <c r="C16" s="987">
        <v>0.92433615746192432</v>
      </c>
      <c r="D16" s="987">
        <v>1.3839999999999999</v>
      </c>
      <c r="E16" s="987">
        <v>2.5832720468437356</v>
      </c>
      <c r="F16" s="987">
        <v>3.0883153658922646</v>
      </c>
      <c r="G16" s="987"/>
      <c r="I16" s="989" t="s">
        <v>7</v>
      </c>
      <c r="J16" s="987">
        <v>1.2710391272693993</v>
      </c>
      <c r="K16" s="1165">
        <v>1.6</v>
      </c>
      <c r="L16" s="1165">
        <v>3.05</v>
      </c>
      <c r="M16" s="1165">
        <v>3.4</v>
      </c>
      <c r="N16" s="389"/>
    </row>
    <row r="17" spans="2:14">
      <c r="B17" s="989" t="s">
        <v>9</v>
      </c>
      <c r="C17" s="987">
        <v>0.60760924440702391</v>
      </c>
      <c r="D17" s="987">
        <v>0.88220300342126901</v>
      </c>
      <c r="E17" s="987">
        <v>2.2323857203999244</v>
      </c>
      <c r="F17" s="987">
        <v>3.0089142683525476</v>
      </c>
      <c r="G17" s="987"/>
      <c r="I17" s="989" t="s">
        <v>9</v>
      </c>
      <c r="J17" s="987">
        <v>0.76698652424036284</v>
      </c>
      <c r="K17" s="1165">
        <v>1.05</v>
      </c>
      <c r="L17" s="1165">
        <v>2.65</v>
      </c>
      <c r="M17" s="1165">
        <v>4.25</v>
      </c>
      <c r="N17" s="389"/>
    </row>
    <row r="18" spans="2:14">
      <c r="B18" s="990" t="s">
        <v>5</v>
      </c>
      <c r="C18" s="1166">
        <v>0.68584674669160639</v>
      </c>
      <c r="D18" s="1223">
        <v>1.3843882959939655</v>
      </c>
      <c r="E18" s="1166">
        <v>2.768615670287919</v>
      </c>
      <c r="F18" s="1166">
        <v>2.9612257167589449</v>
      </c>
      <c r="G18" s="1166"/>
      <c r="I18" s="990" t="s">
        <v>5</v>
      </c>
      <c r="J18" s="1166">
        <v>1.0217612541626939</v>
      </c>
      <c r="K18" s="1167">
        <v>1.5</v>
      </c>
      <c r="L18" s="1167">
        <v>2.9</v>
      </c>
      <c r="M18" s="1167">
        <v>3.4</v>
      </c>
      <c r="N18" s="993"/>
    </row>
    <row r="19" spans="2:14">
      <c r="B19" s="989"/>
      <c r="C19" s="987"/>
      <c r="D19" s="987"/>
      <c r="E19" s="987"/>
      <c r="F19" s="987"/>
      <c r="G19" s="987"/>
      <c r="I19" s="989"/>
      <c r="J19" s="389"/>
      <c r="K19" s="389"/>
      <c r="L19" s="389"/>
      <c r="M19" s="389"/>
      <c r="N19" s="389"/>
    </row>
    <row r="20" spans="2:14">
      <c r="B20" s="989" t="s">
        <v>541</v>
      </c>
      <c r="C20" s="987"/>
      <c r="D20" s="987"/>
      <c r="E20" s="987"/>
      <c r="F20" s="987"/>
      <c r="G20" s="987"/>
      <c r="I20" s="989" t="s">
        <v>541</v>
      </c>
      <c r="J20" s="389"/>
      <c r="K20" s="389"/>
      <c r="L20" s="389"/>
      <c r="M20" s="389"/>
      <c r="N20" s="389"/>
    </row>
    <row r="21" spans="2:14">
      <c r="B21" s="989" t="s">
        <v>563</v>
      </c>
      <c r="C21" s="987"/>
      <c r="D21" s="987"/>
      <c r="E21" s="987"/>
      <c r="F21" s="987"/>
      <c r="G21" s="987"/>
      <c r="I21" s="989" t="s">
        <v>563</v>
      </c>
      <c r="J21" s="389"/>
      <c r="K21" s="389"/>
      <c r="L21" s="389"/>
      <c r="M21" s="389"/>
      <c r="N21" s="389"/>
    </row>
    <row r="22" spans="2:14">
      <c r="B22" s="990" t="s">
        <v>543</v>
      </c>
      <c r="C22" s="1166"/>
      <c r="D22" s="1166"/>
      <c r="E22" s="1166"/>
      <c r="F22" s="1166"/>
      <c r="G22" s="1166"/>
      <c r="I22" s="990" t="s">
        <v>543</v>
      </c>
      <c r="J22" s="993"/>
      <c r="K22" s="993"/>
      <c r="L22" s="993"/>
      <c r="M22" s="993"/>
      <c r="N22" s="993"/>
    </row>
    <row r="23" spans="2:14">
      <c r="B23" s="989" t="s">
        <v>562</v>
      </c>
      <c r="C23" s="389"/>
      <c r="D23" s="389"/>
      <c r="E23" s="389"/>
      <c r="F23" s="389"/>
      <c r="G23" s="389"/>
      <c r="I23" s="989" t="s">
        <v>562</v>
      </c>
      <c r="J23" s="389"/>
      <c r="K23" s="389"/>
      <c r="L23" s="389"/>
      <c r="M23" s="389"/>
      <c r="N23" s="389"/>
    </row>
    <row r="24" spans="2:14">
      <c r="B24" s="991" t="s">
        <v>545</v>
      </c>
      <c r="C24" s="389"/>
      <c r="D24" s="987"/>
      <c r="E24" s="389"/>
      <c r="F24" s="389"/>
      <c r="G24" s="389"/>
      <c r="I24" s="991" t="s">
        <v>545</v>
      </c>
      <c r="J24" s="389"/>
      <c r="K24" s="987"/>
      <c r="L24" s="389"/>
      <c r="M24" s="389"/>
      <c r="N24" s="389"/>
    </row>
    <row r="25" spans="2:14">
      <c r="B25" s="991" t="s">
        <v>873</v>
      </c>
      <c r="C25" s="995">
        <v>0.70499999999999996</v>
      </c>
      <c r="D25" s="995">
        <v>1.0169999999999999</v>
      </c>
      <c r="E25" s="995">
        <v>2.0489999999999999</v>
      </c>
      <c r="F25" s="995">
        <v>2.8679999999999999</v>
      </c>
      <c r="G25" s="995"/>
      <c r="I25" s="991" t="s">
        <v>750</v>
      </c>
      <c r="J25" s="984">
        <v>0.96891636886764676</v>
      </c>
      <c r="K25" s="984">
        <v>1.3798349028343588</v>
      </c>
      <c r="L25" s="984">
        <v>2.736877276549627</v>
      </c>
      <c r="M25" s="984">
        <v>3.4678006112961137</v>
      </c>
      <c r="N25" s="389"/>
    </row>
    <row r="26" spans="2:14" ht="16.5" thickBot="1">
      <c r="B26" s="992" t="s">
        <v>751</v>
      </c>
      <c r="C26" s="1162">
        <f>C25/$C25</f>
        <v>1</v>
      </c>
      <c r="D26" s="1162">
        <f>D25/$C25</f>
        <v>1.4425531914893617</v>
      </c>
      <c r="E26" s="1162">
        <f>E25/$C25</f>
        <v>2.9063829787234043</v>
      </c>
      <c r="F26" s="1162">
        <f>F25/$C25</f>
        <v>4.0680851063829788</v>
      </c>
      <c r="G26" s="1162"/>
      <c r="I26" s="992" t="s">
        <v>751</v>
      </c>
      <c r="J26" s="1168">
        <v>1</v>
      </c>
      <c r="K26" s="1168">
        <v>1.4241011372807586</v>
      </c>
      <c r="L26" s="1168">
        <v>2.8246785424299943</v>
      </c>
      <c r="M26" s="1168">
        <v>3.5790504967408725</v>
      </c>
      <c r="N26" s="1169"/>
    </row>
    <row r="27" spans="2:14" ht="16.5" thickTop="1">
      <c r="B27" s="991"/>
      <c r="C27" s="984"/>
      <c r="D27" s="984"/>
      <c r="E27" s="984"/>
      <c r="F27" s="988"/>
      <c r="G27" s="389"/>
      <c r="I27" s="991"/>
      <c r="J27" s="984"/>
      <c r="K27" s="984"/>
      <c r="L27" s="984"/>
      <c r="M27" s="988"/>
      <c r="N27" s="389"/>
    </row>
    <row r="28" spans="2:14">
      <c r="B28" s="991" t="s">
        <v>1175</v>
      </c>
      <c r="C28" s="984"/>
      <c r="D28" s="984"/>
      <c r="E28" s="984"/>
      <c r="F28" s="988"/>
      <c r="G28" s="389"/>
      <c r="I28" s="991"/>
      <c r="J28" s="984"/>
      <c r="K28" s="984"/>
      <c r="L28" s="984"/>
      <c r="M28" s="988"/>
      <c r="N28" s="389"/>
    </row>
    <row r="29" spans="2:14">
      <c r="B29" s="991"/>
      <c r="C29" s="984"/>
      <c r="D29" s="984"/>
      <c r="E29" s="984"/>
      <c r="F29" s="988"/>
      <c r="G29" s="389"/>
      <c r="I29" s="991"/>
      <c r="J29" s="984"/>
      <c r="K29" s="984"/>
      <c r="L29" s="984"/>
      <c r="M29" s="988"/>
      <c r="N29" s="389"/>
    </row>
    <row r="30" spans="2:14">
      <c r="B30" s="389"/>
      <c r="C30" s="389"/>
      <c r="D30" s="389"/>
      <c r="E30" s="389"/>
      <c r="F30" s="389"/>
      <c r="G30" s="389"/>
      <c r="I30" s="389"/>
      <c r="J30" s="389"/>
      <c r="K30" s="389"/>
      <c r="L30" s="389"/>
      <c r="M30" s="389"/>
      <c r="N30" s="389"/>
    </row>
    <row r="31" spans="2:14">
      <c r="B31" s="10" t="s">
        <v>861</v>
      </c>
      <c r="C31" s="389"/>
      <c r="D31" s="389"/>
      <c r="E31" s="389"/>
      <c r="F31" s="389"/>
      <c r="G31" s="389"/>
      <c r="I31" s="10" t="s">
        <v>861</v>
      </c>
      <c r="J31" s="389"/>
      <c r="K31" s="389"/>
      <c r="L31" s="389"/>
      <c r="M31" s="389"/>
      <c r="N31" s="389"/>
    </row>
    <row r="32" spans="2:14" ht="31.5">
      <c r="B32" s="479"/>
      <c r="C32" s="985" t="s">
        <v>858</v>
      </c>
      <c r="D32" s="985" t="s">
        <v>790</v>
      </c>
      <c r="E32" s="985" t="s">
        <v>859</v>
      </c>
      <c r="F32" s="985" t="s">
        <v>860</v>
      </c>
      <c r="G32" s="986" t="s">
        <v>748</v>
      </c>
      <c r="I32" s="479"/>
      <c r="J32" s="985" t="s">
        <v>858</v>
      </c>
      <c r="K32" s="985" t="s">
        <v>790</v>
      </c>
      <c r="L32" s="985" t="s">
        <v>859</v>
      </c>
      <c r="M32" s="985" t="s">
        <v>860</v>
      </c>
      <c r="N32" s="986" t="s">
        <v>748</v>
      </c>
    </row>
    <row r="33" spans="2:14">
      <c r="B33" s="989" t="s">
        <v>538</v>
      </c>
      <c r="C33" s="995">
        <v>0.73825523572651897</v>
      </c>
      <c r="D33" s="995">
        <v>1.3814582627890051</v>
      </c>
      <c r="E33" s="995">
        <v>2.729632612875367</v>
      </c>
      <c r="F33" s="995">
        <v>2.9165348264629047</v>
      </c>
      <c r="I33" s="989" t="s">
        <v>538</v>
      </c>
      <c r="J33" s="987">
        <v>0.94285804588777133</v>
      </c>
      <c r="K33" s="1165">
        <v>1.3407809193387978</v>
      </c>
      <c r="L33" s="1165">
        <v>2.6300648209599804</v>
      </c>
      <c r="M33" s="1165">
        <v>3.2639308854039055</v>
      </c>
      <c r="N33" s="389"/>
    </row>
    <row r="34" spans="2:14">
      <c r="B34" s="989" t="s">
        <v>6</v>
      </c>
      <c r="C34" s="995">
        <v>0.61576638800854122</v>
      </c>
      <c r="D34" s="995">
        <v>0.92029535976171861</v>
      </c>
      <c r="E34" s="995">
        <v>1.7073273464509895</v>
      </c>
      <c r="F34" s="995">
        <v>4.1733890097133033</v>
      </c>
      <c r="I34" s="989" t="s">
        <v>6</v>
      </c>
      <c r="J34" s="987">
        <v>0.75960672057781731</v>
      </c>
      <c r="K34" s="1165">
        <v>1.095289464847611</v>
      </c>
      <c r="L34" s="1165">
        <v>2.0581388225675101</v>
      </c>
      <c r="M34" s="1165">
        <v>4.927099921914424</v>
      </c>
      <c r="N34" s="389"/>
    </row>
    <row r="35" spans="2:14">
      <c r="B35" s="989" t="s">
        <v>8</v>
      </c>
      <c r="C35" s="995">
        <v>0.78234378161025708</v>
      </c>
      <c r="D35" s="995">
        <v>0.93742665362039157</v>
      </c>
      <c r="E35" s="995">
        <v>1.4597833437439227</v>
      </c>
      <c r="F35" s="995">
        <v>2.5274364485170504</v>
      </c>
      <c r="I35" s="989" t="s">
        <v>8</v>
      </c>
      <c r="J35" s="987">
        <v>0.85916654384777491</v>
      </c>
      <c r="K35" s="1165">
        <v>1.0874667332630468</v>
      </c>
      <c r="L35" s="1165">
        <v>1.6204811898325242</v>
      </c>
      <c r="M35" s="1165">
        <v>2.880841782963143</v>
      </c>
      <c r="N35" s="389"/>
    </row>
    <row r="36" spans="2:14">
      <c r="B36" s="990" t="s">
        <v>2</v>
      </c>
      <c r="C36" s="995">
        <v>0.68615868064819785</v>
      </c>
      <c r="D36" s="995">
        <v>1.4036009447027349</v>
      </c>
      <c r="E36" s="995">
        <v>2.5215181068519161</v>
      </c>
      <c r="F36" s="995">
        <v>2.5357100841546707</v>
      </c>
      <c r="I36" s="990" t="s">
        <v>2</v>
      </c>
      <c r="J36" s="1166">
        <v>1.1220789127479602</v>
      </c>
      <c r="K36" s="1167">
        <v>1.5504630786109876</v>
      </c>
      <c r="L36" s="1167">
        <v>2.6845233031755829</v>
      </c>
      <c r="M36" s="1167">
        <v>2.6942983040516668</v>
      </c>
      <c r="N36" s="993"/>
    </row>
    <row r="37" spans="2:14">
      <c r="B37" s="989" t="s">
        <v>10</v>
      </c>
      <c r="C37" s="995"/>
      <c r="D37" s="995"/>
      <c r="E37" s="995">
        <v>5.8710151352874629</v>
      </c>
      <c r="F37" s="995">
        <v>3.1256203051170219</v>
      </c>
      <c r="G37" s="995">
        <v>9.4342542433612468</v>
      </c>
      <c r="I37" s="989" t="s">
        <v>10</v>
      </c>
      <c r="J37" s="987">
        <v>0</v>
      </c>
      <c r="K37" s="1165">
        <v>0</v>
      </c>
      <c r="L37" s="1165">
        <v>3.0823126567560544</v>
      </c>
      <c r="M37" s="1165">
        <v>4.925426056173082</v>
      </c>
      <c r="N37" s="1165">
        <v>10.874000000000001</v>
      </c>
    </row>
    <row r="38" spans="2:14">
      <c r="B38" s="989" t="s">
        <v>4</v>
      </c>
      <c r="C38" s="995">
        <v>0.7842708946636604</v>
      </c>
      <c r="D38" s="995">
        <v>1.1402031631853178</v>
      </c>
      <c r="E38" s="995">
        <v>2.5189298202715129</v>
      </c>
      <c r="F38" s="995">
        <v>2.9906187797930048</v>
      </c>
      <c r="I38" s="989" t="s">
        <v>4</v>
      </c>
      <c r="J38" s="987">
        <v>0.95885221991185321</v>
      </c>
      <c r="K38" s="1165">
        <v>1.3980557150498409</v>
      </c>
      <c r="L38" s="1165">
        <v>2.7510914015416006</v>
      </c>
      <c r="M38" s="1165">
        <v>3.3435832985798775</v>
      </c>
      <c r="N38" s="389"/>
    </row>
    <row r="39" spans="2:14">
      <c r="B39" s="989" t="s">
        <v>14</v>
      </c>
      <c r="C39" s="995"/>
      <c r="D39" s="995"/>
      <c r="E39" s="995">
        <v>2.6585575928061984</v>
      </c>
      <c r="F39" s="995">
        <v>2.8753859676822429</v>
      </c>
      <c r="I39" s="989" t="s">
        <v>14</v>
      </c>
      <c r="J39" s="987">
        <v>0.99455274247883108</v>
      </c>
      <c r="K39" s="1165">
        <v>1.2293137213562211</v>
      </c>
      <c r="L39" s="1165">
        <v>2.9232029168587954</v>
      </c>
      <c r="M39" s="1165">
        <v>3.1048995088671143</v>
      </c>
      <c r="N39" s="389"/>
    </row>
    <row r="40" spans="2:14">
      <c r="B40" s="990" t="s">
        <v>17</v>
      </c>
      <c r="C40" s="995">
        <v>0.62524737129045094</v>
      </c>
      <c r="D40" s="995">
        <v>0.9661071118879152</v>
      </c>
      <c r="E40" s="995">
        <v>2.0712334710740294</v>
      </c>
      <c r="F40" s="995">
        <v>3.1926454095378611</v>
      </c>
      <c r="I40" s="990" t="s">
        <v>17</v>
      </c>
      <c r="J40" s="1166">
        <v>0.75288725579887528</v>
      </c>
      <c r="K40" s="1167">
        <v>1.0924846195687061</v>
      </c>
      <c r="L40" s="1167">
        <v>2.3756699049635035</v>
      </c>
      <c r="M40" s="1167">
        <v>3.6163052484029703</v>
      </c>
      <c r="N40" s="993"/>
    </row>
    <row r="41" spans="2:14">
      <c r="B41" s="989" t="s">
        <v>324</v>
      </c>
      <c r="C41" s="995"/>
      <c r="D41" s="995"/>
      <c r="E41" s="995">
        <v>2.3077760272136798</v>
      </c>
      <c r="F41" s="995">
        <v>0</v>
      </c>
      <c r="G41" s="995">
        <v>14.151</v>
      </c>
      <c r="I41" s="989" t="s">
        <v>324</v>
      </c>
      <c r="J41" s="987">
        <v>0</v>
      </c>
      <c r="K41" s="1165">
        <v>0</v>
      </c>
      <c r="L41" s="1165">
        <v>3.0823126567560544</v>
      </c>
      <c r="M41" s="1165">
        <v>0</v>
      </c>
      <c r="N41" s="1165">
        <v>16.309999999999999</v>
      </c>
    </row>
    <row r="42" spans="2:14">
      <c r="B42" s="989" t="s">
        <v>7</v>
      </c>
      <c r="C42" s="995">
        <v>0.92433615746192432</v>
      </c>
      <c r="D42" s="995">
        <v>1.5303368435282048</v>
      </c>
      <c r="E42" s="995">
        <v>2.5832720468437356</v>
      </c>
      <c r="F42" s="995">
        <v>3.0883153658922646</v>
      </c>
      <c r="I42" s="989" t="s">
        <v>7</v>
      </c>
      <c r="J42" s="987">
        <v>1.2710391272693993</v>
      </c>
      <c r="K42" s="1165">
        <v>1.8382483138752463</v>
      </c>
      <c r="L42" s="1165">
        <v>3.3176593233855471</v>
      </c>
      <c r="M42" s="1165">
        <v>3.684480453401294</v>
      </c>
      <c r="N42" s="389"/>
    </row>
    <row r="43" spans="2:14">
      <c r="B43" s="989" t="s">
        <v>9</v>
      </c>
      <c r="C43" s="995">
        <v>0.60760924440702391</v>
      </c>
      <c r="D43" s="995">
        <v>0.88220300342126901</v>
      </c>
      <c r="E43" s="995">
        <v>2.2323857203999244</v>
      </c>
      <c r="F43" s="995">
        <v>3.0089142683525476</v>
      </c>
      <c r="I43" s="989" t="s">
        <v>9</v>
      </c>
      <c r="J43" s="987">
        <v>0.76698652424036284</v>
      </c>
      <c r="K43" s="1165">
        <v>1.0439324562208154</v>
      </c>
      <c r="L43" s="1165">
        <v>2.9344933543446268</v>
      </c>
      <c r="M43" s="1165">
        <v>4.2466945853158435</v>
      </c>
      <c r="N43" s="389"/>
    </row>
    <row r="44" spans="2:14">
      <c r="B44" s="990" t="s">
        <v>5</v>
      </c>
      <c r="C44" s="995">
        <v>0.68584674669160639</v>
      </c>
      <c r="D44" s="995">
        <v>1.3843882959939655</v>
      </c>
      <c r="E44" s="995">
        <v>2.768615670287919</v>
      </c>
      <c r="F44" s="995">
        <v>2.9612257167589449</v>
      </c>
      <c r="I44" s="990" t="s">
        <v>5</v>
      </c>
      <c r="J44" s="1166">
        <v>1.0217612541626939</v>
      </c>
      <c r="K44" s="1167">
        <v>1.476692150907926</v>
      </c>
      <c r="L44" s="1167">
        <v>2.8784730052560046</v>
      </c>
      <c r="M44" s="1167">
        <v>3.3784307193020222</v>
      </c>
      <c r="N44" s="993"/>
    </row>
    <row r="45" spans="2:14">
      <c r="B45" s="989"/>
      <c r="C45" s="389"/>
      <c r="D45" s="389"/>
      <c r="E45" s="389"/>
      <c r="F45" s="389"/>
      <c r="G45" s="389"/>
      <c r="I45" s="989"/>
      <c r="J45" s="389"/>
      <c r="K45" s="389"/>
      <c r="L45" s="389"/>
      <c r="M45" s="389"/>
      <c r="N45" s="389"/>
    </row>
    <row r="46" spans="2:14">
      <c r="B46" s="989" t="s">
        <v>541</v>
      </c>
      <c r="C46" s="389"/>
      <c r="D46" s="389"/>
      <c r="E46" s="389"/>
      <c r="F46" s="389"/>
      <c r="G46" s="389"/>
      <c r="I46" s="989" t="s">
        <v>541</v>
      </c>
      <c r="J46" s="389"/>
      <c r="K46" s="389"/>
      <c r="L46" s="389"/>
      <c r="M46" s="389"/>
      <c r="N46" s="389"/>
    </row>
    <row r="47" spans="2:14">
      <c r="B47" s="989" t="s">
        <v>563</v>
      </c>
      <c r="C47" s="389"/>
      <c r="D47" s="389"/>
      <c r="E47" s="389"/>
      <c r="F47" s="389"/>
      <c r="G47" s="389"/>
      <c r="I47" s="989" t="s">
        <v>563</v>
      </c>
      <c r="J47" s="389"/>
      <c r="K47" s="389"/>
      <c r="L47" s="389"/>
      <c r="M47" s="389"/>
      <c r="N47" s="389"/>
    </row>
    <row r="48" spans="2:14">
      <c r="B48" s="990" t="s">
        <v>543</v>
      </c>
      <c r="C48" s="993"/>
      <c r="D48" s="993"/>
      <c r="E48" s="993"/>
      <c r="F48" s="993"/>
      <c r="G48" s="993"/>
      <c r="I48" s="990" t="s">
        <v>543</v>
      </c>
      <c r="J48" s="993"/>
      <c r="K48" s="993"/>
      <c r="L48" s="993"/>
      <c r="M48" s="993"/>
      <c r="N48" s="993"/>
    </row>
    <row r="49" spans="1:14">
      <c r="B49" s="989" t="s">
        <v>562</v>
      </c>
      <c r="C49" s="389"/>
      <c r="D49" s="389"/>
      <c r="E49" s="389"/>
      <c r="F49" s="389"/>
      <c r="G49" s="389"/>
      <c r="I49" s="989" t="s">
        <v>562</v>
      </c>
      <c r="J49" s="389"/>
      <c r="K49" s="389"/>
      <c r="L49" s="389"/>
      <c r="M49" s="389"/>
      <c r="N49" s="389"/>
    </row>
    <row r="50" spans="1:14">
      <c r="B50" s="991" t="s">
        <v>545</v>
      </c>
      <c r="C50" s="389"/>
      <c r="D50" s="987"/>
      <c r="E50" s="389"/>
      <c r="F50" s="389"/>
      <c r="G50" s="389"/>
      <c r="I50" s="991" t="s">
        <v>545</v>
      </c>
      <c r="J50" s="389"/>
      <c r="K50" s="987"/>
      <c r="L50" s="389"/>
      <c r="M50" s="389"/>
      <c r="N50" s="389"/>
    </row>
    <row r="51" spans="1:14" ht="16.5" thickBot="1">
      <c r="B51" s="1163" t="s">
        <v>750</v>
      </c>
      <c r="C51" s="1164">
        <v>0.73850856210006643</v>
      </c>
      <c r="D51" s="1164">
        <v>1.1811318964529236</v>
      </c>
      <c r="E51" s="1164">
        <v>2.3354326125608131</v>
      </c>
      <c r="F51" s="1164">
        <v>2.9719656338531162</v>
      </c>
      <c r="G51" s="1164">
        <v>11.282282533303981</v>
      </c>
      <c r="I51" s="1163" t="s">
        <v>750</v>
      </c>
      <c r="J51" s="1168">
        <v>0.96891636886764676</v>
      </c>
      <c r="K51" s="1168">
        <v>1.3798349028343588</v>
      </c>
      <c r="L51" s="1168">
        <v>2.736877276549627</v>
      </c>
      <c r="M51" s="1168">
        <v>3.4678006112961137</v>
      </c>
      <c r="N51" s="1169"/>
    </row>
    <row r="52" spans="1:14" ht="16.5" thickTop="1"/>
    <row r="56" spans="1:14">
      <c r="A56" t="s">
        <v>1164</v>
      </c>
    </row>
    <row r="58" spans="1:14">
      <c r="C58" s="1202" t="s">
        <v>1077</v>
      </c>
      <c r="D58" s="1202"/>
      <c r="E58" s="1202"/>
      <c r="F58" s="1202"/>
    </row>
    <row r="59" spans="1:14">
      <c r="C59" s="62"/>
      <c r="D59" s="62"/>
      <c r="E59" s="62"/>
      <c r="F59" s="62"/>
      <c r="G59" s="62"/>
    </row>
    <row r="60" spans="1:14">
      <c r="C60" s="14" t="s">
        <v>1078</v>
      </c>
      <c r="D60" s="14" t="s">
        <v>1079</v>
      </c>
      <c r="E60" s="14"/>
      <c r="F60" s="14"/>
      <c r="G60" s="14"/>
    </row>
    <row r="61" spans="1:14" ht="16.5" thickBot="1">
      <c r="A61" s="1829" t="s">
        <v>1080</v>
      </c>
      <c r="B61" s="1829"/>
      <c r="C61" s="1221" t="s">
        <v>1081</v>
      </c>
      <c r="D61" s="1221" t="s">
        <v>1082</v>
      </c>
      <c r="E61" s="1221" t="s">
        <v>1083</v>
      </c>
      <c r="F61" s="1221" t="s">
        <v>1084</v>
      </c>
      <c r="G61" s="1222" t="s">
        <v>13</v>
      </c>
    </row>
    <row r="62" spans="1:14" ht="16.5" thickTop="1">
      <c r="A62" s="1203"/>
      <c r="B62" s="1204" t="s">
        <v>1085</v>
      </c>
      <c r="C62" s="1205">
        <v>0.70466666666666666</v>
      </c>
      <c r="D62" s="1205">
        <v>1.0170000000000001</v>
      </c>
      <c r="E62" s="1205">
        <v>2.0489999999999999</v>
      </c>
      <c r="F62" s="1205">
        <v>2.8679999999999999</v>
      </c>
      <c r="G62" s="1205">
        <v>1.1013333333333333</v>
      </c>
    </row>
    <row r="63" spans="1:14">
      <c r="A63" s="1203"/>
      <c r="B63" s="1203"/>
      <c r="C63" s="192"/>
      <c r="D63" s="192"/>
      <c r="E63" s="192"/>
      <c r="F63" s="192"/>
      <c r="G63" s="192"/>
    </row>
    <row r="64" spans="1:14">
      <c r="A64" s="1206" t="s">
        <v>1086</v>
      </c>
      <c r="B64" t="s">
        <v>1087</v>
      </c>
      <c r="C64" s="997">
        <v>0.78234378161025708</v>
      </c>
      <c r="D64" s="997">
        <v>1.3990184844936182</v>
      </c>
      <c r="E64" s="997">
        <v>2.9323789664798681</v>
      </c>
      <c r="F64" s="997">
        <v>3.1256203051170219</v>
      </c>
      <c r="G64" s="1205">
        <v>1.5413700060461275</v>
      </c>
    </row>
    <row r="65" spans="1:13">
      <c r="A65" s="1206" t="s">
        <v>1088</v>
      </c>
      <c r="B65" s="10" t="s">
        <v>538</v>
      </c>
      <c r="C65" s="192"/>
      <c r="D65" s="192"/>
      <c r="E65" s="192"/>
      <c r="F65" s="192"/>
      <c r="G65" s="192"/>
      <c r="J65" s="1220" t="s">
        <v>1081</v>
      </c>
      <c r="K65" s="1220" t="s">
        <v>1082</v>
      </c>
      <c r="L65" s="1220" t="s">
        <v>1083</v>
      </c>
      <c r="M65" s="1220" t="s">
        <v>1084</v>
      </c>
    </row>
    <row r="66" spans="1:13">
      <c r="A66" s="1206" t="s">
        <v>1089</v>
      </c>
      <c r="B66" t="s">
        <v>1090</v>
      </c>
      <c r="C66" s="997">
        <v>0.63224723725967402</v>
      </c>
      <c r="D66" s="997">
        <v>1.3990184844936182</v>
      </c>
      <c r="E66" s="997">
        <v>2.5199534078431221</v>
      </c>
      <c r="F66" s="997">
        <v>2.52743644851705</v>
      </c>
      <c r="G66" s="1205">
        <v>1.3104504496550402</v>
      </c>
      <c r="I66" t="s">
        <v>1165</v>
      </c>
      <c r="J66" s="997">
        <v>0.49833754031692484</v>
      </c>
      <c r="K66" s="997">
        <v>0.79823198386182959</v>
      </c>
      <c r="L66" s="997">
        <v>1.4597833437439225</v>
      </c>
      <c r="M66" s="997">
        <v>1.8707653952520968</v>
      </c>
    </row>
    <row r="67" spans="1:13">
      <c r="A67" s="1206" t="s">
        <v>1091</v>
      </c>
      <c r="B67" t="s">
        <v>1092</v>
      </c>
      <c r="C67" s="1205"/>
      <c r="D67" s="1205"/>
      <c r="E67" s="1205"/>
      <c r="F67" s="1205"/>
      <c r="G67" s="1205"/>
      <c r="I67" t="s">
        <v>1166</v>
      </c>
      <c r="J67" s="997">
        <v>0.63224723725967402</v>
      </c>
      <c r="K67" s="997">
        <v>0.87675021181139867</v>
      </c>
      <c r="L67" s="997">
        <v>1.6767731178102689</v>
      </c>
      <c r="M67" s="997">
        <v>2.1690939740010453</v>
      </c>
    </row>
    <row r="68" spans="1:13">
      <c r="A68" s="1207" t="s">
        <v>1093</v>
      </c>
      <c r="B68" s="1208" t="s">
        <v>1094</v>
      </c>
      <c r="C68" s="997">
        <v>0.71321963924010312</v>
      </c>
      <c r="D68" s="997">
        <v>1.2290874621750383</v>
      </c>
      <c r="E68" s="997">
        <v>2.9323789664798681</v>
      </c>
      <c r="F68" s="997">
        <v>4.237064838539232</v>
      </c>
      <c r="G68" s="1205">
        <v>1.1669969512300551</v>
      </c>
      <c r="I68" t="s">
        <v>1167</v>
      </c>
      <c r="J68" s="997">
        <v>0.71321963924010312</v>
      </c>
      <c r="K68" s="997">
        <v>0.93742665362039157</v>
      </c>
      <c r="L68" s="997">
        <v>2.0601293423722637</v>
      </c>
      <c r="M68" s="997">
        <v>2.52743644851705</v>
      </c>
    </row>
    <row r="69" spans="1:13">
      <c r="A69" s="1209" t="s">
        <v>1095</v>
      </c>
      <c r="B69" t="s">
        <v>1096</v>
      </c>
      <c r="C69" s="997">
        <v>0.63224723725967402</v>
      </c>
      <c r="D69" s="997">
        <v>0.93742665362039157</v>
      </c>
      <c r="E69" s="997">
        <v>2.3077760272136798</v>
      </c>
      <c r="F69" s="997">
        <v>2.7676156747716441</v>
      </c>
      <c r="G69" s="1205">
        <v>0.90800722509918552</v>
      </c>
      <c r="I69" t="s">
        <v>1168</v>
      </c>
      <c r="J69" s="997">
        <v>0.78234378161025708</v>
      </c>
      <c r="K69" s="997">
        <v>1.0845788255249693</v>
      </c>
      <c r="L69" s="997">
        <v>2.3077760272136798</v>
      </c>
      <c r="M69" s="997">
        <v>2.7676156747716441</v>
      </c>
    </row>
    <row r="70" spans="1:13">
      <c r="A70" s="1206" t="s">
        <v>1097</v>
      </c>
      <c r="B70" t="s">
        <v>1098</v>
      </c>
      <c r="C70" s="192"/>
      <c r="D70" s="192"/>
      <c r="E70" s="192"/>
      <c r="F70" s="192"/>
      <c r="G70" s="192"/>
      <c r="I70" t="s">
        <v>1169</v>
      </c>
      <c r="J70" s="997">
        <v>0.84813424045353047</v>
      </c>
      <c r="K70" s="997">
        <v>1.2290874621750383</v>
      </c>
      <c r="L70" s="997">
        <v>2.5199534078431221</v>
      </c>
      <c r="M70" s="997">
        <v>2.9381764558602566</v>
      </c>
    </row>
    <row r="71" spans="1:13">
      <c r="A71" s="1206" t="s">
        <v>1099</v>
      </c>
      <c r="B71" s="10" t="s">
        <v>1100</v>
      </c>
      <c r="C71" s="997">
        <v>0.63224723725967402</v>
      </c>
      <c r="D71" s="997">
        <v>1.2290874621750383</v>
      </c>
      <c r="E71" s="997">
        <v>2.0601293423722637</v>
      </c>
      <c r="F71" s="997">
        <v>2.9381764558602566</v>
      </c>
      <c r="G71" s="1205">
        <v>1.1714559244664122</v>
      </c>
      <c r="I71" t="s">
        <v>1170</v>
      </c>
      <c r="J71" s="997">
        <v>0.90246668300703736</v>
      </c>
      <c r="K71" s="997">
        <v>1.3990184844936182</v>
      </c>
      <c r="L71" s="997">
        <v>2.731844947613955</v>
      </c>
      <c r="M71" s="997">
        <v>3.1256203051170219</v>
      </c>
    </row>
    <row r="72" spans="1:13">
      <c r="A72" s="1206" t="s">
        <v>1101</v>
      </c>
      <c r="B72" s="10" t="s">
        <v>8</v>
      </c>
      <c r="C72" s="997">
        <v>0.78234378161025708</v>
      </c>
      <c r="D72" s="997">
        <v>0.93742665362039157</v>
      </c>
      <c r="E72" s="997">
        <v>1.4597833437439225</v>
      </c>
      <c r="F72" s="997">
        <v>2.52743644851705</v>
      </c>
      <c r="G72" s="1205">
        <v>1.1598899108014258</v>
      </c>
      <c r="I72" t="s">
        <v>1171</v>
      </c>
      <c r="J72" s="997">
        <v>1.0389631366630352</v>
      </c>
      <c r="K72" s="997">
        <v>1.4726783625889173</v>
      </c>
      <c r="L72" s="997">
        <v>2.9323789664798681</v>
      </c>
      <c r="M72" s="997">
        <v>4.237064838539232</v>
      </c>
    </row>
    <row r="73" spans="1:13">
      <c r="A73" s="1207" t="s">
        <v>1102</v>
      </c>
      <c r="B73" s="1210" t="s">
        <v>7</v>
      </c>
      <c r="C73" s="1211">
        <v>1.0389631366630352</v>
      </c>
      <c r="D73" s="1211">
        <v>1.649477614717145</v>
      </c>
      <c r="E73" s="1211">
        <v>2.731844947613955</v>
      </c>
      <c r="F73" s="997">
        <v>3.1256203051170219</v>
      </c>
      <c r="G73" s="1205">
        <v>1.8481153967045978</v>
      </c>
      <c r="I73" t="s">
        <v>1172</v>
      </c>
      <c r="J73" s="997">
        <v>1.153656551813852</v>
      </c>
      <c r="K73" s="997">
        <v>1.649477614717145</v>
      </c>
      <c r="L73" s="997">
        <v>3.399324882240542</v>
      </c>
      <c r="M73" s="997">
        <v>4.9330213205456088</v>
      </c>
    </row>
    <row r="74" spans="1:13">
      <c r="A74" s="1206" t="s">
        <v>1103</v>
      </c>
      <c r="B74" s="10" t="s">
        <v>1104</v>
      </c>
      <c r="C74" s="1205"/>
      <c r="D74" s="1205"/>
      <c r="E74" s="1205"/>
      <c r="F74" s="1205"/>
      <c r="G74" s="1205"/>
    </row>
    <row r="75" spans="1:13">
      <c r="A75" s="1209" t="s">
        <v>1105</v>
      </c>
      <c r="B75" t="s">
        <v>1106</v>
      </c>
      <c r="C75" s="997">
        <v>0.71321963924010312</v>
      </c>
      <c r="D75" s="997">
        <v>0.93742665362039157</v>
      </c>
      <c r="E75" s="997">
        <v>2.0601293423722637</v>
      </c>
      <c r="F75" s="997">
        <v>2.52743644851705</v>
      </c>
      <c r="G75" s="1205">
        <v>0.89601951442286965</v>
      </c>
    </row>
    <row r="76" spans="1:13">
      <c r="A76" s="1206" t="s">
        <v>1107</v>
      </c>
      <c r="B76" t="s">
        <v>1108</v>
      </c>
      <c r="C76" s="997">
        <v>0.49833754031692484</v>
      </c>
      <c r="D76" s="997">
        <v>0.79823198386182959</v>
      </c>
      <c r="E76" s="997">
        <v>2.9323789664798681</v>
      </c>
      <c r="F76" s="997">
        <v>3.1256203051170219</v>
      </c>
      <c r="G76" s="1205">
        <v>0.78180915303086307</v>
      </c>
    </row>
    <row r="77" spans="1:13">
      <c r="A77" s="1206" t="s">
        <v>1109</v>
      </c>
      <c r="B77" t="s">
        <v>1110</v>
      </c>
      <c r="C77" s="1205"/>
      <c r="D77" s="1205"/>
      <c r="E77" s="1205"/>
      <c r="F77" s="1205"/>
      <c r="G77" s="1205"/>
    </row>
    <row r="78" spans="1:13">
      <c r="A78" s="1209" t="s">
        <v>1111</v>
      </c>
      <c r="B78" s="1208" t="s">
        <v>1112</v>
      </c>
      <c r="C78" s="997">
        <v>0.78234378161025708</v>
      </c>
      <c r="D78" s="997">
        <v>0.87675021181139867</v>
      </c>
      <c r="E78" s="997">
        <v>2.3077760272136798</v>
      </c>
      <c r="F78" s="1211">
        <v>2.1690939740010453</v>
      </c>
      <c r="G78" s="1205">
        <v>0.88951800221345834</v>
      </c>
    </row>
    <row r="79" spans="1:13">
      <c r="A79" s="1206" t="s">
        <v>1113</v>
      </c>
      <c r="B79" t="s">
        <v>1114</v>
      </c>
      <c r="C79" s="1211">
        <v>1.153656551813852</v>
      </c>
      <c r="D79" s="1211">
        <v>1.4726783625889173</v>
      </c>
      <c r="E79" s="997">
        <v>2.5199534078431221</v>
      </c>
      <c r="F79" s="1211">
        <v>1.8707653952520968</v>
      </c>
      <c r="G79" s="1205">
        <v>1.3583122960142826</v>
      </c>
    </row>
    <row r="80" spans="1:13">
      <c r="A80" s="1206" t="s">
        <v>1115</v>
      </c>
      <c r="B80" t="s">
        <v>1116</v>
      </c>
      <c r="C80" s="1205"/>
      <c r="D80" s="1205"/>
      <c r="E80" s="1205"/>
      <c r="F80" s="1205"/>
      <c r="G80" s="1205"/>
    </row>
    <row r="81" spans="1:7">
      <c r="A81" s="1209" t="s">
        <v>1117</v>
      </c>
      <c r="B81" s="10" t="s">
        <v>1118</v>
      </c>
      <c r="C81" s="997">
        <v>0.78234378161025708</v>
      </c>
      <c r="D81" s="997">
        <v>1.0845788255249693</v>
      </c>
      <c r="E81" s="997">
        <v>2.9323789664798681</v>
      </c>
      <c r="F81" s="997">
        <v>2.9381764558602566</v>
      </c>
      <c r="G81" s="1205">
        <v>1.1580666848798811</v>
      </c>
    </row>
    <row r="82" spans="1:7">
      <c r="A82" s="1209" t="s">
        <v>1119</v>
      </c>
      <c r="B82" s="10" t="s">
        <v>1120</v>
      </c>
      <c r="C82" s="997">
        <v>0.63224723725967402</v>
      </c>
      <c r="D82" s="997">
        <v>0.93742665362039157</v>
      </c>
      <c r="E82" s="997">
        <v>2.3077760272136798</v>
      </c>
      <c r="F82" s="997">
        <v>3.1256203051170219</v>
      </c>
      <c r="G82" s="1205">
        <v>0.77831219357074288</v>
      </c>
    </row>
    <row r="83" spans="1:7">
      <c r="A83" s="1207" t="s">
        <v>1121</v>
      </c>
      <c r="B83" s="1208" t="s">
        <v>1122</v>
      </c>
      <c r="C83" s="192"/>
      <c r="D83" s="192"/>
      <c r="E83" s="192"/>
      <c r="F83" s="192"/>
      <c r="G83" s="192"/>
    </row>
    <row r="84" spans="1:7">
      <c r="A84" s="1206" t="s">
        <v>1123</v>
      </c>
      <c r="B84" t="s">
        <v>1124</v>
      </c>
      <c r="C84" s="192"/>
      <c r="D84" s="192"/>
      <c r="E84" s="192"/>
      <c r="F84" s="192"/>
      <c r="G84" s="192"/>
    </row>
    <row r="85" spans="1:7">
      <c r="A85" s="1206" t="s">
        <v>1125</v>
      </c>
      <c r="B85" t="s">
        <v>1126</v>
      </c>
      <c r="C85" s="997">
        <v>0.84813424045353047</v>
      </c>
      <c r="D85" s="997">
        <v>1.0845788255249693</v>
      </c>
      <c r="E85" s="997">
        <v>2.9323789664798681</v>
      </c>
      <c r="F85" s="997">
        <v>4.237064838539232</v>
      </c>
      <c r="G85" s="1205">
        <v>1.138314500837696</v>
      </c>
    </row>
    <row r="86" spans="1:7">
      <c r="A86" s="1206" t="s">
        <v>1127</v>
      </c>
      <c r="B86" t="s">
        <v>1128</v>
      </c>
      <c r="C86" s="997">
        <v>0.63224723725967402</v>
      </c>
      <c r="D86" s="997">
        <v>0.79823198386182959</v>
      </c>
      <c r="E86" s="997">
        <v>1.6767731178102689</v>
      </c>
      <c r="F86" s="997">
        <v>2.52743644851705</v>
      </c>
      <c r="G86" s="1205">
        <v>0.79733509325429863</v>
      </c>
    </row>
    <row r="87" spans="1:7">
      <c r="A87" s="1206" t="s">
        <v>1129</v>
      </c>
      <c r="B87" t="s">
        <v>1130</v>
      </c>
      <c r="C87" s="192"/>
      <c r="D87" s="192"/>
      <c r="E87" s="192"/>
      <c r="F87" s="192"/>
      <c r="G87" s="192"/>
    </row>
    <row r="88" spans="1:7">
      <c r="A88" s="1207" t="s">
        <v>1131</v>
      </c>
      <c r="B88" s="1208" t="s">
        <v>1132</v>
      </c>
      <c r="C88" s="192"/>
      <c r="D88" s="192"/>
      <c r="E88" s="192"/>
      <c r="F88" s="192"/>
      <c r="G88" s="192"/>
    </row>
    <row r="89" spans="1:7">
      <c r="A89" s="1212" t="s">
        <v>1133</v>
      </c>
      <c r="B89" t="s">
        <v>1134</v>
      </c>
      <c r="C89" s="997">
        <v>0.63224723725967402</v>
      </c>
      <c r="D89" s="997">
        <v>0.87675021181139867</v>
      </c>
      <c r="E89" s="997">
        <v>2.9323789664798681</v>
      </c>
      <c r="F89" s="997">
        <v>2.7676156747716441</v>
      </c>
      <c r="G89" s="1205">
        <v>0.82159493756605451</v>
      </c>
    </row>
    <row r="90" spans="1:7">
      <c r="A90" s="1209" t="s">
        <v>1135</v>
      </c>
      <c r="B90" s="10" t="s">
        <v>1136</v>
      </c>
      <c r="C90" s="997">
        <v>0.84813424045353047</v>
      </c>
      <c r="D90" s="997">
        <v>1.3990184844936182</v>
      </c>
      <c r="E90" s="1211">
        <v>3.399324882240542</v>
      </c>
      <c r="F90" s="997">
        <v>2.9381764558602566</v>
      </c>
      <c r="G90" s="1205">
        <v>1.1704739044778132</v>
      </c>
    </row>
    <row r="91" spans="1:7">
      <c r="A91" s="1206" t="s">
        <v>1137</v>
      </c>
      <c r="B91" s="10" t="s">
        <v>1138</v>
      </c>
      <c r="C91" s="192"/>
      <c r="D91" s="192"/>
      <c r="E91" s="192"/>
      <c r="F91" s="192"/>
      <c r="G91" s="192"/>
    </row>
    <row r="92" spans="1:7">
      <c r="A92" s="1206" t="s">
        <v>1139</v>
      </c>
      <c r="B92" t="s">
        <v>1140</v>
      </c>
      <c r="C92" s="997">
        <v>0.49833754031692484</v>
      </c>
      <c r="D92" s="997">
        <v>0.79823198386182959</v>
      </c>
      <c r="E92" s="997">
        <v>2.9323789664798681</v>
      </c>
      <c r="F92" s="997">
        <v>2.9381764558602566</v>
      </c>
      <c r="G92" s="1205">
        <v>0.85698226307429737</v>
      </c>
    </row>
    <row r="93" spans="1:7">
      <c r="A93" s="1207" t="s">
        <v>1141</v>
      </c>
      <c r="B93" s="1208" t="s">
        <v>1142</v>
      </c>
      <c r="C93" s="1205"/>
      <c r="D93" s="1205"/>
      <c r="E93" s="1205"/>
      <c r="F93" s="1205"/>
      <c r="G93" s="1205"/>
    </row>
    <row r="94" spans="1:7">
      <c r="A94" s="1206" t="s">
        <v>1143</v>
      </c>
      <c r="B94" t="s">
        <v>1144</v>
      </c>
      <c r="C94" s="997">
        <v>0.84813424045353047</v>
      </c>
      <c r="D94" s="997">
        <v>1.0845788255249693</v>
      </c>
      <c r="E94" s="997">
        <v>1.4597833437439225</v>
      </c>
      <c r="F94" s="997">
        <v>3.1256203051170219</v>
      </c>
      <c r="G94" s="1205">
        <v>1.2759667811134687</v>
      </c>
    </row>
    <row r="95" spans="1:7">
      <c r="A95" s="1209" t="s">
        <v>1145</v>
      </c>
      <c r="B95" t="s">
        <v>1146</v>
      </c>
      <c r="C95" s="997">
        <v>0.49833754031692484</v>
      </c>
      <c r="D95" s="997">
        <v>0.87675021181139867</v>
      </c>
      <c r="E95" s="997">
        <v>2.3077760272136798</v>
      </c>
      <c r="F95" s="997">
        <v>3.1256203051170219</v>
      </c>
      <c r="G95" s="1205">
        <v>0.79438001297309957</v>
      </c>
    </row>
    <row r="96" spans="1:7">
      <c r="A96" s="1212" t="s">
        <v>1147</v>
      </c>
      <c r="B96" t="s">
        <v>1148</v>
      </c>
      <c r="C96" s="1211">
        <v>0.90246668300703736</v>
      </c>
      <c r="D96" s="997">
        <v>1.3990184844936182</v>
      </c>
      <c r="E96" s="997">
        <v>2.9323789664798681</v>
      </c>
      <c r="F96" s="997">
        <v>2.9381764558602566</v>
      </c>
      <c r="G96" s="1205">
        <v>1.3079248656898801</v>
      </c>
    </row>
    <row r="97" spans="1:7">
      <c r="A97" s="1206" t="s">
        <v>1149</v>
      </c>
      <c r="B97" s="10" t="s">
        <v>1150</v>
      </c>
      <c r="C97" s="997">
        <v>0.78234378161025708</v>
      </c>
      <c r="D97" s="997">
        <v>1.2290874621750383</v>
      </c>
      <c r="E97" s="997">
        <v>2.3077760272136798</v>
      </c>
      <c r="F97" s="997">
        <v>3.1256203051170219</v>
      </c>
      <c r="G97" s="1205">
        <v>1.7471224394562539</v>
      </c>
    </row>
    <row r="98" spans="1:7">
      <c r="A98" s="1213" t="s">
        <v>1151</v>
      </c>
      <c r="B98" s="1214" t="s">
        <v>10</v>
      </c>
      <c r="C98" s="192"/>
      <c r="D98" s="192"/>
      <c r="E98" s="192">
        <v>9.4339999999999993</v>
      </c>
      <c r="F98" s="192"/>
      <c r="G98" s="192"/>
    </row>
    <row r="99" spans="1:7">
      <c r="A99" s="1215" t="s">
        <v>1152</v>
      </c>
      <c r="B99" s="1216" t="s">
        <v>1153</v>
      </c>
      <c r="C99" s="192"/>
      <c r="D99" s="192"/>
      <c r="E99" s="192">
        <v>14.151</v>
      </c>
      <c r="F99" s="192"/>
      <c r="G99" s="192"/>
    </row>
    <row r="100" spans="1:7">
      <c r="A100" s="1209" t="s">
        <v>1154</v>
      </c>
      <c r="B100" t="s">
        <v>1155</v>
      </c>
      <c r="C100" s="997">
        <v>0.63224723725967402</v>
      </c>
      <c r="D100" s="997">
        <v>0.93742665362039157</v>
      </c>
      <c r="E100" s="997">
        <v>1.6767731178102689</v>
      </c>
      <c r="F100" s="1211">
        <v>4.9330213205456088</v>
      </c>
      <c r="G100" s="1205">
        <v>0.95396807828885888</v>
      </c>
    </row>
    <row r="101" spans="1:7">
      <c r="A101" s="1217" t="s">
        <v>1156</v>
      </c>
      <c r="B101" s="192" t="s">
        <v>1157</v>
      </c>
      <c r="C101" s="997">
        <v>0.49833754031692484</v>
      </c>
      <c r="D101" s="997">
        <v>0.87675021181139867</v>
      </c>
      <c r="E101" s="997">
        <v>2.3077760272136798</v>
      </c>
      <c r="F101" s="997">
        <v>2.9381764558602566</v>
      </c>
      <c r="G101" s="1205">
        <v>0.79497927069157726</v>
      </c>
    </row>
    <row r="102" spans="1:7" ht="16.5" thickBot="1">
      <c r="A102" s="1218" t="s">
        <v>1158</v>
      </c>
      <c r="B102" s="363" t="s">
        <v>1159</v>
      </c>
      <c r="C102" s="363"/>
      <c r="D102" s="363"/>
      <c r="E102" s="363"/>
      <c r="F102" s="363"/>
      <c r="G102" s="363"/>
    </row>
    <row r="103" spans="1:7" ht="16.5" thickTop="1"/>
    <row r="104" spans="1:7">
      <c r="B104" t="s">
        <v>1160</v>
      </c>
      <c r="C104" s="995">
        <f>AVERAGE(C64:C101)</f>
        <v>0.7248636708942261</v>
      </c>
      <c r="D104" s="995">
        <f>AVERAGE(D64:D101)</f>
        <v>1.0936691185547331</v>
      </c>
      <c r="E104" s="995">
        <v>2.4529223395214443</v>
      </c>
      <c r="F104" s="995">
        <f>AVERAGE(F64:F101)</f>
        <v>3.0250161825612256</v>
      </c>
    </row>
    <row r="105" spans="1:7">
      <c r="B105" t="s">
        <v>1161</v>
      </c>
      <c r="C105" s="995">
        <f>MEDIAN(C64:C101)</f>
        <v>0.71321963924010312</v>
      </c>
      <c r="D105" s="995">
        <f>MEDIAN(D64:D101)</f>
        <v>1.0110027395726804</v>
      </c>
      <c r="E105" s="995">
        <v>2.4138647175284009</v>
      </c>
      <c r="F105" s="995">
        <f>MEDIAN(F64:F101)</f>
        <v>2.9381764558602566</v>
      </c>
    </row>
    <row r="106" spans="1:7">
      <c r="B106" t="s">
        <v>1162</v>
      </c>
      <c r="C106" s="995">
        <f>STDEV(C64:C101)</f>
        <v>0.16703859217858863</v>
      </c>
      <c r="D106" s="995">
        <f>STDEV(D64:D101)</f>
        <v>0.25133637650496665</v>
      </c>
      <c r="E106" s="995">
        <v>0.52890099045332473</v>
      </c>
      <c r="F106" s="995">
        <f>STDEV(F64:F101)</f>
        <v>0.65549359985849098</v>
      </c>
    </row>
    <row r="107" spans="1:7">
      <c r="B107" s="1219" t="s">
        <v>1163</v>
      </c>
      <c r="C107" s="995">
        <f>C105+2*C106</f>
        <v>1.0472968235972804</v>
      </c>
      <c r="D107" s="995">
        <f>D105+2*D106</f>
        <v>1.5136754925826137</v>
      </c>
      <c r="E107" s="995">
        <f>E105+2*E106</f>
        <v>3.4716666984350502</v>
      </c>
      <c r="F107" s="995">
        <f>F105+2*F106</f>
        <v>4.2491636555772381</v>
      </c>
    </row>
    <row r="108" spans="1:7">
      <c r="B108" s="1219"/>
      <c r="C108" s="995"/>
      <c r="D108" s="995"/>
      <c r="E108" s="995"/>
      <c r="F108" s="995"/>
    </row>
    <row r="109" spans="1:7">
      <c r="B109" t="s">
        <v>1160</v>
      </c>
      <c r="C109" s="995">
        <f>AVERAGE(C64:C101)</f>
        <v>0.7248636708942261</v>
      </c>
      <c r="D109" s="995">
        <f>AVERAGE(D64:D101)</f>
        <v>1.0936691185547331</v>
      </c>
      <c r="E109" s="995">
        <f>AVERAGE(E64:E101)</f>
        <v>3.1713513903274868</v>
      </c>
      <c r="F109" s="995">
        <f>AVERAGE(F64:F101)</f>
        <v>3.0250161825612256</v>
      </c>
    </row>
    <row r="110" spans="1:7">
      <c r="B110" t="s">
        <v>1161</v>
      </c>
      <c r="C110" s="995">
        <f>MEDIAN(C64:C101)</f>
        <v>0.71321963924010312</v>
      </c>
      <c r="D110" s="995">
        <f>MEDIAN(D64:D101)</f>
        <v>1.0110027395726804</v>
      </c>
      <c r="E110" s="995">
        <f>MEDIAN(E64:E101)</f>
        <v>2.5199534078431221</v>
      </c>
      <c r="F110" s="995">
        <f>MEDIAN(F64:F101)</f>
        <v>2.9381764558602566</v>
      </c>
    </row>
    <row r="111" spans="1:7">
      <c r="B111" t="s">
        <v>1162</v>
      </c>
      <c r="C111" s="995">
        <f>STDEV(C64:C101)</f>
        <v>0.16703859217858863</v>
      </c>
      <c r="D111" s="995">
        <f>STDEV(D64:D101)</f>
        <v>0.25133637650496665</v>
      </c>
      <c r="E111" s="995">
        <f>STDEV(E64:E101)</f>
        <v>2.672786952619187</v>
      </c>
      <c r="F111" s="995">
        <f>STDEV(F64:F101)</f>
        <v>0.65549359985849098</v>
      </c>
    </row>
    <row r="112" spans="1:7">
      <c r="C112" s="995">
        <f>C110+2*C111</f>
        <v>1.0472968235972804</v>
      </c>
      <c r="D112" s="995">
        <f>D110+2*D111</f>
        <v>1.5136754925826137</v>
      </c>
      <c r="E112" s="995">
        <f>E110+2*E111</f>
        <v>7.865527313081496</v>
      </c>
      <c r="F112" s="995">
        <f>F110+2*F111</f>
        <v>4.2491636555772381</v>
      </c>
    </row>
  </sheetData>
  <mergeCells count="1">
    <mergeCell ref="A61:B61"/>
  </mergeCells>
  <phoneticPr fontId="52" type="noConversion"/>
  <pageMargins left="0.75" right="0.75" top="1" bottom="1" header="0.5" footer="0.5"/>
  <pageSetup scale="77"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73"/>
  <sheetViews>
    <sheetView workbookViewId="0">
      <selection activeCell="G1" sqref="G1"/>
    </sheetView>
  </sheetViews>
  <sheetFormatPr defaultColWidth="11" defaultRowHeight="15.75"/>
  <cols>
    <col min="1" max="1" width="33.625" customWidth="1"/>
    <col min="2" max="2" width="14.375" customWidth="1"/>
    <col min="3" max="3" width="11.5" customWidth="1"/>
    <col min="4" max="4" width="13.125" customWidth="1"/>
    <col min="5" max="5" width="11.625" customWidth="1"/>
    <col min="7" max="7" width="23.5" customWidth="1"/>
  </cols>
  <sheetData>
    <row r="1" spans="1:7" ht="18.75">
      <c r="A1" s="928" t="s">
        <v>314</v>
      </c>
      <c r="B1" s="929"/>
      <c r="C1" s="929"/>
      <c r="D1" s="929"/>
      <c r="E1" s="929"/>
      <c r="G1" t="s">
        <v>1580</v>
      </c>
    </row>
    <row r="3" spans="1:7">
      <c r="A3" s="849" t="s">
        <v>785</v>
      </c>
      <c r="B3" s="216"/>
      <c r="C3" s="216"/>
      <c r="D3" s="216"/>
      <c r="E3" s="216"/>
    </row>
    <row r="4" spans="1:7">
      <c r="A4" s="836" t="s">
        <v>781</v>
      </c>
      <c r="B4" s="1775" t="s">
        <v>755</v>
      </c>
      <c r="C4" s="1775"/>
      <c r="D4" s="1775" t="s">
        <v>756</v>
      </c>
      <c r="E4" s="1775"/>
    </row>
    <row r="5" spans="1:7">
      <c r="A5" s="822" t="s">
        <v>410</v>
      </c>
      <c r="B5" s="830"/>
      <c r="C5" s="283"/>
      <c r="D5" s="830"/>
      <c r="E5" s="283"/>
    </row>
    <row r="6" spans="1:7">
      <c r="A6" s="854" t="s">
        <v>757</v>
      </c>
      <c r="B6" s="824">
        <f>'Foundation SCH'!K59/3</f>
        <v>279412.35946838185</v>
      </c>
      <c r="C6" s="831">
        <f t="shared" ref="C6:C11" si="0">B6/B$12</f>
        <v>0.21944379222991889</v>
      </c>
      <c r="D6" s="824">
        <f>('Foundation SCH'!G82+'Foundation SCH'!W16)/3</f>
        <v>401647.66666666669</v>
      </c>
      <c r="E6" s="831">
        <f t="shared" ref="E6:E11" si="1">D6/D$12</f>
        <v>0.34678430837576968</v>
      </c>
    </row>
    <row r="7" spans="1:7">
      <c r="A7" s="854" t="s">
        <v>758</v>
      </c>
      <c r="B7" s="824">
        <f>'Foundation SCH'!L59/3</f>
        <v>84912.785274976937</v>
      </c>
      <c r="C7" s="831">
        <f t="shared" si="0"/>
        <v>6.6688473068974324E-2</v>
      </c>
      <c r="D7" s="824">
        <f>'Foundation SCH'!H82/3</f>
        <v>85017</v>
      </c>
      <c r="E7" s="831">
        <f t="shared" si="1"/>
        <v>7.3404040386597896E-2</v>
      </c>
    </row>
    <row r="8" spans="1:7">
      <c r="A8" s="854" t="s">
        <v>759</v>
      </c>
      <c r="B8" s="824">
        <f>'Foundation SCH'!M59/3</f>
        <v>26257.251999999997</v>
      </c>
      <c r="C8" s="831">
        <f t="shared" si="0"/>
        <v>2.0621818459926233E-2</v>
      </c>
      <c r="D8" s="824">
        <f>'Foundation SCH'!I82/3</f>
        <v>13303</v>
      </c>
      <c r="E8" s="831">
        <f t="shared" si="1"/>
        <v>1.1485866935588314E-2</v>
      </c>
    </row>
    <row r="9" spans="1:7">
      <c r="A9" s="854" t="s">
        <v>259</v>
      </c>
      <c r="B9" s="824">
        <f>'Undergrad Completions'!M35/3</f>
        <v>275821.18346638425</v>
      </c>
      <c r="C9" s="831">
        <f t="shared" si="0"/>
        <v>0.21662336838774232</v>
      </c>
      <c r="D9" s="824">
        <f>('Undergrad Completions'!T35+'Undergrad Completions'!V35+'Undergrad Completions'!X35)/3</f>
        <v>237444.66666666666</v>
      </c>
      <c r="E9" s="831">
        <f t="shared" si="1"/>
        <v>0.20501073787104077</v>
      </c>
    </row>
    <row r="10" spans="1:7">
      <c r="A10" s="854" t="s">
        <v>163</v>
      </c>
      <c r="B10" s="824">
        <f>'Graduate Completions'!M106/3</f>
        <v>305374.7156146738</v>
      </c>
      <c r="C10" s="831">
        <f t="shared" si="0"/>
        <v>0.23983400653112538</v>
      </c>
      <c r="D10" s="824">
        <f>('Graduate Completions'!T106+'Graduate Completions'!V106+'Graduate Completions'!X105+'Graduate Completions'!X106)/3</f>
        <v>119296.66666666667</v>
      </c>
      <c r="E10" s="831">
        <f t="shared" si="1"/>
        <v>0.10300125078497838</v>
      </c>
    </row>
    <row r="11" spans="1:7">
      <c r="A11" s="854" t="s">
        <v>1057</v>
      </c>
      <c r="B11" s="824">
        <v>301497</v>
      </c>
      <c r="C11" s="831">
        <f t="shared" si="0"/>
        <v>0.23678854132231281</v>
      </c>
      <c r="D11" s="824">
        <f>B11</f>
        <v>301497</v>
      </c>
      <c r="E11" s="831">
        <f t="shared" si="1"/>
        <v>0.26031379564602497</v>
      </c>
    </row>
    <row r="12" spans="1:7">
      <c r="A12" s="197"/>
      <c r="B12" s="837">
        <f>SUM(B6:B11)</f>
        <v>1273275.2958244169</v>
      </c>
      <c r="C12" s="838">
        <f>SUM(C6:C11)</f>
        <v>1</v>
      </c>
      <c r="D12" s="837">
        <f>SUM(D6:D11)</f>
        <v>1158206</v>
      </c>
      <c r="E12" s="838">
        <f>SUM(E6:E11)</f>
        <v>1</v>
      </c>
    </row>
    <row r="13" spans="1:7">
      <c r="A13" s="822"/>
      <c r="B13" s="824"/>
      <c r="C13" s="833"/>
      <c r="D13" s="283"/>
      <c r="E13" s="832"/>
    </row>
    <row r="14" spans="1:7">
      <c r="A14" s="839" t="s">
        <v>782</v>
      </c>
      <c r="B14" s="840"/>
      <c r="C14" s="841">
        <f>(B6+B7+B8)/B12</f>
        <v>0.30675408375881941</v>
      </c>
      <c r="D14" s="839"/>
      <c r="E14" s="841">
        <f>(D6+D7+D8)/D12</f>
        <v>0.43167421569795589</v>
      </c>
    </row>
    <row r="15" spans="1:7">
      <c r="A15" s="823" t="s">
        <v>783</v>
      </c>
      <c r="B15" s="832"/>
      <c r="C15" s="842">
        <f>(B6+B7+B9+0.9*B11)/B12</f>
        <v>0.71586532087671695</v>
      </c>
      <c r="D15" s="832"/>
      <c r="E15" s="842">
        <f>(D6+D7+D9+0.9*D11)/D12</f>
        <v>0.85948150271483081</v>
      </c>
    </row>
    <row r="16" spans="1:7">
      <c r="A16" s="843" t="s">
        <v>784</v>
      </c>
      <c r="B16" s="844"/>
      <c r="C16" s="845">
        <f>(B8+B10+0.1*B11)/B12</f>
        <v>0.28413467912328289</v>
      </c>
      <c r="D16" s="844"/>
      <c r="E16" s="845">
        <f>(D8+D10+0.1*D11)/D12</f>
        <v>0.14051849728516921</v>
      </c>
    </row>
    <row r="17" spans="1:7">
      <c r="A17" s="1"/>
      <c r="B17" s="1"/>
      <c r="C17" s="1"/>
      <c r="D17" s="1"/>
      <c r="E17" s="1"/>
    </row>
    <row r="18" spans="1:7">
      <c r="A18" s="836"/>
      <c r="B18" s="1775" t="s">
        <v>755</v>
      </c>
      <c r="C18" s="1775"/>
      <c r="D18" s="1775" t="s">
        <v>756</v>
      </c>
      <c r="E18" s="1775"/>
    </row>
    <row r="19" spans="1:7">
      <c r="A19" s="282" t="s">
        <v>760</v>
      </c>
      <c r="B19" s="834">
        <f>'Undergrad Completions'!M60/3</f>
        <v>6169.0270865074381</v>
      </c>
      <c r="C19" s="295">
        <f>B19/(B19+B20)</f>
        <v>0.65813812628452439</v>
      </c>
      <c r="D19" s="835">
        <f>('Undergrad Completions'!X60+'Undergrad Completions'!V60+'Undergrad Completions'!T60)/3</f>
        <v>5015</v>
      </c>
      <c r="E19" s="295">
        <f>D19/(D19+D20)</f>
        <v>0.78123377297746399</v>
      </c>
    </row>
    <row r="20" spans="1:7">
      <c r="A20" s="846" t="s">
        <v>761</v>
      </c>
      <c r="B20" s="847">
        <f>('Graduate Completions'!M35+'Graduate Completions'!M60+'Graduate Completions'!M83)/3</f>
        <v>3204.4263575807745</v>
      </c>
      <c r="C20" s="848">
        <f>(1-C19)</f>
        <v>0.34186187371547561</v>
      </c>
      <c r="D20" s="847">
        <f>('Graduate Completions'!T35+'Graduate Completions'!V35+'Graduate Completions'!X35+'Graduate Completions'!T60+'Graduate Completions'!V60+'Graduate Completions'!X60+'Graduate Completions'!T83+'Graduate Completions'!V83+'Graduate Completions'!X83)/3</f>
        <v>1404.3333333333333</v>
      </c>
      <c r="E20" s="848">
        <f>(1-E19)</f>
        <v>0.21876622702253601</v>
      </c>
    </row>
    <row r="21" spans="1:7">
      <c r="A21" s="1"/>
      <c r="B21" s="1"/>
      <c r="C21" s="1"/>
      <c r="D21" s="1"/>
      <c r="E21" s="1"/>
    </row>
    <row r="22" spans="1:7">
      <c r="A22" s="1"/>
      <c r="B22" s="1"/>
      <c r="C22" s="1"/>
      <c r="D22" s="1"/>
      <c r="E22" s="1"/>
    </row>
    <row r="23" spans="1:7">
      <c r="A23" s="853" t="s">
        <v>786</v>
      </c>
      <c r="B23" s="850"/>
      <c r="C23" s="851"/>
      <c r="D23" s="851"/>
      <c r="E23" s="852"/>
    </row>
    <row r="24" spans="1:7" ht="16.5" thickBot="1">
      <c r="A24" s="825"/>
      <c r="B24" s="826"/>
      <c r="C24" s="827" t="s">
        <v>774</v>
      </c>
      <c r="D24" s="827" t="s">
        <v>775</v>
      </c>
      <c r="E24" s="1"/>
    </row>
    <row r="25" spans="1:7" ht="16.5" thickTop="1">
      <c r="A25" s="822" t="s">
        <v>768</v>
      </c>
      <c r="B25" s="824">
        <f>'Step 0 FY18 Revenue'!Q27+'Step 0 FY18 Revenue'!Q28+'Step 0 FY18 Revenue'!Q33+0.94*'Step 0 FY18 Revenue'!R39+0.83*('Step 0 FY18 Revenue'!L47+'Step 0 FY18 Revenue'!L48)</f>
        <v>210903166</v>
      </c>
      <c r="C25" s="295">
        <f t="shared" ref="C25:C35" si="2">B25/B$36</f>
        <v>0.36262060449778294</v>
      </c>
      <c r="D25" s="295">
        <f t="shared" ref="D25:D32" si="3">B25/B$37</f>
        <v>0.41832678980228827</v>
      </c>
      <c r="E25" s="1"/>
    </row>
    <row r="26" spans="1:7">
      <c r="A26" s="822" t="s">
        <v>769</v>
      </c>
      <c r="B26" s="824">
        <f>'Step 0 FY18 Revenue'!Q29+'Step 0 FY18 Revenue'!Q30+0.15*('Step 0 FY18 Revenue'!L47+'Step 0 FY18 Revenue'!L48)+0.06*'Step 0 FY18 Revenue'!R39</f>
        <v>40155030</v>
      </c>
      <c r="C26" s="295">
        <f t="shared" si="2"/>
        <v>6.9041359256914181E-2</v>
      </c>
      <c r="D26" s="295">
        <f t="shared" si="3"/>
        <v>7.964757055526886E-2</v>
      </c>
      <c r="E26" s="1"/>
    </row>
    <row r="27" spans="1:7">
      <c r="A27" s="822" t="s">
        <v>770</v>
      </c>
      <c r="B27" s="824">
        <f>'Step 0 FY18 Revenue'!Q31+'Step 0 FY18 Revenue'!Q32+0.02*('Step 0 FY18 Revenue'!L47+'Step 0 FY18 Revenue'!L48)</f>
        <v>18542004</v>
      </c>
      <c r="C27" s="295">
        <f t="shared" si="2"/>
        <v>3.1880567876730256E-2</v>
      </c>
      <c r="D27" s="295">
        <f t="shared" si="3"/>
        <v>3.6778096587801762E-2</v>
      </c>
      <c r="E27" s="1"/>
    </row>
    <row r="28" spans="1:7">
      <c r="A28" s="822" t="s">
        <v>762</v>
      </c>
      <c r="B28" s="824">
        <f>0.95*('Step 0 FY18 Revenue'!Q35+'Step 0 FY18 Revenue'!Q36+'Step 0 FY18 Revenue'!Q37)</f>
        <v>109250000</v>
      </c>
      <c r="C28" s="295">
        <f t="shared" si="2"/>
        <v>0.18784118698997049</v>
      </c>
      <c r="D28" s="295">
        <f t="shared" si="3"/>
        <v>0.21669756150507477</v>
      </c>
      <c r="E28" s="1"/>
    </row>
    <row r="29" spans="1:7">
      <c r="A29" s="822" t="s">
        <v>763</v>
      </c>
      <c r="B29" s="824">
        <f>0.05*('Step 0 FY18 Revenue'!Q35+'Step 0 FY18 Revenue'!Q36+'Step 0 FY18 Revenue'!Q37)</f>
        <v>5750000</v>
      </c>
      <c r="C29" s="295">
        <f t="shared" si="2"/>
        <v>9.8863782626300266E-3</v>
      </c>
      <c r="D29" s="295">
        <f t="shared" si="3"/>
        <v>1.1405134816056567E-2</v>
      </c>
      <c r="E29" s="1"/>
    </row>
    <row r="30" spans="1:7">
      <c r="A30" s="822" t="s">
        <v>765</v>
      </c>
      <c r="B30" s="824">
        <f>0.77*('Step 0 FY18 Revenue'!L6+'Step 0 FY18 Revenue'!L7+'Step 0 FY18 Revenue'!L8+'Step 0 FY18 Revenue'!L9)+'Step 0 FY18 Revenue'!L22+'Step 0 FY18 Revenue'!L25</f>
        <v>83512285.258571431</v>
      </c>
      <c r="C30" s="295">
        <f t="shared" si="2"/>
        <v>0.14358852898137367</v>
      </c>
      <c r="D30" s="295">
        <f t="shared" si="3"/>
        <v>0.16564676037756185</v>
      </c>
      <c r="E30" s="1"/>
    </row>
    <row r="31" spans="1:7">
      <c r="A31" s="822" t="s">
        <v>764</v>
      </c>
      <c r="B31" s="824">
        <f>0.23*('Step 0 FY18 Revenue'!I6+'Step 0 FY18 Revenue'!I7+'Step 0 FY18 Revenue'!I8+'Step 0 FY18 Revenue'!I9)+'Step 0 FY18 Revenue'!L17+'Step 0 FY18 Revenue'!L13+'Step 0 FY18 Revenue'!L14</f>
        <v>30327443.170000002</v>
      </c>
      <c r="C31" s="295">
        <f t="shared" si="2"/>
        <v>5.2144099985571388E-2</v>
      </c>
      <c r="D31" s="295">
        <f t="shared" si="3"/>
        <v>6.0154535300894603E-2</v>
      </c>
      <c r="E31" s="1"/>
    </row>
    <row r="32" spans="1:7">
      <c r="A32" s="823" t="s">
        <v>772</v>
      </c>
      <c r="B32" s="824">
        <f>'Step 0 FY18 Revenue'!L11+'Step 0 FY18 Revenue'!L16+'Step 0 FY18 Revenue'!L19+'Step 0 FY18 Revenue'!L21+'Step 0 FY18 Revenue'!L20</f>
        <v>5718952</v>
      </c>
      <c r="C32" s="295">
        <f t="shared" si="2"/>
        <v>9.8329952587520898E-3</v>
      </c>
      <c r="D32" s="295">
        <f t="shared" si="3"/>
        <v>1.1343551055053275E-2</v>
      </c>
      <c r="E32" s="1"/>
      <c r="G32" s="12"/>
    </row>
    <row r="33" spans="1:7">
      <c r="A33" s="823" t="s">
        <v>773</v>
      </c>
      <c r="B33" s="824">
        <f>'Step 0 FY18 Revenue'!L37-'Allocation by Category'!B32-'Allocation by Category'!B31-'Allocation by Category'!B30</f>
        <v>8236870.5199999958</v>
      </c>
      <c r="C33" s="295">
        <f t="shared" si="2"/>
        <v>1.416222915843931E-2</v>
      </c>
      <c r="D33" s="295"/>
      <c r="E33" s="1"/>
    </row>
    <row r="34" spans="1:7">
      <c r="A34" s="823" t="s">
        <v>68</v>
      </c>
      <c r="B34" s="824">
        <f>'Step 0 FY18 Revenue'!L51+'Step 0 FY18 Revenue'!L52</f>
        <v>41280000</v>
      </c>
      <c r="C34" s="295">
        <f t="shared" si="2"/>
        <v>7.0975599075020435E-2</v>
      </c>
      <c r="D34" s="295"/>
      <c r="E34" s="1"/>
      <c r="G34" s="12"/>
    </row>
    <row r="35" spans="1:7">
      <c r="A35" s="823" t="s">
        <v>766</v>
      </c>
      <c r="B35" s="824">
        <f>SUM('Step 0 FY18 Revenue'!L53,'Step 0 FY18 Revenue'!L54,'Step 0 FY18 Revenue'!L55,'Step 0 FY18 Revenue'!L56)</f>
        <v>27932584</v>
      </c>
      <c r="C35" s="295">
        <f t="shared" si="2"/>
        <v>4.8026450656815177E-2</v>
      </c>
      <c r="D35" s="295"/>
      <c r="E35" s="1"/>
    </row>
    <row r="36" spans="1:7">
      <c r="A36" s="17"/>
      <c r="B36" s="828">
        <f>SUM(B25:B35)</f>
        <v>581608334.94857144</v>
      </c>
      <c r="C36" s="829">
        <f>SUM(C25:C35)</f>
        <v>1</v>
      </c>
      <c r="D36" s="829">
        <f>SUM(D25:D35)</f>
        <v>1</v>
      </c>
      <c r="E36" s="1"/>
    </row>
    <row r="37" spans="1:7">
      <c r="A37" s="823" t="s">
        <v>776</v>
      </c>
      <c r="B37" s="8">
        <f>B25+B26+B27+B28+B29+B30+B31+B32</f>
        <v>504158880.42857146</v>
      </c>
      <c r="C37" s="1"/>
      <c r="D37" s="1"/>
      <c r="E37" s="1"/>
    </row>
    <row r="38" spans="1:7">
      <c r="A38" s="1"/>
      <c r="B38" s="1"/>
      <c r="C38" s="1"/>
      <c r="D38" s="1"/>
      <c r="E38" s="1"/>
    </row>
    <row r="39" spans="1:7">
      <c r="A39" s="823" t="s">
        <v>1530</v>
      </c>
      <c r="B39" s="1"/>
      <c r="C39" s="1"/>
      <c r="D39" s="1"/>
      <c r="E39" s="1"/>
    </row>
    <row r="40" spans="1:7">
      <c r="A40" s="823" t="s">
        <v>767</v>
      </c>
      <c r="B40" s="1"/>
      <c r="C40" s="1"/>
      <c r="D40" s="1"/>
      <c r="E40" s="1"/>
    </row>
    <row r="41" spans="1:7">
      <c r="A41" s="823" t="s">
        <v>771</v>
      </c>
      <c r="B41" s="1"/>
      <c r="C41" s="1"/>
      <c r="D41" s="1"/>
      <c r="E41" s="1"/>
    </row>
    <row r="42" spans="1:7">
      <c r="A42" s="1"/>
      <c r="B42" s="8"/>
      <c r="C42" s="1"/>
      <c r="D42" s="1"/>
      <c r="E42" s="1"/>
    </row>
    <row r="43" spans="1:7">
      <c r="A43" s="860" t="s">
        <v>777</v>
      </c>
      <c r="B43" s="861">
        <f>B25+B28+B30</f>
        <v>403665451.25857145</v>
      </c>
      <c r="C43" s="862">
        <f>B43/B$47</f>
        <v>0.69405032046912718</v>
      </c>
      <c r="D43" s="862">
        <f>B43/B$48</f>
        <v>0.80067111168492489</v>
      </c>
      <c r="E43" s="1"/>
    </row>
    <row r="44" spans="1:7">
      <c r="A44" s="823" t="s">
        <v>778</v>
      </c>
      <c r="B44" s="863">
        <f>B26+B27+B29+B31</f>
        <v>94774477.170000002</v>
      </c>
      <c r="C44" s="864">
        <f>B44/B$47</f>
        <v>0.16295240538184586</v>
      </c>
      <c r="D44" s="864">
        <f>B44/B$48</f>
        <v>0.18798533726002178</v>
      </c>
      <c r="E44" s="1"/>
    </row>
    <row r="45" spans="1:7">
      <c r="A45" s="823" t="s">
        <v>779</v>
      </c>
      <c r="B45" s="863">
        <f>B32</f>
        <v>5718952</v>
      </c>
      <c r="C45" s="864">
        <f>B45/B$47</f>
        <v>9.8329952587520898E-3</v>
      </c>
      <c r="D45" s="864">
        <f>B45/B$48</f>
        <v>1.1343551055053275E-2</v>
      </c>
      <c r="E45" s="1"/>
    </row>
    <row r="46" spans="1:7">
      <c r="A46" s="843" t="s">
        <v>780</v>
      </c>
      <c r="B46" s="647">
        <f>B33+B34+B35</f>
        <v>77449454.519999996</v>
      </c>
      <c r="C46" s="848">
        <f>B46/B$47</f>
        <v>0.13316427889027491</v>
      </c>
      <c r="D46" s="848"/>
      <c r="E46" s="1"/>
    </row>
    <row r="47" spans="1:7">
      <c r="A47" s="17"/>
      <c r="B47" s="828">
        <f>SUM(B43:B46)</f>
        <v>581608334.94857144</v>
      </c>
      <c r="C47" s="829">
        <f>SUM(C43:C46)</f>
        <v>1</v>
      </c>
      <c r="D47" s="829">
        <f>SUM(D43:D46)</f>
        <v>0.99999999999999989</v>
      </c>
      <c r="E47" s="1"/>
    </row>
    <row r="48" spans="1:7">
      <c r="A48" s="823" t="s">
        <v>776</v>
      </c>
      <c r="B48" s="8">
        <f>B43+B44+B45</f>
        <v>504158880.42857146</v>
      </c>
      <c r="C48" s="1"/>
      <c r="D48" s="1"/>
      <c r="E48" s="1"/>
    </row>
    <row r="52" spans="1:5">
      <c r="A52" s="853" t="s">
        <v>787</v>
      </c>
      <c r="B52" s="850"/>
      <c r="C52" s="851"/>
    </row>
    <row r="53" spans="1:5" ht="16.5" thickBot="1">
      <c r="A53" s="825"/>
      <c r="B53" s="826"/>
      <c r="C53" s="827" t="s">
        <v>774</v>
      </c>
    </row>
    <row r="54" spans="1:5" ht="16.5" thickTop="1">
      <c r="A54" s="822" t="s">
        <v>788</v>
      </c>
      <c r="B54" s="824"/>
      <c r="C54" s="295"/>
    </row>
    <row r="55" spans="1:5">
      <c r="A55" s="854" t="s">
        <v>789</v>
      </c>
      <c r="B55" s="824">
        <f>'Foundation SCH'!K60*'Dashboard-Academic Allocation'!D20</f>
        <v>52313095.803056829</v>
      </c>
      <c r="C55" s="295">
        <f t="shared" ref="C55:C65" si="4">B55/B$66</f>
        <v>0.23882205046836516</v>
      </c>
      <c r="D55" s="1"/>
      <c r="E55" s="1"/>
    </row>
    <row r="56" spans="1:5">
      <c r="A56" s="854" t="s">
        <v>790</v>
      </c>
      <c r="B56" s="824">
        <f>'Foundation SCH'!L60*'Dashboard-Academic Allocation'!D20</f>
        <v>15897831.718846789</v>
      </c>
      <c r="C56" s="295">
        <f t="shared" si="4"/>
        <v>7.2577482001631929E-2</v>
      </c>
    </row>
    <row r="57" spans="1:5">
      <c r="A57" s="855" t="s">
        <v>112</v>
      </c>
      <c r="B57" s="824">
        <f>'Foundation SCH'!M60*'Dashboard-Academic Allocation'!D20</f>
        <v>4916024.9819100825</v>
      </c>
      <c r="C57" s="295">
        <f t="shared" si="4"/>
        <v>2.2442853903226076E-2</v>
      </c>
    </row>
    <row r="58" spans="1:5">
      <c r="A58" s="855" t="s">
        <v>794</v>
      </c>
      <c r="B58" s="824">
        <f>'Dashboard-Academic Allocation'!D23+'Dashboard-Academic Allocation'!D39</f>
        <v>1625043.3889736379</v>
      </c>
      <c r="C58" s="295">
        <f t="shared" si="4"/>
        <v>7.4187196971827376E-3</v>
      </c>
    </row>
    <row r="59" spans="1:5">
      <c r="A59" s="823" t="s">
        <v>791</v>
      </c>
      <c r="B59" s="824">
        <f>'Dashboard-Academic Allocation'!D24+'Dashboard-Academic Allocation'!D25</f>
        <v>40626084.724340945</v>
      </c>
      <c r="C59" s="295">
        <f t="shared" si="4"/>
        <v>0.18546799242956843</v>
      </c>
    </row>
    <row r="60" spans="1:5">
      <c r="A60" s="823" t="s">
        <v>261</v>
      </c>
      <c r="B60" s="824">
        <f>'Dashboard-Academic Allocation'!D26+'Dashboard-Academic Allocation'!D27</f>
        <v>32500867.779472757</v>
      </c>
      <c r="C60" s="295">
        <f t="shared" si="4"/>
        <v>0.14837439394365473</v>
      </c>
    </row>
    <row r="61" spans="1:5">
      <c r="A61" s="823" t="s">
        <v>792</v>
      </c>
      <c r="B61" s="824">
        <f>'Dashboard-Academic Allocation'!D28+0.9*'Dashboard-Academic Allocation'!D30</f>
        <v>48889296.292417973</v>
      </c>
      <c r="C61" s="295">
        <f t="shared" si="4"/>
        <v>0.2231915700509631</v>
      </c>
    </row>
    <row r="62" spans="1:5">
      <c r="A62" s="823" t="s">
        <v>793</v>
      </c>
      <c r="B62" s="824">
        <f>0.1*'Dashboard-Academic Allocation'!D30+'Dashboard-Academic Allocation'!D29</f>
        <v>7652703.7075820267</v>
      </c>
      <c r="C62" s="295">
        <f t="shared" si="4"/>
        <v>3.4936460230763196E-2</v>
      </c>
    </row>
    <row r="63" spans="1:5">
      <c r="A63" s="823" t="s">
        <v>406</v>
      </c>
      <c r="B63" s="824">
        <f>'Dashboard-Academic Allocation'!D32</f>
        <v>8125216.9448681893</v>
      </c>
      <c r="C63" s="295">
        <f t="shared" si="4"/>
        <v>3.7093598485913683E-2</v>
      </c>
    </row>
    <row r="64" spans="1:5">
      <c r="A64" s="823" t="s">
        <v>795</v>
      </c>
      <c r="B64" s="824">
        <f>'Strategic Populations'!T3*'Dashboard-Academic Allocation'!D33</f>
        <v>5224355.1159059936</v>
      </c>
      <c r="C64" s="295">
        <f t="shared" si="4"/>
        <v>2.3850456219466486E-2</v>
      </c>
    </row>
    <row r="65" spans="1:3">
      <c r="A65" s="823" t="s">
        <v>796</v>
      </c>
      <c r="B65" s="824">
        <f>'Dashboard-Academic Allocation'!D33*'Strategic Populations'!T4</f>
        <v>1275818.4399885579</v>
      </c>
      <c r="C65" s="295">
        <f t="shared" si="4"/>
        <v>5.8244225692644638E-3</v>
      </c>
    </row>
    <row r="66" spans="1:3">
      <c r="A66" s="215"/>
      <c r="B66" s="858">
        <f>SUM(B55:B65)</f>
        <v>219046338.89736378</v>
      </c>
      <c r="C66" s="859">
        <f>SUM(C55:C65)</f>
        <v>0.99999999999999989</v>
      </c>
    </row>
    <row r="68" spans="1:3">
      <c r="A68" s="860" t="s">
        <v>799</v>
      </c>
      <c r="B68" s="14"/>
      <c r="C68" s="865">
        <f>C55+C56+C57+C58</f>
        <v>0.34126110607040588</v>
      </c>
    </row>
    <row r="69" spans="1:3">
      <c r="A69" s="62"/>
      <c r="B69" s="62"/>
      <c r="C69" s="62"/>
    </row>
    <row r="70" spans="1:3">
      <c r="A70" s="823" t="s">
        <v>800</v>
      </c>
      <c r="B70" s="62"/>
      <c r="C70" s="316">
        <f>C55+C56+C59+C61+C64+C58</f>
        <v>0.75132827086717791</v>
      </c>
    </row>
    <row r="71" spans="1:3">
      <c r="A71" s="823" t="s">
        <v>801</v>
      </c>
      <c r="B71" s="62"/>
      <c r="C71" s="316">
        <f>C57+C60+C62+C65</f>
        <v>0.21157813064690845</v>
      </c>
    </row>
    <row r="72" spans="1:3">
      <c r="A72" s="843" t="s">
        <v>802</v>
      </c>
      <c r="B72" s="15"/>
      <c r="C72" s="866">
        <f>C63</f>
        <v>3.7093598485913683E-2</v>
      </c>
    </row>
    <row r="73" spans="1:3">
      <c r="C73" s="16">
        <f>SUM(C70:C72)</f>
        <v>1</v>
      </c>
    </row>
  </sheetData>
  <mergeCells count="4">
    <mergeCell ref="D4:E4"/>
    <mergeCell ref="B4:C4"/>
    <mergeCell ref="B18:C18"/>
    <mergeCell ref="D18:E18"/>
  </mergeCells>
  <pageMargins left="0.75" right="0.75" top="1" bottom="1" header="0.5" footer="0.5"/>
  <pageSetup orientation="portrait" horizontalDpi="4294967292" verticalDpi="429496729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R60"/>
  <sheetViews>
    <sheetView workbookViewId="0">
      <selection activeCell="R41" sqref="R41"/>
    </sheetView>
  </sheetViews>
  <sheetFormatPr defaultColWidth="11" defaultRowHeight="15.75"/>
  <cols>
    <col min="1" max="1" width="48" customWidth="1"/>
    <col min="16" max="16" width="13.125" bestFit="1" customWidth="1"/>
    <col min="18" max="18" width="13.5" customWidth="1"/>
  </cols>
  <sheetData>
    <row r="1" spans="1:18">
      <c r="A1" s="10" t="s">
        <v>730</v>
      </c>
      <c r="B1" t="s">
        <v>731</v>
      </c>
    </row>
    <row r="5" spans="1:18" ht="31.5">
      <c r="A5" s="675" t="s">
        <v>683</v>
      </c>
      <c r="B5" s="676"/>
      <c r="C5" s="676"/>
      <c r="D5" s="676"/>
      <c r="E5" s="676"/>
      <c r="F5" s="676"/>
      <c r="G5" s="676"/>
      <c r="H5" s="676"/>
      <c r="I5" s="676"/>
      <c r="J5" s="676"/>
      <c r="K5" s="676"/>
      <c r="L5" s="676"/>
      <c r="M5" s="676"/>
      <c r="N5" s="676"/>
      <c r="O5" s="10" t="s">
        <v>684</v>
      </c>
      <c r="P5" s="10"/>
      <c r="Q5" s="10"/>
      <c r="R5" s="677">
        <v>5</v>
      </c>
    </row>
    <row r="6" spans="1:18" ht="31.5">
      <c r="A6" s="675" t="s">
        <v>685</v>
      </c>
      <c r="B6" s="676"/>
      <c r="C6" s="676"/>
      <c r="D6" s="676"/>
      <c r="E6" s="676"/>
      <c r="F6" s="676"/>
      <c r="G6" s="676"/>
      <c r="H6" s="676"/>
      <c r="I6" s="676"/>
      <c r="J6" s="676"/>
      <c r="K6" s="676"/>
      <c r="L6" s="676"/>
      <c r="M6" s="676"/>
      <c r="N6" s="676"/>
    </row>
    <row r="7" spans="1:18" ht="16.5" thickBot="1"/>
    <row r="8" spans="1:18" ht="15" customHeight="1">
      <c r="A8" s="678"/>
      <c r="B8" s="1832" t="s">
        <v>686</v>
      </c>
      <c r="C8" s="1833"/>
      <c r="D8" s="1832" t="s">
        <v>687</v>
      </c>
      <c r="E8" s="1833"/>
      <c r="F8" s="1832" t="s">
        <v>688</v>
      </c>
      <c r="G8" s="1833"/>
      <c r="H8" s="679" t="s">
        <v>689</v>
      </c>
      <c r="I8" s="679" t="s">
        <v>690</v>
      </c>
      <c r="J8" s="1834" t="s">
        <v>691</v>
      </c>
      <c r="K8" s="680"/>
      <c r="L8" s="1836" t="s">
        <v>692</v>
      </c>
      <c r="M8" s="1830" t="s">
        <v>693</v>
      </c>
      <c r="O8" s="1830" t="s">
        <v>694</v>
      </c>
      <c r="P8" s="1830" t="s">
        <v>695</v>
      </c>
      <c r="R8" s="1830" t="s">
        <v>732</v>
      </c>
    </row>
    <row r="9" spans="1:18" ht="15" customHeight="1">
      <c r="A9" s="681" t="s">
        <v>696</v>
      </c>
      <c r="B9" s="682" t="s">
        <v>697</v>
      </c>
      <c r="C9" s="683" t="s">
        <v>698</v>
      </c>
      <c r="D9" s="682" t="s">
        <v>699</v>
      </c>
      <c r="E9" s="683" t="s">
        <v>700</v>
      </c>
      <c r="F9" s="682" t="s">
        <v>701</v>
      </c>
      <c r="G9" s="683" t="s">
        <v>702</v>
      </c>
      <c r="H9" s="684" t="s">
        <v>413</v>
      </c>
      <c r="I9" s="684" t="s">
        <v>413</v>
      </c>
      <c r="J9" s="1835"/>
      <c r="K9" s="685" t="s">
        <v>703</v>
      </c>
      <c r="L9" s="1837"/>
      <c r="M9" s="1838"/>
      <c r="O9" s="1831"/>
      <c r="P9" s="1831"/>
      <c r="R9" s="1831"/>
    </row>
    <row r="10" spans="1:18">
      <c r="A10" s="686" t="s">
        <v>704</v>
      </c>
      <c r="B10" s="687"/>
      <c r="C10" s="687"/>
      <c r="D10" s="687"/>
      <c r="E10" s="687"/>
      <c r="F10" s="687"/>
      <c r="G10" s="687"/>
      <c r="H10" s="687"/>
      <c r="I10" s="687"/>
      <c r="J10" s="687"/>
      <c r="K10" s="687"/>
      <c r="L10" s="687"/>
      <c r="M10" s="687"/>
      <c r="O10" s="687"/>
      <c r="P10" s="687"/>
      <c r="R10" s="687"/>
    </row>
    <row r="11" spans="1:18">
      <c r="A11" s="686" t="s">
        <v>705</v>
      </c>
      <c r="B11" s="688">
        <v>114390.2243</v>
      </c>
      <c r="C11" s="688">
        <v>107406</v>
      </c>
      <c r="D11" s="688">
        <v>34994.056900000003</v>
      </c>
      <c r="E11" s="688">
        <v>45490.592138738131</v>
      </c>
      <c r="F11" s="688">
        <v>162220.80329999997</v>
      </c>
      <c r="G11" s="688">
        <v>186273.5</v>
      </c>
      <c r="H11" s="688">
        <v>311605.0845</v>
      </c>
      <c r="I11" s="688">
        <v>339170.09213873814</v>
      </c>
      <c r="J11" s="689">
        <v>-8.1271928974983476E-2</v>
      </c>
      <c r="K11" s="688">
        <v>0</v>
      </c>
      <c r="L11" s="690">
        <v>108430.8722</v>
      </c>
      <c r="M11" s="691">
        <v>420035.95670000004</v>
      </c>
      <c r="O11" s="691">
        <f>F11-G11</f>
        <v>-24052.69670000003</v>
      </c>
      <c r="P11" s="691">
        <f>O11*R$5</f>
        <v>-120263.48350000015</v>
      </c>
      <c r="R11" s="691">
        <f>0</f>
        <v>0</v>
      </c>
    </row>
    <row r="12" spans="1:18">
      <c r="A12" s="692"/>
      <c r="B12" s="693"/>
      <c r="C12" s="694"/>
      <c r="D12" s="693"/>
      <c r="E12" s="694"/>
      <c r="F12" s="693"/>
      <c r="G12" s="694"/>
      <c r="H12" s="694"/>
      <c r="I12" s="695"/>
      <c r="J12" s="696"/>
      <c r="K12" s="697"/>
      <c r="L12" s="694"/>
      <c r="M12" s="698"/>
      <c r="O12" s="698"/>
      <c r="P12" s="698"/>
      <c r="R12" s="698"/>
    </row>
    <row r="13" spans="1:18">
      <c r="A13" s="699" t="s">
        <v>706</v>
      </c>
      <c r="B13" s="700"/>
      <c r="C13" s="700"/>
      <c r="D13" s="700"/>
      <c r="E13" s="700"/>
      <c r="F13" s="700"/>
      <c r="G13" s="700"/>
      <c r="H13" s="700"/>
      <c r="I13" s="700"/>
      <c r="J13" s="700"/>
      <c r="K13" s="700"/>
      <c r="L13" s="700"/>
      <c r="M13" s="700"/>
      <c r="O13" s="700"/>
      <c r="P13" s="700"/>
      <c r="R13" s="700"/>
    </row>
    <row r="14" spans="1:18">
      <c r="A14" s="701" t="s">
        <v>707</v>
      </c>
      <c r="B14" s="702">
        <v>16487.25</v>
      </c>
      <c r="C14" s="703">
        <v>23887</v>
      </c>
      <c r="D14" s="704">
        <v>2813</v>
      </c>
      <c r="E14" s="703">
        <v>0</v>
      </c>
      <c r="F14" s="705">
        <v>0</v>
      </c>
      <c r="G14" s="703">
        <v>4448.5</v>
      </c>
      <c r="H14" s="706">
        <v>19300.25</v>
      </c>
      <c r="I14" s="707">
        <v>28335.5</v>
      </c>
      <c r="J14" s="708">
        <v>-0.31886679253939409</v>
      </c>
      <c r="K14" s="709">
        <v>0</v>
      </c>
      <c r="L14" s="703">
        <v>7441.52</v>
      </c>
      <c r="M14" s="710">
        <v>26741.77</v>
      </c>
      <c r="O14" s="710">
        <f>F14-G14</f>
        <v>-4448.5</v>
      </c>
      <c r="P14" s="710">
        <f>O14*R$5</f>
        <v>-22242.5</v>
      </c>
      <c r="R14" s="691">
        <f>0</f>
        <v>0</v>
      </c>
    </row>
    <row r="15" spans="1:18">
      <c r="A15" s="692"/>
      <c r="B15" s="693"/>
      <c r="C15" s="694"/>
      <c r="D15" s="693"/>
      <c r="E15" s="694"/>
      <c r="F15" s="693"/>
      <c r="G15" s="694"/>
      <c r="H15" s="694"/>
      <c r="I15" s="695"/>
      <c r="J15" s="696"/>
      <c r="K15" s="697"/>
      <c r="L15" s="694"/>
      <c r="M15" s="698"/>
      <c r="O15" s="698"/>
      <c r="P15" s="698"/>
      <c r="R15" s="698"/>
    </row>
    <row r="16" spans="1:18">
      <c r="A16" s="711" t="s">
        <v>708</v>
      </c>
      <c r="B16" s="712"/>
      <c r="C16" s="712"/>
      <c r="D16" s="712"/>
      <c r="E16" s="712"/>
      <c r="F16" s="712"/>
      <c r="G16" s="712"/>
      <c r="H16" s="712"/>
      <c r="I16" s="712"/>
      <c r="J16" s="712"/>
      <c r="K16" s="712"/>
      <c r="L16" s="712"/>
      <c r="M16" s="712"/>
      <c r="O16" s="712"/>
      <c r="P16" s="712"/>
      <c r="R16" s="712"/>
    </row>
    <row r="17" spans="1:18">
      <c r="A17" s="713" t="s">
        <v>709</v>
      </c>
      <c r="B17" s="714">
        <v>16687</v>
      </c>
      <c r="C17" s="714">
        <v>15345</v>
      </c>
      <c r="D17" s="714">
        <v>1315</v>
      </c>
      <c r="E17" s="714">
        <v>472.24813432835816</v>
      </c>
      <c r="F17" s="714">
        <v>0</v>
      </c>
      <c r="G17" s="714">
        <v>5145</v>
      </c>
      <c r="H17" s="714">
        <v>18002</v>
      </c>
      <c r="I17" s="714">
        <v>20962.248134328358</v>
      </c>
      <c r="J17" s="715">
        <v>-0.14121806570358142</v>
      </c>
      <c r="K17" s="716">
        <v>0</v>
      </c>
      <c r="L17" s="717">
        <v>4585</v>
      </c>
      <c r="M17" s="718">
        <v>22587</v>
      </c>
      <c r="O17" s="718">
        <f>F17-G17</f>
        <v>-5145</v>
      </c>
      <c r="P17" s="718">
        <f>O17*R$5</f>
        <v>-25725</v>
      </c>
      <c r="R17" s="691">
        <f>0</f>
        <v>0</v>
      </c>
    </row>
    <row r="18" spans="1:18">
      <c r="A18" s="692"/>
      <c r="B18" s="693"/>
      <c r="C18" s="694"/>
      <c r="D18" s="693"/>
      <c r="E18" s="694"/>
      <c r="F18" s="693"/>
      <c r="G18" s="694"/>
      <c r="H18" s="694"/>
      <c r="I18" s="695"/>
      <c r="J18" s="696"/>
      <c r="K18" s="697"/>
      <c r="L18" s="694"/>
      <c r="M18" s="698"/>
      <c r="O18" s="698"/>
      <c r="P18" s="698"/>
      <c r="R18" s="698"/>
    </row>
    <row r="19" spans="1:18">
      <c r="A19" s="719" t="s">
        <v>710</v>
      </c>
      <c r="B19" s="720"/>
      <c r="C19" s="720"/>
      <c r="D19" s="720"/>
      <c r="E19" s="720"/>
      <c r="F19" s="720"/>
      <c r="G19" s="720"/>
      <c r="H19" s="720"/>
      <c r="I19" s="720"/>
      <c r="J19" s="720"/>
      <c r="K19" s="720"/>
      <c r="L19" s="720"/>
      <c r="M19" s="720"/>
      <c r="O19" s="720"/>
      <c r="P19" s="720"/>
      <c r="R19" s="720"/>
    </row>
    <row r="20" spans="1:18">
      <c r="A20" s="721" t="s">
        <v>711</v>
      </c>
      <c r="B20" s="722">
        <v>104167.5098</v>
      </c>
      <c r="C20" s="722">
        <v>85765.5</v>
      </c>
      <c r="D20" s="722">
        <v>52452.338100000001</v>
      </c>
      <c r="E20" s="722">
        <v>54928.969131614649</v>
      </c>
      <c r="F20" s="722">
        <v>63419.772799999999</v>
      </c>
      <c r="G20" s="722">
        <v>144965</v>
      </c>
      <c r="H20" s="722">
        <v>220039.6207</v>
      </c>
      <c r="I20" s="722">
        <v>285659.46913161466</v>
      </c>
      <c r="J20" s="723">
        <v>-0.22971354190041215</v>
      </c>
      <c r="K20" s="722">
        <v>146.35130000000001</v>
      </c>
      <c r="L20" s="722">
        <v>66010.582599999994</v>
      </c>
      <c r="M20" s="724">
        <v>286196.55460000003</v>
      </c>
      <c r="O20" s="724">
        <f>F20-G20</f>
        <v>-81545.227199999994</v>
      </c>
      <c r="P20" s="724">
        <f>O20*R$5</f>
        <v>-407726.13599999994</v>
      </c>
      <c r="R20" s="691">
        <f>0</f>
        <v>0</v>
      </c>
    </row>
    <row r="21" spans="1:18">
      <c r="A21" s="692"/>
      <c r="B21" s="693"/>
      <c r="C21" s="694"/>
      <c r="D21" s="693"/>
      <c r="E21" s="694"/>
      <c r="F21" s="693"/>
      <c r="G21" s="694"/>
      <c r="H21" s="694"/>
      <c r="I21" s="695"/>
      <c r="J21" s="696"/>
      <c r="K21" s="697"/>
      <c r="L21" s="694"/>
      <c r="M21" s="698"/>
      <c r="O21" s="698"/>
      <c r="P21" s="698"/>
      <c r="R21" s="698"/>
    </row>
    <row r="22" spans="1:18">
      <c r="A22" s="725" t="s">
        <v>712</v>
      </c>
      <c r="B22" s="726"/>
      <c r="C22" s="726"/>
      <c r="D22" s="726"/>
      <c r="E22" s="726"/>
      <c r="F22" s="726"/>
      <c r="G22" s="726"/>
      <c r="H22" s="726"/>
      <c r="I22" s="726"/>
      <c r="J22" s="726"/>
      <c r="K22" s="726"/>
      <c r="L22" s="726"/>
      <c r="M22" s="726"/>
      <c r="O22" s="726"/>
      <c r="P22" s="726"/>
      <c r="R22" s="726"/>
    </row>
    <row r="23" spans="1:18">
      <c r="A23" s="725" t="s">
        <v>713</v>
      </c>
      <c r="B23" s="727">
        <v>14971.5</v>
      </c>
      <c r="C23" s="727">
        <v>42571.25</v>
      </c>
      <c r="D23" s="727">
        <v>12459</v>
      </c>
      <c r="E23" s="727">
        <v>13863.583361601086</v>
      </c>
      <c r="F23" s="727">
        <v>53424</v>
      </c>
      <c r="G23" s="727">
        <v>74417.5</v>
      </c>
      <c r="H23" s="727">
        <v>105414.5</v>
      </c>
      <c r="I23" s="727">
        <v>130852.33336160108</v>
      </c>
      <c r="J23" s="728">
        <v>-0.19440106804443025</v>
      </c>
      <c r="K23" s="727">
        <v>0</v>
      </c>
      <c r="L23" s="727">
        <v>44965.599999999999</v>
      </c>
      <c r="M23" s="729">
        <v>150380.1</v>
      </c>
      <c r="O23" s="729">
        <f>F23-G23</f>
        <v>-20993.5</v>
      </c>
      <c r="P23" s="729">
        <f>O23*R$5</f>
        <v>-104967.5</v>
      </c>
      <c r="R23" s="691">
        <f>0</f>
        <v>0</v>
      </c>
    </row>
    <row r="24" spans="1:18">
      <c r="A24" s="730"/>
      <c r="B24" s="731"/>
      <c r="C24" s="731"/>
      <c r="D24" s="731"/>
      <c r="E24" s="731"/>
      <c r="F24" s="731"/>
      <c r="G24" s="731"/>
      <c r="H24" s="731"/>
      <c r="I24" s="731"/>
      <c r="J24" s="731"/>
      <c r="K24" s="731"/>
      <c r="L24" s="731"/>
      <c r="M24" s="731"/>
      <c r="O24" s="731"/>
      <c r="P24" s="731"/>
      <c r="R24" s="731"/>
    </row>
    <row r="25" spans="1:18">
      <c r="A25" s="732" t="s">
        <v>714</v>
      </c>
      <c r="B25" s="733"/>
      <c r="C25" s="733"/>
      <c r="D25" s="733"/>
      <c r="E25" s="733"/>
      <c r="F25" s="733"/>
      <c r="G25" s="733"/>
      <c r="H25" s="733"/>
      <c r="I25" s="733"/>
      <c r="J25" s="733"/>
      <c r="K25" s="733"/>
      <c r="L25" s="733"/>
      <c r="M25" s="733"/>
      <c r="O25" s="733"/>
      <c r="P25" s="733"/>
      <c r="R25" s="733"/>
    </row>
    <row r="26" spans="1:18">
      <c r="A26" s="734" t="s">
        <v>715</v>
      </c>
      <c r="B26" s="735">
        <v>50252.142500000002</v>
      </c>
      <c r="C26" s="735">
        <v>59589.5</v>
      </c>
      <c r="D26" s="735">
        <v>18979.125</v>
      </c>
      <c r="E26" s="735">
        <v>30667.26912313432</v>
      </c>
      <c r="F26" s="735">
        <v>16714.655299999999</v>
      </c>
      <c r="G26" s="735">
        <v>42091</v>
      </c>
      <c r="H26" s="735">
        <v>85945.9228</v>
      </c>
      <c r="I26" s="735">
        <v>132347.76912313432</v>
      </c>
      <c r="J26" s="736">
        <v>-0.35060542864128486</v>
      </c>
      <c r="K26" s="735">
        <v>0</v>
      </c>
      <c r="L26" s="735">
        <v>111131.30170000001</v>
      </c>
      <c r="M26" s="737">
        <v>197077.22449999998</v>
      </c>
      <c r="O26" s="737">
        <f>F26-G26</f>
        <v>-25376.344700000001</v>
      </c>
      <c r="P26" s="737">
        <f>O26*R$5</f>
        <v>-126881.72350000001</v>
      </c>
      <c r="R26" s="691">
        <f>0</f>
        <v>0</v>
      </c>
    </row>
    <row r="27" spans="1:18">
      <c r="A27" s="738"/>
      <c r="B27" s="739"/>
      <c r="C27" s="739"/>
      <c r="D27" s="739"/>
      <c r="E27" s="739"/>
      <c r="F27" s="739"/>
      <c r="G27" s="739"/>
      <c r="H27" s="739"/>
      <c r="I27" s="739"/>
      <c r="J27" s="740"/>
      <c r="K27" s="739"/>
      <c r="L27" s="739"/>
      <c r="M27" s="739"/>
      <c r="O27" s="739"/>
      <c r="P27" s="739"/>
      <c r="R27" s="739"/>
    </row>
    <row r="28" spans="1:18">
      <c r="A28" s="741" t="s">
        <v>716</v>
      </c>
      <c r="B28" s="742"/>
      <c r="C28" s="742"/>
      <c r="D28" s="742"/>
      <c r="E28" s="742"/>
      <c r="F28" s="742"/>
      <c r="G28" s="742"/>
      <c r="H28" s="742"/>
      <c r="I28" s="742"/>
      <c r="J28" s="742"/>
      <c r="K28" s="742"/>
      <c r="L28" s="742"/>
      <c r="M28" s="742"/>
      <c r="O28" s="742"/>
      <c r="P28" s="742"/>
      <c r="R28" s="742"/>
    </row>
    <row r="29" spans="1:18">
      <c r="A29" s="743" t="s">
        <v>717</v>
      </c>
      <c r="B29" s="744">
        <v>59032.596000000005</v>
      </c>
      <c r="C29" s="744">
        <v>71094.25</v>
      </c>
      <c r="D29" s="744">
        <v>35376.195999999996</v>
      </c>
      <c r="E29" s="744">
        <v>6195.5139077340573</v>
      </c>
      <c r="F29" s="744">
        <v>2610</v>
      </c>
      <c r="G29" s="745">
        <v>26525.25</v>
      </c>
      <c r="H29" s="745">
        <v>97018.791999999987</v>
      </c>
      <c r="I29" s="745">
        <v>103815.01390773406</v>
      </c>
      <c r="J29" s="746">
        <v>-6.5464730503954183E-2</v>
      </c>
      <c r="K29" s="745">
        <v>21</v>
      </c>
      <c r="L29" s="745">
        <v>35834.008300000001</v>
      </c>
      <c r="M29" s="747">
        <v>132873.8003</v>
      </c>
      <c r="O29" s="747">
        <f>F29-G29</f>
        <v>-23915.25</v>
      </c>
      <c r="P29" s="747">
        <f>O29*R$5</f>
        <v>-119576.25</v>
      </c>
      <c r="R29" s="691">
        <f>0</f>
        <v>0</v>
      </c>
    </row>
    <row r="30" spans="1:18">
      <c r="A30" s="692"/>
      <c r="B30" s="693"/>
      <c r="C30" s="694"/>
      <c r="D30" s="693"/>
      <c r="E30" s="694"/>
      <c r="F30" s="693"/>
      <c r="G30" s="694"/>
      <c r="H30" s="694"/>
      <c r="I30" s="695"/>
      <c r="J30" s="696"/>
      <c r="K30" s="697"/>
      <c r="L30" s="694"/>
      <c r="M30" s="698"/>
      <c r="O30" s="698"/>
      <c r="P30" s="698"/>
      <c r="R30" s="698"/>
    </row>
    <row r="31" spans="1:18">
      <c r="A31" s="748" t="s">
        <v>718</v>
      </c>
      <c r="B31" s="749"/>
      <c r="C31" s="749"/>
      <c r="D31" s="749"/>
      <c r="E31" s="749"/>
      <c r="F31" s="749"/>
      <c r="G31" s="749"/>
      <c r="H31" s="749"/>
      <c r="I31" s="749"/>
      <c r="J31" s="749"/>
      <c r="K31" s="749"/>
      <c r="L31" s="749"/>
      <c r="M31" s="749"/>
      <c r="O31" s="749"/>
      <c r="P31" s="749"/>
      <c r="R31" s="749"/>
    </row>
    <row r="32" spans="1:18">
      <c r="A32" s="750" t="s">
        <v>719</v>
      </c>
      <c r="B32" s="751">
        <v>47172.862300000001</v>
      </c>
      <c r="C32" s="751">
        <v>48077.25</v>
      </c>
      <c r="D32" s="751">
        <v>10356.656800000001</v>
      </c>
      <c r="E32" s="751">
        <v>14936.50356173677</v>
      </c>
      <c r="F32" s="751">
        <v>46689.627499999995</v>
      </c>
      <c r="G32" s="751">
        <v>106145</v>
      </c>
      <c r="H32" s="751">
        <v>104219.14660000001</v>
      </c>
      <c r="I32" s="751">
        <v>169158.75356173678</v>
      </c>
      <c r="J32" s="752">
        <v>-0.3838974075795385</v>
      </c>
      <c r="K32" s="751">
        <v>526</v>
      </c>
      <c r="L32" s="751">
        <v>25041.861700000001</v>
      </c>
      <c r="M32" s="751">
        <v>129787.0083</v>
      </c>
      <c r="O32" s="751">
        <f>F32-G32</f>
        <v>-59455.372500000005</v>
      </c>
      <c r="P32" s="751">
        <f>O32*R$5</f>
        <v>-297276.86250000005</v>
      </c>
      <c r="R32" s="691">
        <f>0</f>
        <v>0</v>
      </c>
    </row>
    <row r="33" spans="1:18">
      <c r="A33" s="730"/>
      <c r="B33" s="731"/>
      <c r="C33" s="731"/>
      <c r="D33" s="731"/>
      <c r="E33" s="731"/>
      <c r="F33" s="731"/>
      <c r="G33" s="731"/>
      <c r="H33" s="731"/>
      <c r="I33" s="731"/>
      <c r="J33" s="731"/>
      <c r="K33" s="731"/>
      <c r="L33" s="731"/>
      <c r="M33" s="731"/>
      <c r="O33" s="731"/>
      <c r="P33" s="731"/>
      <c r="R33" s="731"/>
    </row>
    <row r="34" spans="1:18">
      <c r="A34" s="753" t="s">
        <v>720</v>
      </c>
      <c r="B34" s="754"/>
      <c r="C34" s="754"/>
      <c r="D34" s="754"/>
      <c r="E34" s="754"/>
      <c r="F34" s="754"/>
      <c r="G34" s="754"/>
      <c r="H34" s="754"/>
      <c r="I34" s="754"/>
      <c r="J34" s="754"/>
      <c r="K34" s="754"/>
      <c r="L34" s="754"/>
      <c r="M34" s="754"/>
      <c r="O34" s="754"/>
      <c r="P34" s="754"/>
      <c r="R34" s="754"/>
    </row>
    <row r="35" spans="1:18">
      <c r="A35" s="755" t="s">
        <v>721</v>
      </c>
      <c r="B35" s="702">
        <v>7264.04</v>
      </c>
      <c r="C35" s="703">
        <v>15397.750000000002</v>
      </c>
      <c r="D35" s="704">
        <v>2422</v>
      </c>
      <c r="E35" s="703">
        <v>12650.41977611939</v>
      </c>
      <c r="F35" s="704">
        <v>17210.394700000001</v>
      </c>
      <c r="G35" s="703">
        <v>28315.000000000004</v>
      </c>
      <c r="H35" s="756">
        <v>26896.434700000002</v>
      </c>
      <c r="I35" s="757">
        <v>56363.169776119394</v>
      </c>
      <c r="J35" s="758">
        <v>-0.52280124047608489</v>
      </c>
      <c r="K35" s="709">
        <v>49</v>
      </c>
      <c r="L35" s="703">
        <v>2460</v>
      </c>
      <c r="M35" s="710">
        <v>29405.434700000002</v>
      </c>
      <c r="O35" s="710">
        <f>F35-G35</f>
        <v>-11104.605300000003</v>
      </c>
      <c r="P35" s="710">
        <f>O35*R$5</f>
        <v>-55523.026500000014</v>
      </c>
      <c r="R35" s="691">
        <f>0</f>
        <v>0</v>
      </c>
    </row>
    <row r="36" spans="1:18">
      <c r="A36" s="730"/>
      <c r="B36" s="731"/>
      <c r="C36" s="731"/>
      <c r="D36" s="731"/>
      <c r="E36" s="731"/>
      <c r="F36" s="731"/>
      <c r="G36" s="731"/>
      <c r="H36" s="731"/>
      <c r="I36" s="731"/>
      <c r="J36" s="731"/>
      <c r="K36" s="731"/>
      <c r="L36" s="731"/>
      <c r="M36" s="731"/>
      <c r="O36" s="731"/>
      <c r="P36" s="731"/>
      <c r="R36" s="731"/>
    </row>
    <row r="37" spans="1:18">
      <c r="A37" s="759" t="s">
        <v>722</v>
      </c>
      <c r="B37" s="760"/>
      <c r="C37" s="760"/>
      <c r="D37" s="760"/>
      <c r="E37" s="760"/>
      <c r="F37" s="760"/>
      <c r="G37" s="760"/>
      <c r="H37" s="760"/>
      <c r="I37" s="760"/>
      <c r="J37" s="760"/>
      <c r="K37" s="760"/>
      <c r="L37" s="760"/>
      <c r="M37" s="760"/>
      <c r="O37" s="760"/>
      <c r="P37" s="760"/>
      <c r="R37" s="760"/>
    </row>
    <row r="38" spans="1:18">
      <c r="A38" s="761" t="s">
        <v>723</v>
      </c>
      <c r="B38" s="762">
        <v>82006.090300000011</v>
      </c>
      <c r="C38" s="762">
        <v>64635.25</v>
      </c>
      <c r="D38" s="762">
        <v>57964.2497</v>
      </c>
      <c r="E38" s="762">
        <v>110256.39734565807</v>
      </c>
      <c r="F38" s="762">
        <v>160316.85129999998</v>
      </c>
      <c r="G38" s="763">
        <v>120758.25</v>
      </c>
      <c r="H38" s="763">
        <v>300287.19129999995</v>
      </c>
      <c r="I38" s="763">
        <v>295649.89734565804</v>
      </c>
      <c r="J38" s="764">
        <v>1.5685085623149186E-2</v>
      </c>
      <c r="K38" s="763">
        <v>42.84</v>
      </c>
      <c r="L38" s="763">
        <v>51246.244900000005</v>
      </c>
      <c r="M38" s="765">
        <v>351576.27620000002</v>
      </c>
      <c r="O38" s="765">
        <f>F38-G38</f>
        <v>39558.60129999998</v>
      </c>
      <c r="P38" s="765">
        <f>O38*R$5</f>
        <v>197793.0064999999</v>
      </c>
      <c r="R38" s="691">
        <f>0</f>
        <v>0</v>
      </c>
    </row>
    <row r="39" spans="1:18">
      <c r="A39" s="730"/>
      <c r="B39" s="731"/>
      <c r="C39" s="731"/>
      <c r="D39" s="731"/>
      <c r="E39" s="731"/>
      <c r="F39" s="731"/>
      <c r="G39" s="731"/>
      <c r="H39" s="731"/>
      <c r="I39" s="731"/>
      <c r="J39" s="731"/>
      <c r="K39" s="731"/>
      <c r="L39" s="731"/>
      <c r="M39" s="731"/>
      <c r="O39" s="731"/>
      <c r="P39" s="731"/>
      <c r="R39" s="731"/>
    </row>
    <row r="40" spans="1:18">
      <c r="A40" s="766" t="s">
        <v>724</v>
      </c>
      <c r="B40" s="767"/>
      <c r="C40" s="767"/>
      <c r="D40" s="767"/>
      <c r="E40" s="767"/>
      <c r="F40" s="767"/>
      <c r="G40" s="767"/>
      <c r="H40" s="767"/>
      <c r="I40" s="767"/>
      <c r="J40" s="767"/>
      <c r="K40" s="767"/>
      <c r="L40" s="767"/>
      <c r="M40" s="767"/>
      <c r="O40" s="767"/>
      <c r="P40" s="767"/>
      <c r="R40" s="767"/>
    </row>
    <row r="41" spans="1:18">
      <c r="A41" s="768" t="s">
        <v>725</v>
      </c>
      <c r="B41" s="769">
        <v>20699</v>
      </c>
      <c r="C41" s="770">
        <v>27043.500000000004</v>
      </c>
      <c r="D41" s="771">
        <v>17042</v>
      </c>
      <c r="E41" s="770">
        <v>22248.134328358203</v>
      </c>
      <c r="F41" s="771">
        <v>22460</v>
      </c>
      <c r="G41" s="770">
        <v>31045</v>
      </c>
      <c r="H41" s="772">
        <v>60201</v>
      </c>
      <c r="I41" s="773">
        <v>80336.63432835821</v>
      </c>
      <c r="J41" s="774">
        <v>-0.25064075059527968</v>
      </c>
      <c r="K41" s="775">
        <v>0</v>
      </c>
      <c r="L41" s="770">
        <v>21508</v>
      </c>
      <c r="M41" s="776">
        <v>81709</v>
      </c>
      <c r="O41" s="776">
        <f>F41-G41</f>
        <v>-8585</v>
      </c>
      <c r="P41" s="776">
        <f>O41*R$5</f>
        <v>-42925</v>
      </c>
      <c r="R41" s="691">
        <f>0</f>
        <v>0</v>
      </c>
    </row>
    <row r="42" spans="1:18">
      <c r="A42" s="730"/>
      <c r="B42" s="731"/>
      <c r="C42" s="731"/>
      <c r="D42" s="731"/>
      <c r="E42" s="731"/>
      <c r="F42" s="731"/>
      <c r="G42" s="731"/>
      <c r="H42" s="731"/>
      <c r="I42" s="777"/>
      <c r="J42" s="731"/>
      <c r="K42" s="731"/>
      <c r="L42" s="731"/>
      <c r="M42" s="731"/>
      <c r="O42" s="731"/>
      <c r="P42" s="731"/>
      <c r="R42" s="731"/>
    </row>
    <row r="43" spans="1:18">
      <c r="A43" s="778" t="s">
        <v>726</v>
      </c>
      <c r="B43" s="779">
        <v>592162.8112</v>
      </c>
      <c r="C43" s="779">
        <v>631906.5</v>
      </c>
      <c r="D43" s="779">
        <v>281549.81849999994</v>
      </c>
      <c r="E43" s="779">
        <v>317905.14471675712</v>
      </c>
      <c r="F43" s="779">
        <v>547676.10489999992</v>
      </c>
      <c r="G43" s="779">
        <v>796654.25</v>
      </c>
      <c r="H43" s="779">
        <v>1421388.7345999999</v>
      </c>
      <c r="I43" s="779">
        <v>1746465.8947167571</v>
      </c>
      <c r="J43" s="780">
        <v>-0.18613427327733678</v>
      </c>
      <c r="K43" s="781">
        <v>806.19130000000007</v>
      </c>
      <c r="L43" s="779">
        <v>514488.99969999993</v>
      </c>
      <c r="M43" s="779">
        <v>1961243.9256</v>
      </c>
      <c r="O43" s="779">
        <f>SUM(O11:O41)</f>
        <v>-225062.89510000002</v>
      </c>
      <c r="P43" s="779">
        <f>SUM(P11:P41)</f>
        <v>-1125314.4755000002</v>
      </c>
      <c r="R43" s="779">
        <f>SUM(R11:R41)</f>
        <v>0</v>
      </c>
    </row>
    <row r="44" spans="1:18">
      <c r="A44" s="782"/>
      <c r="B44" s="739"/>
      <c r="C44" s="739"/>
      <c r="D44" s="739"/>
      <c r="E44" s="739"/>
      <c r="F44" s="739"/>
      <c r="G44" s="739"/>
      <c r="H44" s="739"/>
      <c r="I44" s="739"/>
      <c r="J44" s="783"/>
      <c r="K44" s="739"/>
      <c r="L44" s="739"/>
      <c r="M44" s="739"/>
    </row>
    <row r="45" spans="1:18">
      <c r="A45" s="784"/>
      <c r="B45" s="785"/>
      <c r="C45" s="785">
        <v>39743.688800000004</v>
      </c>
      <c r="D45" s="785"/>
      <c r="E45" s="785">
        <v>36355.326216757181</v>
      </c>
      <c r="F45" s="785"/>
      <c r="G45" s="785">
        <v>248978.14510000008</v>
      </c>
      <c r="H45" s="785"/>
      <c r="I45" s="785">
        <v>325077.16011675727</v>
      </c>
      <c r="J45" s="783"/>
      <c r="K45" s="785"/>
      <c r="L45" s="785"/>
      <c r="M45" s="785"/>
    </row>
    <row r="46" spans="1:18">
      <c r="A46" s="784"/>
      <c r="B46" s="785"/>
      <c r="C46" s="786">
        <v>0.12225924696070727</v>
      </c>
      <c r="D46" s="785"/>
      <c r="E46" s="786">
        <v>0.11183599058051177</v>
      </c>
      <c r="F46" s="785"/>
      <c r="G46" s="786">
        <v>0.76590476245878092</v>
      </c>
      <c r="H46" s="785"/>
      <c r="I46" s="785">
        <v>455108.02416346013</v>
      </c>
      <c r="J46" s="783"/>
      <c r="K46" s="785"/>
      <c r="L46" s="785"/>
      <c r="M46" s="785"/>
    </row>
    <row r="47" spans="1:18">
      <c r="A47" s="787" t="s">
        <v>727</v>
      </c>
      <c r="B47" s="731"/>
      <c r="C47" s="731"/>
      <c r="D47" s="731"/>
      <c r="E47" s="731"/>
      <c r="F47" s="731"/>
      <c r="G47" s="731"/>
      <c r="H47" s="731"/>
      <c r="I47" s="788"/>
      <c r="J47" s="731"/>
      <c r="K47" s="731"/>
      <c r="L47" s="731"/>
      <c r="M47" s="731"/>
    </row>
    <row r="48" spans="1:18">
      <c r="A48" s="787" t="s">
        <v>728</v>
      </c>
      <c r="B48" s="731"/>
      <c r="C48" s="731"/>
      <c r="D48" s="731"/>
      <c r="E48" s="731"/>
      <c r="F48" s="731"/>
      <c r="G48" s="731"/>
      <c r="H48" s="731"/>
      <c r="I48" s="731"/>
      <c r="J48" s="731"/>
      <c r="K48" s="731"/>
      <c r="L48" s="731"/>
      <c r="M48" s="731"/>
    </row>
    <row r="49" spans="1:13">
      <c r="A49" s="787" t="s">
        <v>729</v>
      </c>
      <c r="B49" s="731"/>
      <c r="C49" s="731"/>
      <c r="D49" s="731"/>
      <c r="E49" s="731"/>
      <c r="F49" s="731"/>
      <c r="G49" s="731"/>
      <c r="H49" s="731"/>
      <c r="I49" s="731"/>
      <c r="J49" s="731"/>
      <c r="K49" s="731"/>
      <c r="L49" s="731"/>
      <c r="M49" s="731"/>
    </row>
    <row r="50" spans="1:13">
      <c r="A50" s="731"/>
      <c r="B50" s="731"/>
      <c r="C50" s="731"/>
      <c r="D50" s="731"/>
      <c r="E50" s="731"/>
      <c r="F50" s="731"/>
      <c r="G50" s="731"/>
      <c r="H50" s="731"/>
      <c r="I50" s="731"/>
      <c r="J50" s="731"/>
      <c r="K50" s="731"/>
      <c r="L50" s="731"/>
      <c r="M50" s="731"/>
    </row>
    <row r="51" spans="1:13">
      <c r="A51" s="789"/>
      <c r="B51" s="790"/>
      <c r="C51" s="791"/>
      <c r="D51" s="792"/>
      <c r="E51" s="777"/>
      <c r="F51" s="792"/>
      <c r="G51" s="731"/>
      <c r="H51" s="731"/>
      <c r="I51" s="731"/>
      <c r="J51" s="731"/>
      <c r="K51" s="731"/>
      <c r="L51" s="731"/>
      <c r="M51" s="731"/>
    </row>
    <row r="52" spans="1:13">
      <c r="A52" s="789"/>
      <c r="B52" s="731"/>
      <c r="C52" s="731"/>
      <c r="D52" s="731"/>
      <c r="E52" s="731"/>
      <c r="F52" s="731"/>
      <c r="G52" s="731"/>
      <c r="H52" s="731"/>
      <c r="I52" s="731"/>
      <c r="J52" s="731"/>
      <c r="K52" s="731"/>
      <c r="L52" s="731"/>
      <c r="M52" s="731"/>
    </row>
    <row r="53" spans="1:13">
      <c r="A53" s="731"/>
      <c r="B53" s="731"/>
      <c r="C53" s="731"/>
      <c r="D53" s="731"/>
      <c r="E53" s="731"/>
      <c r="F53" s="731"/>
      <c r="G53" s="731"/>
      <c r="H53" s="731"/>
      <c r="I53" s="731"/>
      <c r="J53" s="731"/>
      <c r="K53" s="731"/>
      <c r="L53" s="731"/>
      <c r="M53" s="731"/>
    </row>
    <row r="54" spans="1:13">
      <c r="A54" s="731"/>
      <c r="B54" s="731"/>
      <c r="C54" s="731"/>
      <c r="D54" s="731"/>
      <c r="E54" s="731"/>
      <c r="F54" s="731"/>
      <c r="G54" s="731"/>
      <c r="H54" s="731"/>
      <c r="I54" s="731"/>
      <c r="J54" s="731"/>
      <c r="K54" s="731"/>
      <c r="L54" s="731"/>
      <c r="M54" s="731"/>
    </row>
    <row r="55" spans="1:13">
      <c r="A55" s="731"/>
      <c r="B55" s="731"/>
      <c r="C55" s="731"/>
      <c r="D55" s="731"/>
      <c r="E55" s="731"/>
      <c r="F55" s="731"/>
      <c r="G55" s="731"/>
      <c r="H55" s="731"/>
      <c r="I55" s="731"/>
      <c r="J55" s="731"/>
      <c r="K55" s="731"/>
      <c r="L55" s="731"/>
      <c r="M55" s="731"/>
    </row>
    <row r="56" spans="1:13">
      <c r="A56" s="731"/>
      <c r="B56" s="731"/>
      <c r="C56" s="731"/>
      <c r="D56" s="731"/>
      <c r="E56" s="731"/>
      <c r="F56" s="731"/>
      <c r="G56" s="731"/>
      <c r="H56" s="731"/>
      <c r="I56" s="731"/>
      <c r="J56" s="731"/>
      <c r="K56" s="731"/>
      <c r="L56" s="731"/>
      <c r="M56" s="731"/>
    </row>
    <row r="57" spans="1:13">
      <c r="A57" s="731"/>
      <c r="B57" s="731"/>
      <c r="C57" s="731"/>
      <c r="D57" s="731"/>
      <c r="E57" s="731"/>
      <c r="F57" s="731"/>
      <c r="G57" s="731"/>
      <c r="H57" s="731"/>
      <c r="I57" s="731"/>
      <c r="J57" s="731"/>
      <c r="K57" s="731"/>
      <c r="L57" s="731"/>
      <c r="M57" s="731"/>
    </row>
    <row r="58" spans="1:13">
      <c r="A58" s="731"/>
      <c r="B58" s="731"/>
      <c r="C58" s="731"/>
      <c r="D58" s="731"/>
      <c r="E58" s="731"/>
      <c r="F58" s="731"/>
      <c r="G58" s="731"/>
      <c r="H58" s="731"/>
      <c r="I58" s="731"/>
      <c r="J58" s="731"/>
      <c r="K58" s="731"/>
      <c r="L58" s="731"/>
      <c r="M58" s="731"/>
    </row>
    <row r="59" spans="1:13">
      <c r="A59" s="731"/>
      <c r="B59" s="731"/>
      <c r="C59" s="731"/>
      <c r="D59" s="731"/>
      <c r="E59" s="731"/>
      <c r="F59" s="731"/>
      <c r="G59" s="731"/>
      <c r="H59" s="731"/>
      <c r="I59" s="731"/>
      <c r="J59" s="731"/>
      <c r="K59" s="731"/>
      <c r="L59" s="731"/>
      <c r="M59" s="731"/>
    </row>
    <row r="60" spans="1:13">
      <c r="A60" s="731"/>
      <c r="B60" s="731"/>
      <c r="C60" s="731"/>
      <c r="D60" s="731"/>
      <c r="E60" s="731"/>
      <c r="F60" s="731"/>
      <c r="G60" s="731"/>
      <c r="H60" s="731"/>
      <c r="I60" s="731"/>
      <c r="J60" s="731"/>
      <c r="K60" s="731"/>
      <c r="L60" s="731"/>
      <c r="M60" s="731"/>
    </row>
  </sheetData>
  <mergeCells count="9">
    <mergeCell ref="O8:O9"/>
    <mergeCell ref="P8:P9"/>
    <mergeCell ref="R8:R9"/>
    <mergeCell ref="B8:C8"/>
    <mergeCell ref="D8:E8"/>
    <mergeCell ref="F8:G8"/>
    <mergeCell ref="J8:J9"/>
    <mergeCell ref="L8:L9"/>
    <mergeCell ref="M8:M9"/>
  </mergeCells>
  <pageMargins left="0.75" right="0.75" top="1" bottom="1" header="0.5" footer="0.5"/>
  <pageSetup orientation="portrait" horizontalDpi="4294967292" verticalDpi="4294967292"/>
  <legacy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A65"/>
  <sheetViews>
    <sheetView workbookViewId="0">
      <selection activeCell="H1" sqref="H1:AB65"/>
    </sheetView>
  </sheetViews>
  <sheetFormatPr defaultColWidth="11" defaultRowHeight="15.75"/>
  <cols>
    <col min="1" max="1" width="39.375" customWidth="1"/>
    <col min="2" max="2" width="11.375" bestFit="1" customWidth="1"/>
    <col min="3" max="3" width="11" customWidth="1"/>
    <col min="4" max="4" width="12.375" customWidth="1"/>
    <col min="8" max="8" width="29.625" customWidth="1"/>
    <col min="9" max="9" width="18.125" customWidth="1"/>
    <col min="10" max="10" width="9.125" customWidth="1"/>
    <col min="11" max="11" width="16" customWidth="1"/>
    <col min="13" max="13" width="16.125" customWidth="1"/>
    <col min="15" max="15" width="16.875" customWidth="1"/>
    <col min="17" max="17" width="16.875" customWidth="1"/>
    <col min="19" max="19" width="6.375" customWidth="1"/>
    <col min="20" max="20" width="15.5" customWidth="1"/>
    <col min="22" max="22" width="5.875" customWidth="1"/>
    <col min="23" max="23" width="17.875" customWidth="1"/>
    <col min="27" max="27" width="15.375" customWidth="1"/>
  </cols>
  <sheetData>
    <row r="1" spans="1:27" ht="17.25">
      <c r="A1" s="175" t="s">
        <v>62</v>
      </c>
      <c r="H1" s="1576" t="s">
        <v>1654</v>
      </c>
      <c r="J1" s="62"/>
      <c r="L1" s="62"/>
      <c r="N1" s="62"/>
      <c r="P1" s="62"/>
    </row>
    <row r="2" spans="1:27">
      <c r="A2" s="175" t="s">
        <v>955</v>
      </c>
      <c r="B2" s="175"/>
      <c r="J2" s="62"/>
      <c r="L2" s="62"/>
      <c r="N2" s="62"/>
      <c r="P2" s="62"/>
    </row>
    <row r="3" spans="1:27">
      <c r="A3" s="175"/>
      <c r="B3" s="175"/>
      <c r="I3" s="1577">
        <v>2013</v>
      </c>
      <c r="J3" s="1578"/>
      <c r="K3" s="1579">
        <v>2014</v>
      </c>
      <c r="L3" s="1580"/>
      <c r="M3" s="1577">
        <v>2015</v>
      </c>
      <c r="N3" s="1578"/>
      <c r="O3" s="1579">
        <v>2016</v>
      </c>
      <c r="P3" s="1580"/>
      <c r="Q3" s="1577">
        <v>2017</v>
      </c>
      <c r="R3" s="216"/>
      <c r="T3" s="1579">
        <v>2018</v>
      </c>
      <c r="W3" s="1581">
        <v>2019</v>
      </c>
      <c r="Z3" t="s">
        <v>1655</v>
      </c>
    </row>
    <row r="4" spans="1:27">
      <c r="H4" s="14" t="s">
        <v>1656</v>
      </c>
      <c r="I4" s="1582">
        <v>36434134.276091166</v>
      </c>
      <c r="J4" s="590"/>
      <c r="K4" s="1583">
        <v>36104322.601829156</v>
      </c>
      <c r="L4" s="14"/>
      <c r="M4" s="1582">
        <v>38825392.572616845</v>
      </c>
      <c r="N4" s="590"/>
      <c r="O4" s="1583">
        <v>39213495.035329841</v>
      </c>
      <c r="P4" s="14"/>
      <c r="Q4" s="1582">
        <v>40029394.005223036</v>
      </c>
      <c r="R4" s="590"/>
      <c r="S4" s="14"/>
      <c r="T4" s="1584">
        <v>42380875.720018357</v>
      </c>
      <c r="U4" s="1584"/>
      <c r="V4" s="1584"/>
      <c r="W4" s="1585">
        <v>41705040.314787865</v>
      </c>
      <c r="X4" s="1586"/>
      <c r="Z4">
        <v>2017</v>
      </c>
      <c r="AA4" s="219">
        <v>1932233</v>
      </c>
    </row>
    <row r="5" spans="1:27">
      <c r="C5" s="1839" t="s">
        <v>1624</v>
      </c>
      <c r="D5" s="1839"/>
      <c r="H5" s="62" t="s">
        <v>1657</v>
      </c>
      <c r="I5" s="1587"/>
      <c r="J5" s="1587"/>
      <c r="K5" s="1529"/>
      <c r="L5" s="1529"/>
      <c r="M5" s="1587"/>
      <c r="N5" s="1587"/>
      <c r="O5" s="1529"/>
      <c r="P5" s="1529"/>
      <c r="Q5" s="1587"/>
      <c r="R5" s="591"/>
      <c r="S5" s="62"/>
      <c r="T5" s="1588">
        <v>2674868</v>
      </c>
      <c r="U5" s="1588"/>
      <c r="V5" s="1588"/>
      <c r="W5" s="1589">
        <v>1605208</v>
      </c>
      <c r="X5" s="1590"/>
      <c r="Z5">
        <v>2018</v>
      </c>
      <c r="AA5" s="219">
        <v>2674868</v>
      </c>
    </row>
    <row r="6" spans="1:27" ht="47.25">
      <c r="A6" s="1567" t="s">
        <v>1625</v>
      </c>
      <c r="B6" s="1568" t="s">
        <v>1626</v>
      </c>
      <c r="C6" s="1568" t="s">
        <v>1627</v>
      </c>
      <c r="D6" s="1568" t="s">
        <v>1628</v>
      </c>
      <c r="H6" s="62" t="s">
        <v>1658</v>
      </c>
      <c r="I6" s="1587"/>
      <c r="J6" s="1587"/>
      <c r="K6" s="1529"/>
      <c r="L6" s="1529"/>
      <c r="M6" s="1587"/>
      <c r="N6" s="1587"/>
      <c r="O6" s="1529"/>
      <c r="P6" s="1529"/>
      <c r="Q6" s="1587"/>
      <c r="R6" s="591"/>
      <c r="S6" s="62"/>
      <c r="T6" s="1588"/>
      <c r="U6" s="1588"/>
      <c r="V6" s="1588"/>
      <c r="W6" s="1589">
        <v>800000</v>
      </c>
      <c r="X6" s="1590"/>
      <c r="Z6">
        <v>2019</v>
      </c>
      <c r="AA6" s="219">
        <v>1605208</v>
      </c>
    </row>
    <row r="7" spans="1:27">
      <c r="A7" t="s">
        <v>1629</v>
      </c>
      <c r="C7" s="1569">
        <v>0.08</v>
      </c>
      <c r="D7" s="1570">
        <f>C7*D$34</f>
        <v>3440000</v>
      </c>
      <c r="H7" s="15" t="s">
        <v>1659</v>
      </c>
      <c r="I7" s="1591"/>
      <c r="J7" s="1591"/>
      <c r="K7" s="1592"/>
      <c r="L7" s="1592"/>
      <c r="M7" s="1591"/>
      <c r="N7" s="1591"/>
      <c r="O7" s="1592"/>
      <c r="P7" s="1592"/>
      <c r="Q7" s="1591"/>
      <c r="R7" s="593"/>
      <c r="S7" s="15"/>
      <c r="T7" s="1593">
        <f>SUM(T4:T6)</f>
        <v>45055743.720018357</v>
      </c>
      <c r="U7" s="1593"/>
      <c r="V7" s="1593"/>
      <c r="W7" s="1594">
        <f>SUM(W4:W6)</f>
        <v>44110248.314787865</v>
      </c>
      <c r="X7" s="1595"/>
      <c r="Z7">
        <v>2020</v>
      </c>
      <c r="AA7" s="219">
        <v>3333154</v>
      </c>
    </row>
    <row r="8" spans="1:27" ht="16.5" thickBot="1">
      <c r="A8" t="s">
        <v>1630</v>
      </c>
      <c r="C8" s="1569">
        <v>0.04</v>
      </c>
      <c r="D8" s="1570">
        <f>C8*D$34</f>
        <v>1720000</v>
      </c>
      <c r="H8" s="152" t="s">
        <v>1660</v>
      </c>
      <c r="I8" s="1596">
        <v>36184529</v>
      </c>
      <c r="J8" s="1596"/>
      <c r="K8" s="1597">
        <v>35612371</v>
      </c>
      <c r="L8" s="1598"/>
      <c r="M8" s="1599">
        <v>37624685</v>
      </c>
      <c r="N8" s="1596"/>
      <c r="O8" s="1597">
        <v>39798608</v>
      </c>
      <c r="P8" s="1598"/>
      <c r="Q8" s="1599">
        <v>40523920</v>
      </c>
      <c r="R8" s="1600"/>
      <c r="S8" s="152"/>
      <c r="T8" s="1601">
        <v>44384505</v>
      </c>
      <c r="U8" s="1598"/>
      <c r="V8" s="1598"/>
      <c r="W8" s="1602"/>
      <c r="X8" s="1603"/>
      <c r="Z8">
        <v>2021</v>
      </c>
      <c r="AA8" s="219">
        <v>2055523</v>
      </c>
    </row>
    <row r="9" spans="1:27" ht="16.5" thickTop="1">
      <c r="A9" t="s">
        <v>1631</v>
      </c>
      <c r="B9" s="1571">
        <v>0.28497476643586178</v>
      </c>
      <c r="C9" s="1569">
        <v>0.31</v>
      </c>
      <c r="D9" s="1570">
        <f>C9*D$34</f>
        <v>13330000</v>
      </c>
      <c r="I9" s="216"/>
      <c r="J9" s="591"/>
      <c r="L9" s="62"/>
      <c r="M9" s="216"/>
      <c r="N9" s="591"/>
      <c r="P9" s="62"/>
      <c r="Q9" s="216"/>
      <c r="R9" s="216"/>
      <c r="W9" s="1604"/>
      <c r="X9" s="1604"/>
      <c r="Z9">
        <v>2022</v>
      </c>
      <c r="AA9" s="219">
        <v>1336402</v>
      </c>
    </row>
    <row r="10" spans="1:27">
      <c r="A10" t="s">
        <v>1632</v>
      </c>
      <c r="C10" s="16"/>
      <c r="I10" s="1577">
        <v>2013</v>
      </c>
      <c r="J10" s="1578"/>
      <c r="K10" s="1579">
        <v>2014</v>
      </c>
      <c r="L10" s="1580"/>
      <c r="M10" s="1577">
        <v>2015</v>
      </c>
      <c r="N10" s="1578"/>
      <c r="O10" s="1579">
        <v>2016</v>
      </c>
      <c r="P10" s="1580"/>
      <c r="Q10" s="1577">
        <v>2017</v>
      </c>
      <c r="R10" s="216"/>
      <c r="T10" s="1579">
        <v>2018</v>
      </c>
      <c r="U10" t="s">
        <v>1661</v>
      </c>
      <c r="W10" s="1581">
        <v>2019</v>
      </c>
      <c r="X10" s="1604"/>
      <c r="Z10">
        <v>2023</v>
      </c>
      <c r="AA10" s="219">
        <v>789396</v>
      </c>
    </row>
    <row r="11" spans="1:27">
      <c r="C11" s="16"/>
      <c r="H11" t="s">
        <v>333</v>
      </c>
      <c r="I11" s="1605">
        <v>0</v>
      </c>
      <c r="J11" s="1606">
        <f>I11/I$33</f>
        <v>0</v>
      </c>
      <c r="K11" s="411">
        <v>0</v>
      </c>
      <c r="L11" s="1607">
        <f>K11/K$33</f>
        <v>0</v>
      </c>
      <c r="M11" s="1605">
        <v>0</v>
      </c>
      <c r="N11" s="1606">
        <f>M11/M$33</f>
        <v>0</v>
      </c>
      <c r="O11" s="411">
        <v>24993.95</v>
      </c>
      <c r="P11" s="1607">
        <f>O11/O$33</f>
        <v>6.2801065616764097E-4</v>
      </c>
      <c r="Q11" s="1605">
        <v>25517.97</v>
      </c>
      <c r="R11" s="1606">
        <f>Q11/Q$33</f>
        <v>6.2970142094587623E-4</v>
      </c>
      <c r="T11" s="1608">
        <f>U11*T$4</f>
        <v>17767.646410571371</v>
      </c>
      <c r="U11" s="1607">
        <f>AVERAGE(N11,P11,R11)</f>
        <v>4.1923735903783905E-4</v>
      </c>
      <c r="W11" s="1609">
        <f>X11*W$4</f>
        <v>17484.310960138271</v>
      </c>
      <c r="X11" s="1610">
        <f>U11</f>
        <v>4.1923735903783905E-4</v>
      </c>
      <c r="Z11">
        <v>2024</v>
      </c>
      <c r="AA11" s="219">
        <v>90992</v>
      </c>
    </row>
    <row r="12" spans="1:27">
      <c r="A12" t="s">
        <v>1633</v>
      </c>
      <c r="B12" s="1571">
        <v>5.7622793961301294E-2</v>
      </c>
      <c r="C12" s="16">
        <v>0.06</v>
      </c>
      <c r="D12" s="1572">
        <f t="shared" ref="D12:D22" si="0">C12*D$34</f>
        <v>2580000</v>
      </c>
      <c r="H12" t="s">
        <v>340</v>
      </c>
      <c r="I12" s="1605">
        <v>0</v>
      </c>
      <c r="J12" s="1606">
        <f t="shared" ref="J12:L32" si="1">I12/I$33</f>
        <v>0</v>
      </c>
      <c r="K12" s="411">
        <v>0</v>
      </c>
      <c r="L12" s="1607">
        <f t="shared" si="1"/>
        <v>0</v>
      </c>
      <c r="M12" s="1605">
        <v>82258.87</v>
      </c>
      <c r="N12" s="1606">
        <f t="shared" ref="N12:N32" si="2">M12/M$33</f>
        <v>2.1863005647911474E-3</v>
      </c>
      <c r="O12" s="411">
        <v>175009.12</v>
      </c>
      <c r="P12" s="1607">
        <f t="shared" ref="P12:P32" si="3">O12/O$33</f>
        <v>4.3973678544816409E-3</v>
      </c>
      <c r="Q12" s="1605">
        <v>249899.41</v>
      </c>
      <c r="R12" s="1606">
        <f t="shared" ref="R12:R32" si="4">Q12/Q$33</f>
        <v>6.1667136363329888E-3</v>
      </c>
      <c r="T12" s="1608">
        <f t="shared" ref="T12:T32" si="5">U12*T$4</f>
        <v>180124.11909379356</v>
      </c>
      <c r="U12" s="1607">
        <f t="shared" ref="U12:U32" si="6">AVERAGE(N12,P12,R12)</f>
        <v>4.2501273518685927E-3</v>
      </c>
      <c r="W12" s="1609">
        <f t="shared" ref="W12:W32" si="7">X12*W$4</f>
        <v>177251.73255266226</v>
      </c>
      <c r="X12" s="1610">
        <f t="shared" ref="X12:X32" si="8">U12</f>
        <v>4.2501273518685927E-3</v>
      </c>
      <c r="Z12" t="s">
        <v>183</v>
      </c>
      <c r="AA12" s="219">
        <f>SUM(AA4:AA11)</f>
        <v>13817776</v>
      </c>
    </row>
    <row r="13" spans="1:27">
      <c r="A13" t="s">
        <v>334</v>
      </c>
      <c r="B13" s="1571">
        <v>2.0666499550487851E-2</v>
      </c>
      <c r="C13" s="16">
        <v>0</v>
      </c>
      <c r="D13">
        <f t="shared" si="0"/>
        <v>0</v>
      </c>
      <c r="H13" t="s">
        <v>345</v>
      </c>
      <c r="I13" s="1605">
        <v>55860.93</v>
      </c>
      <c r="J13" s="1606">
        <f t="shared" si="1"/>
        <v>1.5437793755220515E-3</v>
      </c>
      <c r="K13" s="411">
        <v>47761.5</v>
      </c>
      <c r="L13" s="1607">
        <f t="shared" si="1"/>
        <v>1.3411491030267512E-3</v>
      </c>
      <c r="M13" s="1605">
        <v>47377.23</v>
      </c>
      <c r="N13" s="1606">
        <f t="shared" si="2"/>
        <v>1.2592060249215691E-3</v>
      </c>
      <c r="O13" s="411">
        <v>32829.54</v>
      </c>
      <c r="P13" s="1607">
        <f t="shared" si="3"/>
        <v>8.248916620654924E-4</v>
      </c>
      <c r="Q13" s="1605">
        <v>23061.200000000001</v>
      </c>
      <c r="R13" s="1606">
        <f t="shared" si="4"/>
        <v>5.6907623955655727E-4</v>
      </c>
      <c r="T13" s="1608">
        <f t="shared" si="5"/>
        <v>37481.278148146077</v>
      </c>
      <c r="U13" s="1607">
        <f t="shared" si="6"/>
        <v>8.8439130884787295E-4</v>
      </c>
      <c r="W13" s="1609">
        <f t="shared" si="7"/>
        <v>36883.575189548545</v>
      </c>
      <c r="X13" s="1610">
        <f t="shared" si="8"/>
        <v>8.8439130884787295E-4</v>
      </c>
      <c r="Z13" t="s">
        <v>1662</v>
      </c>
      <c r="AA13" s="219">
        <v>2613067</v>
      </c>
    </row>
    <row r="14" spans="1:27">
      <c r="A14" t="s">
        <v>340</v>
      </c>
      <c r="B14" s="1571">
        <v>8.6497409068619895E-3</v>
      </c>
      <c r="C14" s="16">
        <v>0</v>
      </c>
      <c r="D14">
        <f t="shared" si="0"/>
        <v>0</v>
      </c>
      <c r="H14" t="s">
        <v>357</v>
      </c>
      <c r="I14" s="1605">
        <v>4183.84</v>
      </c>
      <c r="J14" s="1606">
        <f t="shared" si="1"/>
        <v>1.1562510510448323E-4</v>
      </c>
      <c r="K14" s="411">
        <v>5770.16</v>
      </c>
      <c r="L14" s="1607">
        <f t="shared" si="1"/>
        <v>1.620268397835252E-4</v>
      </c>
      <c r="M14" s="1605">
        <v>13865.65</v>
      </c>
      <c r="N14" s="1606">
        <f t="shared" si="2"/>
        <v>3.6852534475852118E-4</v>
      </c>
      <c r="O14" s="411">
        <v>19983.46</v>
      </c>
      <c r="P14" s="1607">
        <f t="shared" si="3"/>
        <v>5.0211454480383476E-4</v>
      </c>
      <c r="Q14" s="1605">
        <v>19293.400000000001</v>
      </c>
      <c r="R14" s="1606">
        <f t="shared" si="4"/>
        <v>4.7609905470055687E-4</v>
      </c>
      <c r="T14" s="1608">
        <f t="shared" si="5"/>
        <v>19025.325274705079</v>
      </c>
      <c r="U14" s="1607">
        <f t="shared" si="6"/>
        <v>4.489129814209709E-4</v>
      </c>
      <c r="W14" s="1609">
        <f t="shared" si="7"/>
        <v>18721.933987993209</v>
      </c>
      <c r="X14" s="1610">
        <f t="shared" si="8"/>
        <v>4.489129814209709E-4</v>
      </c>
      <c r="Z14" t="s">
        <v>13</v>
      </c>
      <c r="AA14" s="191">
        <f>SUM(AA12:AA13)</f>
        <v>16430843</v>
      </c>
    </row>
    <row r="15" spans="1:27">
      <c r="A15" t="s">
        <v>345</v>
      </c>
      <c r="B15" s="1571">
        <v>2.3805099378366668E-2</v>
      </c>
      <c r="C15" s="16">
        <v>0</v>
      </c>
      <c r="D15">
        <f t="shared" si="0"/>
        <v>0</v>
      </c>
      <c r="H15" t="s">
        <v>147</v>
      </c>
      <c r="I15" s="1605">
        <v>0</v>
      </c>
      <c r="J15" s="1606">
        <f t="shared" si="1"/>
        <v>0</v>
      </c>
      <c r="K15" s="411">
        <v>32573.22</v>
      </c>
      <c r="L15" s="1607">
        <f t="shared" si="1"/>
        <v>9.1466023440832118E-4</v>
      </c>
      <c r="M15" s="1605">
        <v>54464.51</v>
      </c>
      <c r="N15" s="1606">
        <f t="shared" si="2"/>
        <v>1.4475738479518758E-3</v>
      </c>
      <c r="O15" s="411">
        <v>74325.100000000006</v>
      </c>
      <c r="P15" s="1607">
        <f t="shared" si="3"/>
        <v>1.8675301351217207E-3</v>
      </c>
      <c r="Q15" s="1605">
        <v>9507.2099999999991</v>
      </c>
      <c r="R15" s="1606">
        <f t="shared" si="4"/>
        <v>2.3460736282042983E-4</v>
      </c>
      <c r="T15" s="1608">
        <f t="shared" si="5"/>
        <v>50146.625130757937</v>
      </c>
      <c r="U15" s="1607">
        <f t="shared" si="6"/>
        <v>1.1832371152980087E-3</v>
      </c>
      <c r="W15" s="1609">
        <f t="shared" si="7"/>
        <v>49346.951595456754</v>
      </c>
      <c r="X15" s="1610">
        <f t="shared" si="8"/>
        <v>1.1832371152980087E-3</v>
      </c>
    </row>
    <row r="16" spans="1:27">
      <c r="A16" t="s">
        <v>147</v>
      </c>
      <c r="B16" s="1571">
        <v>5.9710478753239531E-2</v>
      </c>
      <c r="C16" s="16">
        <v>0.06</v>
      </c>
      <c r="D16" s="1572">
        <f t="shared" si="0"/>
        <v>2580000</v>
      </c>
      <c r="H16" t="s">
        <v>361</v>
      </c>
      <c r="I16" s="1605">
        <v>87662.05</v>
      </c>
      <c r="J16" s="1606">
        <f t="shared" si="1"/>
        <v>2.4226389500852001E-3</v>
      </c>
      <c r="K16" s="411">
        <v>82488.87</v>
      </c>
      <c r="L16" s="1607">
        <f t="shared" si="1"/>
        <v>2.3162981483033462E-3</v>
      </c>
      <c r="M16" s="1605">
        <v>92924.18</v>
      </c>
      <c r="N16" s="1606">
        <f t="shared" si="2"/>
        <v>2.469766326923215E-3</v>
      </c>
      <c r="O16" s="411">
        <v>91939.41</v>
      </c>
      <c r="P16" s="1607">
        <f t="shared" si="3"/>
        <v>2.31011621619495E-3</v>
      </c>
      <c r="Q16" s="1605">
        <v>87016.38</v>
      </c>
      <c r="R16" s="1606">
        <f t="shared" si="4"/>
        <v>2.1472843698603899E-3</v>
      </c>
      <c r="T16" s="1608">
        <f t="shared" si="5"/>
        <v>97859.800010255785</v>
      </c>
      <c r="U16" s="1607">
        <f t="shared" si="6"/>
        <v>2.3090556376595185E-3</v>
      </c>
      <c r="W16" s="1609">
        <f t="shared" si="7"/>
        <v>96299.258457678414</v>
      </c>
      <c r="X16" s="1610">
        <f t="shared" si="8"/>
        <v>2.3090556376595185E-3</v>
      </c>
    </row>
    <row r="17" spans="1:24">
      <c r="A17" t="s">
        <v>14</v>
      </c>
      <c r="B17" s="1571">
        <v>1.1608073377693916E-2</v>
      </c>
      <c r="C17" s="16">
        <v>0.01</v>
      </c>
      <c r="D17" s="1572">
        <f t="shared" si="0"/>
        <v>430000</v>
      </c>
      <c r="H17" t="s">
        <v>367</v>
      </c>
      <c r="I17" s="1605">
        <v>4448459.2300000004</v>
      </c>
      <c r="J17" s="1606">
        <f t="shared" si="1"/>
        <v>0.12293815394990214</v>
      </c>
      <c r="K17" s="411">
        <v>4316658.5</v>
      </c>
      <c r="L17" s="1607">
        <f t="shared" si="1"/>
        <v>0.12121232949860873</v>
      </c>
      <c r="M17" s="1605">
        <v>3889160.63</v>
      </c>
      <c r="N17" s="1606">
        <f t="shared" si="2"/>
        <v>0.10336726096447101</v>
      </c>
      <c r="O17" s="411">
        <v>4110062.09</v>
      </c>
      <c r="P17" s="1607">
        <f t="shared" si="3"/>
        <v>0.10327150330502563</v>
      </c>
      <c r="Q17" s="1605">
        <v>4497872.17</v>
      </c>
      <c r="R17" s="1606">
        <f t="shared" si="4"/>
        <v>0.11099301773150104</v>
      </c>
      <c r="T17" s="1608">
        <f t="shared" si="5"/>
        <v>4487171.0259040818</v>
      </c>
      <c r="U17" s="1607">
        <f t="shared" si="6"/>
        <v>0.10587726066699922</v>
      </c>
      <c r="W17" s="1609">
        <f t="shared" si="7"/>
        <v>4415615.4245365057</v>
      </c>
      <c r="X17" s="1610">
        <f t="shared" si="8"/>
        <v>0.10587726066699922</v>
      </c>
    </row>
    <row r="18" spans="1:24">
      <c r="A18" t="s">
        <v>1634</v>
      </c>
      <c r="B18" s="1571">
        <v>8.0943331864960222E-2</v>
      </c>
      <c r="C18" s="16">
        <v>0.08</v>
      </c>
      <c r="D18" s="1572">
        <f t="shared" si="0"/>
        <v>3440000</v>
      </c>
      <c r="H18" t="s">
        <v>58</v>
      </c>
      <c r="I18" s="1605">
        <v>36917.550000000003</v>
      </c>
      <c r="J18" s="1606">
        <f t="shared" si="1"/>
        <v>1.0202578489975753E-3</v>
      </c>
      <c r="K18" s="411">
        <v>58661.31</v>
      </c>
      <c r="L18" s="1607">
        <f t="shared" si="1"/>
        <v>1.6472171788757511E-3</v>
      </c>
      <c r="M18" s="1605">
        <v>46730.59</v>
      </c>
      <c r="N18" s="1606">
        <f t="shared" si="2"/>
        <v>1.2420194358374185E-3</v>
      </c>
      <c r="O18" s="411">
        <v>36629.440000000002</v>
      </c>
      <c r="P18" s="1607">
        <f t="shared" si="3"/>
        <v>9.2036987548799751E-4</v>
      </c>
      <c r="Q18" s="1605">
        <v>72099.08</v>
      </c>
      <c r="R18" s="1606">
        <f t="shared" si="4"/>
        <v>1.7791733874164132E-3</v>
      </c>
      <c r="T18" s="1608">
        <f t="shared" si="5"/>
        <v>55682.292959345876</v>
      </c>
      <c r="U18" s="1607">
        <f t="shared" si="6"/>
        <v>1.3138542329139431E-3</v>
      </c>
      <c r="W18" s="1609">
        <f t="shared" si="7"/>
        <v>54794.343751430679</v>
      </c>
      <c r="X18" s="1610">
        <f t="shared" si="8"/>
        <v>1.3138542329139431E-3</v>
      </c>
    </row>
    <row r="19" spans="1:24">
      <c r="A19" t="s">
        <v>1635</v>
      </c>
      <c r="B19" s="1571">
        <v>7.2750531109423144E-2</v>
      </c>
      <c r="C19" s="16">
        <v>0.04</v>
      </c>
      <c r="D19" s="1572">
        <f t="shared" si="0"/>
        <v>1720000</v>
      </c>
      <c r="H19" t="s">
        <v>374</v>
      </c>
      <c r="I19" s="1605">
        <v>2590.7600000000002</v>
      </c>
      <c r="J19" s="1606">
        <f t="shared" si="1"/>
        <v>7.1598554748864915E-5</v>
      </c>
      <c r="K19" s="411">
        <v>-109.57</v>
      </c>
      <c r="L19" s="1607">
        <f t="shared" si="1"/>
        <v>-3.0767397845260536E-6</v>
      </c>
      <c r="M19" s="1605">
        <v>0</v>
      </c>
      <c r="N19" s="1606">
        <f t="shared" si="2"/>
        <v>0</v>
      </c>
      <c r="O19" s="411">
        <v>0</v>
      </c>
      <c r="P19" s="1607">
        <f t="shared" si="3"/>
        <v>0</v>
      </c>
      <c r="Q19" s="1605">
        <v>0</v>
      </c>
      <c r="R19" s="1606">
        <f t="shared" si="4"/>
        <v>0</v>
      </c>
      <c r="T19" s="1608">
        <f t="shared" si="5"/>
        <v>0</v>
      </c>
      <c r="U19" s="1607">
        <f t="shared" si="6"/>
        <v>0</v>
      </c>
      <c r="W19" s="1609">
        <f t="shared" si="7"/>
        <v>0</v>
      </c>
      <c r="X19" s="1610">
        <f t="shared" si="8"/>
        <v>0</v>
      </c>
    </row>
    <row r="20" spans="1:24">
      <c r="A20" t="s">
        <v>1636</v>
      </c>
      <c r="B20" s="1571">
        <v>3.4020837763129915E-3</v>
      </c>
      <c r="C20" s="16">
        <v>0</v>
      </c>
      <c r="D20" s="1572">
        <f t="shared" si="0"/>
        <v>0</v>
      </c>
      <c r="H20" t="s">
        <v>506</v>
      </c>
      <c r="I20" s="1605">
        <v>58105.01</v>
      </c>
      <c r="J20" s="1606">
        <f t="shared" si="1"/>
        <v>1.6057970401227219E-3</v>
      </c>
      <c r="K20" s="411">
        <v>133095.32</v>
      </c>
      <c r="L20" s="1607">
        <f t="shared" si="1"/>
        <v>3.7373338156267795E-3</v>
      </c>
      <c r="M20" s="1605">
        <v>133672.81</v>
      </c>
      <c r="N20" s="1606">
        <f t="shared" si="2"/>
        <v>3.5527954614526041E-3</v>
      </c>
      <c r="O20" s="411">
        <v>189298.26</v>
      </c>
      <c r="P20" s="1607">
        <f t="shared" si="3"/>
        <v>4.7564040287346619E-3</v>
      </c>
      <c r="Q20" s="1605">
        <v>184612.1</v>
      </c>
      <c r="R20" s="1606">
        <f t="shared" si="4"/>
        <v>4.5556328224307108E-3</v>
      </c>
      <c r="T20" s="1608">
        <f t="shared" si="5"/>
        <v>181740.95313331293</v>
      </c>
      <c r="U20" s="1607">
        <f t="shared" si="6"/>
        <v>4.2882774375393251E-3</v>
      </c>
      <c r="W20" s="1609">
        <f t="shared" si="7"/>
        <v>178842.78341357276</v>
      </c>
      <c r="X20" s="1610">
        <f t="shared" si="8"/>
        <v>4.2882774375393251E-3</v>
      </c>
    </row>
    <row r="21" spans="1:24">
      <c r="A21" t="s">
        <v>1637</v>
      </c>
      <c r="B21" s="1571">
        <v>4.4792491717834608E-2</v>
      </c>
      <c r="C21" s="16">
        <v>0.04</v>
      </c>
      <c r="D21" s="1572">
        <f t="shared" si="0"/>
        <v>1720000</v>
      </c>
      <c r="H21" t="s">
        <v>1663</v>
      </c>
      <c r="I21" s="1605">
        <v>8074838.71</v>
      </c>
      <c r="J21" s="1606">
        <f t="shared" si="1"/>
        <v>0.22315721312131911</v>
      </c>
      <c r="K21" s="411">
        <v>7648538.4800000004</v>
      </c>
      <c r="L21" s="1607">
        <f t="shared" si="1"/>
        <v>0.21477195066984059</v>
      </c>
      <c r="M21" s="1605">
        <v>7574918.2300000004</v>
      </c>
      <c r="N21" s="1606">
        <f t="shared" si="2"/>
        <v>0.20132841606620369</v>
      </c>
      <c r="O21" s="411">
        <v>7473341.4000000004</v>
      </c>
      <c r="P21" s="1607">
        <f t="shared" si="3"/>
        <v>0.18777896396443125</v>
      </c>
      <c r="Q21" s="1605">
        <v>7190763.9500000002</v>
      </c>
      <c r="R21" s="1606">
        <f t="shared" si="4"/>
        <v>0.17744492516455587</v>
      </c>
      <c r="T21" s="1608">
        <f t="shared" si="5"/>
        <v>8003660.945122432</v>
      </c>
      <c r="U21" s="1607">
        <f t="shared" si="6"/>
        <v>0.18885076839839696</v>
      </c>
      <c r="W21" s="1609">
        <f t="shared" si="7"/>
        <v>7876028.9095338108</v>
      </c>
      <c r="X21" s="1610">
        <f t="shared" si="8"/>
        <v>0.18885076839839696</v>
      </c>
    </row>
    <row r="22" spans="1:24">
      <c r="A22" t="s">
        <v>374</v>
      </c>
      <c r="B22" s="1571">
        <v>7.4508899458826322E-3</v>
      </c>
      <c r="C22" s="16">
        <v>0</v>
      </c>
      <c r="D22" s="1572">
        <f t="shared" si="0"/>
        <v>0</v>
      </c>
      <c r="H22" t="s">
        <v>1</v>
      </c>
      <c r="I22" s="1605">
        <v>499557.58</v>
      </c>
      <c r="J22" s="1606">
        <f t="shared" si="1"/>
        <v>1.3805833323750738E-2</v>
      </c>
      <c r="K22" s="411">
        <v>556290.78</v>
      </c>
      <c r="L22" s="1607">
        <f t="shared" si="1"/>
        <v>1.5620717117742362E-2</v>
      </c>
      <c r="M22" s="1605">
        <v>548946.14</v>
      </c>
      <c r="N22" s="1606">
        <f t="shared" si="2"/>
        <v>1.4590052792141692E-2</v>
      </c>
      <c r="O22" s="411">
        <v>504002.62</v>
      </c>
      <c r="P22" s="1607">
        <f t="shared" si="3"/>
        <v>1.2663825289576484E-2</v>
      </c>
      <c r="Q22" s="1605">
        <v>774357.55</v>
      </c>
      <c r="R22" s="1606">
        <f t="shared" si="4"/>
        <v>1.9108653609796054E-2</v>
      </c>
      <c r="T22" s="1608">
        <f t="shared" si="5"/>
        <v>654961.56456115912</v>
      </c>
      <c r="U22" s="1607">
        <f t="shared" si="6"/>
        <v>1.5454177230504745E-2</v>
      </c>
      <c r="W22" s="1609">
        <f t="shared" si="7"/>
        <v>644517.08443007711</v>
      </c>
      <c r="X22" s="1610">
        <f t="shared" si="8"/>
        <v>1.5454177230504745E-2</v>
      </c>
    </row>
    <row r="23" spans="1:24">
      <c r="C23" s="16"/>
      <c r="H23" t="s">
        <v>2</v>
      </c>
      <c r="I23" s="1605">
        <v>1738840.32</v>
      </c>
      <c r="J23" s="1606">
        <f t="shared" si="1"/>
        <v>4.8054800078376148E-2</v>
      </c>
      <c r="K23" s="411">
        <v>1726175.09</v>
      </c>
      <c r="L23" s="1607">
        <f t="shared" si="1"/>
        <v>4.8471219991428692E-2</v>
      </c>
      <c r="M23" s="1605">
        <v>1760647.06</v>
      </c>
      <c r="N23" s="1606">
        <f t="shared" si="2"/>
        <v>4.679499805523555E-2</v>
      </c>
      <c r="O23" s="411">
        <v>1949666.61</v>
      </c>
      <c r="P23" s="1607">
        <f t="shared" si="3"/>
        <v>4.8988311453541364E-2</v>
      </c>
      <c r="Q23" s="1605">
        <v>1689327.9</v>
      </c>
      <c r="R23" s="1606">
        <f t="shared" si="4"/>
        <v>4.1687178841949932E-2</v>
      </c>
      <c r="T23" s="1608">
        <f t="shared" si="5"/>
        <v>1942039.8939874619</v>
      </c>
      <c r="U23" s="1607">
        <f t="shared" si="6"/>
        <v>4.5823496116908946E-2</v>
      </c>
      <c r="W23" s="1609">
        <f t="shared" si="7"/>
        <v>1911070.7529202127</v>
      </c>
      <c r="X23" s="1610">
        <f t="shared" si="8"/>
        <v>4.5823496116908946E-2</v>
      </c>
    </row>
    <row r="24" spans="1:24">
      <c r="A24" t="s">
        <v>1638</v>
      </c>
      <c r="C24" s="16"/>
      <c r="H24" t="s">
        <v>17</v>
      </c>
      <c r="I24" s="1605">
        <v>140596.9</v>
      </c>
      <c r="J24" s="1606">
        <f t="shared" si="1"/>
        <v>3.8855528270355742E-3</v>
      </c>
      <c r="K24" s="411">
        <v>95130.93</v>
      </c>
      <c r="L24" s="1607">
        <f t="shared" si="1"/>
        <v>2.6712888296975732E-3</v>
      </c>
      <c r="M24" s="1605">
        <v>146239.32</v>
      </c>
      <c r="N24" s="1606">
        <f t="shared" si="2"/>
        <v>3.8867918792304511E-3</v>
      </c>
      <c r="O24" s="411">
        <v>306106.51</v>
      </c>
      <c r="P24" s="1607">
        <f t="shared" si="3"/>
        <v>7.6913873238238272E-3</v>
      </c>
      <c r="Q24" s="1605">
        <v>427718.36</v>
      </c>
      <c r="R24" s="1606">
        <f t="shared" si="4"/>
        <v>1.0554713366958257E-2</v>
      </c>
      <c r="T24" s="1608">
        <f t="shared" si="5"/>
        <v>312670.45644473966</v>
      </c>
      <c r="U24" s="1607">
        <f t="shared" si="6"/>
        <v>7.3776308566708458E-3</v>
      </c>
      <c r="W24" s="1609">
        <f t="shared" si="7"/>
        <v>307684.39230508055</v>
      </c>
      <c r="X24" s="1610">
        <f t="shared" si="8"/>
        <v>7.3776308566708458E-3</v>
      </c>
    </row>
    <row r="25" spans="1:24">
      <c r="A25" s="351" t="s">
        <v>1639</v>
      </c>
      <c r="B25" s="1571">
        <v>0.19647033808207526</v>
      </c>
      <c r="C25" s="16">
        <v>0.11</v>
      </c>
      <c r="D25" s="1572">
        <f>C25*D$34</f>
        <v>4730000</v>
      </c>
      <c r="H25" t="s">
        <v>4</v>
      </c>
      <c r="I25" s="1605">
        <v>3418431.62</v>
      </c>
      <c r="J25" s="1606">
        <f t="shared" si="1"/>
        <v>9.4472187118768605E-2</v>
      </c>
      <c r="K25" s="411">
        <v>2859034.74</v>
      </c>
      <c r="L25" s="1607">
        <f t="shared" si="1"/>
        <v>8.0282065619239784E-2</v>
      </c>
      <c r="M25" s="1605">
        <v>2868546.2</v>
      </c>
      <c r="N25" s="1606">
        <f t="shared" si="2"/>
        <v>7.6241068922895491E-2</v>
      </c>
      <c r="O25" s="411">
        <v>3049500.14</v>
      </c>
      <c r="P25" s="1607">
        <f t="shared" si="3"/>
        <v>7.6623286191446843E-2</v>
      </c>
      <c r="Q25" s="1605">
        <v>3075135.3</v>
      </c>
      <c r="R25" s="1606">
        <f t="shared" si="4"/>
        <v>7.5884448018820591E-2</v>
      </c>
      <c r="T25" s="1608">
        <f t="shared" si="5"/>
        <v>3231524.8655631747</v>
      </c>
      <c r="U25" s="1607">
        <f t="shared" si="6"/>
        <v>7.6249601044387647E-2</v>
      </c>
      <c r="W25" s="1609">
        <f t="shared" si="7"/>
        <v>3179992.6855426775</v>
      </c>
      <c r="X25" s="1610">
        <f t="shared" si="8"/>
        <v>7.6249601044387647E-2</v>
      </c>
    </row>
    <row r="26" spans="1:24">
      <c r="A26" s="351" t="s">
        <v>1640</v>
      </c>
      <c r="B26" s="1571">
        <v>2.1263023601956199E-2</v>
      </c>
      <c r="C26" s="16">
        <v>0.02</v>
      </c>
      <c r="D26" s="1572">
        <f>C26*D$34</f>
        <v>860000</v>
      </c>
      <c r="H26" t="s">
        <v>5</v>
      </c>
      <c r="I26" s="1605">
        <v>7962627.5499999998</v>
      </c>
      <c r="J26" s="1606">
        <f t="shared" si="1"/>
        <v>0.22005613201666502</v>
      </c>
      <c r="K26" s="411">
        <v>8649026.9299999997</v>
      </c>
      <c r="L26" s="1607">
        <f t="shared" si="1"/>
        <v>0.24286579586536677</v>
      </c>
      <c r="M26" s="1605">
        <v>8426521.6400000006</v>
      </c>
      <c r="N26" s="1606">
        <f t="shared" si="2"/>
        <v>0.22396258325402268</v>
      </c>
      <c r="O26" s="411">
        <v>8919188.4100000001</v>
      </c>
      <c r="P26" s="1607">
        <f t="shared" si="3"/>
        <v>0.22410804878168189</v>
      </c>
      <c r="Q26" s="1605">
        <v>8586621.6999999993</v>
      </c>
      <c r="R26" s="1606">
        <f t="shared" si="4"/>
        <v>0.21189020465243494</v>
      </c>
      <c r="T26" s="1608">
        <f>U26*T$4+1*(T5+T6)</f>
        <v>11998107.399919791</v>
      </c>
      <c r="U26" s="1607">
        <f t="shared" si="6"/>
        <v>0.21998694556271317</v>
      </c>
      <c r="W26" s="1609">
        <f>X26*W$4+1*(W5+W6)</f>
        <v>11579772.433419997</v>
      </c>
      <c r="X26" s="1610">
        <f t="shared" si="8"/>
        <v>0.21998694556271317</v>
      </c>
    </row>
    <row r="27" spans="1:24">
      <c r="A27" s="351" t="s">
        <v>396</v>
      </c>
      <c r="B27" s="351"/>
      <c r="C27" s="16">
        <v>0.1</v>
      </c>
      <c r="D27" s="1572">
        <f>C27*D$34</f>
        <v>4300000</v>
      </c>
      <c r="H27" t="s">
        <v>6</v>
      </c>
      <c r="I27" s="1605">
        <v>123123.94</v>
      </c>
      <c r="J27" s="1606">
        <f t="shared" si="1"/>
        <v>3.4026680043639543E-3</v>
      </c>
      <c r="K27" s="411">
        <v>179324.75</v>
      </c>
      <c r="L27" s="1607">
        <f t="shared" si="1"/>
        <v>5.0354621947174272E-3</v>
      </c>
      <c r="M27" s="1605">
        <v>31335.22</v>
      </c>
      <c r="N27" s="1606">
        <f t="shared" si="2"/>
        <v>8.3283674069258267E-4</v>
      </c>
      <c r="O27" s="411">
        <v>29004.91</v>
      </c>
      <c r="P27" s="1607">
        <f t="shared" si="3"/>
        <v>7.2879207012830586E-4</v>
      </c>
      <c r="Q27" s="1605">
        <v>14257.68</v>
      </c>
      <c r="R27" s="1606">
        <f t="shared" si="4"/>
        <v>3.5183368251438498E-4</v>
      </c>
      <c r="T27" s="1608">
        <f t="shared" si="5"/>
        <v>27031.405374986229</v>
      </c>
      <c r="U27" s="1607">
        <f t="shared" si="6"/>
        <v>6.3782083111175785E-4</v>
      </c>
      <c r="W27" s="1609">
        <f t="shared" si="7"/>
        <v>26600.343475127363</v>
      </c>
      <c r="X27" s="1610">
        <f t="shared" si="8"/>
        <v>6.3782083111175785E-4</v>
      </c>
    </row>
    <row r="28" spans="1:24">
      <c r="C28" s="16"/>
      <c r="H28" t="s">
        <v>7</v>
      </c>
      <c r="I28" s="1605">
        <v>6178326.5</v>
      </c>
      <c r="J28" s="1606">
        <f t="shared" si="1"/>
        <v>0.17074497373998862</v>
      </c>
      <c r="K28" s="411">
        <v>6426678.0899999999</v>
      </c>
      <c r="L28" s="1607">
        <f t="shared" si="1"/>
        <v>0.18046195274112359</v>
      </c>
      <c r="M28" s="1605">
        <v>8045682.8099999996</v>
      </c>
      <c r="N28" s="1606">
        <f t="shared" si="2"/>
        <v>0.21384053624409655</v>
      </c>
      <c r="O28" s="411">
        <v>8061635.7800000003</v>
      </c>
      <c r="P28" s="1607">
        <f t="shared" si="3"/>
        <v>0.20256074674000435</v>
      </c>
      <c r="Q28" s="1605">
        <v>9152036.5</v>
      </c>
      <c r="R28" s="1606">
        <f t="shared" si="4"/>
        <v>0.22584282325743482</v>
      </c>
      <c r="T28" s="1608">
        <f t="shared" si="5"/>
        <v>9072955.8828455973</v>
      </c>
      <c r="U28" s="1607">
        <f>AVERAGE(N28,P28,R28)</f>
        <v>0.21408136874717856</v>
      </c>
      <c r="W28" s="1609">
        <f t="shared" si="7"/>
        <v>8928272.114246048</v>
      </c>
      <c r="X28" s="1610">
        <f t="shared" si="8"/>
        <v>0.21408136874717856</v>
      </c>
    </row>
    <row r="29" spans="1:24">
      <c r="A29" s="351" t="s">
        <v>1641</v>
      </c>
      <c r="B29" s="351"/>
      <c r="C29" s="1569">
        <v>0.05</v>
      </c>
      <c r="D29" s="1570">
        <f>C29*D$34</f>
        <v>2150000</v>
      </c>
      <c r="H29" t="s">
        <v>8</v>
      </c>
      <c r="I29" s="1605">
        <v>99113.82</v>
      </c>
      <c r="J29" s="1606">
        <f t="shared" si="1"/>
        <v>2.7391214422173966E-3</v>
      </c>
      <c r="K29" s="411">
        <v>129277.5</v>
      </c>
      <c r="L29" s="1607">
        <f t="shared" si="1"/>
        <v>3.6301289357859538E-3</v>
      </c>
      <c r="M29" s="1605">
        <v>183593.95</v>
      </c>
      <c r="N29" s="1606">
        <f t="shared" si="2"/>
        <v>4.8796142784022891E-3</v>
      </c>
      <c r="O29" s="411">
        <v>120093.95</v>
      </c>
      <c r="P29" s="1607">
        <f t="shared" si="3"/>
        <v>3.0175414586835559E-3</v>
      </c>
      <c r="Q29" s="1605">
        <v>61743.69</v>
      </c>
      <c r="R29" s="1606">
        <f t="shared" si="4"/>
        <v>1.5236356703703974E-3</v>
      </c>
      <c r="T29" s="1608">
        <f t="shared" si="5"/>
        <v>133087.1299412066</v>
      </c>
      <c r="U29" s="1607">
        <f t="shared" si="6"/>
        <v>3.140263802485414E-3</v>
      </c>
      <c r="W29" s="1609">
        <f t="shared" si="7"/>
        <v>130964.82848172322</v>
      </c>
      <c r="X29" s="1610">
        <f t="shared" si="8"/>
        <v>3.140263802485414E-3</v>
      </c>
    </row>
    <row r="30" spans="1:24">
      <c r="A30" s="351" t="s">
        <v>1642</v>
      </c>
      <c r="B30" s="1573">
        <v>3.1E-2</v>
      </c>
      <c r="C30" s="1569"/>
      <c r="D30" s="1570"/>
      <c r="H30" t="s">
        <v>9</v>
      </c>
      <c r="I30" s="1605">
        <v>2726123.93</v>
      </c>
      <c r="J30" s="1606">
        <f t="shared" si="1"/>
        <v>7.533948858801888E-2</v>
      </c>
      <c r="K30" s="411">
        <v>2407131.41</v>
      </c>
      <c r="L30" s="1607">
        <f t="shared" si="1"/>
        <v>6.7592561611109769E-2</v>
      </c>
      <c r="M30" s="1605">
        <v>3087624.31</v>
      </c>
      <c r="N30" s="1606">
        <f t="shared" si="2"/>
        <v>8.2063791695848459E-2</v>
      </c>
      <c r="O30" s="411">
        <v>3789871.29</v>
      </c>
      <c r="P30" s="1607">
        <f t="shared" si="3"/>
        <v>9.5226226971879338E-2</v>
      </c>
      <c r="Q30" s="1605">
        <v>3420031.15</v>
      </c>
      <c r="R30" s="1606">
        <f t="shared" si="4"/>
        <v>8.4395368237918572E-2</v>
      </c>
      <c r="T30" s="1608">
        <f t="shared" si="5"/>
        <v>3696818.6200643727</v>
      </c>
      <c r="U30" s="1607">
        <f t="shared" si="6"/>
        <v>8.7228462301882123E-2</v>
      </c>
      <c r="W30" s="1609">
        <f t="shared" si="7"/>
        <v>3637866.5368969473</v>
      </c>
      <c r="X30" s="1610">
        <f t="shared" si="8"/>
        <v>8.7228462301882123E-2</v>
      </c>
    </row>
    <row r="31" spans="1:24">
      <c r="A31" s="351" t="s">
        <v>1643</v>
      </c>
      <c r="B31" s="1573">
        <v>4.5999999999999999E-2</v>
      </c>
      <c r="C31" s="1569"/>
      <c r="D31" s="1570"/>
      <c r="H31" t="s">
        <v>10</v>
      </c>
      <c r="I31" s="1605">
        <v>529169.03</v>
      </c>
      <c r="J31" s="1606">
        <f t="shared" si="1"/>
        <v>1.4624178915012869E-2</v>
      </c>
      <c r="K31" s="411">
        <v>258863.42</v>
      </c>
      <c r="L31" s="1607">
        <f t="shared" si="1"/>
        <v>7.2689183450988177E-3</v>
      </c>
      <c r="M31" s="1605">
        <v>589453.39</v>
      </c>
      <c r="N31" s="1606">
        <f t="shared" si="2"/>
        <v>1.566666645767267E-2</v>
      </c>
      <c r="O31" s="411">
        <v>839415.44</v>
      </c>
      <c r="P31" s="1607">
        <f t="shared" si="3"/>
        <v>2.1091577812696632E-2</v>
      </c>
      <c r="Q31" s="1605">
        <v>962283.42</v>
      </c>
      <c r="R31" s="1606">
        <f t="shared" si="4"/>
        <v>2.3746059617072105E-2</v>
      </c>
      <c r="T31" s="1608">
        <f t="shared" si="5"/>
        <v>854741.79452662589</v>
      </c>
      <c r="U31" s="1607">
        <f t="shared" si="6"/>
        <v>2.0168101295813801E-2</v>
      </c>
      <c r="W31" s="1609">
        <f t="shared" si="7"/>
        <v>841111.47761463991</v>
      </c>
      <c r="X31" s="1610">
        <f t="shared" si="8"/>
        <v>2.0168101295813801E-2</v>
      </c>
    </row>
    <row r="32" spans="1:24">
      <c r="A32" s="351" t="s">
        <v>1644</v>
      </c>
      <c r="B32" s="1573">
        <v>2.9000000000000001E-2</v>
      </c>
      <c r="C32" s="1569"/>
      <c r="D32" s="1570"/>
      <c r="H32" t="s">
        <v>61</v>
      </c>
      <c r="I32" s="1611">
        <v>0</v>
      </c>
      <c r="J32" s="1612">
        <f t="shared" si="1"/>
        <v>0</v>
      </c>
      <c r="K32" s="1613">
        <v>0</v>
      </c>
      <c r="L32" s="1614">
        <f t="shared" si="1"/>
        <v>0</v>
      </c>
      <c r="M32" s="1611">
        <v>722.23</v>
      </c>
      <c r="N32" s="1612">
        <f t="shared" si="2"/>
        <v>1.9195642450584483E-5</v>
      </c>
      <c r="O32" s="1613">
        <v>1710.69</v>
      </c>
      <c r="P32" s="1614">
        <f t="shared" si="3"/>
        <v>4.298366402267035E-5</v>
      </c>
      <c r="Q32" s="1611">
        <v>763.87</v>
      </c>
      <c r="R32" s="1612">
        <f t="shared" si="4"/>
        <v>1.8849854609043216E-5</v>
      </c>
      <c r="T32" s="1608">
        <f t="shared" si="5"/>
        <v>1144.6956018420738</v>
      </c>
      <c r="U32" s="1607">
        <f t="shared" si="6"/>
        <v>2.7009720360766014E-5</v>
      </c>
      <c r="W32" s="1609">
        <f t="shared" si="7"/>
        <v>1126.4414765368933</v>
      </c>
      <c r="X32" s="1610">
        <f t="shared" si="8"/>
        <v>2.7009720360766014E-5</v>
      </c>
    </row>
    <row r="33" spans="1:27">
      <c r="C33" s="16"/>
      <c r="H33" s="1615" t="s">
        <v>1603</v>
      </c>
      <c r="I33" s="1616">
        <v>36184529.270000003</v>
      </c>
      <c r="J33" s="1617">
        <f>SUM(J11:J32)</f>
        <v>1</v>
      </c>
      <c r="K33" s="1618">
        <v>35612371.43</v>
      </c>
      <c r="L33" s="1619">
        <f>SUM(L11:L32)</f>
        <v>1.0000000000000002</v>
      </c>
      <c r="M33" s="1616">
        <v>37624684.969999999</v>
      </c>
      <c r="N33" s="1617">
        <f>SUM(N11:N32)</f>
        <v>1.0000000000000002</v>
      </c>
      <c r="O33" s="1618">
        <v>39798608.119999997</v>
      </c>
      <c r="P33" s="1619">
        <f>SUM(P11:P32)</f>
        <v>1.0000000000000002</v>
      </c>
      <c r="Q33" s="1616">
        <v>40523919.990000002</v>
      </c>
      <c r="R33" s="1617">
        <f>SUM(R11:R32)</f>
        <v>1</v>
      </c>
      <c r="T33" s="1618">
        <f>SUM(T11:T32)</f>
        <v>45055743.720018364</v>
      </c>
      <c r="U33" s="1619">
        <f>SUM(U11:U32)</f>
        <v>1</v>
      </c>
      <c r="W33" s="1620">
        <f>SUM(W11:W32)</f>
        <v>44110248.314787865</v>
      </c>
      <c r="X33" s="1621">
        <f>SUM(X11:X32)</f>
        <v>1</v>
      </c>
    </row>
    <row r="34" spans="1:27">
      <c r="A34" s="215"/>
      <c r="B34" s="1574">
        <f>SUM(B7:B32)</f>
        <v>1.000110142462258</v>
      </c>
      <c r="C34" s="1574">
        <f>SUM(C7:C32)</f>
        <v>1</v>
      </c>
      <c r="D34" s="1575">
        <v>43000000</v>
      </c>
      <c r="I34" s="216"/>
      <c r="J34" s="591"/>
      <c r="L34" s="62"/>
      <c r="M34" s="216"/>
      <c r="N34" s="591"/>
      <c r="P34" s="62"/>
      <c r="Q34" s="216"/>
      <c r="R34" s="216"/>
      <c r="W34" s="1604"/>
      <c r="X34" s="1604"/>
    </row>
    <row r="35" spans="1:27">
      <c r="H35" s="220"/>
      <c r="I35" s="1622" t="s">
        <v>1664</v>
      </c>
      <c r="J35" s="1622" t="s">
        <v>1665</v>
      </c>
      <c r="K35" s="220" t="s">
        <v>1664</v>
      </c>
      <c r="L35" s="220" t="s">
        <v>1665</v>
      </c>
      <c r="M35" s="1622" t="s">
        <v>1664</v>
      </c>
      <c r="N35" s="1622" t="s">
        <v>1665</v>
      </c>
      <c r="O35" s="220" t="s">
        <v>1664</v>
      </c>
      <c r="P35" s="220" t="s">
        <v>1665</v>
      </c>
      <c r="Q35" s="1622" t="s">
        <v>1664</v>
      </c>
      <c r="R35" s="1622" t="s">
        <v>1665</v>
      </c>
      <c r="S35" s="220"/>
      <c r="T35" s="220" t="s">
        <v>1664</v>
      </c>
      <c r="U35" s="220" t="s">
        <v>1665</v>
      </c>
      <c r="V35" s="220"/>
      <c r="W35" s="1623" t="s">
        <v>1664</v>
      </c>
      <c r="X35" s="1623" t="s">
        <v>1665</v>
      </c>
    </row>
    <row r="36" spans="1:27">
      <c r="D36" s="1572"/>
      <c r="H36" t="s">
        <v>333</v>
      </c>
      <c r="I36" s="1624">
        <f>0.26*I11</f>
        <v>0</v>
      </c>
      <c r="J36" s="1587"/>
      <c r="K36" s="194">
        <f>0.26*K11</f>
        <v>0</v>
      </c>
      <c r="L36" s="1529"/>
      <c r="M36" s="1624">
        <f>0.26*M11</f>
        <v>0</v>
      </c>
      <c r="N36" s="1587"/>
      <c r="O36" s="194">
        <f>0.26*O11</f>
        <v>6498.4270000000006</v>
      </c>
      <c r="P36" s="1529"/>
      <c r="Q36" s="1624">
        <f>0.26*Q11</f>
        <v>6634.6722000000009</v>
      </c>
      <c r="R36" s="1624"/>
      <c r="S36" s="194"/>
      <c r="T36" s="1608">
        <f>0.26*T11</f>
        <v>4619.5880667485562</v>
      </c>
      <c r="U36" s="1608"/>
      <c r="V36" s="1608"/>
      <c r="W36" s="1609">
        <f>0.26*W11</f>
        <v>4545.9208496359506</v>
      </c>
      <c r="X36" s="1625"/>
    </row>
    <row r="37" spans="1:27">
      <c r="H37" t="s">
        <v>340</v>
      </c>
      <c r="I37" s="1624">
        <f t="shared" ref="I37:K45" si="9">0.26*I12</f>
        <v>0</v>
      </c>
      <c r="J37" s="1587"/>
      <c r="K37" s="194">
        <f t="shared" si="9"/>
        <v>0</v>
      </c>
      <c r="L37" s="1529"/>
      <c r="M37" s="1624">
        <v>45308.91</v>
      </c>
      <c r="N37" s="1587"/>
      <c r="O37" s="194">
        <v>63106.34</v>
      </c>
      <c r="P37" s="1529"/>
      <c r="Q37" s="1624">
        <v>90080.8</v>
      </c>
      <c r="R37" s="1624"/>
      <c r="S37" s="194"/>
      <c r="T37" s="1608">
        <f t="shared" ref="T37:T50" si="10">0.26*T12</f>
        <v>46832.270964386327</v>
      </c>
      <c r="U37" s="1608"/>
      <c r="V37" s="1608"/>
      <c r="W37" s="1609">
        <f t="shared" ref="W37:W50" si="11">0.26*W12</f>
        <v>46085.450463692192</v>
      </c>
      <c r="X37" s="1625"/>
    </row>
    <row r="38" spans="1:27">
      <c r="H38" t="s">
        <v>345</v>
      </c>
      <c r="I38" s="1624">
        <f t="shared" si="9"/>
        <v>14523.8418</v>
      </c>
      <c r="J38" s="1587"/>
      <c r="K38" s="194">
        <f t="shared" si="9"/>
        <v>12417.99</v>
      </c>
      <c r="L38" s="1529"/>
      <c r="M38" s="1624">
        <v>449.66</v>
      </c>
      <c r="N38" s="1587"/>
      <c r="O38" s="194">
        <v>1.1599999999999999</v>
      </c>
      <c r="P38" s="1529"/>
      <c r="Q38" s="1624">
        <v>-431.63</v>
      </c>
      <c r="R38" s="1624"/>
      <c r="S38" s="194"/>
      <c r="T38" s="1608">
        <f t="shared" si="10"/>
        <v>9745.1323185179808</v>
      </c>
      <c r="U38" s="1608"/>
      <c r="V38" s="1608"/>
      <c r="W38" s="1609">
        <f t="shared" si="11"/>
        <v>9589.7295492826215</v>
      </c>
      <c r="X38" s="1625"/>
    </row>
    <row r="39" spans="1:27">
      <c r="A39" t="s">
        <v>334</v>
      </c>
      <c r="B39" s="1175">
        <v>9.7194547385944362E-3</v>
      </c>
      <c r="H39" t="s">
        <v>357</v>
      </c>
      <c r="I39" s="1624">
        <f t="shared" si="9"/>
        <v>1087.7984000000001</v>
      </c>
      <c r="J39" s="1587"/>
      <c r="K39" s="194">
        <f t="shared" si="9"/>
        <v>1500.2416000000001</v>
      </c>
      <c r="L39" s="1529"/>
      <c r="M39" s="1624">
        <v>3605.07</v>
      </c>
      <c r="N39" s="1587"/>
      <c r="O39" s="194">
        <v>5195.7</v>
      </c>
      <c r="P39" s="1529"/>
      <c r="Q39" s="1624">
        <f>0.26*Q14</f>
        <v>5016.2840000000006</v>
      </c>
      <c r="R39" s="1624"/>
      <c r="S39" s="194"/>
      <c r="T39" s="1608">
        <f t="shared" si="10"/>
        <v>4946.584571423321</v>
      </c>
      <c r="U39" s="1608"/>
      <c r="V39" s="1608"/>
      <c r="W39" s="1609">
        <f t="shared" si="11"/>
        <v>4867.7028368782348</v>
      </c>
      <c r="X39" s="1625"/>
    </row>
    <row r="40" spans="1:27">
      <c r="A40" t="s">
        <v>340</v>
      </c>
      <c r="B40" s="1175">
        <v>4.0679731484971936E-3</v>
      </c>
      <c r="H40" t="s">
        <v>147</v>
      </c>
      <c r="I40" s="1624">
        <f t="shared" si="9"/>
        <v>0</v>
      </c>
      <c r="J40" s="1587"/>
      <c r="K40" s="194">
        <f t="shared" si="9"/>
        <v>8469.0372000000007</v>
      </c>
      <c r="L40" s="1529"/>
      <c r="M40" s="1624">
        <v>14160.77</v>
      </c>
      <c r="N40" s="1587"/>
      <c r="O40" s="194">
        <v>19324.53</v>
      </c>
      <c r="P40" s="1529"/>
      <c r="Q40" s="1624">
        <f>0.26*Q15</f>
        <v>2471.8745999999996</v>
      </c>
      <c r="R40" s="1624"/>
      <c r="S40" s="194"/>
      <c r="T40" s="1608">
        <f t="shared" si="10"/>
        <v>13038.122533997064</v>
      </c>
      <c r="U40" s="1608"/>
      <c r="V40" s="1608"/>
      <c r="W40" s="1609">
        <f t="shared" si="11"/>
        <v>12830.207414818757</v>
      </c>
      <c r="X40" s="1625"/>
    </row>
    <row r="41" spans="1:27">
      <c r="A41" t="s">
        <v>345</v>
      </c>
      <c r="B41" s="1175">
        <v>1.1195538237645844E-2</v>
      </c>
      <c r="H41" t="s">
        <v>361</v>
      </c>
      <c r="I41" s="1624">
        <f t="shared" si="9"/>
        <v>22792.133000000002</v>
      </c>
      <c r="J41" s="1587"/>
      <c r="K41" s="194">
        <f t="shared" si="9"/>
        <v>21447.106199999998</v>
      </c>
      <c r="L41" s="1529"/>
      <c r="M41" s="1624">
        <v>24160.29</v>
      </c>
      <c r="N41" s="1587"/>
      <c r="O41" s="194">
        <v>23904.25</v>
      </c>
      <c r="P41" s="1529"/>
      <c r="Q41" s="1624">
        <f>0.26*Q16</f>
        <v>22624.258800000003</v>
      </c>
      <c r="R41" s="1624"/>
      <c r="S41" s="194"/>
      <c r="T41" s="1608">
        <f t="shared" si="10"/>
        <v>25443.548002666506</v>
      </c>
      <c r="U41" s="1608"/>
      <c r="V41" s="1608"/>
      <c r="W41" s="1609">
        <f t="shared" si="11"/>
        <v>25037.80719899639</v>
      </c>
      <c r="X41" s="1625"/>
    </row>
    <row r="42" spans="1:27">
      <c r="A42" t="s">
        <v>147</v>
      </c>
      <c r="B42" s="1175">
        <v>2.8081838157648552E-2</v>
      </c>
      <c r="H42" t="s">
        <v>367</v>
      </c>
      <c r="I42" s="1624">
        <f>1442716.53-74216</f>
        <v>1368500.53</v>
      </c>
      <c r="J42" s="1587">
        <v>816340</v>
      </c>
      <c r="K42" s="194">
        <f>1461760.07-90413</f>
        <v>1371347.07</v>
      </c>
      <c r="L42" s="1529">
        <v>776152</v>
      </c>
      <c r="M42" s="1624">
        <v>1285494.21</v>
      </c>
      <c r="N42" s="1587">
        <v>512393</v>
      </c>
      <c r="O42" s="194">
        <v>1293114.21</v>
      </c>
      <c r="P42" s="1529">
        <v>901905</v>
      </c>
      <c r="Q42" s="1624">
        <v>1410628.63</v>
      </c>
      <c r="R42" s="1624">
        <v>780800</v>
      </c>
      <c r="S42" s="194"/>
      <c r="T42" s="1608">
        <f t="shared" si="10"/>
        <v>1166664.4667350613</v>
      </c>
      <c r="U42" s="1608">
        <v>678800</v>
      </c>
      <c r="V42" s="1608"/>
      <c r="W42" s="1609">
        <f t="shared" si="11"/>
        <v>1148060.0103794916</v>
      </c>
      <c r="X42" s="1625">
        <v>1000000</v>
      </c>
      <c r="AA42" s="1089"/>
    </row>
    <row r="43" spans="1:27">
      <c r="A43" t="s">
        <v>1645</v>
      </c>
      <c r="B43" s="1175">
        <v>0.13402363265478581</v>
      </c>
      <c r="H43" t="s">
        <v>58</v>
      </c>
      <c r="I43" s="1624">
        <v>9598.58</v>
      </c>
      <c r="J43" s="1587"/>
      <c r="K43" s="194">
        <f t="shared" si="9"/>
        <v>15251.9406</v>
      </c>
      <c r="L43" s="1529"/>
      <c r="M43" s="1624">
        <v>96.77</v>
      </c>
      <c r="N43" s="1587"/>
      <c r="O43" s="194">
        <v>454.24</v>
      </c>
      <c r="P43" s="1529"/>
      <c r="Q43" s="1624">
        <v>66.36</v>
      </c>
      <c r="R43" s="1624"/>
      <c r="S43" s="194"/>
      <c r="T43" s="1608">
        <f t="shared" si="10"/>
        <v>14477.396169429929</v>
      </c>
      <c r="U43" s="1608"/>
      <c r="V43" s="1608"/>
      <c r="W43" s="1609">
        <f t="shared" si="11"/>
        <v>14246.529375371976</v>
      </c>
      <c r="X43" s="1625"/>
    </row>
    <row r="44" spans="1:27">
      <c r="A44" t="s">
        <v>1646</v>
      </c>
      <c r="B44" s="1175">
        <v>3.421457478076171E-2</v>
      </c>
      <c r="H44" t="s">
        <v>374</v>
      </c>
      <c r="I44" s="1624">
        <v>673.6</v>
      </c>
      <c r="J44" s="1587"/>
      <c r="K44" s="194">
        <f t="shared" si="9"/>
        <v>-28.488199999999999</v>
      </c>
      <c r="L44" s="1529"/>
      <c r="M44" s="1624">
        <f>0.26*M19</f>
        <v>0</v>
      </c>
      <c r="N44" s="1587"/>
      <c r="O44" s="194">
        <f>0.26*O19</f>
        <v>0</v>
      </c>
      <c r="P44" s="1529"/>
      <c r="Q44" s="1624">
        <f>0.26*Q19</f>
        <v>0</v>
      </c>
      <c r="R44" s="1624"/>
      <c r="S44" s="194"/>
      <c r="T44" s="1608">
        <f t="shared" si="10"/>
        <v>0</v>
      </c>
      <c r="U44" s="1608"/>
      <c r="V44" s="1608"/>
      <c r="W44" s="1609">
        <f t="shared" si="11"/>
        <v>0</v>
      </c>
      <c r="X44" s="1625"/>
    </row>
    <row r="45" spans="1:27">
      <c r="A45" t="s">
        <v>381</v>
      </c>
      <c r="B45" s="1175">
        <v>2.1065908854897616E-2</v>
      </c>
      <c r="H45" t="s">
        <v>506</v>
      </c>
      <c r="I45" s="1624">
        <v>15107.3</v>
      </c>
      <c r="J45" s="1587"/>
      <c r="K45" s="194">
        <f t="shared" si="9"/>
        <v>34604.783200000005</v>
      </c>
      <c r="L45" s="1529"/>
      <c r="M45" s="1624">
        <v>34754.959999999999</v>
      </c>
      <c r="N45" s="1587"/>
      <c r="O45" s="194">
        <v>49217.56</v>
      </c>
      <c r="P45" s="1529"/>
      <c r="Q45" s="1624">
        <f>0.26*Q20</f>
        <v>47999.146000000001</v>
      </c>
      <c r="R45" s="1624"/>
      <c r="S45" s="194"/>
      <c r="T45" s="1608">
        <f t="shared" si="10"/>
        <v>47252.647814661366</v>
      </c>
      <c r="U45" s="1608"/>
      <c r="V45" s="1608"/>
      <c r="W45" s="1609">
        <f t="shared" si="11"/>
        <v>46499.123687528918</v>
      </c>
      <c r="X45" s="1625"/>
    </row>
    <row r="46" spans="1:27">
      <c r="A46" t="s">
        <v>14</v>
      </c>
      <c r="B46" s="1175">
        <v>5.459276909529449E-3</v>
      </c>
      <c r="H46" t="s">
        <v>1663</v>
      </c>
      <c r="I46" s="1624">
        <v>2171143.85</v>
      </c>
      <c r="J46" s="1587">
        <v>2450000</v>
      </c>
      <c r="K46" s="194">
        <v>2095676.24</v>
      </c>
      <c r="L46" s="1529">
        <v>2250000</v>
      </c>
      <c r="M46" s="1624">
        <v>2099063.8199999998</v>
      </c>
      <c r="N46" s="1587">
        <v>2160000</v>
      </c>
      <c r="O46" s="194">
        <v>2083975.43</v>
      </c>
      <c r="P46" s="1529">
        <v>2130000</v>
      </c>
      <c r="Q46" s="1624">
        <v>2010380.48</v>
      </c>
      <c r="R46" s="1624">
        <v>2090000</v>
      </c>
      <c r="S46" s="194"/>
      <c r="T46" s="1608">
        <f t="shared" si="10"/>
        <v>2080951.8457318323</v>
      </c>
      <c r="U46" s="1608">
        <v>1900000</v>
      </c>
      <c r="V46" s="1608"/>
      <c r="W46" s="1609">
        <f t="shared" si="11"/>
        <v>2047767.5164787909</v>
      </c>
      <c r="X46" s="1625">
        <v>1900000</v>
      </c>
      <c r="AA46" s="1089"/>
    </row>
    <row r="47" spans="1:27">
      <c r="A47" t="s">
        <v>367</v>
      </c>
      <c r="B47" s="1175">
        <v>3.8067648976090794E-2</v>
      </c>
      <c r="H47" t="s">
        <v>1</v>
      </c>
      <c r="I47" s="1624">
        <v>125960.71</v>
      </c>
      <c r="J47" s="1587">
        <v>150000</v>
      </c>
      <c r="K47" s="194">
        <v>143531.49</v>
      </c>
      <c r="L47" s="1529">
        <v>100000</v>
      </c>
      <c r="M47" s="1624">
        <v>142709.57999999999</v>
      </c>
      <c r="N47" s="1587">
        <v>100000</v>
      </c>
      <c r="O47" s="194">
        <v>131040.66</v>
      </c>
      <c r="P47" s="1529">
        <v>100000</v>
      </c>
      <c r="Q47" s="1624">
        <v>201333.01</v>
      </c>
      <c r="R47" s="1624">
        <v>100000</v>
      </c>
      <c r="S47" s="194"/>
      <c r="T47" s="1608">
        <f t="shared" si="10"/>
        <v>170290.00678590138</v>
      </c>
      <c r="U47" s="1608">
        <v>125000</v>
      </c>
      <c r="V47" s="1608"/>
      <c r="W47" s="1609">
        <f t="shared" si="11"/>
        <v>167574.44195182004</v>
      </c>
      <c r="X47" s="1625">
        <v>140000</v>
      </c>
      <c r="AA47" s="1089"/>
    </row>
    <row r="48" spans="1:27">
      <c r="A48" t="s">
        <v>1647</v>
      </c>
      <c r="B48" s="1175">
        <v>3.5041535415486018E-3</v>
      </c>
      <c r="H48" t="s">
        <v>2</v>
      </c>
      <c r="I48" s="1624">
        <v>452098.52</v>
      </c>
      <c r="J48" s="1587">
        <v>433000</v>
      </c>
      <c r="K48" s="194">
        <v>448805.56</v>
      </c>
      <c r="L48" s="1529">
        <v>450000</v>
      </c>
      <c r="M48" s="1624">
        <v>457768.24</v>
      </c>
      <c r="N48" s="1587">
        <v>430000</v>
      </c>
      <c r="O48" s="194">
        <v>506913.36</v>
      </c>
      <c r="P48" s="1529">
        <v>420000</v>
      </c>
      <c r="Q48" s="1624">
        <v>439225.27</v>
      </c>
      <c r="R48" s="1624">
        <v>480000</v>
      </c>
      <c r="S48" s="194"/>
      <c r="T48" s="1608">
        <f t="shared" si="10"/>
        <v>504930.37243674014</v>
      </c>
      <c r="U48" s="1608">
        <v>500000</v>
      </c>
      <c r="V48" s="1608"/>
      <c r="W48" s="1609">
        <f t="shared" si="11"/>
        <v>496878.39575925533</v>
      </c>
      <c r="X48" s="1625">
        <v>450000</v>
      </c>
      <c r="AA48" s="1089"/>
    </row>
    <row r="49" spans="1:27">
      <c r="A49" t="s">
        <v>357</v>
      </c>
      <c r="B49" s="1175">
        <v>2.7099999999999999E-2</v>
      </c>
      <c r="H49" t="s">
        <v>17</v>
      </c>
      <c r="I49" s="1624">
        <v>36082.44</v>
      </c>
      <c r="J49" s="1587">
        <v>13000</v>
      </c>
      <c r="K49" s="194">
        <v>24255.68</v>
      </c>
      <c r="L49" s="1529">
        <v>15000</v>
      </c>
      <c r="M49" s="1624">
        <v>36896.22</v>
      </c>
      <c r="N49" s="1587">
        <v>22500</v>
      </c>
      <c r="O49" s="194">
        <v>73248</v>
      </c>
      <c r="P49" s="1529">
        <v>26920</v>
      </c>
      <c r="Q49" s="1624">
        <v>108889.47</v>
      </c>
      <c r="R49" s="1624">
        <v>28127</v>
      </c>
      <c r="S49" s="194"/>
      <c r="T49" s="1608">
        <f t="shared" si="10"/>
        <v>81294.318675632312</v>
      </c>
      <c r="U49" s="1608">
        <v>99500</v>
      </c>
      <c r="V49" s="1608"/>
      <c r="W49" s="1609">
        <f t="shared" si="11"/>
        <v>79997.941999320945</v>
      </c>
      <c r="X49" s="1625">
        <v>80000</v>
      </c>
      <c r="AA49" s="1089"/>
    </row>
    <row r="50" spans="1:27">
      <c r="A50" t="s">
        <v>1648</v>
      </c>
      <c r="B50" s="1175">
        <v>9.2399999999999996E-2</v>
      </c>
      <c r="H50" t="s">
        <v>4</v>
      </c>
      <c r="I50" s="1624">
        <v>877336.14</v>
      </c>
      <c r="J50" s="1587">
        <v>1000000</v>
      </c>
      <c r="K50" s="194">
        <v>738529.53</v>
      </c>
      <c r="L50" s="1529">
        <v>950000</v>
      </c>
      <c r="M50" s="1624">
        <v>742121.57</v>
      </c>
      <c r="N50" s="1587">
        <v>750000</v>
      </c>
      <c r="O50" s="194">
        <v>789779.12</v>
      </c>
      <c r="P50" s="1529">
        <v>750000</v>
      </c>
      <c r="Q50" s="1624">
        <v>788750.89</v>
      </c>
      <c r="R50" s="1624">
        <v>760000</v>
      </c>
      <c r="S50" s="194"/>
      <c r="T50" s="1608">
        <f t="shared" si="10"/>
        <v>840196.46504642547</v>
      </c>
      <c r="U50" s="1608">
        <v>780000</v>
      </c>
      <c r="V50" s="1608"/>
      <c r="W50" s="1609">
        <f t="shared" si="11"/>
        <v>826798.09824109613</v>
      </c>
      <c r="X50" s="1625">
        <v>800000</v>
      </c>
      <c r="AA50" s="1089"/>
    </row>
    <row r="51" spans="1:27">
      <c r="A51" t="s">
        <v>1649</v>
      </c>
      <c r="B51" s="1175">
        <v>1.6000000000000001E-3</v>
      </c>
      <c r="H51" t="s">
        <v>5</v>
      </c>
      <c r="I51" s="1624">
        <v>3295333.57</v>
      </c>
      <c r="J51" s="1587">
        <v>2800000</v>
      </c>
      <c r="K51" s="194">
        <v>3590834.42</v>
      </c>
      <c r="L51" s="1529">
        <v>2800000</v>
      </c>
      <c r="M51" s="1624">
        <v>3490229.1</v>
      </c>
      <c r="N51" s="1587">
        <v>2800000</v>
      </c>
      <c r="O51" s="194">
        <v>3696125.8</v>
      </c>
      <c r="P51" s="1529">
        <v>2800000</v>
      </c>
      <c r="Q51" s="1624">
        <v>3528976.8</v>
      </c>
      <c r="R51" s="1624">
        <v>2900000</v>
      </c>
      <c r="S51" s="194"/>
      <c r="T51" s="1608">
        <f>0.42*T26</f>
        <v>5039205.1079663122</v>
      </c>
      <c r="U51" s="1608">
        <v>2900000</v>
      </c>
      <c r="V51" s="1608"/>
      <c r="W51" s="1609">
        <f>0.42*W26</f>
        <v>4863504.4220363982</v>
      </c>
      <c r="X51" s="1625">
        <v>4000000</v>
      </c>
      <c r="AA51" s="1089"/>
    </row>
    <row r="52" spans="1:27">
      <c r="A52" t="s">
        <v>1650</v>
      </c>
      <c r="B52" s="1175">
        <v>1.46E-2</v>
      </c>
      <c r="C52" s="1571">
        <v>3.1044014458856049E-2</v>
      </c>
      <c r="H52" t="s">
        <v>6</v>
      </c>
      <c r="I52" s="1624">
        <v>32012.22</v>
      </c>
      <c r="J52" s="1587">
        <v>15000</v>
      </c>
      <c r="K52" s="194">
        <v>46624.42</v>
      </c>
      <c r="L52" s="1529">
        <v>45000</v>
      </c>
      <c r="M52" s="1624">
        <v>8147.16</v>
      </c>
      <c r="N52" s="1587">
        <v>30000</v>
      </c>
      <c r="O52" s="194">
        <v>7541.28</v>
      </c>
      <c r="P52" s="1529">
        <v>6300</v>
      </c>
      <c r="Q52" s="1624">
        <v>3707</v>
      </c>
      <c r="R52" s="1624">
        <v>6400</v>
      </c>
      <c r="S52" s="194"/>
      <c r="T52" s="1608">
        <f t="shared" ref="T52:T57" si="12">0.26*T27</f>
        <v>7028.1653974964202</v>
      </c>
      <c r="U52" s="1608">
        <v>2800</v>
      </c>
      <c r="V52" s="1608"/>
      <c r="W52" s="1609">
        <f t="shared" ref="W52:W57" si="13">0.26*W27</f>
        <v>6916.0893035331146</v>
      </c>
      <c r="X52" s="1625">
        <v>3000</v>
      </c>
      <c r="AA52" s="1089"/>
    </row>
    <row r="53" spans="1:27">
      <c r="A53" t="s">
        <v>1651</v>
      </c>
      <c r="B53" s="1175">
        <v>2.1500000000000005E-2</v>
      </c>
      <c r="C53" s="1571">
        <v>4.5715500744205835E-2</v>
      </c>
      <c r="H53" t="s">
        <v>7</v>
      </c>
      <c r="I53" s="1624">
        <v>1602873.81</v>
      </c>
      <c r="J53" s="1587">
        <v>1700000</v>
      </c>
      <c r="K53" s="194">
        <v>1670737.94</v>
      </c>
      <c r="L53" s="1529">
        <v>1600000</v>
      </c>
      <c r="M53" s="1624">
        <v>2086358.82</v>
      </c>
      <c r="N53" s="1587">
        <v>1600000</v>
      </c>
      <c r="O53" s="194">
        <v>2093387.21</v>
      </c>
      <c r="P53" s="1529">
        <v>2200000</v>
      </c>
      <c r="Q53" s="1624">
        <v>2378446.59</v>
      </c>
      <c r="R53" s="1624">
        <v>2100000</v>
      </c>
      <c r="S53" s="194"/>
      <c r="T53" s="1608">
        <f t="shared" si="12"/>
        <v>2358968.5295398552</v>
      </c>
      <c r="U53" s="1608">
        <v>2400000</v>
      </c>
      <c r="V53" s="1608"/>
      <c r="W53" s="1609">
        <f t="shared" si="13"/>
        <v>2321350.7497039726</v>
      </c>
      <c r="X53" s="1625">
        <v>2300000</v>
      </c>
      <c r="AA53" s="1089"/>
    </row>
    <row r="54" spans="1:27">
      <c r="A54" t="s">
        <v>1652</v>
      </c>
      <c r="B54" s="1175">
        <v>0.01</v>
      </c>
      <c r="H54" t="s">
        <v>8</v>
      </c>
      <c r="I54" s="1624">
        <v>25769.59</v>
      </c>
      <c r="J54" s="1587">
        <v>10000</v>
      </c>
      <c r="K54" s="194">
        <v>33612.160000000003</v>
      </c>
      <c r="L54" s="1529">
        <v>7500</v>
      </c>
      <c r="M54" s="1624">
        <v>47734.41</v>
      </c>
      <c r="N54" s="1587">
        <v>18900</v>
      </c>
      <c r="O54" s="194">
        <v>31224.42</v>
      </c>
      <c r="P54" s="1529">
        <v>15200</v>
      </c>
      <c r="Q54" s="1624">
        <v>16053.35</v>
      </c>
      <c r="R54" s="1624">
        <v>14705</v>
      </c>
      <c r="S54" s="194"/>
      <c r="T54" s="1608">
        <f t="shared" si="12"/>
        <v>34602.653784713715</v>
      </c>
      <c r="U54" s="1608">
        <v>15786</v>
      </c>
      <c r="V54" s="1608"/>
      <c r="W54" s="1609">
        <f t="shared" si="13"/>
        <v>34050.855405248039</v>
      </c>
      <c r="X54" s="1625">
        <v>25000</v>
      </c>
      <c r="AA54" s="1089"/>
    </row>
    <row r="55" spans="1:27">
      <c r="A55" t="s">
        <v>1653</v>
      </c>
      <c r="B55" s="1175">
        <v>1.37E-2</v>
      </c>
      <c r="C55" s="1571">
        <v>2.9130342334679992E-2</v>
      </c>
      <c r="H55" t="s">
        <v>9</v>
      </c>
      <c r="I55" s="1624">
        <v>708792.25</v>
      </c>
      <c r="J55" s="1587">
        <v>650000</v>
      </c>
      <c r="K55" s="194">
        <v>625854.17000000004</v>
      </c>
      <c r="L55" s="1529">
        <v>750000</v>
      </c>
      <c r="M55" s="1624">
        <v>802782.32</v>
      </c>
      <c r="N55" s="1587">
        <v>600000</v>
      </c>
      <c r="O55" s="194">
        <v>985366.58</v>
      </c>
      <c r="P55" s="1529">
        <v>800000</v>
      </c>
      <c r="Q55" s="1624">
        <v>889208.13</v>
      </c>
      <c r="R55" s="1624">
        <v>1000000</v>
      </c>
      <c r="S55" s="194"/>
      <c r="T55" s="1608">
        <f t="shared" si="12"/>
        <v>961172.84121673694</v>
      </c>
      <c r="U55" s="1608">
        <v>900000</v>
      </c>
      <c r="V55" s="1608"/>
      <c r="W55" s="1609">
        <f t="shared" si="13"/>
        <v>945845.29959320638</v>
      </c>
      <c r="X55" s="1625">
        <v>900000</v>
      </c>
      <c r="AA55" s="1089"/>
    </row>
    <row r="56" spans="1:27">
      <c r="B56" s="1175">
        <v>0.47030000000000005</v>
      </c>
      <c r="C56" s="16">
        <v>0.99999999999999989</v>
      </c>
      <c r="H56" t="s">
        <v>10</v>
      </c>
      <c r="I56" s="1624">
        <v>135564.22</v>
      </c>
      <c r="J56" s="1587">
        <v>185000</v>
      </c>
      <c r="K56" s="194">
        <v>66444</v>
      </c>
      <c r="L56" s="1529">
        <v>140000</v>
      </c>
      <c r="M56" s="1624">
        <v>147617</v>
      </c>
      <c r="N56" s="1587">
        <v>50000</v>
      </c>
      <c r="O56" s="194">
        <v>213874.72</v>
      </c>
      <c r="P56" s="1529">
        <v>150000</v>
      </c>
      <c r="Q56" s="1624">
        <v>250274.82</v>
      </c>
      <c r="R56" s="1624">
        <v>200000</v>
      </c>
      <c r="S56" s="194"/>
      <c r="T56" s="1608">
        <f t="shared" si="12"/>
        <v>222232.86657692274</v>
      </c>
      <c r="U56" s="1608">
        <v>200000</v>
      </c>
      <c r="V56" s="1608"/>
      <c r="W56" s="1609">
        <f t="shared" si="13"/>
        <v>218688.98417980637</v>
      </c>
      <c r="X56" s="1625">
        <v>200000</v>
      </c>
      <c r="Y56" s="12">
        <f>SUM(X42:X56)</f>
        <v>11798000</v>
      </c>
      <c r="AA56" s="1089"/>
    </row>
    <row r="57" spans="1:27" ht="16.5" thickBot="1">
      <c r="A57" s="377" t="s">
        <v>107</v>
      </c>
      <c r="B57" s="378" t="e">
        <f>B6+B7+B8+B9+B10+B11+B12+B34+B56</f>
        <v>#VALUE!</v>
      </c>
      <c r="D57" s="378" t="e">
        <f>D6+D7+D8+D9+D10+D11+D12+D34+D56</f>
        <v>#VALUE!</v>
      </c>
      <c r="H57" t="s">
        <v>61</v>
      </c>
      <c r="I57" s="1624">
        <f>0.26*I32</f>
        <v>0</v>
      </c>
      <c r="J57" s="1587"/>
      <c r="K57" s="194">
        <f>0.26*K32</f>
        <v>0</v>
      </c>
      <c r="L57" s="1529"/>
      <c r="M57" s="1624">
        <f>0.26*M32</f>
        <v>187.77980000000002</v>
      </c>
      <c r="N57" s="1587"/>
      <c r="O57" s="194">
        <v>444.78</v>
      </c>
      <c r="P57" s="1529"/>
      <c r="Q57" s="1624">
        <v>198.61</v>
      </c>
      <c r="R57" s="1624">
        <v>0</v>
      </c>
      <c r="S57" s="194"/>
      <c r="T57" s="1608">
        <f t="shared" si="12"/>
        <v>297.62085647893917</v>
      </c>
      <c r="U57" s="1608">
        <v>0</v>
      </c>
      <c r="V57" s="1608"/>
      <c r="W57" s="1609">
        <f t="shared" si="13"/>
        <v>292.87478389959227</v>
      </c>
      <c r="X57" s="1625"/>
      <c r="Y57" s="12">
        <f>Y56+532000</f>
        <v>12330000</v>
      </c>
      <c r="AA57" s="1089"/>
    </row>
    <row r="58" spans="1:27" ht="16.5" thickTop="1">
      <c r="A58" s="1111"/>
      <c r="B58" s="1112"/>
      <c r="C58" s="46"/>
      <c r="D58" s="1112"/>
      <c r="E58" s="46"/>
      <c r="H58" s="1615" t="s">
        <v>1603</v>
      </c>
      <c r="I58" s="1624">
        <f t="shared" ref="I58:R58" si="14">SUM(I36:I57)</f>
        <v>10895251.103200002</v>
      </c>
      <c r="J58" s="1626">
        <f t="shared" si="14"/>
        <v>10222340</v>
      </c>
      <c r="K58" s="194">
        <f t="shared" si="14"/>
        <v>10949915.2906</v>
      </c>
      <c r="L58" s="1608">
        <f t="shared" si="14"/>
        <v>9883652</v>
      </c>
      <c r="M58" s="1624">
        <f t="shared" si="14"/>
        <v>11469646.6598</v>
      </c>
      <c r="N58" s="1626">
        <f t="shared" si="14"/>
        <v>9073793</v>
      </c>
      <c r="O58" s="194">
        <f t="shared" si="14"/>
        <v>12073737.776999999</v>
      </c>
      <c r="P58" s="1608">
        <f t="shared" si="14"/>
        <v>10300325</v>
      </c>
      <c r="Q58" s="1624">
        <f t="shared" si="14"/>
        <v>12200534.8156</v>
      </c>
      <c r="R58" s="1626">
        <f t="shared" si="14"/>
        <v>10460032</v>
      </c>
      <c r="S58" s="194"/>
      <c r="T58" s="1608">
        <f>SUM(T36:T57)</f>
        <v>13634190.551191941</v>
      </c>
      <c r="U58" s="1608">
        <f>SUM(U36:U57)</f>
        <v>10501886</v>
      </c>
      <c r="V58" s="1608"/>
      <c r="W58" s="1609">
        <f>SUM(W36:W57)</f>
        <v>13321428.151192043</v>
      </c>
      <c r="X58" s="1609">
        <f>SUM(X36:X57)</f>
        <v>11798000</v>
      </c>
    </row>
    <row r="59" spans="1:27">
      <c r="A59" s="375" t="s">
        <v>1007</v>
      </c>
      <c r="B59" s="376"/>
      <c r="D59" s="376"/>
      <c r="H59" s="1615" t="s">
        <v>402</v>
      </c>
      <c r="I59" s="1624"/>
      <c r="J59" s="1587">
        <v>3040000</v>
      </c>
      <c r="K59" s="194"/>
      <c r="L59" s="1529">
        <v>2800000</v>
      </c>
      <c r="M59" s="1624"/>
      <c r="N59" s="1587">
        <v>2800000</v>
      </c>
      <c r="O59" s="194"/>
      <c r="P59" s="1529">
        <v>2300000</v>
      </c>
      <c r="Q59" s="1624"/>
      <c r="R59" s="1624">
        <v>3160000</v>
      </c>
      <c r="S59" s="194"/>
      <c r="T59" s="1608"/>
      <c r="U59" s="1608">
        <v>3296000</v>
      </c>
      <c r="V59" s="1608"/>
      <c r="W59" s="1609"/>
      <c r="X59" s="1609">
        <f>0.08*43000000</f>
        <v>3440000</v>
      </c>
    </row>
    <row r="60" spans="1:27">
      <c r="A60" s="1111"/>
      <c r="B60" s="1112"/>
      <c r="C60" s="46"/>
      <c r="D60" s="1112"/>
      <c r="E60" s="46"/>
      <c r="H60" s="1615" t="s">
        <v>400</v>
      </c>
      <c r="I60" s="1624"/>
      <c r="J60" s="1587">
        <v>1520000</v>
      </c>
      <c r="K60" s="194"/>
      <c r="L60" s="1529">
        <v>1400000</v>
      </c>
      <c r="M60" s="1624"/>
      <c r="N60" s="1587">
        <v>1400000</v>
      </c>
      <c r="O60" s="194"/>
      <c r="P60" s="1529">
        <v>1000000</v>
      </c>
      <c r="Q60" s="1624"/>
      <c r="R60" s="1624">
        <v>1580000</v>
      </c>
      <c r="S60" s="194"/>
      <c r="T60" s="1608"/>
      <c r="U60" s="1608">
        <v>1648000</v>
      </c>
      <c r="V60" s="1608"/>
      <c r="W60" s="1609"/>
      <c r="X60" s="1609">
        <f>0.04*43000000</f>
        <v>1720000</v>
      </c>
    </row>
    <row r="61" spans="1:27">
      <c r="H61" t="s">
        <v>1666</v>
      </c>
      <c r="I61" s="1624">
        <f>I33-SUM(I58:I60)</f>
        <v>25289278.1668</v>
      </c>
      <c r="J61" s="1626">
        <f>38000000-SUM(J58:J60)</f>
        <v>23217660</v>
      </c>
      <c r="K61" s="194">
        <f>K33-SUM(K36:K57)</f>
        <v>24662456.139399998</v>
      </c>
      <c r="L61" s="1608">
        <f>35000000-SUM(L58:L60)</f>
        <v>20916348</v>
      </c>
      <c r="M61" s="1624">
        <f>M33-SUM(M36:M57)</f>
        <v>26155038.310199998</v>
      </c>
      <c r="N61" s="1626">
        <f>35000000-SUM(N58:N60)</f>
        <v>21726207</v>
      </c>
      <c r="O61" s="194">
        <f>O33-SUM(O36:O57)</f>
        <v>27724870.342999998</v>
      </c>
      <c r="P61" s="1608">
        <f>41200000-SUM(P58:P60)</f>
        <v>27599675</v>
      </c>
      <c r="Q61" s="1624">
        <f>Q33-SUM(Q36:Q57)</f>
        <v>28323385.174400002</v>
      </c>
      <c r="R61" s="1626">
        <f>39500000-SUM(R58:R60)</f>
        <v>24299968</v>
      </c>
      <c r="S61" s="194"/>
      <c r="T61" s="1608">
        <f>T33-SUM(T36:T57)</f>
        <v>31421553.168826424</v>
      </c>
      <c r="U61" s="1608">
        <f>41200000-SUM(U58:U60)</f>
        <v>25754114</v>
      </c>
      <c r="V61" s="1608"/>
      <c r="W61" s="1609">
        <f>W33-SUM(W36:W57)</f>
        <v>30788820.163595822</v>
      </c>
      <c r="X61" s="1609">
        <f>43000000-SUM(X58:X60)</f>
        <v>26042000</v>
      </c>
    </row>
    <row r="62" spans="1:27">
      <c r="B62" s="12">
        <f>SUM(B15:B29)+B33</f>
        <v>0.5221963416077452</v>
      </c>
      <c r="D62" s="12">
        <f>SUM(B15:B29)+901905</f>
        <v>901905.52219634166</v>
      </c>
      <c r="H62" t="s">
        <v>1603</v>
      </c>
      <c r="I62" s="1624">
        <f t="shared" ref="I62:R62" si="15">SUM(I58:I61)</f>
        <v>36184529.270000003</v>
      </c>
      <c r="J62" s="1626">
        <f t="shared" si="15"/>
        <v>38000000</v>
      </c>
      <c r="K62" s="194">
        <f t="shared" si="15"/>
        <v>35612371.43</v>
      </c>
      <c r="L62" s="1608">
        <f t="shared" si="15"/>
        <v>35000000</v>
      </c>
      <c r="M62" s="1624">
        <f t="shared" si="15"/>
        <v>37624684.969999999</v>
      </c>
      <c r="N62" s="1626">
        <f t="shared" si="15"/>
        <v>35000000</v>
      </c>
      <c r="O62" s="194">
        <f t="shared" si="15"/>
        <v>39798608.119999997</v>
      </c>
      <c r="P62" s="1608">
        <f t="shared" si="15"/>
        <v>41200000</v>
      </c>
      <c r="Q62" s="1624">
        <f t="shared" si="15"/>
        <v>40523919.990000002</v>
      </c>
      <c r="R62" s="1626">
        <f t="shared" si="15"/>
        <v>39500000</v>
      </c>
      <c r="S62" s="194"/>
      <c r="T62" s="1608">
        <f>SUM(T58:T61)</f>
        <v>45055743.720018364</v>
      </c>
      <c r="U62" s="1608">
        <f>SUM(U58:U61)</f>
        <v>41200000</v>
      </c>
      <c r="V62" s="1608"/>
      <c r="W62" s="1609">
        <f>SUM(W58:W61)</f>
        <v>44110248.314787865</v>
      </c>
      <c r="X62" s="1609">
        <f>SUM(X58:X61)</f>
        <v>43000000</v>
      </c>
    </row>
    <row r="63" spans="1:27">
      <c r="B63" s="12" t="e">
        <f>B57-B62</f>
        <v>#VALUE!</v>
      </c>
      <c r="D63" s="12" t="e">
        <f>B57-D62</f>
        <v>#VALUE!</v>
      </c>
      <c r="I63" s="194"/>
      <c r="J63" s="1529"/>
      <c r="K63" s="194"/>
      <c r="L63" s="1529"/>
      <c r="M63" s="194"/>
      <c r="N63" s="1529"/>
      <c r="O63" s="194"/>
      <c r="P63" s="1529"/>
      <c r="Q63" s="194"/>
      <c r="R63" s="194"/>
      <c r="S63" s="194"/>
      <c r="T63" s="194"/>
      <c r="U63" s="194"/>
      <c r="V63" s="194"/>
      <c r="W63" s="194"/>
      <c r="X63" s="194"/>
      <c r="AA63" s="1089"/>
    </row>
    <row r="64" spans="1:27">
      <c r="J64" s="62"/>
      <c r="W64" t="s">
        <v>1667</v>
      </c>
    </row>
    <row r="65" spans="9:16">
      <c r="I65" t="s">
        <v>1668</v>
      </c>
      <c r="J65" s="62"/>
      <c r="L65" s="62"/>
      <c r="N65" s="62"/>
      <c r="P65" s="62"/>
    </row>
  </sheetData>
  <mergeCells count="1">
    <mergeCell ref="C5:D5"/>
  </mergeCells>
  <pageMargins left="0.75" right="0.75" top="1" bottom="1" header="0.5" footer="0.5"/>
  <pageSetup orientation="portrait" horizontalDpi="4294967292" verticalDpi="429496729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41"/>
  <sheetViews>
    <sheetView workbookViewId="0">
      <selection activeCell="L38" sqref="L38"/>
    </sheetView>
  </sheetViews>
  <sheetFormatPr defaultColWidth="11" defaultRowHeight="15.75"/>
  <cols>
    <col min="2" max="2" width="24.375" customWidth="1"/>
    <col min="3" max="4" width="15.5" customWidth="1"/>
    <col min="5" max="5" width="15.125" customWidth="1"/>
    <col min="7" max="7" width="13.625" customWidth="1"/>
    <col min="8" max="8" width="33.5" customWidth="1"/>
    <col min="9" max="9" width="15.125" customWidth="1"/>
  </cols>
  <sheetData>
    <row r="1" spans="1:9" ht="16.5" thickBot="1">
      <c r="A1" s="1664" t="str">
        <f>'[1]Global Model Settings'!$C$2+3&amp;" Allocation Share"</f>
        <v>2019 Allocation Share</v>
      </c>
      <c r="B1" s="1665"/>
      <c r="C1" s="1666"/>
      <c r="D1" s="1666"/>
      <c r="E1" s="1665"/>
    </row>
    <row r="2" spans="1:9" ht="16.5" thickBot="1">
      <c r="A2" s="1667"/>
      <c r="B2" s="1668"/>
      <c r="C2" s="1669" t="s">
        <v>326</v>
      </c>
      <c r="D2" s="1670" t="s">
        <v>1764</v>
      </c>
      <c r="E2" s="1671" t="s">
        <v>1765</v>
      </c>
    </row>
    <row r="3" spans="1:9">
      <c r="A3" s="1840" t="s">
        <v>1766</v>
      </c>
      <c r="B3" s="1672" t="s">
        <v>1767</v>
      </c>
      <c r="C3" s="1673">
        <v>32138534</v>
      </c>
      <c r="D3" s="1674">
        <v>780012</v>
      </c>
      <c r="E3" s="1675">
        <v>32918546</v>
      </c>
    </row>
    <row r="4" spans="1:9">
      <c r="A4" s="1841"/>
      <c r="B4" s="1676" t="s">
        <v>1768</v>
      </c>
      <c r="C4" s="1677">
        <v>6137579</v>
      </c>
      <c r="D4" s="1678">
        <v>1249738</v>
      </c>
      <c r="E4" s="1679">
        <v>7387316</v>
      </c>
      <c r="H4" s="1615" t="s">
        <v>1814</v>
      </c>
      <c r="I4" s="1"/>
    </row>
    <row r="5" spans="1:9" ht="15.95" customHeight="1">
      <c r="A5" s="1841"/>
      <c r="B5" s="1676" t="s">
        <v>1769</v>
      </c>
      <c r="C5" s="1677">
        <v>2372056</v>
      </c>
      <c r="D5" s="1678">
        <v>376535</v>
      </c>
      <c r="E5" s="1679">
        <v>2748591</v>
      </c>
      <c r="H5" s="1" t="s">
        <v>427</v>
      </c>
      <c r="I5" s="1740">
        <v>121198881</v>
      </c>
    </row>
    <row r="6" spans="1:9">
      <c r="A6" s="1841"/>
      <c r="B6" s="1676" t="s">
        <v>1770</v>
      </c>
      <c r="C6" s="1677">
        <v>4420448</v>
      </c>
      <c r="D6" s="1678">
        <v>0</v>
      </c>
      <c r="E6" s="1679">
        <v>4420448</v>
      </c>
      <c r="H6" s="1" t="s">
        <v>1803</v>
      </c>
      <c r="I6" s="1740">
        <v>6451585</v>
      </c>
    </row>
    <row r="7" spans="1:9">
      <c r="A7" s="1841"/>
      <c r="B7" s="1676" t="s">
        <v>1771</v>
      </c>
      <c r="C7" s="1677">
        <v>1054046</v>
      </c>
      <c r="D7" s="1678">
        <v>0</v>
      </c>
      <c r="E7" s="1679">
        <v>1054046</v>
      </c>
      <c r="H7" s="1" t="s">
        <v>1804</v>
      </c>
      <c r="I7" s="1740">
        <v>75495457</v>
      </c>
    </row>
    <row r="8" spans="1:9">
      <c r="A8" s="1841"/>
      <c r="B8" s="1676" t="s">
        <v>1772</v>
      </c>
      <c r="C8" s="1677">
        <v>219703</v>
      </c>
      <c r="D8" s="1678">
        <v>17801</v>
      </c>
      <c r="E8" s="1679">
        <v>237503</v>
      </c>
      <c r="H8" s="1" t="s">
        <v>1805</v>
      </c>
      <c r="I8" s="1740">
        <v>627300</v>
      </c>
    </row>
    <row r="9" spans="1:9">
      <c r="A9" s="1841"/>
      <c r="B9" s="1680" t="s">
        <v>1773</v>
      </c>
      <c r="C9" s="1677">
        <v>4326944</v>
      </c>
      <c r="D9" s="1678">
        <v>92373</v>
      </c>
      <c r="E9" s="1679">
        <v>4419317</v>
      </c>
      <c r="H9" s="1" t="s">
        <v>766</v>
      </c>
      <c r="I9" s="1740">
        <v>2077584</v>
      </c>
    </row>
    <row r="10" spans="1:9" ht="16.5" thickBot="1">
      <c r="A10" s="1841"/>
      <c r="B10" s="1681" t="s">
        <v>1774</v>
      </c>
      <c r="C10" s="1682">
        <v>7346566</v>
      </c>
      <c r="D10" s="1683">
        <v>553725</v>
      </c>
      <c r="E10" s="1684">
        <v>7900290</v>
      </c>
      <c r="H10" s="1" t="s">
        <v>413</v>
      </c>
      <c r="I10" s="1740">
        <v>205850807</v>
      </c>
    </row>
    <row r="11" spans="1:9" ht="16.5" thickBot="1">
      <c r="A11" s="1842"/>
      <c r="B11" s="1685" t="s">
        <v>183</v>
      </c>
      <c r="C11" s="1686">
        <v>58015876</v>
      </c>
      <c r="D11" s="1687">
        <v>3070184</v>
      </c>
      <c r="E11" s="1688">
        <v>61086057</v>
      </c>
      <c r="H11" s="1"/>
      <c r="I11" s="1740"/>
    </row>
    <row r="12" spans="1:9">
      <c r="A12" s="1840" t="s">
        <v>1775</v>
      </c>
      <c r="B12" s="1672" t="s">
        <v>1776</v>
      </c>
      <c r="C12" s="1673">
        <v>8743888</v>
      </c>
      <c r="D12" s="1674">
        <v>109276</v>
      </c>
      <c r="E12" s="1675">
        <v>8853164</v>
      </c>
      <c r="H12" s="1615" t="s">
        <v>1806</v>
      </c>
      <c r="I12" s="1"/>
    </row>
    <row r="13" spans="1:9">
      <c r="A13" s="1841"/>
      <c r="B13" s="1676" t="s">
        <v>1777</v>
      </c>
      <c r="C13" s="1677">
        <v>22516740</v>
      </c>
      <c r="D13" s="1678">
        <v>962555</v>
      </c>
      <c r="E13" s="1679">
        <v>23479295</v>
      </c>
      <c r="H13" s="1" t="s">
        <v>1807</v>
      </c>
      <c r="I13" s="1740">
        <v>661808</v>
      </c>
    </row>
    <row r="14" spans="1:9" ht="15.95" customHeight="1">
      <c r="A14" s="1841"/>
      <c r="B14" s="1676" t="s">
        <v>1778</v>
      </c>
      <c r="C14" s="1677">
        <v>3563031</v>
      </c>
      <c r="D14" s="1678">
        <v>264957</v>
      </c>
      <c r="E14" s="1679">
        <v>3827987</v>
      </c>
      <c r="H14" s="1" t="s">
        <v>1808</v>
      </c>
      <c r="I14" s="1740">
        <v>263888</v>
      </c>
    </row>
    <row r="15" spans="1:9" ht="16.5" thickBot="1">
      <c r="A15" s="1841"/>
      <c r="B15" s="614" t="s">
        <v>1779</v>
      </c>
      <c r="C15" s="1682">
        <v>6431844</v>
      </c>
      <c r="D15" s="1683">
        <v>0</v>
      </c>
      <c r="E15" s="1684">
        <v>6431844</v>
      </c>
      <c r="H15" s="1" t="s">
        <v>1809</v>
      </c>
      <c r="I15" s="1740">
        <v>330905</v>
      </c>
    </row>
    <row r="16" spans="1:9" ht="16.5" thickBot="1">
      <c r="A16" s="1842"/>
      <c r="B16" s="1685" t="s">
        <v>183</v>
      </c>
      <c r="C16" s="1686">
        <v>41255503</v>
      </c>
      <c r="D16" s="1687">
        <v>1336788</v>
      </c>
      <c r="E16" s="1688">
        <v>42592290</v>
      </c>
      <c r="H16" s="1" t="s">
        <v>1810</v>
      </c>
      <c r="I16" s="1740">
        <v>213076</v>
      </c>
    </row>
    <row r="17" spans="1:9">
      <c r="A17" s="1843" t="s">
        <v>1780</v>
      </c>
      <c r="B17" s="1672" t="s">
        <v>1781</v>
      </c>
      <c r="C17" s="1673">
        <v>0</v>
      </c>
      <c r="D17" s="1674">
        <v>2780225</v>
      </c>
      <c r="E17" s="1675">
        <v>2780225</v>
      </c>
      <c r="H17" s="1" t="s">
        <v>1811</v>
      </c>
      <c r="I17" s="1740">
        <v>167020</v>
      </c>
    </row>
    <row r="18" spans="1:9">
      <c r="A18" s="1844"/>
      <c r="B18" s="1676" t="s">
        <v>1782</v>
      </c>
      <c r="C18" s="1677">
        <v>11674737</v>
      </c>
      <c r="D18" s="1678">
        <v>14434</v>
      </c>
      <c r="E18" s="1679">
        <v>11689171</v>
      </c>
      <c r="H18" s="1" t="s">
        <v>1322</v>
      </c>
      <c r="I18" s="1740">
        <v>1814888</v>
      </c>
    </row>
    <row r="19" spans="1:9" ht="15.95" customHeight="1">
      <c r="A19" s="1844"/>
      <c r="B19" s="1676" t="s">
        <v>1783</v>
      </c>
      <c r="C19" s="1677">
        <v>2989392</v>
      </c>
      <c r="D19" s="1678">
        <v>0</v>
      </c>
      <c r="E19" s="1679">
        <v>2989392</v>
      </c>
      <c r="H19" s="1" t="s">
        <v>1812</v>
      </c>
      <c r="I19" s="1740">
        <v>3000000</v>
      </c>
    </row>
    <row r="20" spans="1:9" ht="16.5" thickBot="1">
      <c r="A20" s="1844"/>
      <c r="B20" s="614" t="s">
        <v>1784</v>
      </c>
      <c r="C20" s="1689">
        <v>0</v>
      </c>
      <c r="D20" s="1690">
        <v>0</v>
      </c>
      <c r="E20" s="1691">
        <v>0</v>
      </c>
      <c r="H20" s="1" t="s">
        <v>413</v>
      </c>
      <c r="I20" s="1740">
        <v>6451585</v>
      </c>
    </row>
    <row r="21" spans="1:9" ht="16.5" thickBot="1">
      <c r="A21" s="1845"/>
      <c r="B21" s="1692" t="s">
        <v>1785</v>
      </c>
      <c r="C21" s="1693">
        <v>14664129</v>
      </c>
      <c r="D21" s="1694">
        <v>2794659</v>
      </c>
      <c r="E21" s="1695">
        <v>17458788</v>
      </c>
      <c r="H21" s="1"/>
      <c r="I21" s="1740"/>
    </row>
    <row r="22" spans="1:9">
      <c r="A22" s="1840" t="s">
        <v>1786</v>
      </c>
      <c r="B22" s="1696" t="s">
        <v>1787</v>
      </c>
      <c r="C22" s="1697"/>
      <c r="D22" s="1698"/>
      <c r="E22" s="1699">
        <v>114798772</v>
      </c>
      <c r="H22" s="1615" t="s">
        <v>1813</v>
      </c>
      <c r="I22" s="1"/>
    </row>
    <row r="23" spans="1:9" ht="16.5" thickBot="1">
      <c r="A23" s="1841"/>
      <c r="B23" s="1700" t="s">
        <v>1788</v>
      </c>
      <c r="C23" s="1701">
        <v>113935508</v>
      </c>
      <c r="D23" s="1702">
        <v>7201631</v>
      </c>
      <c r="E23" s="1703">
        <v>121137135</v>
      </c>
      <c r="H23" s="1742" t="s">
        <v>1815</v>
      </c>
      <c r="I23" s="1740">
        <v>33705320</v>
      </c>
    </row>
    <row r="24" spans="1:9" ht="16.5" thickBot="1">
      <c r="A24" s="1841"/>
      <c r="B24" s="1685" t="s">
        <v>1789</v>
      </c>
      <c r="C24" s="1704"/>
      <c r="D24" s="1705"/>
      <c r="E24" s="1706">
        <v>5.521281185830107E-2</v>
      </c>
      <c r="H24" s="1" t="s">
        <v>1816</v>
      </c>
      <c r="I24" s="1740">
        <v>24335875</v>
      </c>
    </row>
    <row r="25" spans="1:9">
      <c r="A25" s="1841"/>
      <c r="B25" s="1707" t="s">
        <v>1790</v>
      </c>
      <c r="C25" s="1708"/>
      <c r="D25" s="1709"/>
      <c r="E25" s="1710">
        <v>0</v>
      </c>
      <c r="H25" s="1" t="s">
        <v>1817</v>
      </c>
      <c r="I25" s="1740">
        <v>12240000</v>
      </c>
    </row>
    <row r="26" spans="1:9" ht="16.5" thickBot="1">
      <c r="A26" s="1841"/>
      <c r="B26" s="1711" t="s">
        <v>1791</v>
      </c>
      <c r="C26" s="1712"/>
      <c r="D26" s="1713"/>
      <c r="E26" s="1714">
        <v>0</v>
      </c>
      <c r="H26" s="1" t="s">
        <v>1818</v>
      </c>
      <c r="I26" s="1740">
        <v>5214262</v>
      </c>
    </row>
    <row r="27" spans="1:9">
      <c r="A27" s="1841"/>
      <c r="B27" s="1715" t="s">
        <v>1792</v>
      </c>
      <c r="C27" s="1712"/>
      <c r="D27" s="1713"/>
      <c r="E27" s="1716">
        <v>121137135</v>
      </c>
      <c r="H27" s="1"/>
      <c r="I27" s="1740">
        <f>SUM(I23:I26)</f>
        <v>75495457</v>
      </c>
    </row>
    <row r="28" spans="1:9" ht="16.5" thickBot="1">
      <c r="A28" s="1841"/>
      <c r="B28" s="1717" t="s">
        <v>1793</v>
      </c>
      <c r="C28" s="1718"/>
      <c r="D28" s="1719"/>
      <c r="E28" s="1720">
        <v>5.521281185830107E-2</v>
      </c>
      <c r="H28" s="1"/>
      <c r="I28" s="1"/>
    </row>
    <row r="29" spans="1:9">
      <c r="A29" s="1841"/>
      <c r="B29" s="1721" t="s">
        <v>1794</v>
      </c>
      <c r="C29" s="1712"/>
      <c r="D29" s="1713"/>
      <c r="E29" s="1722">
        <v>0</v>
      </c>
      <c r="H29" s="1615" t="s">
        <v>1819</v>
      </c>
      <c r="I29" s="1"/>
    </row>
    <row r="30" spans="1:9" ht="16.5" thickBot="1">
      <c r="A30" s="1841"/>
      <c r="B30" s="1711" t="s">
        <v>1795</v>
      </c>
      <c r="C30" s="1712"/>
      <c r="D30" s="1713"/>
      <c r="E30" s="1714">
        <v>0</v>
      </c>
      <c r="H30" s="1" t="s">
        <v>1821</v>
      </c>
      <c r="I30" s="1"/>
    </row>
    <row r="31" spans="1:9">
      <c r="A31" s="1841"/>
      <c r="B31" s="1723" t="s">
        <v>1796</v>
      </c>
      <c r="C31" s="1724"/>
      <c r="D31" s="1725"/>
      <c r="E31" s="1726">
        <v>121137135</v>
      </c>
      <c r="H31" s="1" t="s">
        <v>1820</v>
      </c>
      <c r="I31" s="1740">
        <v>132600</v>
      </c>
    </row>
    <row r="32" spans="1:9" ht="16.5" thickBot="1">
      <c r="A32" s="1841"/>
      <c r="B32" s="1727" t="s">
        <v>1797</v>
      </c>
      <c r="C32" s="1728"/>
      <c r="D32" s="1729"/>
      <c r="E32" s="1730">
        <v>5.521281185830107E-2</v>
      </c>
      <c r="H32" s="1" t="s">
        <v>1822</v>
      </c>
      <c r="I32" s="1740">
        <v>290700</v>
      </c>
    </row>
    <row r="33" spans="1:9">
      <c r="A33" s="1841"/>
      <c r="B33" s="1731" t="s">
        <v>1798</v>
      </c>
      <c r="C33" s="1712"/>
      <c r="D33" s="1713"/>
      <c r="E33" s="1732">
        <v>-6338363</v>
      </c>
      <c r="H33" s="1" t="s">
        <v>1823</v>
      </c>
      <c r="I33" s="1740">
        <v>142800</v>
      </c>
    </row>
    <row r="34" spans="1:9">
      <c r="A34" s="1841"/>
      <c r="B34" s="1733" t="s">
        <v>1799</v>
      </c>
      <c r="C34" s="1712"/>
      <c r="D34" s="1713"/>
      <c r="E34" s="1734">
        <v>0</v>
      </c>
      <c r="H34" s="1615" t="s">
        <v>1824</v>
      </c>
      <c r="I34" s="1741" t="s">
        <v>1825</v>
      </c>
    </row>
    <row r="35" spans="1:9">
      <c r="A35" s="1841"/>
      <c r="B35" s="1733" t="s">
        <v>1800</v>
      </c>
      <c r="C35" s="1712"/>
      <c r="D35" s="1713"/>
      <c r="E35" s="1734">
        <v>-59386652.927099347</v>
      </c>
      <c r="H35" s="1"/>
      <c r="I35" s="1"/>
    </row>
    <row r="36" spans="1:9">
      <c r="A36" s="1841"/>
      <c r="B36" s="1733" t="s">
        <v>1801</v>
      </c>
      <c r="C36" s="1718"/>
      <c r="D36" s="1719"/>
      <c r="E36" s="1735">
        <v>0</v>
      </c>
      <c r="H36" s="1615" t="s">
        <v>1826</v>
      </c>
      <c r="I36" s="1"/>
    </row>
    <row r="37" spans="1:9" ht="16.5" thickBot="1">
      <c r="A37" s="1842"/>
      <c r="B37" s="1736" t="s">
        <v>1802</v>
      </c>
      <c r="C37" s="1737"/>
      <c r="D37" s="1738"/>
      <c r="E37" s="1739">
        <v>0.57252368454864089</v>
      </c>
      <c r="H37" s="1" t="s">
        <v>1827</v>
      </c>
      <c r="I37" s="1740">
        <v>515000</v>
      </c>
    </row>
    <row r="38" spans="1:9">
      <c r="H38" s="1" t="s">
        <v>1828</v>
      </c>
      <c r="I38" s="1740">
        <v>1072584</v>
      </c>
    </row>
    <row r="39" spans="1:9">
      <c r="H39" s="1" t="s">
        <v>1829</v>
      </c>
      <c r="I39" s="1740">
        <v>490000</v>
      </c>
    </row>
    <row r="40" spans="1:9">
      <c r="H40" s="1" t="s">
        <v>413</v>
      </c>
      <c r="I40" s="1740">
        <v>2077584</v>
      </c>
    </row>
    <row r="41" spans="1:9">
      <c r="H41" s="1"/>
      <c r="I41" s="1"/>
    </row>
  </sheetData>
  <mergeCells count="4">
    <mergeCell ref="A3:A11"/>
    <mergeCell ref="A12:A16"/>
    <mergeCell ref="A17:A21"/>
    <mergeCell ref="A22:A37"/>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58"/>
  <sheetViews>
    <sheetView workbookViewId="0">
      <selection activeCell="D17" sqref="D17"/>
    </sheetView>
  </sheetViews>
  <sheetFormatPr defaultColWidth="11" defaultRowHeight="15.75"/>
  <cols>
    <col min="1" max="1" width="43" customWidth="1"/>
    <col min="2" max="2" width="17.625" customWidth="1"/>
    <col min="3" max="3" width="14.375" customWidth="1"/>
    <col min="4" max="4" width="27.125" customWidth="1"/>
    <col min="5" max="8" width="14.5" customWidth="1"/>
    <col min="10" max="10" width="33.375" customWidth="1"/>
    <col min="11" max="11" width="14.125" bestFit="1" customWidth="1"/>
    <col min="13" max="13" width="12.5" bestFit="1" customWidth="1"/>
    <col min="15" max="15" width="9.5" customWidth="1"/>
    <col min="16" max="16" width="11.5" bestFit="1" customWidth="1"/>
  </cols>
  <sheetData>
    <row r="1" spans="1:15" ht="18.75">
      <c r="A1" s="928" t="s">
        <v>1521</v>
      </c>
      <c r="B1" s="929"/>
      <c r="C1" s="929"/>
      <c r="D1" s="929"/>
      <c r="E1" s="929"/>
      <c r="F1" s="929"/>
      <c r="G1" s="929"/>
    </row>
    <row r="2" spans="1:15">
      <c r="A2" s="389"/>
      <c r="B2" s="389"/>
      <c r="C2" s="389"/>
    </row>
    <row r="3" spans="1:15">
      <c r="A3" s="199" t="s">
        <v>280</v>
      </c>
      <c r="B3" s="389"/>
      <c r="C3" s="389"/>
      <c r="D3" s="215" t="s">
        <v>809</v>
      </c>
      <c r="E3" s="878" t="s">
        <v>811</v>
      </c>
      <c r="F3" s="878" t="s">
        <v>409</v>
      </c>
      <c r="G3" s="878" t="s">
        <v>257</v>
      </c>
    </row>
    <row r="4" spans="1:15">
      <c r="A4" s="904" t="s">
        <v>281</v>
      </c>
      <c r="B4" s="903">
        <f>'Step 0 FY18 Revenue'!L59-'Step 0 FY18 Revenue'!L45</f>
        <v>622608334.94857144</v>
      </c>
      <c r="C4" s="389"/>
      <c r="O4" s="1"/>
    </row>
    <row r="5" spans="1:15">
      <c r="A5" s="904" t="s">
        <v>282</v>
      </c>
      <c r="B5" s="903">
        <f>'Step 0 FY18 Revenue'!L45</f>
        <v>-41000000</v>
      </c>
      <c r="C5" s="389"/>
      <c r="D5" s="10" t="s">
        <v>1529</v>
      </c>
      <c r="O5" s="8"/>
    </row>
    <row r="6" spans="1:15">
      <c r="A6" s="904" t="s">
        <v>283</v>
      </c>
      <c r="B6" s="903">
        <f>B4+B5</f>
        <v>581608334.94857144</v>
      </c>
      <c r="C6" s="389"/>
      <c r="D6" s="351" t="s">
        <v>111</v>
      </c>
      <c r="E6" s="1431">
        <f>0.8*B42*F6+0.8*G6*B50</f>
        <v>45183678.480000004</v>
      </c>
      <c r="F6" s="877">
        <v>253798</v>
      </c>
      <c r="G6" s="877">
        <v>40739</v>
      </c>
      <c r="O6" s="1"/>
    </row>
    <row r="7" spans="1:15">
      <c r="A7" s="876"/>
      <c r="B7" s="876"/>
      <c r="C7" s="389"/>
      <c r="D7" s="351" t="s">
        <v>112</v>
      </c>
      <c r="E7" s="1431">
        <f>0.8*(F7*B46+G7*B54)</f>
        <v>7072658.6399999997</v>
      </c>
      <c r="F7" s="877">
        <v>13331</v>
      </c>
      <c r="G7" s="877">
        <v>8193</v>
      </c>
      <c r="O7" s="1"/>
    </row>
    <row r="8" spans="1:15">
      <c r="A8" s="905" t="s">
        <v>284</v>
      </c>
      <c r="B8" s="876"/>
      <c r="C8" s="389"/>
      <c r="E8" s="1431">
        <f>E6+E7</f>
        <v>52256337.120000005</v>
      </c>
      <c r="F8" s="877"/>
      <c r="G8" s="877"/>
      <c r="O8" s="8"/>
    </row>
    <row r="9" spans="1:15">
      <c r="A9" s="1363" t="s">
        <v>276</v>
      </c>
      <c r="B9" s="906">
        <f>'Step 1 Dedicated Funds'!V59-B10</f>
        <v>132514672.41066667</v>
      </c>
      <c r="C9" s="389"/>
      <c r="D9" s="10" t="s">
        <v>810</v>
      </c>
      <c r="E9" s="1431"/>
      <c r="F9" s="877"/>
      <c r="G9" s="877"/>
      <c r="O9" s="1"/>
    </row>
    <row r="10" spans="1:15">
      <c r="A10" s="1363" t="s">
        <v>1486</v>
      </c>
      <c r="B10" s="906">
        <v>10000000</v>
      </c>
      <c r="C10" s="389"/>
      <c r="D10" s="351" t="s">
        <v>111</v>
      </c>
      <c r="E10" s="1431">
        <f>E12*E6/E8</f>
        <v>48889296.292417973</v>
      </c>
      <c r="F10" s="877"/>
      <c r="G10" s="877"/>
      <c r="O10" s="1"/>
    </row>
    <row r="11" spans="1:15">
      <c r="A11" s="1363" t="s">
        <v>1488</v>
      </c>
      <c r="B11" s="906">
        <f>'Step 2 Productivity Split'!C9</f>
        <v>259065260.89736378</v>
      </c>
      <c r="C11" s="389"/>
      <c r="D11" s="351" t="s">
        <v>112</v>
      </c>
      <c r="E11" s="1431">
        <f>E12-E10</f>
        <v>7652703.7075820267</v>
      </c>
      <c r="F11" s="877"/>
      <c r="G11" s="877"/>
      <c r="O11" s="1"/>
    </row>
    <row r="12" spans="1:15" ht="16.5" thickBot="1">
      <c r="A12" s="904" t="s">
        <v>671</v>
      </c>
      <c r="B12" s="1364">
        <f>'Step 2 Productivity Split'!C10</f>
        <v>18178922</v>
      </c>
      <c r="C12" s="389"/>
      <c r="D12" s="1068" t="s">
        <v>13</v>
      </c>
      <c r="E12" s="1432">
        <f>'Ecampus And Summer'!D37</f>
        <v>56542000</v>
      </c>
      <c r="F12" s="879"/>
      <c r="G12" s="879"/>
      <c r="O12" s="1"/>
    </row>
    <row r="13" spans="1:15" ht="16.5" thickTop="1">
      <c r="A13" s="904" t="s">
        <v>739</v>
      </c>
      <c r="B13" s="1364">
        <v>21840000</v>
      </c>
      <c r="C13" s="389"/>
      <c r="O13" s="1"/>
    </row>
    <row r="14" spans="1:15">
      <c r="A14" s="904" t="s">
        <v>1489</v>
      </c>
      <c r="B14" s="1364">
        <f>'Step 2 Productivity Split'!C12</f>
        <v>219046338.89736378</v>
      </c>
      <c r="C14" s="662"/>
      <c r="D14" s="191"/>
      <c r="F14" s="1089"/>
      <c r="O14" s="1"/>
    </row>
    <row r="15" spans="1:15">
      <c r="A15" s="904"/>
      <c r="B15" s="906">
        <f>'Step 1 Dedicated Funds'!C59</f>
        <v>0</v>
      </c>
      <c r="C15" s="389"/>
      <c r="O15" s="883"/>
    </row>
    <row r="16" spans="1:15">
      <c r="A16" s="1363" t="s">
        <v>1491</v>
      </c>
      <c r="B16" s="906">
        <f>'Step 2 Productivity Split'!C18</f>
        <v>180028401.64054096</v>
      </c>
      <c r="C16" s="389"/>
      <c r="D16" s="191" t="s">
        <v>1581</v>
      </c>
      <c r="O16" s="1"/>
    </row>
    <row r="17" spans="1:15">
      <c r="A17" s="904" t="s">
        <v>478</v>
      </c>
      <c r="B17" s="1364">
        <f>'Step 4 Contract and Reserves'!B7+'Step 4 Contract and Reserves'!B6+SUM('Step 5 Exec and Strategic'!E8)</f>
        <v>4488591.7232000008</v>
      </c>
      <c r="C17" s="389"/>
      <c r="D17" s="191"/>
      <c r="O17" s="1"/>
    </row>
    <row r="18" spans="1:15">
      <c r="A18" s="1365" t="s">
        <v>481</v>
      </c>
      <c r="B18" s="1364">
        <f>'Step 4 Contract and Reserves'!B11</f>
        <v>4150000</v>
      </c>
      <c r="C18" s="389"/>
      <c r="O18" s="1"/>
    </row>
    <row r="19" spans="1:15">
      <c r="A19" s="1365" t="s">
        <v>482</v>
      </c>
      <c r="B19" s="1364">
        <f>'Step 4 Contract and Reserves'!B12</f>
        <v>26139223</v>
      </c>
      <c r="C19" s="389"/>
      <c r="D19" s="191"/>
      <c r="O19" s="1"/>
    </row>
    <row r="20" spans="1:15">
      <c r="A20" s="904" t="s">
        <v>1490</v>
      </c>
      <c r="B20" s="1364">
        <f>'Step 5 Exec and Strategic'!C59</f>
        <v>11632166.69897143</v>
      </c>
      <c r="C20" s="662"/>
      <c r="O20" s="1"/>
    </row>
    <row r="21" spans="1:15">
      <c r="A21" s="904" t="s">
        <v>672</v>
      </c>
      <c r="B21" s="1364">
        <f>'Step 5 Exec and Strategic'!D58</f>
        <v>13020615</v>
      </c>
      <c r="C21" s="389"/>
      <c r="D21" s="191"/>
      <c r="O21" s="1"/>
    </row>
    <row r="22" spans="1:15">
      <c r="A22" s="904" t="s">
        <v>285</v>
      </c>
      <c r="B22" s="1366">
        <f>B16-SUM(B17:B21)</f>
        <v>120597805.21836953</v>
      </c>
      <c r="C22" s="389"/>
      <c r="O22" s="1"/>
    </row>
    <row r="23" spans="1:15">
      <c r="A23" s="1368" t="s">
        <v>13</v>
      </c>
      <c r="B23" s="1367">
        <f>SUM(B9,B10,B11,B16)</f>
        <v>581608334.94857144</v>
      </c>
      <c r="C23" s="389"/>
      <c r="O23" s="1"/>
    </row>
    <row r="24" spans="1:15">
      <c r="A24" s="876"/>
      <c r="B24" s="876"/>
      <c r="C24" s="389"/>
      <c r="O24" s="1"/>
    </row>
    <row r="25" spans="1:15">
      <c r="A25" s="907" t="s">
        <v>1492</v>
      </c>
      <c r="B25" s="903">
        <f>B14</f>
        <v>219046338.89736378</v>
      </c>
      <c r="C25" s="389"/>
      <c r="O25" s="1"/>
    </row>
    <row r="26" spans="1:15">
      <c r="A26" s="907" t="s">
        <v>1493</v>
      </c>
      <c r="B26" s="903">
        <f>B22</f>
        <v>120597805.21836953</v>
      </c>
      <c r="C26" s="389"/>
      <c r="O26" s="1"/>
    </row>
    <row r="27" spans="1:15">
      <c r="A27" s="389"/>
      <c r="B27" s="389"/>
      <c r="C27" s="389"/>
      <c r="O27" s="1"/>
    </row>
    <row r="28" spans="1:15">
      <c r="A28" s="389"/>
      <c r="B28" s="389"/>
      <c r="C28" s="389"/>
      <c r="O28" s="1"/>
    </row>
    <row r="29" spans="1:15" ht="16.5" thickBot="1">
      <c r="A29" s="389"/>
      <c r="B29" s="389"/>
      <c r="C29" s="389"/>
      <c r="O29" s="1"/>
    </row>
    <row r="30" spans="1:15" ht="15" customHeight="1">
      <c r="A30" s="915" t="s">
        <v>1528</v>
      </c>
      <c r="B30" s="908"/>
      <c r="C30" s="389"/>
      <c r="O30" s="1"/>
    </row>
    <row r="31" spans="1:15">
      <c r="A31" s="909"/>
      <c r="B31" s="910"/>
      <c r="C31" s="389"/>
      <c r="O31" s="1"/>
    </row>
    <row r="32" spans="1:15" ht="15" customHeight="1">
      <c r="A32" s="911" t="s">
        <v>1058</v>
      </c>
      <c r="B32" s="912">
        <v>203</v>
      </c>
      <c r="C32" s="389"/>
      <c r="O32" s="1"/>
    </row>
    <row r="33" spans="1:15">
      <c r="A33" s="911" t="s">
        <v>305</v>
      </c>
      <c r="B33" s="912">
        <f>-0.1*B32</f>
        <v>-20.3</v>
      </c>
      <c r="C33" s="389"/>
      <c r="O33" s="1"/>
    </row>
    <row r="34" spans="1:15" ht="15" customHeight="1">
      <c r="A34" s="911" t="s">
        <v>306</v>
      </c>
      <c r="B34" s="912">
        <f>B32+B33</f>
        <v>182.7</v>
      </c>
      <c r="C34" s="389"/>
      <c r="O34" s="1"/>
    </row>
    <row r="35" spans="1:15">
      <c r="A35" s="911"/>
      <c r="B35" s="910"/>
      <c r="C35" s="389"/>
      <c r="O35" s="1"/>
    </row>
    <row r="36" spans="1:15" ht="15" customHeight="1">
      <c r="A36" s="911" t="s">
        <v>1059</v>
      </c>
      <c r="B36" s="912">
        <v>465</v>
      </c>
      <c r="C36" s="389"/>
      <c r="O36" s="1"/>
    </row>
    <row r="37" spans="1:15">
      <c r="A37" s="911" t="s">
        <v>305</v>
      </c>
      <c r="B37" s="912">
        <f>-0.1*B36</f>
        <v>-46.5</v>
      </c>
      <c r="C37" s="389"/>
      <c r="O37" s="1"/>
    </row>
    <row r="38" spans="1:15">
      <c r="A38" s="911" t="s">
        <v>309</v>
      </c>
      <c r="B38" s="912">
        <f>B36+B37</f>
        <v>418.5</v>
      </c>
      <c r="C38" s="389"/>
      <c r="O38" s="1"/>
    </row>
    <row r="39" spans="1:15">
      <c r="A39" s="911"/>
      <c r="B39" s="910"/>
      <c r="C39" s="389"/>
      <c r="O39" s="1"/>
    </row>
    <row r="40" spans="1:15">
      <c r="A40" s="911" t="s">
        <v>307</v>
      </c>
      <c r="B40" s="912">
        <v>215</v>
      </c>
      <c r="C40" s="389"/>
      <c r="O40" s="1"/>
    </row>
    <row r="41" spans="1:15">
      <c r="A41" s="911" t="s">
        <v>305</v>
      </c>
      <c r="B41" s="912">
        <f>-0.1*B40</f>
        <v>-21.5</v>
      </c>
      <c r="C41" s="389"/>
      <c r="O41" s="1"/>
    </row>
    <row r="42" spans="1:15">
      <c r="A42" s="911" t="s">
        <v>308</v>
      </c>
      <c r="B42" s="912">
        <f>B40+B41</f>
        <v>193.5</v>
      </c>
      <c r="C42" s="389"/>
      <c r="O42" s="1"/>
    </row>
    <row r="43" spans="1:15" ht="15" customHeight="1">
      <c r="A43" s="911"/>
      <c r="B43" s="910"/>
      <c r="C43" s="389"/>
      <c r="O43" s="1"/>
    </row>
    <row r="44" spans="1:15">
      <c r="A44" s="911" t="s">
        <v>310</v>
      </c>
      <c r="B44" s="912">
        <v>456</v>
      </c>
      <c r="C44" s="389"/>
      <c r="O44" s="1"/>
    </row>
    <row r="45" spans="1:15" ht="15" customHeight="1">
      <c r="A45" s="911" t="s">
        <v>305</v>
      </c>
      <c r="B45" s="912">
        <f>-0.1*B44</f>
        <v>-45.6</v>
      </c>
      <c r="C45" s="389"/>
      <c r="O45" s="1"/>
    </row>
    <row r="46" spans="1:15">
      <c r="A46" s="911" t="s">
        <v>309</v>
      </c>
      <c r="B46" s="912">
        <f>B44+B45</f>
        <v>410.4</v>
      </c>
      <c r="C46" s="389"/>
      <c r="O46" s="1"/>
    </row>
    <row r="47" spans="1:15" ht="15" customHeight="1">
      <c r="A47" s="909"/>
      <c r="B47" s="910"/>
      <c r="C47" s="389"/>
      <c r="O47" s="1"/>
    </row>
    <row r="48" spans="1:15">
      <c r="A48" s="911" t="s">
        <v>812</v>
      </c>
      <c r="B48" s="912">
        <v>201</v>
      </c>
      <c r="C48" s="389"/>
      <c r="O48" s="1"/>
    </row>
    <row r="49" spans="1:15" ht="15" customHeight="1">
      <c r="A49" s="911" t="s">
        <v>305</v>
      </c>
      <c r="B49" s="912">
        <f>-0.1*B48</f>
        <v>-20.100000000000001</v>
      </c>
      <c r="C49" s="389"/>
      <c r="O49" s="1"/>
    </row>
    <row r="50" spans="1:15">
      <c r="A50" s="911" t="s">
        <v>308</v>
      </c>
      <c r="B50" s="912">
        <f>B48+B49</f>
        <v>180.9</v>
      </c>
      <c r="O50" s="1"/>
    </row>
    <row r="51" spans="1:15">
      <c r="A51" s="911"/>
      <c r="B51" s="910"/>
      <c r="O51" s="1"/>
    </row>
    <row r="52" spans="1:15">
      <c r="A52" s="911" t="s">
        <v>813</v>
      </c>
      <c r="B52" s="912">
        <v>457</v>
      </c>
      <c r="O52" s="1"/>
    </row>
    <row r="53" spans="1:15">
      <c r="A53" s="911" t="s">
        <v>305</v>
      </c>
      <c r="B53" s="912">
        <f>-0.1*B52</f>
        <v>-45.7</v>
      </c>
      <c r="O53" s="1"/>
    </row>
    <row r="54" spans="1:15" ht="16.5" thickBot="1">
      <c r="A54" s="913" t="s">
        <v>309</v>
      </c>
      <c r="B54" s="914">
        <f>B52+B53</f>
        <v>411.3</v>
      </c>
      <c r="O54" s="1"/>
    </row>
    <row r="55" spans="1:15">
      <c r="O55" s="1"/>
    </row>
    <row r="56" spans="1:15">
      <c r="O56" s="1"/>
    </row>
    <row r="57" spans="1:15">
      <c r="O57" s="1"/>
    </row>
    <row r="58" spans="1:15">
      <c r="O58" s="1"/>
    </row>
  </sheetData>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pageSetUpPr fitToPage="1"/>
  </sheetPr>
  <dimension ref="A1:W86"/>
  <sheetViews>
    <sheetView workbookViewId="0">
      <selection activeCell="K51" sqref="K51"/>
    </sheetView>
  </sheetViews>
  <sheetFormatPr defaultColWidth="10" defaultRowHeight="15.75"/>
  <cols>
    <col min="1" max="2" width="3.5" customWidth="1"/>
    <col min="3" max="3" width="3.375" customWidth="1"/>
    <col min="4" max="4" width="19.125" customWidth="1"/>
    <col min="5" max="5" width="15.5" customWidth="1"/>
    <col min="6" max="6" width="6.5" customWidth="1"/>
    <col min="7" max="7" width="0.875" style="46" customWidth="1"/>
    <col min="8" max="8" width="1.5" customWidth="1"/>
    <col min="9" max="9" width="18.625" customWidth="1"/>
    <col min="10" max="10" width="1.5" customWidth="1"/>
    <col min="11" max="11" width="17" customWidth="1"/>
    <col min="12" max="12" width="18.5" customWidth="1"/>
    <col min="13" max="14" width="1.5" customWidth="1"/>
    <col min="15" max="15" width="16.375" customWidth="1"/>
    <col min="16" max="16" width="27.875" customWidth="1"/>
    <col min="17" max="17" width="16.375" customWidth="1"/>
    <col min="18" max="18" width="13.625" customWidth="1"/>
    <col min="19" max="19" width="14.625" bestFit="1" customWidth="1"/>
    <col min="20" max="20" width="11" bestFit="1" customWidth="1"/>
  </cols>
  <sheetData>
    <row r="1" spans="1:19" ht="21">
      <c r="A1" s="1776" t="s">
        <v>18</v>
      </c>
      <c r="B1" s="1776"/>
      <c r="C1" s="1776"/>
      <c r="D1" s="1776"/>
      <c r="E1" s="58"/>
      <c r="F1" s="58"/>
      <c r="G1" s="59"/>
      <c r="H1" s="60"/>
      <c r="I1" s="1778" t="s">
        <v>1305</v>
      </c>
      <c r="J1" s="1778"/>
      <c r="K1" s="1778"/>
      <c r="L1" s="1779"/>
      <c r="M1" s="61"/>
      <c r="N1" s="61"/>
      <c r="P1" s="61"/>
      <c r="Q1" s="62"/>
    </row>
    <row r="2" spans="1:19" ht="19.5">
      <c r="A2" s="1777" t="s">
        <v>1575</v>
      </c>
      <c r="B2" s="1777"/>
      <c r="C2" s="1777"/>
      <c r="D2" s="1777"/>
      <c r="E2" s="58"/>
      <c r="F2" s="58"/>
      <c r="G2" s="63"/>
      <c r="H2" s="62"/>
      <c r="I2" s="64" t="s">
        <v>108</v>
      </c>
      <c r="J2" s="65"/>
      <c r="K2" s="66" t="s">
        <v>109</v>
      </c>
      <c r="L2" s="67"/>
      <c r="M2" s="68"/>
      <c r="N2" s="73"/>
      <c r="P2" s="69"/>
      <c r="Q2" s="62"/>
    </row>
    <row r="3" spans="1:19" ht="18">
      <c r="A3" s="70"/>
      <c r="B3" s="71"/>
      <c r="D3" s="72"/>
      <c r="E3" s="72"/>
      <c r="F3" s="73"/>
      <c r="G3" s="63"/>
      <c r="H3" s="62"/>
      <c r="I3" s="74" t="s">
        <v>110</v>
      </c>
      <c r="J3" s="75"/>
      <c r="K3" s="76" t="s">
        <v>110</v>
      </c>
      <c r="L3" s="76" t="s">
        <v>13</v>
      </c>
      <c r="M3" s="77"/>
      <c r="N3" s="69"/>
      <c r="P3" s="69"/>
      <c r="Q3" s="62"/>
    </row>
    <row r="4" spans="1:19" ht="16.5">
      <c r="A4" s="72"/>
      <c r="B4" s="72"/>
      <c r="C4" s="72"/>
      <c r="D4" s="72"/>
      <c r="E4" s="72"/>
      <c r="F4" s="72"/>
      <c r="G4" s="78"/>
      <c r="H4" s="62"/>
      <c r="I4" s="79"/>
      <c r="J4" s="80"/>
      <c r="K4" s="52"/>
      <c r="L4" s="81"/>
      <c r="M4" s="81"/>
      <c r="N4" s="62"/>
      <c r="P4" s="62"/>
      <c r="Q4" s="62"/>
    </row>
    <row r="5" spans="1:19" ht="18">
      <c r="A5" s="327" t="s">
        <v>427</v>
      </c>
      <c r="B5" s="82"/>
      <c r="C5" s="72"/>
      <c r="D5" s="72"/>
      <c r="E5" s="72"/>
      <c r="F5" s="72"/>
      <c r="G5" s="78"/>
      <c r="H5" s="62"/>
      <c r="I5" s="328"/>
      <c r="J5" s="80"/>
      <c r="K5" s="52"/>
      <c r="L5" s="81"/>
      <c r="M5" s="81"/>
      <c r="N5" s="62"/>
      <c r="P5" s="110"/>
      <c r="Q5" s="83"/>
      <c r="R5" s="83"/>
      <c r="S5" s="62"/>
    </row>
    <row r="6" spans="1:19" ht="18">
      <c r="A6" s="82"/>
      <c r="B6" s="82" t="s">
        <v>428</v>
      </c>
      <c r="C6" s="82"/>
      <c r="D6" s="82"/>
      <c r="E6" s="82"/>
      <c r="F6" s="82"/>
      <c r="G6" s="83"/>
      <c r="H6" s="87"/>
      <c r="I6" s="84">
        <v>58015876</v>
      </c>
      <c r="J6" s="85"/>
      <c r="K6" s="90">
        <v>0</v>
      </c>
      <c r="L6" s="91">
        <f t="shared" ref="L6:L22" si="0">I6+K6</f>
        <v>58015876</v>
      </c>
      <c r="M6" s="83"/>
      <c r="N6" s="83"/>
      <c r="O6" s="1089"/>
      <c r="P6" s="88"/>
      <c r="Q6" s="52"/>
      <c r="R6" s="52"/>
      <c r="S6" s="83"/>
    </row>
    <row r="7" spans="1:19" ht="18">
      <c r="A7" s="82"/>
      <c r="B7" s="82" t="s">
        <v>429</v>
      </c>
      <c r="C7" s="82"/>
      <c r="D7" s="82"/>
      <c r="E7" s="82"/>
      <c r="F7" s="82"/>
      <c r="G7" s="83"/>
      <c r="H7" s="87"/>
      <c r="I7" s="84">
        <v>41255503</v>
      </c>
      <c r="J7" s="85"/>
      <c r="K7" s="90">
        <v>0</v>
      </c>
      <c r="L7" s="91">
        <f t="shared" si="0"/>
        <v>41255503</v>
      </c>
      <c r="M7" s="83"/>
      <c r="N7" s="83"/>
      <c r="O7" s="12"/>
      <c r="P7" s="88"/>
      <c r="Q7" s="88"/>
      <c r="R7" s="83"/>
      <c r="S7" s="83"/>
    </row>
    <row r="8" spans="1:19" ht="18">
      <c r="B8" s="82" t="s">
        <v>113</v>
      </c>
      <c r="C8" s="82"/>
      <c r="D8" s="82"/>
      <c r="E8" s="82"/>
      <c r="F8" s="82"/>
      <c r="G8" s="83"/>
      <c r="H8" s="87"/>
      <c r="I8" s="84">
        <v>0</v>
      </c>
      <c r="J8" s="85"/>
      <c r="K8" s="90">
        <v>0</v>
      </c>
      <c r="L8" s="91">
        <f t="shared" si="0"/>
        <v>0</v>
      </c>
      <c r="M8" s="83"/>
      <c r="N8" s="83"/>
      <c r="O8" s="12"/>
      <c r="P8" s="88"/>
      <c r="Q8" s="88"/>
      <c r="R8" s="83"/>
      <c r="S8" s="83"/>
    </row>
    <row r="9" spans="1:19" ht="18">
      <c r="B9" s="82" t="s">
        <v>430</v>
      </c>
      <c r="C9" s="82"/>
      <c r="D9" s="82"/>
      <c r="E9" s="82"/>
      <c r="F9" s="82"/>
      <c r="G9" s="83"/>
      <c r="H9" s="87"/>
      <c r="I9" s="84">
        <v>0</v>
      </c>
      <c r="J9" s="85"/>
      <c r="K9" s="90">
        <v>0</v>
      </c>
      <c r="L9" s="91">
        <f t="shared" si="0"/>
        <v>0</v>
      </c>
      <c r="M9" s="83"/>
      <c r="N9" s="83"/>
      <c r="O9" s="12"/>
      <c r="P9" s="88"/>
      <c r="Q9" s="88"/>
      <c r="S9" s="83"/>
    </row>
    <row r="10" spans="1:19" ht="18">
      <c r="B10" s="82" t="s">
        <v>431</v>
      </c>
      <c r="C10" s="82"/>
      <c r="D10" s="82"/>
      <c r="E10" s="82"/>
      <c r="F10" s="82"/>
      <c r="G10" s="83"/>
      <c r="H10" s="87"/>
      <c r="I10" s="84"/>
      <c r="J10" s="85"/>
      <c r="K10" s="90"/>
      <c r="L10" s="91">
        <f t="shared" si="0"/>
        <v>0</v>
      </c>
      <c r="M10" s="83"/>
      <c r="N10" s="83"/>
      <c r="O10" s="12"/>
      <c r="P10" s="88"/>
      <c r="Q10" s="1283"/>
      <c r="R10" s="83"/>
      <c r="S10" s="83"/>
    </row>
    <row r="11" spans="1:19" ht="18">
      <c r="B11" s="82"/>
      <c r="C11" s="82" t="s">
        <v>432</v>
      </c>
      <c r="D11" s="82"/>
      <c r="E11" s="82"/>
      <c r="F11" s="82"/>
      <c r="G11" s="83"/>
      <c r="H11" s="87"/>
      <c r="I11" s="84">
        <v>2989392</v>
      </c>
      <c r="J11" s="85"/>
      <c r="K11" s="90">
        <v>0</v>
      </c>
      <c r="L11" s="91">
        <f t="shared" si="0"/>
        <v>2989392</v>
      </c>
      <c r="M11" s="83"/>
      <c r="N11" s="83"/>
      <c r="O11" s="12"/>
      <c r="P11" s="88"/>
      <c r="Q11" s="88"/>
      <c r="R11" s="83"/>
      <c r="S11" s="83"/>
    </row>
    <row r="12" spans="1:19" ht="18">
      <c r="B12" s="82"/>
      <c r="C12" s="82" t="s">
        <v>433</v>
      </c>
      <c r="D12" s="82"/>
      <c r="E12" s="82"/>
      <c r="F12" s="82"/>
      <c r="G12" s="83"/>
      <c r="H12" s="87"/>
      <c r="I12" s="84"/>
      <c r="J12" s="85"/>
      <c r="K12" s="90"/>
      <c r="L12" s="91">
        <f t="shared" si="0"/>
        <v>0</v>
      </c>
      <c r="M12" s="83"/>
      <c r="N12" s="83"/>
      <c r="O12" s="12"/>
      <c r="P12" s="88"/>
      <c r="Q12" s="88"/>
      <c r="R12" s="100"/>
      <c r="S12" s="83"/>
    </row>
    <row r="13" spans="1:19" ht="18">
      <c r="B13" s="82"/>
      <c r="C13" s="82"/>
      <c r="D13" s="82" t="s">
        <v>434</v>
      </c>
      <c r="E13" s="82"/>
      <c r="F13" s="82"/>
      <c r="G13" s="83"/>
      <c r="H13" s="87"/>
      <c r="I13" s="84">
        <v>0</v>
      </c>
      <c r="J13" s="85"/>
      <c r="K13" s="90">
        <v>1141201</v>
      </c>
      <c r="L13" s="91">
        <f t="shared" si="0"/>
        <v>1141201</v>
      </c>
      <c r="M13" s="83"/>
      <c r="N13" s="83"/>
      <c r="O13" s="1089"/>
      <c r="P13" s="88"/>
      <c r="Q13" s="88"/>
      <c r="R13" s="83"/>
      <c r="S13" s="83"/>
    </row>
    <row r="14" spans="1:19" ht="18">
      <c r="B14" s="82"/>
      <c r="C14" s="82"/>
      <c r="D14" s="82" t="s">
        <v>435</v>
      </c>
      <c r="E14" s="82"/>
      <c r="F14" s="82"/>
      <c r="G14" s="83"/>
      <c r="H14" s="87"/>
      <c r="I14" s="84">
        <v>0</v>
      </c>
      <c r="J14" s="85"/>
      <c r="K14" s="90">
        <v>3808670</v>
      </c>
      <c r="L14" s="91">
        <f t="shared" si="0"/>
        <v>3808670</v>
      </c>
      <c r="M14" s="83"/>
      <c r="N14" s="83"/>
      <c r="O14" s="1089"/>
      <c r="P14" s="88"/>
      <c r="Q14" s="83"/>
      <c r="R14" s="83"/>
      <c r="S14" s="83"/>
    </row>
    <row r="15" spans="1:19" ht="18">
      <c r="B15" s="82"/>
      <c r="C15" s="82"/>
      <c r="D15" s="82" t="s">
        <v>114</v>
      </c>
      <c r="E15" s="82"/>
      <c r="F15" s="82"/>
      <c r="G15" s="83"/>
      <c r="H15" s="87"/>
      <c r="I15" s="84">
        <v>0</v>
      </c>
      <c r="J15" s="85"/>
      <c r="K15" s="90">
        <v>1351785</v>
      </c>
      <c r="L15" s="91">
        <f t="shared" si="0"/>
        <v>1351785</v>
      </c>
      <c r="M15" s="83"/>
      <c r="N15" s="83"/>
      <c r="O15" s="1089"/>
      <c r="P15" s="88"/>
      <c r="Q15" s="83"/>
      <c r="R15" s="100"/>
      <c r="S15" s="83"/>
    </row>
    <row r="16" spans="1:19" ht="18" customHeight="1">
      <c r="B16" s="82"/>
      <c r="C16" s="82"/>
      <c r="D16" s="82" t="s">
        <v>436</v>
      </c>
      <c r="E16" s="82"/>
      <c r="F16" s="82"/>
      <c r="G16" s="83"/>
      <c r="H16" s="87"/>
      <c r="I16" s="84">
        <v>1967815</v>
      </c>
      <c r="J16" s="85"/>
      <c r="K16" s="90">
        <v>0</v>
      </c>
      <c r="L16" s="91">
        <f t="shared" si="0"/>
        <v>1967815</v>
      </c>
      <c r="M16" s="83"/>
      <c r="N16" s="83"/>
      <c r="O16" s="1089"/>
      <c r="P16" s="88"/>
      <c r="Q16" s="83"/>
      <c r="R16" s="62"/>
      <c r="S16" s="83"/>
    </row>
    <row r="17" spans="1:21" ht="18" customHeight="1">
      <c r="B17" s="82"/>
      <c r="C17" s="82"/>
      <c r="D17" s="82" t="s">
        <v>437</v>
      </c>
      <c r="E17" s="82"/>
      <c r="F17" s="82"/>
      <c r="G17" s="83"/>
      <c r="H17" s="87"/>
      <c r="I17" s="84">
        <v>2545155</v>
      </c>
      <c r="J17" s="85"/>
      <c r="K17" s="90">
        <v>0</v>
      </c>
      <c r="L17" s="91">
        <f t="shared" si="0"/>
        <v>2545155</v>
      </c>
      <c r="M17" s="83"/>
      <c r="N17" s="83"/>
      <c r="O17" s="1089"/>
      <c r="P17" s="88"/>
      <c r="Q17" s="83"/>
      <c r="R17" s="100"/>
      <c r="S17" s="83"/>
    </row>
    <row r="18" spans="1:21" ht="18">
      <c r="B18" s="101" t="s">
        <v>438</v>
      </c>
      <c r="C18" s="83"/>
      <c r="D18" s="83"/>
      <c r="E18" s="83"/>
      <c r="F18" s="83"/>
      <c r="G18" s="83"/>
      <c r="H18" s="87"/>
      <c r="I18" s="84"/>
      <c r="J18" s="85"/>
      <c r="K18" s="98"/>
      <c r="L18" s="91">
        <f t="shared" si="0"/>
        <v>0</v>
      </c>
      <c r="M18" s="88"/>
      <c r="N18" s="88"/>
      <c r="O18" s="1089"/>
      <c r="P18" s="88"/>
      <c r="Q18" s="83"/>
      <c r="S18" s="83"/>
    </row>
    <row r="19" spans="1:21" ht="18">
      <c r="A19" s="101" t="s">
        <v>117</v>
      </c>
      <c r="B19" s="101"/>
      <c r="C19" s="83"/>
      <c r="D19" s="83"/>
      <c r="E19" s="83"/>
      <c r="F19" s="83"/>
      <c r="G19" s="83"/>
      <c r="H19" s="87"/>
      <c r="I19" s="84">
        <v>-1251972</v>
      </c>
      <c r="J19" s="83">
        <v>1902363</v>
      </c>
      <c r="K19" s="91">
        <v>1902363</v>
      </c>
      <c r="L19" s="91">
        <f t="shared" si="0"/>
        <v>650391</v>
      </c>
      <c r="M19" s="83"/>
      <c r="N19" s="83"/>
      <c r="O19" s="1089"/>
      <c r="P19" s="12"/>
      <c r="Q19" s="83"/>
      <c r="S19" s="83"/>
    </row>
    <row r="20" spans="1:21" ht="18">
      <c r="A20" s="101" t="s">
        <v>118</v>
      </c>
      <c r="B20" s="101"/>
      <c r="C20" s="83"/>
      <c r="D20" s="83"/>
      <c r="E20" s="83"/>
      <c r="F20" s="83"/>
      <c r="G20" s="83"/>
      <c r="H20" s="87"/>
      <c r="I20" s="84">
        <v>0</v>
      </c>
      <c r="J20" s="83"/>
      <c r="K20" s="91">
        <v>49413</v>
      </c>
      <c r="L20" s="91">
        <f t="shared" si="0"/>
        <v>49413</v>
      </c>
      <c r="M20" s="83"/>
      <c r="N20" s="83"/>
      <c r="O20" s="1089"/>
      <c r="P20" s="88"/>
      <c r="Q20" s="83"/>
      <c r="S20" s="83"/>
    </row>
    <row r="21" spans="1:21" ht="18">
      <c r="A21" s="101" t="s">
        <v>119</v>
      </c>
      <c r="B21" s="101"/>
      <c r="C21" s="83"/>
      <c r="D21" s="83"/>
      <c r="E21" s="83"/>
      <c r="F21" s="83"/>
      <c r="G21" s="83"/>
      <c r="H21" s="87"/>
      <c r="I21" s="84">
        <v>61941</v>
      </c>
      <c r="J21" s="83"/>
      <c r="K21" s="102"/>
      <c r="L21" s="91">
        <f t="shared" si="0"/>
        <v>61941</v>
      </c>
      <c r="M21" s="83"/>
      <c r="N21" s="83"/>
      <c r="O21" s="1089"/>
      <c r="P21" s="88"/>
      <c r="Q21" s="83"/>
      <c r="S21" s="83"/>
    </row>
    <row r="22" spans="1:21" ht="18">
      <c r="A22" s="101" t="s">
        <v>120</v>
      </c>
      <c r="B22" s="101"/>
      <c r="C22" s="83"/>
      <c r="D22" s="83"/>
      <c r="E22" s="83"/>
      <c r="F22" s="83"/>
      <c r="G22" s="83"/>
      <c r="H22" s="87"/>
      <c r="I22" s="84">
        <v>0</v>
      </c>
      <c r="J22" s="83"/>
      <c r="K22" s="91">
        <v>73323.428571428565</v>
      </c>
      <c r="L22" s="91">
        <f t="shared" si="0"/>
        <v>73323.428571428565</v>
      </c>
      <c r="M22" s="83"/>
      <c r="N22" s="83"/>
      <c r="O22" s="1089"/>
      <c r="P22" s="103"/>
      <c r="S22" s="83"/>
    </row>
    <row r="23" spans="1:21" s="34" customFormat="1" ht="18">
      <c r="A23" s="119" t="s">
        <v>439</v>
      </c>
      <c r="B23" s="101"/>
      <c r="C23" s="83"/>
      <c r="D23" s="83"/>
      <c r="E23" s="83"/>
      <c r="F23" s="83"/>
      <c r="G23" s="83"/>
      <c r="H23" s="87"/>
      <c r="I23" s="329">
        <f>SUM(I6:I22)</f>
        <v>105583710</v>
      </c>
      <c r="J23" s="330">
        <f>SUM(J6:J22)</f>
        <v>1902363</v>
      </c>
      <c r="K23" s="331">
        <f>SUM(K6:K22)</f>
        <v>8326755.4285714282</v>
      </c>
      <c r="L23" s="332">
        <f>SUM(L6:L22)</f>
        <v>113910465.42857143</v>
      </c>
      <c r="M23" s="83"/>
      <c r="N23" s="83"/>
      <c r="O23"/>
      <c r="P23" s="103"/>
      <c r="Q23" s="83"/>
      <c r="R23" s="100"/>
      <c r="S23" s="83"/>
    </row>
    <row r="24" spans="1:21" s="34" customFormat="1" ht="18">
      <c r="A24" s="333" t="s">
        <v>440</v>
      </c>
      <c r="B24" s="101"/>
      <c r="C24" s="83"/>
      <c r="D24" s="83"/>
      <c r="E24" s="83"/>
      <c r="F24" s="83"/>
      <c r="G24" s="83"/>
      <c r="H24" s="87"/>
      <c r="I24" s="334"/>
      <c r="J24" s="132"/>
      <c r="K24" s="335"/>
      <c r="L24" s="336"/>
      <c r="M24" s="83"/>
      <c r="N24" s="83"/>
      <c r="O24"/>
      <c r="P24" s="103"/>
      <c r="Q24" s="83"/>
      <c r="R24"/>
      <c r="S24" s="83"/>
    </row>
    <row r="25" spans="1:21" s="46" customFormat="1" ht="18">
      <c r="B25" s="101" t="s">
        <v>441</v>
      </c>
      <c r="C25" s="83"/>
      <c r="D25" s="83"/>
      <c r="E25" s="83"/>
      <c r="F25" s="83"/>
      <c r="G25" s="83"/>
      <c r="H25" s="124"/>
      <c r="I25" s="84">
        <v>0</v>
      </c>
      <c r="J25" s="83"/>
      <c r="K25" s="91">
        <v>7000000</v>
      </c>
      <c r="L25" s="91">
        <f t="shared" ref="L25:L35" si="1">I25+K25</f>
        <v>7000000</v>
      </c>
      <c r="M25" s="83"/>
      <c r="N25" s="83"/>
      <c r="O25"/>
      <c r="P25" s="103"/>
    </row>
    <row r="26" spans="1:21" s="46" customFormat="1" ht="18">
      <c r="B26" s="101" t="s">
        <v>122</v>
      </c>
      <c r="C26" s="83"/>
      <c r="D26" s="83"/>
      <c r="E26" s="83"/>
      <c r="F26" s="83"/>
      <c r="G26" s="83"/>
      <c r="H26" s="124"/>
      <c r="I26" s="84">
        <v>0</v>
      </c>
      <c r="J26" s="83"/>
      <c r="K26" s="1005">
        <v>661809.15</v>
      </c>
      <c r="L26" s="91">
        <v>661808</v>
      </c>
      <c r="M26" s="83"/>
      <c r="N26" s="83"/>
      <c r="O26" s="12"/>
      <c r="P26" s="17" t="s">
        <v>124</v>
      </c>
      <c r="Q26" s="337"/>
      <c r="R26" s="338"/>
    </row>
    <row r="27" spans="1:21" s="46" customFormat="1" ht="18">
      <c r="B27" s="101" t="s">
        <v>442</v>
      </c>
      <c r="C27" s="83"/>
      <c r="D27" s="83"/>
      <c r="E27" s="83"/>
      <c r="F27" s="83"/>
      <c r="G27" s="83"/>
      <c r="H27" s="124"/>
      <c r="I27" s="84">
        <v>0</v>
      </c>
      <c r="J27" s="83"/>
      <c r="K27" s="1005">
        <v>263887.77</v>
      </c>
      <c r="L27" s="91">
        <f t="shared" si="1"/>
        <v>263887.77</v>
      </c>
      <c r="M27" s="83"/>
      <c r="N27" s="83"/>
      <c r="O27" s="12"/>
      <c r="P27" s="13" t="s">
        <v>443</v>
      </c>
      <c r="Q27" s="194">
        <v>115000000</v>
      </c>
      <c r="S27" s="50"/>
      <c r="T27" s="1174"/>
    </row>
    <row r="28" spans="1:21" s="46" customFormat="1" ht="18">
      <c r="B28" s="101" t="s">
        <v>116</v>
      </c>
      <c r="C28" s="83"/>
      <c r="D28" s="83"/>
      <c r="E28" s="83"/>
      <c r="F28" s="83"/>
      <c r="G28" s="83"/>
      <c r="H28" s="124"/>
      <c r="I28" s="84">
        <v>0</v>
      </c>
      <c r="J28" s="83"/>
      <c r="K28" s="1005">
        <v>330904.83</v>
      </c>
      <c r="L28" s="91">
        <f t="shared" si="1"/>
        <v>330904.83</v>
      </c>
      <c r="M28" s="83"/>
      <c r="N28" s="83"/>
      <c r="O28" s="12"/>
      <c r="P28" s="13" t="s">
        <v>444</v>
      </c>
      <c r="Q28" s="194">
        <v>123100000</v>
      </c>
      <c r="S28" s="50"/>
    </row>
    <row r="29" spans="1:21" ht="18">
      <c r="B29" s="99" t="s">
        <v>115</v>
      </c>
      <c r="C29" s="85"/>
      <c r="D29" s="85"/>
      <c r="E29" s="85"/>
      <c r="F29" s="85"/>
      <c r="G29" s="94"/>
      <c r="H29" s="87"/>
      <c r="I29" s="84">
        <v>0</v>
      </c>
      <c r="J29" s="94"/>
      <c r="K29" s="1005">
        <v>213076.47</v>
      </c>
      <c r="L29" s="91">
        <f t="shared" si="1"/>
        <v>213076.47</v>
      </c>
      <c r="M29" s="83"/>
      <c r="N29" s="83"/>
      <c r="O29" s="12"/>
      <c r="P29" s="13" t="s">
        <v>445</v>
      </c>
      <c r="Q29" s="194">
        <v>29000000</v>
      </c>
      <c r="R29" s="100"/>
      <c r="S29" s="42"/>
      <c r="T29" s="62"/>
      <c r="U29" s="62"/>
    </row>
    <row r="30" spans="1:21" ht="18">
      <c r="A30" s="99"/>
      <c r="B30" s="99" t="s">
        <v>121</v>
      </c>
      <c r="C30" s="85"/>
      <c r="D30" s="85"/>
      <c r="E30" s="85"/>
      <c r="F30" s="85"/>
      <c r="G30" s="94"/>
      <c r="H30" s="87"/>
      <c r="I30" s="84">
        <v>0</v>
      </c>
      <c r="J30" s="94"/>
      <c r="K30" s="1005">
        <v>167019.9</v>
      </c>
      <c r="L30" s="91">
        <f t="shared" si="1"/>
        <v>167019.9</v>
      </c>
      <c r="M30" s="83"/>
      <c r="N30" s="83"/>
      <c r="O30" s="12"/>
      <c r="P30" s="13" t="s">
        <v>446</v>
      </c>
      <c r="Q30" s="194">
        <v>11800000</v>
      </c>
      <c r="R30" s="83"/>
      <c r="S30" s="62"/>
      <c r="T30" s="62"/>
      <c r="U30" s="62"/>
    </row>
    <row r="31" spans="1:21" ht="18">
      <c r="A31" s="99"/>
      <c r="B31" s="99" t="s">
        <v>1322</v>
      </c>
      <c r="C31" s="85"/>
      <c r="D31" s="85"/>
      <c r="E31" s="85"/>
      <c r="F31" s="85"/>
      <c r="G31" s="94"/>
      <c r="H31" s="87"/>
      <c r="I31" s="84">
        <v>0</v>
      </c>
      <c r="J31" s="94"/>
      <c r="K31" s="1005">
        <v>1814888.55</v>
      </c>
      <c r="L31" s="91">
        <f t="shared" si="1"/>
        <v>1814888.55</v>
      </c>
      <c r="M31" s="83"/>
      <c r="N31" s="83"/>
      <c r="O31" s="12"/>
      <c r="P31" s="13" t="s">
        <v>448</v>
      </c>
      <c r="Q31" s="194">
        <v>8200000</v>
      </c>
      <c r="R31" s="83"/>
      <c r="S31" s="62"/>
      <c r="T31" s="62"/>
      <c r="U31" s="62"/>
    </row>
    <row r="32" spans="1:21" ht="18">
      <c r="A32" s="99"/>
      <c r="B32" s="99" t="s">
        <v>1323</v>
      </c>
      <c r="C32" s="85"/>
      <c r="D32" s="85"/>
      <c r="E32" s="85"/>
      <c r="F32" s="85"/>
      <c r="G32" s="94"/>
      <c r="H32" s="87"/>
      <c r="I32" s="84"/>
      <c r="J32" s="94"/>
      <c r="K32" s="1005">
        <v>290700</v>
      </c>
      <c r="L32" s="91">
        <f t="shared" si="1"/>
        <v>290700</v>
      </c>
      <c r="M32" s="83"/>
      <c r="N32" s="83"/>
      <c r="O32" s="12"/>
      <c r="P32" s="13" t="s">
        <v>449</v>
      </c>
      <c r="Q32" s="194">
        <v>10100000</v>
      </c>
      <c r="R32" s="83"/>
      <c r="S32" s="62"/>
      <c r="T32" s="62"/>
      <c r="U32" s="62"/>
    </row>
    <row r="33" spans="1:23" ht="18">
      <c r="A33" s="99"/>
      <c r="B33" s="99" t="s">
        <v>964</v>
      </c>
      <c r="C33" s="85"/>
      <c r="D33" s="85"/>
      <c r="E33" s="85"/>
      <c r="F33" s="85"/>
      <c r="G33" s="94"/>
      <c r="H33" s="87"/>
      <c r="I33" s="84"/>
      <c r="J33" s="94"/>
      <c r="K33" s="1005">
        <v>142800</v>
      </c>
      <c r="L33" s="91">
        <f t="shared" si="1"/>
        <v>142800</v>
      </c>
      <c r="M33" s="83"/>
      <c r="N33" s="83"/>
      <c r="O33" s="12"/>
      <c r="P33" s="13" t="s">
        <v>450</v>
      </c>
      <c r="Q33" s="276">
        <v>1300000</v>
      </c>
      <c r="R33" s="276">
        <f>SUM(Q27:Q33)</f>
        <v>298500000</v>
      </c>
      <c r="S33" s="62"/>
      <c r="T33" s="62"/>
      <c r="U33" s="62"/>
    </row>
    <row r="34" spans="1:23" ht="18">
      <c r="A34" s="99"/>
      <c r="B34" s="99" t="s">
        <v>1755</v>
      </c>
      <c r="C34" s="85"/>
      <c r="D34" s="85"/>
      <c r="E34" s="85"/>
      <c r="F34" s="85"/>
      <c r="G34" s="94"/>
      <c r="H34" s="87"/>
      <c r="I34" s="84">
        <v>0</v>
      </c>
      <c r="J34" s="94"/>
      <c r="K34" s="1005">
        <v>3000000</v>
      </c>
      <c r="L34" s="91">
        <f t="shared" si="1"/>
        <v>3000000</v>
      </c>
      <c r="M34" s="83"/>
      <c r="N34" s="83"/>
      <c r="O34" s="12"/>
      <c r="P34" s="13"/>
      <c r="Q34" s="276"/>
      <c r="R34" s="276"/>
      <c r="S34" s="62"/>
      <c r="T34" s="62"/>
      <c r="U34" s="62"/>
    </row>
    <row r="35" spans="1:23" ht="18">
      <c r="A35" s="99"/>
      <c r="B35" s="99"/>
      <c r="C35" s="85"/>
      <c r="D35" s="85"/>
      <c r="E35" s="85"/>
      <c r="F35" s="85"/>
      <c r="G35" s="94"/>
      <c r="H35" s="87"/>
      <c r="I35" s="92">
        <v>0</v>
      </c>
      <c r="J35" s="94"/>
      <c r="K35" s="1005"/>
      <c r="L35" s="91">
        <f t="shared" si="1"/>
        <v>0</v>
      </c>
      <c r="M35" s="83"/>
      <c r="N35" s="83"/>
      <c r="O35" s="12"/>
      <c r="P35" s="13" t="s">
        <v>451</v>
      </c>
      <c r="Q35" s="339">
        <v>78000000</v>
      </c>
      <c r="R35" s="276">
        <f>Q35+Q36</f>
        <v>103500000</v>
      </c>
      <c r="S35" s="62"/>
      <c r="T35" s="62"/>
      <c r="U35" s="62"/>
    </row>
    <row r="36" spans="1:23" ht="18">
      <c r="A36" s="106" t="s">
        <v>452</v>
      </c>
      <c r="B36" s="106"/>
      <c r="C36" s="85"/>
      <c r="D36" s="85"/>
      <c r="E36" s="85"/>
      <c r="F36" s="85"/>
      <c r="G36" s="94"/>
      <c r="H36" s="87"/>
      <c r="I36" s="84">
        <f>SUM(I25:I35)</f>
        <v>0</v>
      </c>
      <c r="J36" s="340"/>
      <c r="K36" s="341">
        <f>SUM(K25:K35)</f>
        <v>13885086.670000002</v>
      </c>
      <c r="L36" s="342">
        <f>SUM(L25:L35)</f>
        <v>13885085.520000001</v>
      </c>
      <c r="M36" s="109"/>
      <c r="N36" s="999"/>
      <c r="P36" s="13" t="s">
        <v>453</v>
      </c>
      <c r="Q36" s="339">
        <v>25500000</v>
      </c>
      <c r="R36" s="276"/>
      <c r="T36" s="62"/>
      <c r="U36" s="62"/>
    </row>
    <row r="37" spans="1:23" ht="18">
      <c r="A37" s="111"/>
      <c r="B37" s="112" t="s">
        <v>123</v>
      </c>
      <c r="C37" s="113"/>
      <c r="D37" s="113"/>
      <c r="E37" s="113"/>
      <c r="F37" s="113"/>
      <c r="G37" s="113"/>
      <c r="H37" s="115"/>
      <c r="I37" s="114">
        <f>I23+I36</f>
        <v>105583710</v>
      </c>
      <c r="J37" s="116">
        <f>J23+J36</f>
        <v>1902363</v>
      </c>
      <c r="K37" s="116">
        <f>K23+K36</f>
        <v>22211842.098571431</v>
      </c>
      <c r="L37" s="116">
        <f>L23+L36</f>
        <v>127795550.94857143</v>
      </c>
      <c r="M37" s="117"/>
      <c r="N37" s="118"/>
      <c r="P37" s="13" t="s">
        <v>67</v>
      </c>
      <c r="Q37" s="276">
        <v>11500000</v>
      </c>
      <c r="R37" s="276">
        <f>Q37</f>
        <v>11500000</v>
      </c>
      <c r="S37" s="12"/>
      <c r="T37" s="62"/>
      <c r="U37" s="62"/>
    </row>
    <row r="38" spans="1:23" s="46" customFormat="1" ht="18">
      <c r="A38" s="119" t="s">
        <v>124</v>
      </c>
      <c r="B38" s="119"/>
      <c r="C38" s="101"/>
      <c r="D38" s="101"/>
      <c r="E38" s="101"/>
      <c r="F38" s="101"/>
      <c r="G38" s="120"/>
      <c r="H38" s="115"/>
      <c r="I38" s="121"/>
      <c r="J38" s="120"/>
      <c r="K38" s="122"/>
      <c r="L38" s="121"/>
      <c r="M38" s="117"/>
      <c r="N38" s="118"/>
      <c r="O38"/>
      <c r="P38" s="13"/>
      <c r="Q38" s="8"/>
      <c r="R38" s="276"/>
      <c r="T38" s="62"/>
      <c r="U38" s="62"/>
      <c r="V38"/>
      <c r="W38"/>
    </row>
    <row r="39" spans="1:23" ht="18">
      <c r="A39" s="99" t="s">
        <v>125</v>
      </c>
      <c r="B39" s="99"/>
      <c r="C39" s="85"/>
      <c r="D39" s="85"/>
      <c r="E39" s="85"/>
      <c r="F39" s="85"/>
      <c r="G39" s="83"/>
      <c r="H39" s="124"/>
      <c r="I39" s="123">
        <v>298500000</v>
      </c>
      <c r="J39" s="85"/>
      <c r="K39" s="90">
        <v>0</v>
      </c>
      <c r="L39" s="83">
        <f>I39</f>
        <v>298500000</v>
      </c>
      <c r="M39" s="86"/>
      <c r="N39" s="83"/>
      <c r="P39" s="343" t="s">
        <v>454</v>
      </c>
      <c r="Q39" s="647">
        <v>-41000000</v>
      </c>
      <c r="R39" s="655">
        <f>Q39</f>
        <v>-41000000</v>
      </c>
      <c r="T39" s="62"/>
      <c r="U39" s="62"/>
    </row>
    <row r="40" spans="1:23" ht="18">
      <c r="A40" s="99" t="s">
        <v>126</v>
      </c>
      <c r="B40" s="99"/>
      <c r="C40" s="85"/>
      <c r="D40" s="85"/>
      <c r="E40" s="85"/>
      <c r="F40" s="85"/>
      <c r="G40" s="83"/>
      <c r="H40" s="124"/>
      <c r="I40" s="123">
        <f>R35</f>
        <v>103500000</v>
      </c>
      <c r="J40" s="85"/>
      <c r="K40" s="344"/>
      <c r="L40" s="83">
        <f>R35</f>
        <v>103500000</v>
      </c>
      <c r="M40" s="86"/>
      <c r="N40" s="83"/>
      <c r="P40" s="13"/>
      <c r="Q40" s="1"/>
      <c r="T40" s="62"/>
      <c r="U40" s="62"/>
    </row>
    <row r="41" spans="1:23" ht="18.75" thickBot="1">
      <c r="A41" s="101" t="s">
        <v>127</v>
      </c>
      <c r="B41" s="99"/>
      <c r="C41" s="85"/>
      <c r="D41" s="85"/>
      <c r="E41" s="85"/>
      <c r="F41" s="85"/>
      <c r="G41" s="83"/>
      <c r="H41" s="124"/>
      <c r="I41" s="345">
        <v>11500000</v>
      </c>
      <c r="J41" s="93"/>
      <c r="K41" s="346"/>
      <c r="L41" s="83">
        <v>11500000</v>
      </c>
      <c r="M41" s="86"/>
      <c r="N41" s="83"/>
      <c r="P41" s="347" t="s">
        <v>455</v>
      </c>
      <c r="Q41" s="348">
        <f>SUM(Q27:Q39)</f>
        <v>372500000</v>
      </c>
      <c r="R41" s="348">
        <f>SUM(R27:R39)</f>
        <v>372500000</v>
      </c>
      <c r="T41" s="62"/>
      <c r="U41" s="62"/>
    </row>
    <row r="42" spans="1:23" ht="18.75" thickTop="1">
      <c r="A42" s="1247" t="s">
        <v>1256</v>
      </c>
      <c r="B42" s="99"/>
      <c r="C42" s="85"/>
      <c r="D42" s="85"/>
      <c r="E42" s="85"/>
      <c r="F42" s="85"/>
      <c r="G42" s="83"/>
      <c r="H42" s="124"/>
      <c r="I42" s="345"/>
      <c r="J42" s="93"/>
      <c r="K42" s="346"/>
      <c r="L42" s="83">
        <f>'What If Data'!F63</f>
        <v>0</v>
      </c>
      <c r="M42" s="86"/>
      <c r="N42" s="83"/>
      <c r="P42" s="1245"/>
      <c r="Q42" s="1246"/>
      <c r="R42" s="1246"/>
      <c r="T42" s="62"/>
      <c r="U42" s="62"/>
    </row>
    <row r="43" spans="1:23" ht="18">
      <c r="A43" s="126"/>
      <c r="B43" s="112" t="s">
        <v>128</v>
      </c>
      <c r="C43" s="127"/>
      <c r="D43" s="127"/>
      <c r="E43" s="127"/>
      <c r="F43" s="127"/>
      <c r="G43" s="113"/>
      <c r="H43" s="124"/>
      <c r="I43" s="128">
        <f>SUM(I39:I42)</f>
        <v>413500000</v>
      </c>
      <c r="J43" s="349"/>
      <c r="K43" s="129">
        <f>SUM(K39:K41)</f>
        <v>0</v>
      </c>
      <c r="L43" s="128">
        <f>SUM(L39:L42)</f>
        <v>413500000</v>
      </c>
      <c r="M43" s="96"/>
      <c r="N43" s="94"/>
      <c r="Q43" s="12"/>
      <c r="T43" s="62"/>
      <c r="U43" s="62"/>
    </row>
    <row r="44" spans="1:23" ht="18">
      <c r="A44" s="99"/>
      <c r="B44" s="106"/>
      <c r="C44" s="85"/>
      <c r="D44" s="85"/>
      <c r="E44" s="85"/>
      <c r="F44" s="85"/>
      <c r="G44" s="83"/>
      <c r="H44" s="124"/>
      <c r="I44" s="107"/>
      <c r="J44" s="85"/>
      <c r="K44" s="108"/>
      <c r="L44" s="107"/>
      <c r="M44" s="96"/>
      <c r="N44" s="94"/>
      <c r="Q44" s="12"/>
      <c r="T44" s="62"/>
      <c r="U44" s="62"/>
    </row>
    <row r="45" spans="1:23" ht="18">
      <c r="A45" s="111"/>
      <c r="B45" s="112" t="s">
        <v>129</v>
      </c>
      <c r="C45" s="127"/>
      <c r="D45" s="127"/>
      <c r="E45" s="127"/>
      <c r="F45" s="127"/>
      <c r="G45" s="113"/>
      <c r="H45" s="124"/>
      <c r="I45" s="128">
        <v>-41000000</v>
      </c>
      <c r="J45" s="127"/>
      <c r="K45" s="130">
        <v>0</v>
      </c>
      <c r="L45" s="128">
        <f>SUM(I45:K45)</f>
        <v>-41000000</v>
      </c>
      <c r="M45" s="96"/>
      <c r="N45" s="94"/>
      <c r="T45" s="62"/>
      <c r="U45" s="62"/>
    </row>
    <row r="46" spans="1:23" s="46" customFormat="1" ht="18.75" thickBot="1">
      <c r="A46" s="119" t="s">
        <v>130</v>
      </c>
      <c r="B46" s="119"/>
      <c r="C46" s="83"/>
      <c r="D46" s="83"/>
      <c r="E46" s="83"/>
      <c r="F46" s="83"/>
      <c r="G46" s="83"/>
      <c r="H46" s="124"/>
      <c r="I46" s="95"/>
      <c r="J46" s="132"/>
      <c r="K46" s="133"/>
      <c r="L46" s="134"/>
      <c r="M46" s="94"/>
      <c r="N46" s="94"/>
      <c r="O46"/>
      <c r="P46" s="158"/>
      <c r="Q46" s="651" t="s">
        <v>669</v>
      </c>
      <c r="R46" s="651" t="s">
        <v>487</v>
      </c>
      <c r="T46" s="62"/>
      <c r="U46" s="62"/>
      <c r="V46"/>
      <c r="W46"/>
    </row>
    <row r="47" spans="1:23" ht="18.75" thickTop="1">
      <c r="A47" s="99" t="s">
        <v>131</v>
      </c>
      <c r="B47" s="99"/>
      <c r="C47" s="85"/>
      <c r="D47" s="85"/>
      <c r="E47" s="85"/>
      <c r="F47" s="85"/>
      <c r="G47" s="83"/>
      <c r="H47" s="124"/>
      <c r="I47" s="84">
        <v>0</v>
      </c>
      <c r="J47" s="85"/>
      <c r="K47" s="1001">
        <v>3481000</v>
      </c>
      <c r="L47" s="1101">
        <f>I47+K47</f>
        <v>3481000</v>
      </c>
      <c r="M47" s="83"/>
      <c r="N47" s="83"/>
      <c r="O47" s="1089"/>
      <c r="P47" s="154" t="s">
        <v>1537</v>
      </c>
      <c r="Q47" s="648">
        <v>0.121</v>
      </c>
      <c r="R47" s="1000"/>
      <c r="T47" s="62"/>
      <c r="U47" s="62"/>
    </row>
    <row r="48" spans="1:23" ht="18">
      <c r="A48" s="99" t="s">
        <v>132</v>
      </c>
      <c r="B48" s="99"/>
      <c r="C48" s="85"/>
      <c r="D48" s="85"/>
      <c r="E48" s="85"/>
      <c r="F48" s="85"/>
      <c r="G48" s="83"/>
      <c r="H48" s="124"/>
      <c r="I48" s="92">
        <v>0</v>
      </c>
      <c r="J48" s="85"/>
      <c r="K48" s="1002">
        <v>8619200</v>
      </c>
      <c r="L48" s="1102">
        <f>I48+K48</f>
        <v>8619200</v>
      </c>
      <c r="M48" s="83"/>
      <c r="N48" s="83"/>
      <c r="O48" s="1089"/>
      <c r="P48" s="155" t="s">
        <v>1538</v>
      </c>
      <c r="Q48" s="650">
        <f>Q47</f>
        <v>0.121</v>
      </c>
      <c r="R48" s="649">
        <f>-Q48*Q27</f>
        <v>-13915000</v>
      </c>
      <c r="T48" s="62"/>
      <c r="U48" s="62"/>
    </row>
    <row r="49" spans="1:23" ht="18">
      <c r="A49" s="126"/>
      <c r="B49" s="112" t="s">
        <v>133</v>
      </c>
      <c r="C49" s="127"/>
      <c r="D49" s="127"/>
      <c r="E49" s="127"/>
      <c r="F49" s="127"/>
      <c r="G49" s="113"/>
      <c r="H49" s="115"/>
      <c r="I49" s="135">
        <f>SUM(I47:I48)</f>
        <v>0</v>
      </c>
      <c r="J49" s="136">
        <f>SUM(J47:J48)</f>
        <v>0</v>
      </c>
      <c r="K49" s="137">
        <f>SUM(K47:K48)</f>
        <v>12100200</v>
      </c>
      <c r="L49" s="135">
        <f>SUM(L47:L48)</f>
        <v>12100200</v>
      </c>
      <c r="M49" s="96"/>
      <c r="N49" s="94"/>
      <c r="P49" s="155" t="s">
        <v>668</v>
      </c>
      <c r="Q49" s="650">
        <f>Q48</f>
        <v>0.121</v>
      </c>
      <c r="R49" s="649">
        <f>-Q49*Q28</f>
        <v>-14895100</v>
      </c>
      <c r="T49" s="62"/>
      <c r="U49" s="62"/>
    </row>
    <row r="50" spans="1:23" s="46" customFormat="1" ht="18">
      <c r="A50" s="119" t="s">
        <v>134</v>
      </c>
      <c r="B50" s="119"/>
      <c r="C50" s="83"/>
      <c r="D50" s="83"/>
      <c r="E50" s="83"/>
      <c r="F50" s="83"/>
      <c r="G50" s="83"/>
      <c r="H50" s="115"/>
      <c r="I50" s="138"/>
      <c r="J50" s="83"/>
      <c r="K50" s="139"/>
      <c r="L50" s="97"/>
      <c r="M50" s="96"/>
      <c r="N50" s="94"/>
      <c r="O50"/>
      <c r="P50" s="155" t="s">
        <v>1539</v>
      </c>
      <c r="Q50" s="650">
        <f>Q49</f>
        <v>0.121</v>
      </c>
      <c r="R50" s="649">
        <f>-Q50*(Q35+Q37)*0.95</f>
        <v>-10288025</v>
      </c>
      <c r="T50" s="62"/>
      <c r="U50" s="62"/>
      <c r="V50"/>
      <c r="W50"/>
    </row>
    <row r="51" spans="1:23" ht="18">
      <c r="A51" s="99"/>
      <c r="B51" s="99" t="s">
        <v>456</v>
      </c>
      <c r="C51" s="85"/>
      <c r="D51" s="85"/>
      <c r="E51" s="85"/>
      <c r="F51" s="85"/>
      <c r="G51" s="83"/>
      <c r="H51" s="124"/>
      <c r="I51" s="1003"/>
      <c r="J51" s="1004">
        <v>11960600</v>
      </c>
      <c r="K51" s="1005">
        <v>43000000</v>
      </c>
      <c r="L51" s="1004">
        <f>I51+K51</f>
        <v>43000000</v>
      </c>
      <c r="M51" s="86"/>
      <c r="N51" s="83"/>
      <c r="P51" s="155" t="s">
        <v>670</v>
      </c>
      <c r="Q51" s="154"/>
      <c r="R51" s="649">
        <v>-1700000</v>
      </c>
      <c r="T51" s="62"/>
      <c r="U51" s="62"/>
    </row>
    <row r="52" spans="1:23" ht="18">
      <c r="A52" s="99"/>
      <c r="B52" s="99" t="s">
        <v>135</v>
      </c>
      <c r="C52" s="85"/>
      <c r="D52" s="85"/>
      <c r="E52" s="85"/>
      <c r="F52" s="85"/>
      <c r="G52" s="83"/>
      <c r="H52" s="124"/>
      <c r="I52" s="140"/>
      <c r="J52" s="1004"/>
      <c r="K52" s="1005">
        <v>-1720000</v>
      </c>
      <c r="L52" s="1004">
        <f>I52+K52</f>
        <v>-1720000</v>
      </c>
      <c r="M52" s="86"/>
      <c r="N52" s="83"/>
      <c r="P52" s="652" t="s">
        <v>11</v>
      </c>
      <c r="Q52" s="653"/>
      <c r="R52" s="654">
        <f>R47+R48+R49+R51+R50</f>
        <v>-40798125</v>
      </c>
      <c r="T52" s="52"/>
      <c r="U52" s="62"/>
    </row>
    <row r="53" spans="1:23" ht="18">
      <c r="B53" s="99" t="s">
        <v>1324</v>
      </c>
      <c r="C53" s="85"/>
      <c r="D53" s="85"/>
      <c r="E53" s="85"/>
      <c r="F53" s="85"/>
      <c r="G53" s="83"/>
      <c r="H53" s="124"/>
      <c r="I53" s="140">
        <v>600000</v>
      </c>
      <c r="J53" s="1006"/>
      <c r="K53" s="1001">
        <v>16397500</v>
      </c>
      <c r="L53" s="1004">
        <f>31765000+632700-L49-L54</f>
        <v>16997500</v>
      </c>
      <c r="M53" s="86"/>
      <c r="N53" s="83"/>
      <c r="O53" s="12">
        <f>I53+K53</f>
        <v>16997500</v>
      </c>
      <c r="T53" s="62"/>
      <c r="U53" s="62"/>
    </row>
    <row r="54" spans="1:23" ht="18">
      <c r="A54" s="99"/>
      <c r="B54" s="99" t="s">
        <v>1325</v>
      </c>
      <c r="C54" s="85"/>
      <c r="D54" s="85"/>
      <c r="E54" s="85"/>
      <c r="F54" s="85"/>
      <c r="G54" s="83"/>
      <c r="H54" s="124"/>
      <c r="I54" s="140"/>
      <c r="J54" s="1006"/>
      <c r="K54" s="1001">
        <v>3300000</v>
      </c>
      <c r="L54" s="1004">
        <f>I54+K54</f>
        <v>3300000</v>
      </c>
      <c r="M54" s="86"/>
      <c r="N54" s="83"/>
      <c r="P54" s="12"/>
      <c r="Q54" s="12"/>
      <c r="T54" s="62"/>
      <c r="U54" s="62"/>
    </row>
    <row r="55" spans="1:23" ht="18">
      <c r="A55" s="99" t="s">
        <v>174</v>
      </c>
      <c r="B55" s="99" t="s">
        <v>136</v>
      </c>
      <c r="C55" s="85"/>
      <c r="D55" s="85"/>
      <c r="E55" s="85"/>
      <c r="F55" s="85"/>
      <c r="G55" s="83"/>
      <c r="H55" s="124"/>
      <c r="I55" s="1007">
        <v>6562500</v>
      </c>
      <c r="J55" s="1006"/>
      <c r="K55" s="1001">
        <v>0</v>
      </c>
      <c r="L55" s="1004">
        <f>I55+K55</f>
        <v>6562500</v>
      </c>
      <c r="M55" s="86"/>
      <c r="N55" s="83"/>
      <c r="Q55" s="12"/>
      <c r="T55" s="62"/>
      <c r="U55" s="62"/>
    </row>
    <row r="56" spans="1:23" ht="18">
      <c r="A56" s="99"/>
      <c r="B56" s="99" t="s">
        <v>137</v>
      </c>
      <c r="C56" s="85"/>
      <c r="D56" s="85"/>
      <c r="E56" s="85"/>
      <c r="F56" s="85"/>
      <c r="G56" s="83"/>
      <c r="H56" s="124"/>
      <c r="I56" s="1007">
        <v>1072584</v>
      </c>
      <c r="J56" s="1006"/>
      <c r="K56" s="1001">
        <v>0</v>
      </c>
      <c r="L56" s="1004">
        <v>1072584</v>
      </c>
      <c r="M56" s="86"/>
      <c r="N56" s="83"/>
      <c r="T56" s="62"/>
      <c r="U56" s="62"/>
    </row>
    <row r="57" spans="1:23" ht="18">
      <c r="A57" s="126"/>
      <c r="B57" s="112" t="s">
        <v>138</v>
      </c>
      <c r="C57" s="127"/>
      <c r="D57" s="127"/>
      <c r="E57" s="127"/>
      <c r="F57" s="127"/>
      <c r="G57" s="84"/>
      <c r="H57" s="124"/>
      <c r="I57" s="128">
        <f>SUM(I51:I56)</f>
        <v>8235084</v>
      </c>
      <c r="J57" s="127"/>
      <c r="K57" s="128">
        <f>SUM(K51:K56)</f>
        <v>60977500</v>
      </c>
      <c r="L57" s="128">
        <f>SUM(L51:L56)</f>
        <v>69212584</v>
      </c>
      <c r="M57" s="96"/>
      <c r="N57" s="94"/>
      <c r="O57" s="12">
        <f>SUM(L32)+L26+L34+L35</f>
        <v>3952508</v>
      </c>
      <c r="T57" s="62"/>
      <c r="U57" s="62"/>
    </row>
    <row r="58" spans="1:23" ht="18">
      <c r="A58" s="99"/>
      <c r="B58" s="99"/>
      <c r="C58" s="85"/>
      <c r="D58" s="85"/>
      <c r="E58" s="85"/>
      <c r="F58" s="85"/>
      <c r="G58" s="83"/>
      <c r="H58" s="124"/>
      <c r="I58" s="123"/>
      <c r="J58" s="85"/>
      <c r="K58" s="90"/>
      <c r="L58" s="141"/>
      <c r="M58" s="142"/>
      <c r="N58" s="101"/>
      <c r="O58" s="12">
        <f>SUM(L30,L28,L33)</f>
        <v>640724.73</v>
      </c>
      <c r="T58" s="62"/>
      <c r="U58" s="62"/>
    </row>
    <row r="59" spans="1:23" ht="18">
      <c r="A59" s="111" t="s">
        <v>139</v>
      </c>
      <c r="B59" s="113"/>
      <c r="C59" s="127"/>
      <c r="D59" s="127"/>
      <c r="E59" s="127"/>
      <c r="F59" s="127"/>
      <c r="G59" s="84"/>
      <c r="H59" s="124"/>
      <c r="I59" s="128">
        <f>+I37+I43+I45+I49+I57</f>
        <v>486318794</v>
      </c>
      <c r="J59" s="127"/>
      <c r="K59" s="129">
        <f>+K37+K43+K45+K49+K57</f>
        <v>95289542.098571435</v>
      </c>
      <c r="L59" s="136">
        <f>+L37+L43+L45+L49+L57</f>
        <v>581608334.94857144</v>
      </c>
      <c r="M59" s="143"/>
      <c r="N59" s="144"/>
      <c r="T59" s="62"/>
      <c r="U59" s="62"/>
    </row>
    <row r="60" spans="1:23" ht="16.5">
      <c r="A60" s="63"/>
      <c r="B60" s="78"/>
      <c r="C60" s="145"/>
      <c r="D60" s="145"/>
      <c r="E60" s="145"/>
      <c r="F60" s="145"/>
      <c r="G60" s="145"/>
      <c r="H60" s="47"/>
      <c r="I60" s="46"/>
      <c r="J60" s="46"/>
      <c r="K60" s="12"/>
      <c r="M60" s="47"/>
      <c r="N60" s="47"/>
      <c r="T60" s="47"/>
      <c r="U60" s="47"/>
      <c r="V60" s="47"/>
      <c r="W60" s="47"/>
    </row>
    <row r="61" spans="1:23" ht="18">
      <c r="I61" s="104"/>
      <c r="J61" s="104"/>
      <c r="K61" s="125"/>
      <c r="L61" s="350"/>
      <c r="M61" s="131"/>
      <c r="N61" s="131"/>
      <c r="P61" s="12"/>
      <c r="S61" s="83"/>
      <c r="T61" s="54"/>
      <c r="U61" s="54"/>
      <c r="V61" s="54"/>
      <c r="W61" s="54"/>
    </row>
    <row r="62" spans="1:23" ht="18">
      <c r="I62" s="89"/>
      <c r="J62" s="104"/>
      <c r="K62" s="350"/>
      <c r="L62" s="131"/>
      <c r="M62" s="131"/>
      <c r="N62" s="131"/>
      <c r="P62" s="103"/>
      <c r="Q62" s="105"/>
      <c r="R62" s="100"/>
      <c r="S62" s="62"/>
    </row>
    <row r="63" spans="1:23">
      <c r="I63" s="104"/>
      <c r="J63" s="104"/>
      <c r="K63" s="125"/>
      <c r="L63" s="131"/>
      <c r="M63" s="131"/>
      <c r="N63" s="131"/>
      <c r="P63" s="131"/>
      <c r="Q63" s="62"/>
      <c r="R63" s="62"/>
      <c r="S63" s="62"/>
    </row>
    <row r="64" spans="1:23">
      <c r="G64"/>
      <c r="H64" s="146"/>
      <c r="I64" s="62"/>
      <c r="J64" s="104"/>
      <c r="K64" s="125"/>
      <c r="L64" s="131"/>
      <c r="M64" s="131"/>
      <c r="N64" s="131"/>
      <c r="P64" s="131"/>
      <c r="Q64" s="62"/>
      <c r="R64" s="62"/>
      <c r="S64" s="62"/>
    </row>
    <row r="65" spans="7:19">
      <c r="G65"/>
      <c r="I65" s="104"/>
      <c r="J65" s="104"/>
      <c r="K65" s="104"/>
      <c r="L65" s="131"/>
      <c r="M65" s="131"/>
      <c r="N65" s="131"/>
      <c r="P65" s="131"/>
      <c r="Q65" s="62"/>
      <c r="R65" s="62"/>
      <c r="S65" s="62"/>
    </row>
    <row r="66" spans="7:19">
      <c r="G66"/>
      <c r="I66" s="104"/>
      <c r="J66" s="104"/>
      <c r="K66" s="104"/>
      <c r="L66" s="131"/>
      <c r="M66" s="131"/>
      <c r="N66" s="131"/>
      <c r="P66" s="131"/>
      <c r="Q66" s="62"/>
      <c r="R66" s="62"/>
      <c r="S66" s="62"/>
    </row>
    <row r="67" spans="7:19">
      <c r="G67"/>
      <c r="I67" s="104"/>
      <c r="J67" s="104"/>
      <c r="K67" s="125"/>
      <c r="L67" s="131"/>
      <c r="M67" s="131"/>
      <c r="N67" s="131"/>
      <c r="P67" s="131"/>
      <c r="Q67" s="62"/>
      <c r="R67" s="62"/>
      <c r="S67" s="62"/>
    </row>
    <row r="68" spans="7:19">
      <c r="G68"/>
      <c r="I68" s="104"/>
      <c r="J68" s="104"/>
      <c r="K68" s="104"/>
      <c r="L68" s="131"/>
      <c r="M68" s="131"/>
      <c r="N68" s="131"/>
      <c r="P68" s="131"/>
      <c r="Q68" s="62"/>
      <c r="R68" s="62"/>
      <c r="S68" s="62"/>
    </row>
    <row r="69" spans="7:19">
      <c r="G69"/>
      <c r="I69" s="104"/>
      <c r="J69" s="104"/>
      <c r="K69" s="104"/>
      <c r="L69" s="131"/>
      <c r="M69" s="131"/>
      <c r="N69" s="131"/>
      <c r="P69" s="131"/>
      <c r="Q69" s="62"/>
      <c r="R69" s="62"/>
      <c r="S69" s="62"/>
    </row>
    <row r="70" spans="7:19">
      <c r="G70"/>
      <c r="I70" s="104"/>
      <c r="J70" s="104"/>
      <c r="K70" s="104"/>
      <c r="L70" s="131"/>
      <c r="M70" s="131"/>
      <c r="N70" s="131"/>
      <c r="P70" s="131"/>
      <c r="Q70" s="62"/>
      <c r="R70" s="62"/>
      <c r="S70" s="62"/>
    </row>
    <row r="71" spans="7:19">
      <c r="G71"/>
      <c r="I71" s="104"/>
      <c r="J71" s="104"/>
      <c r="K71" s="104"/>
      <c r="L71" s="131"/>
      <c r="M71" s="131"/>
      <c r="N71" s="131"/>
      <c r="P71" s="131"/>
      <c r="Q71" s="62"/>
      <c r="R71" s="62"/>
      <c r="S71" s="62"/>
    </row>
    <row r="72" spans="7:19">
      <c r="G72"/>
      <c r="I72" s="104"/>
      <c r="J72" s="104"/>
      <c r="K72" s="104"/>
      <c r="L72" s="125"/>
      <c r="M72" s="125"/>
      <c r="N72" s="125"/>
      <c r="P72" s="131"/>
      <c r="Q72" s="62"/>
      <c r="R72" s="62"/>
      <c r="S72" s="62"/>
    </row>
    <row r="73" spans="7:19">
      <c r="G73"/>
      <c r="I73" s="62"/>
      <c r="J73" s="62"/>
      <c r="K73" s="62"/>
      <c r="L73" s="147"/>
      <c r="M73" s="147"/>
      <c r="N73" s="147"/>
      <c r="P73" s="125"/>
      <c r="Q73" s="62"/>
      <c r="R73" s="62"/>
      <c r="S73" s="62"/>
    </row>
    <row r="74" spans="7:19">
      <c r="G74"/>
      <c r="I74" s="62"/>
      <c r="J74" s="62"/>
      <c r="K74" s="62"/>
      <c r="L74" s="147"/>
      <c r="M74" s="147"/>
      <c r="N74" s="147"/>
      <c r="P74" s="147"/>
      <c r="Q74" s="62"/>
      <c r="R74" s="62"/>
    </row>
    <row r="75" spans="7:19">
      <c r="G75"/>
      <c r="I75" s="62"/>
      <c r="J75" s="62"/>
      <c r="K75" s="62"/>
      <c r="L75" s="62"/>
      <c r="M75" s="62"/>
      <c r="N75" s="62"/>
      <c r="P75" s="147"/>
    </row>
    <row r="76" spans="7:19">
      <c r="G76"/>
      <c r="I76" s="62"/>
      <c r="J76" s="62"/>
      <c r="K76" s="62"/>
      <c r="L76" s="62"/>
      <c r="M76" s="62"/>
      <c r="N76" s="62"/>
      <c r="P76" s="62"/>
    </row>
    <row r="77" spans="7:19">
      <c r="G77"/>
      <c r="I77" s="62"/>
      <c r="J77" s="62"/>
      <c r="K77" s="62"/>
      <c r="L77" s="62"/>
      <c r="M77" s="62"/>
      <c r="N77" s="62"/>
      <c r="P77" s="62"/>
    </row>
    <row r="78" spans="7:19">
      <c r="G78"/>
      <c r="I78" s="62"/>
      <c r="J78" s="62"/>
      <c r="K78" s="62"/>
      <c r="L78" s="62"/>
      <c r="M78" s="62"/>
      <c r="N78" s="62"/>
      <c r="P78" s="62"/>
    </row>
    <row r="79" spans="7:19">
      <c r="G79"/>
      <c r="I79" s="62"/>
      <c r="J79" s="62"/>
      <c r="K79" s="62"/>
      <c r="L79" s="62"/>
      <c r="M79" s="62"/>
      <c r="N79" s="62"/>
      <c r="P79" s="62"/>
    </row>
    <row r="80" spans="7:19">
      <c r="G80"/>
      <c r="I80" s="62"/>
      <c r="J80" s="62"/>
      <c r="K80" s="62"/>
      <c r="L80" s="62"/>
      <c r="M80" s="62"/>
      <c r="N80" s="62"/>
      <c r="P80" s="62"/>
    </row>
    <row r="81" spans="7:16">
      <c r="G81"/>
      <c r="I81" s="62"/>
      <c r="J81" s="62"/>
      <c r="K81" s="62"/>
      <c r="L81" s="62"/>
      <c r="M81" s="62"/>
      <c r="N81" s="62"/>
      <c r="P81" s="62"/>
    </row>
    <row r="82" spans="7:16">
      <c r="G82"/>
      <c r="I82" s="62"/>
      <c r="J82" s="62"/>
      <c r="K82" s="62"/>
      <c r="L82" s="62"/>
      <c r="M82" s="62"/>
      <c r="N82" s="62"/>
      <c r="P82" s="62"/>
    </row>
    <row r="83" spans="7:16">
      <c r="G83"/>
      <c r="I83" s="62"/>
      <c r="J83" s="62"/>
      <c r="K83" s="62"/>
      <c r="L83" s="62"/>
      <c r="M83" s="62"/>
      <c r="N83" s="62"/>
      <c r="P83" s="62"/>
    </row>
    <row r="84" spans="7:16">
      <c r="G84"/>
      <c r="I84" s="62"/>
      <c r="J84" s="62"/>
      <c r="K84" s="62"/>
      <c r="L84" s="62"/>
      <c r="M84" s="62"/>
      <c r="N84" s="62"/>
      <c r="P84" s="62"/>
    </row>
    <row r="85" spans="7:16">
      <c r="G85"/>
      <c r="I85" s="62"/>
      <c r="J85" s="62"/>
      <c r="K85" s="62"/>
      <c r="L85" s="62"/>
      <c r="M85" s="62"/>
      <c r="N85" s="62"/>
      <c r="P85" s="62"/>
    </row>
    <row r="86" spans="7:16">
      <c r="G86"/>
      <c r="P86" s="62"/>
    </row>
  </sheetData>
  <mergeCells count="3">
    <mergeCell ref="A1:D1"/>
    <mergeCell ref="A2:D2"/>
    <mergeCell ref="I1:L1"/>
  </mergeCells>
  <phoneticPr fontId="52" type="noConversion"/>
  <pageMargins left="0.75" right="0.75" top="1" bottom="1" header="0.5" footer="0.5"/>
  <pageSetup scale="49" orientation="portrait" horizontalDpi="4294967292" verticalDpi="4294967292"/>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C71"/>
  <sheetViews>
    <sheetView topLeftCell="A14" workbookViewId="0">
      <selection activeCell="O24" sqref="O24:O26"/>
    </sheetView>
  </sheetViews>
  <sheetFormatPr defaultColWidth="11" defaultRowHeight="15.75"/>
  <cols>
    <col min="1" max="1" width="36.125" customWidth="1"/>
    <col min="2" max="2" width="11.125" customWidth="1"/>
    <col min="3" max="4" width="11.5" customWidth="1"/>
    <col min="5" max="5" width="15.625" customWidth="1"/>
    <col min="6" max="6" width="3.375" customWidth="1"/>
    <col min="7" max="10" width="11" customWidth="1"/>
    <col min="11" max="11" width="3.625" customWidth="1"/>
    <col min="12" max="12" width="16.125" customWidth="1"/>
    <col min="13" max="13" width="5.375" customWidth="1"/>
    <col min="14" max="14" width="12.625" customWidth="1"/>
    <col min="15" max="17" width="11" customWidth="1"/>
    <col min="18" max="18" width="12.375" customWidth="1"/>
    <col min="19" max="19" width="11" customWidth="1"/>
    <col min="20" max="20" width="12" customWidth="1"/>
    <col min="21" max="21" width="3.125" customWidth="1"/>
    <col min="22" max="22" width="13.875" customWidth="1"/>
    <col min="23" max="23" width="7.875" customWidth="1"/>
    <col min="24" max="24" width="12.875" customWidth="1"/>
    <col min="25" max="25" width="13.625" bestFit="1" customWidth="1"/>
    <col min="26" max="26" width="12.875" customWidth="1"/>
    <col min="27" max="27" width="20.375" customWidth="1"/>
    <col min="28" max="28" width="11.625" bestFit="1" customWidth="1"/>
    <col min="30" max="30" width="2.125" customWidth="1"/>
  </cols>
  <sheetData>
    <row r="1" spans="1:29" ht="16.5" thickBot="1">
      <c r="A1" s="175" t="s">
        <v>62</v>
      </c>
      <c r="B1" s="175"/>
      <c r="C1" s="175"/>
      <c r="D1" s="175"/>
      <c r="E1" s="175"/>
      <c r="F1" s="175"/>
      <c r="G1" s="175"/>
      <c r="H1" s="175"/>
      <c r="I1" s="175"/>
      <c r="J1" s="175"/>
      <c r="K1" s="175"/>
      <c r="L1" s="818" t="s">
        <v>754</v>
      </c>
      <c r="M1" s="819"/>
      <c r="N1" s="820">
        <f>'Dashboard-Academic Allocation'!C12</f>
        <v>7.3999999999999996E-2</v>
      </c>
      <c r="O1" s="175"/>
      <c r="P1" s="175"/>
      <c r="Q1" s="175"/>
      <c r="R1" s="175"/>
      <c r="S1" s="175"/>
      <c r="U1" s="175"/>
      <c r="V1" s="175"/>
      <c r="W1" s="175"/>
      <c r="X1" s="175"/>
      <c r="Y1" s="175"/>
      <c r="Z1" s="175"/>
      <c r="AA1" s="165"/>
      <c r="AB1" s="165"/>
    </row>
    <row r="2" spans="1:29">
      <c r="A2" s="175" t="s">
        <v>1478</v>
      </c>
      <c r="B2" s="175"/>
      <c r="C2" s="175"/>
      <c r="D2" s="175"/>
      <c r="E2" s="175"/>
      <c r="F2" s="175"/>
      <c r="G2" s="175"/>
      <c r="H2" s="175"/>
      <c r="I2" s="175"/>
      <c r="J2" s="175"/>
      <c r="K2" s="175"/>
      <c r="L2" s="175"/>
      <c r="M2" s="175"/>
      <c r="N2" s="1014"/>
      <c r="O2" s="175"/>
      <c r="P2" s="1627"/>
      <c r="Q2" s="1628"/>
      <c r="R2" s="1627"/>
      <c r="S2" s="1627"/>
      <c r="T2" s="1627"/>
      <c r="U2" s="175"/>
      <c r="V2" s="202" t="s">
        <v>177</v>
      </c>
      <c r="W2" s="203"/>
      <c r="X2" s="207">
        <f>'Step 0 FY18 Revenue'!L59</f>
        <v>581608334.94857144</v>
      </c>
      <c r="Y2" s="175"/>
      <c r="Z2" s="175"/>
      <c r="AA2" s="165"/>
      <c r="AB2" s="165"/>
    </row>
    <row r="3" spans="1:29" ht="16.5" thickBot="1">
      <c r="A3" s="175"/>
      <c r="B3" s="175"/>
      <c r="C3" s="175"/>
      <c r="D3" s="175"/>
      <c r="E3" s="175"/>
      <c r="F3" s="175"/>
      <c r="G3" s="175"/>
      <c r="H3" s="175"/>
      <c r="I3" s="175"/>
      <c r="J3" s="175"/>
      <c r="K3" s="175"/>
      <c r="L3" s="175"/>
      <c r="M3" s="175"/>
      <c r="N3" s="175" t="s">
        <v>1576</v>
      </c>
      <c r="O3" s="1113">
        <f>N1</f>
        <v>7.3999999999999996E-2</v>
      </c>
      <c r="P3" s="1113">
        <v>0</v>
      </c>
      <c r="Q3" s="1113">
        <v>0</v>
      </c>
      <c r="R3" s="1113">
        <f>N1</f>
        <v>7.3999999999999996E-2</v>
      </c>
      <c r="S3" s="1113">
        <f>N1</f>
        <v>7.3999999999999996E-2</v>
      </c>
      <c r="T3" s="1113">
        <v>0</v>
      </c>
      <c r="U3" s="175"/>
      <c r="V3" s="204" t="s">
        <v>178</v>
      </c>
      <c r="W3" s="205"/>
      <c r="X3" s="206">
        <f>X2-V59</f>
        <v>439093662.53790474</v>
      </c>
      <c r="Y3" s="175"/>
      <c r="Z3" s="175"/>
    </row>
    <row r="4" spans="1:29">
      <c r="A4" s="176"/>
      <c r="B4" s="1780" t="s">
        <v>168</v>
      </c>
      <c r="C4" s="1780"/>
      <c r="D4" s="1780"/>
      <c r="E4" s="1780"/>
      <c r="F4" s="196"/>
      <c r="G4" s="1781" t="s">
        <v>169</v>
      </c>
      <c r="H4" s="1781"/>
      <c r="I4" s="1781"/>
      <c r="J4" s="1781"/>
      <c r="K4" s="196"/>
      <c r="L4" s="195" t="s">
        <v>170</v>
      </c>
      <c r="M4" s="176"/>
      <c r="N4" s="1782" t="s">
        <v>154</v>
      </c>
      <c r="O4" s="1782"/>
      <c r="P4" s="1782"/>
      <c r="Q4" s="1782"/>
      <c r="R4" s="1782"/>
      <c r="S4" s="1782"/>
      <c r="T4" s="1782"/>
      <c r="U4" s="176"/>
      <c r="V4" s="176"/>
      <c r="W4" s="176"/>
      <c r="X4" s="1096"/>
      <c r="Y4" s="176"/>
      <c r="Z4" s="176"/>
    </row>
    <row r="5" spans="1:29" s="188" customFormat="1" ht="63.75">
      <c r="A5" s="186" t="s">
        <v>69</v>
      </c>
      <c r="B5" s="237" t="s">
        <v>175</v>
      </c>
      <c r="C5" s="237" t="s">
        <v>738</v>
      </c>
      <c r="D5" s="231" t="s">
        <v>672</v>
      </c>
      <c r="E5" s="231" t="s">
        <v>1554</v>
      </c>
      <c r="F5" s="231"/>
      <c r="G5" s="231" t="s">
        <v>159</v>
      </c>
      <c r="H5" s="231" t="s">
        <v>160</v>
      </c>
      <c r="I5" s="231" t="s">
        <v>161</v>
      </c>
      <c r="J5" s="231" t="s">
        <v>162</v>
      </c>
      <c r="K5" s="231"/>
      <c r="L5" s="231" t="s">
        <v>155</v>
      </c>
      <c r="M5" s="231"/>
      <c r="N5" s="237" t="s">
        <v>167</v>
      </c>
      <c r="O5" s="237" t="s">
        <v>156</v>
      </c>
      <c r="P5" s="237" t="s">
        <v>1477</v>
      </c>
      <c r="Q5" s="237" t="s">
        <v>886</v>
      </c>
      <c r="R5" s="237" t="s">
        <v>157</v>
      </c>
      <c r="S5" s="237" t="s">
        <v>158</v>
      </c>
      <c r="T5" s="237" t="s">
        <v>176</v>
      </c>
      <c r="V5" s="231" t="s">
        <v>1476</v>
      </c>
      <c r="W5" s="1140"/>
      <c r="X5" s="1141" t="s">
        <v>1031</v>
      </c>
      <c r="Y5" s="231" t="s">
        <v>1032</v>
      </c>
      <c r="AA5"/>
      <c r="AB5"/>
      <c r="AC5"/>
    </row>
    <row r="6" spans="1:29">
      <c r="A6" s="177" t="s">
        <v>479</v>
      </c>
      <c r="B6" s="44"/>
      <c r="C6" s="44"/>
      <c r="D6" s="44"/>
      <c r="E6" s="44"/>
      <c r="F6" s="44"/>
      <c r="G6" s="44"/>
      <c r="H6" s="44"/>
      <c r="I6" s="44"/>
      <c r="J6" s="44"/>
      <c r="K6" s="44"/>
      <c r="L6" s="44"/>
      <c r="M6" s="44"/>
      <c r="N6" s="44"/>
      <c r="O6" s="43"/>
      <c r="P6" s="43"/>
      <c r="Q6" s="43"/>
      <c r="R6" s="44"/>
      <c r="S6" s="45"/>
      <c r="T6" s="166"/>
      <c r="V6" s="44">
        <f t="shared" ref="V6:V12" si="0">SUM(B6:T6)</f>
        <v>0</v>
      </c>
      <c r="W6" s="167"/>
      <c r="X6" s="1765">
        <v>55820357</v>
      </c>
      <c r="Y6" s="1765">
        <v>60329649</v>
      </c>
      <c r="Z6" s="12"/>
    </row>
    <row r="7" spans="1:29">
      <c r="A7" s="177" t="s">
        <v>486</v>
      </c>
      <c r="B7" s="44"/>
      <c r="C7" s="44"/>
      <c r="D7" s="44"/>
      <c r="E7" s="44"/>
      <c r="F7" s="44"/>
      <c r="G7" s="44"/>
      <c r="H7" s="44"/>
      <c r="I7" s="44"/>
      <c r="J7" s="44"/>
      <c r="K7" s="44"/>
      <c r="L7" s="44"/>
      <c r="M7" s="44"/>
      <c r="N7" s="43">
        <f>-R3*R7</f>
        <v>-270100</v>
      </c>
      <c r="O7" s="43">
        <v>0</v>
      </c>
      <c r="P7" s="43"/>
      <c r="Q7" s="43"/>
      <c r="R7" s="381">
        <v>3650000</v>
      </c>
      <c r="S7" s="1415">
        <v>0</v>
      </c>
      <c r="T7" s="166"/>
      <c r="V7" s="44">
        <f t="shared" si="0"/>
        <v>3379900</v>
      </c>
      <c r="W7" s="167"/>
      <c r="X7" s="1766"/>
      <c r="Y7" s="1766"/>
      <c r="Z7" s="12"/>
      <c r="AA7" s="12"/>
      <c r="AC7" s="167"/>
    </row>
    <row r="8" spans="1:29">
      <c r="A8" s="177" t="s">
        <v>735</v>
      </c>
      <c r="B8" s="44"/>
      <c r="C8" s="44"/>
      <c r="D8" s="44"/>
      <c r="E8" s="44"/>
      <c r="F8" s="44"/>
      <c r="G8" s="44"/>
      <c r="H8" s="44"/>
      <c r="I8" s="44"/>
      <c r="J8" s="44"/>
      <c r="K8" s="44"/>
      <c r="L8" s="44"/>
      <c r="M8" s="44"/>
      <c r="N8" s="43"/>
      <c r="O8" s="43"/>
      <c r="P8" s="43"/>
      <c r="Q8" s="43"/>
      <c r="R8" s="381"/>
      <c r="S8" s="45"/>
      <c r="T8" s="166"/>
      <c r="V8" s="44">
        <f>SUM(B8:T8)</f>
        <v>0</v>
      </c>
      <c r="W8" s="167"/>
      <c r="X8" s="1766"/>
      <c r="Y8" s="1766"/>
      <c r="AA8" s="12"/>
      <c r="AC8" s="167"/>
    </row>
    <row r="9" spans="1:29">
      <c r="A9" s="177" t="s">
        <v>753</v>
      </c>
      <c r="B9" s="44"/>
      <c r="C9" s="44"/>
      <c r="D9" s="44"/>
      <c r="E9" s="44"/>
      <c r="F9" s="44"/>
      <c r="G9" s="44"/>
      <c r="H9" s="44"/>
      <c r="I9" s="44"/>
      <c r="J9" s="44"/>
      <c r="K9" s="44"/>
      <c r="L9" s="44"/>
      <c r="M9" s="44"/>
      <c r="N9" s="43"/>
      <c r="O9" s="43"/>
      <c r="P9" s="43">
        <v>10000000</v>
      </c>
      <c r="Q9" s="43"/>
      <c r="R9" s="381"/>
      <c r="S9" s="45"/>
      <c r="T9" s="166"/>
      <c r="V9" s="44">
        <f t="shared" si="0"/>
        <v>10000000</v>
      </c>
      <c r="W9" s="167"/>
      <c r="X9" s="1766"/>
      <c r="Y9" s="1766"/>
      <c r="AA9" s="1411" t="s">
        <v>1540</v>
      </c>
      <c r="AC9" s="167"/>
    </row>
    <row r="10" spans="1:29" ht="16.5" thickBot="1">
      <c r="A10" s="177" t="s">
        <v>480</v>
      </c>
      <c r="B10" s="44"/>
      <c r="C10" s="44"/>
      <c r="D10" s="44"/>
      <c r="E10" s="44"/>
      <c r="F10" s="44"/>
      <c r="G10" s="44"/>
      <c r="H10" s="44"/>
      <c r="I10" s="44"/>
      <c r="J10" s="44"/>
      <c r="K10" s="44"/>
      <c r="L10" s="44"/>
      <c r="M10" s="44"/>
      <c r="N10" s="43"/>
      <c r="O10" s="43"/>
      <c r="P10" s="43"/>
      <c r="Q10" s="43"/>
      <c r="R10" s="381"/>
      <c r="S10" s="45"/>
      <c r="T10" s="166"/>
      <c r="V10" s="44">
        <f t="shared" si="0"/>
        <v>0</v>
      </c>
      <c r="W10" s="167"/>
      <c r="X10" s="1766"/>
      <c r="Y10" s="1766"/>
      <c r="AB10" s="321" t="s">
        <v>803</v>
      </c>
      <c r="AC10" s="321" t="s">
        <v>1009</v>
      </c>
    </row>
    <row r="11" spans="1:29">
      <c r="A11" s="177" t="s">
        <v>481</v>
      </c>
      <c r="B11" s="44"/>
      <c r="C11" s="44"/>
      <c r="D11" s="44"/>
      <c r="E11" s="44"/>
      <c r="F11" s="44"/>
      <c r="G11" s="44"/>
      <c r="H11" s="44"/>
      <c r="I11" s="44"/>
      <c r="J11" s="44"/>
      <c r="K11" s="44"/>
      <c r="L11" s="44"/>
      <c r="M11" s="44"/>
      <c r="N11" s="44"/>
      <c r="O11" s="43"/>
      <c r="P11" s="43"/>
      <c r="Q11" s="43"/>
      <c r="R11" s="44"/>
      <c r="S11" s="45"/>
      <c r="T11" s="166"/>
      <c r="V11" s="44">
        <f t="shared" si="0"/>
        <v>0</v>
      </c>
      <c r="W11" s="167"/>
      <c r="X11" s="1766"/>
      <c r="Y11" s="1766"/>
      <c r="AA11" s="270" t="s">
        <v>345</v>
      </c>
      <c r="AB11" s="1413">
        <v>1.4E-2</v>
      </c>
      <c r="AC11" s="271">
        <v>0.1891891891891892</v>
      </c>
    </row>
    <row r="12" spans="1:29">
      <c r="A12" s="177" t="s">
        <v>482</v>
      </c>
      <c r="B12" s="44"/>
      <c r="C12" s="44"/>
      <c r="D12" s="44"/>
      <c r="E12" s="44"/>
      <c r="F12" s="44"/>
      <c r="G12" s="44"/>
      <c r="H12" s="44"/>
      <c r="I12" s="44"/>
      <c r="J12" s="44"/>
      <c r="K12" s="44"/>
      <c r="L12" s="44"/>
      <c r="M12" s="44"/>
      <c r="N12" s="44"/>
      <c r="O12" s="43"/>
      <c r="P12" s="43"/>
      <c r="Q12" s="43"/>
      <c r="R12" s="44"/>
      <c r="S12" s="45"/>
      <c r="T12" s="166"/>
      <c r="V12" s="44">
        <f t="shared" si="0"/>
        <v>0</v>
      </c>
      <c r="W12" s="167"/>
      <c r="X12" s="1766"/>
      <c r="Y12" s="1766"/>
      <c r="AA12" s="272" t="s">
        <v>147</v>
      </c>
      <c r="AB12" s="1412">
        <v>2.1999999999999999E-2</v>
      </c>
      <c r="AC12" s="273">
        <v>0.29729729729729731</v>
      </c>
    </row>
    <row r="13" spans="1:29">
      <c r="A13" s="168"/>
      <c r="B13" s="48"/>
      <c r="C13" s="48"/>
      <c r="D13" s="48"/>
      <c r="E13" s="48"/>
      <c r="F13" s="48"/>
      <c r="G13" s="48"/>
      <c r="H13" s="48"/>
      <c r="I13" s="48"/>
      <c r="J13" s="48"/>
      <c r="K13" s="48"/>
      <c r="L13" s="48"/>
      <c r="M13" s="48"/>
      <c r="N13" s="48"/>
      <c r="O13" s="48"/>
      <c r="P13" s="48"/>
      <c r="Q13" s="178"/>
      <c r="R13" s="48"/>
      <c r="S13" s="49"/>
      <c r="T13" s="168"/>
      <c r="V13" s="48"/>
      <c r="W13" s="168"/>
      <c r="X13" s="48"/>
      <c r="Y13" s="48"/>
      <c r="AA13" s="272" t="s">
        <v>14</v>
      </c>
      <c r="AB13" s="1412">
        <v>5.0000000000000001E-3</v>
      </c>
      <c r="AC13" s="273">
        <v>6.7567567567567571E-2</v>
      </c>
    </row>
    <row r="14" spans="1:29">
      <c r="A14" s="51" t="s">
        <v>72</v>
      </c>
      <c r="B14" s="34"/>
      <c r="C14" s="34"/>
      <c r="D14" s="34"/>
      <c r="E14" s="34"/>
      <c r="F14" s="34"/>
      <c r="G14" s="34"/>
      <c r="H14" s="34"/>
      <c r="I14" s="34"/>
      <c r="J14" s="34"/>
      <c r="K14" s="34"/>
      <c r="L14" s="34"/>
      <c r="M14" s="34"/>
      <c r="N14" s="34"/>
      <c r="O14" s="52"/>
      <c r="P14" s="52"/>
      <c r="Q14" s="178"/>
      <c r="R14" s="34"/>
      <c r="S14" s="34"/>
      <c r="T14" s="167"/>
      <c r="V14" s="34"/>
      <c r="W14" s="167"/>
      <c r="X14" s="34"/>
      <c r="Y14" s="53"/>
      <c r="AA14" s="272" t="s">
        <v>406</v>
      </c>
      <c r="AB14" s="1412">
        <v>5.0000000000000001E-3</v>
      </c>
      <c r="AC14" s="273">
        <v>6.7567567567567571E-2</v>
      </c>
    </row>
    <row r="15" spans="1:29">
      <c r="A15" s="1382" t="s">
        <v>1514</v>
      </c>
      <c r="B15" s="34"/>
      <c r="C15" s="34"/>
      <c r="D15" s="34"/>
      <c r="E15" s="34"/>
      <c r="F15" s="34"/>
      <c r="G15" s="34"/>
      <c r="H15" s="34"/>
      <c r="I15" s="34"/>
      <c r="J15" s="34"/>
      <c r="K15" s="34"/>
      <c r="L15" s="34"/>
      <c r="M15" s="34"/>
      <c r="N15" s="34"/>
      <c r="O15" s="52"/>
      <c r="P15" s="52"/>
      <c r="Q15" s="178"/>
      <c r="R15" s="34"/>
      <c r="S15" s="34"/>
      <c r="T15" s="167"/>
      <c r="V15" s="34"/>
      <c r="W15" s="167"/>
      <c r="X15" s="34"/>
      <c r="Y15" s="53"/>
      <c r="AA15" s="272" t="s">
        <v>381</v>
      </c>
      <c r="AB15" s="1412">
        <v>1.0999999999999999E-2</v>
      </c>
      <c r="AC15" s="273">
        <v>0.14864864864864866</v>
      </c>
    </row>
    <row r="16" spans="1:29">
      <c r="A16" s="179" t="s">
        <v>73</v>
      </c>
      <c r="B16" s="44"/>
      <c r="C16" s="44"/>
      <c r="D16" s="44"/>
      <c r="E16" s="44"/>
      <c r="F16" s="44"/>
      <c r="G16" s="44"/>
      <c r="H16" s="44"/>
      <c r="I16" s="44"/>
      <c r="J16" s="44"/>
      <c r="K16" s="44"/>
      <c r="L16" s="182"/>
      <c r="M16" s="44"/>
      <c r="N16" s="43">
        <f>-O$3*O16-Q$3*Q16-R$3*R16-S$3*S16-T$3*T16</f>
        <v>-129925.12999999999</v>
      </c>
      <c r="O16" s="43">
        <v>952508</v>
      </c>
      <c r="P16" s="43"/>
      <c r="Q16" s="43">
        <f>'Differential Tuition Allocation'!F9</f>
        <v>0</v>
      </c>
      <c r="R16" s="44">
        <v>524000</v>
      </c>
      <c r="S16" s="44">
        <v>279237</v>
      </c>
      <c r="T16" s="43">
        <v>1900000</v>
      </c>
      <c r="V16" s="44">
        <f t="shared" ref="V16:V33" si="1">SUM(B16:T16)</f>
        <v>3525819.87</v>
      </c>
      <c r="W16" s="168"/>
      <c r="X16" s="241">
        <v>24815559</v>
      </c>
      <c r="Y16" s="44">
        <v>23973878</v>
      </c>
      <c r="Z16" s="12"/>
      <c r="AA16" s="272" t="s">
        <v>407</v>
      </c>
      <c r="AB16" s="1412">
        <v>1.0999999999999999E-2</v>
      </c>
      <c r="AC16" s="273">
        <v>0.14864864864864866</v>
      </c>
    </row>
    <row r="17" spans="1:29">
      <c r="A17" s="54" t="s">
        <v>74</v>
      </c>
      <c r="B17" s="48"/>
      <c r="C17" s="48"/>
      <c r="D17" s="48"/>
      <c r="E17" s="48"/>
      <c r="F17" s="48"/>
      <c r="G17" s="48"/>
      <c r="H17" s="48"/>
      <c r="I17" s="48"/>
      <c r="J17" s="48"/>
      <c r="K17" s="48"/>
      <c r="L17" s="183"/>
      <c r="M17" s="48"/>
      <c r="N17" s="55">
        <f t="shared" ref="N17:N34" si="2">-O$3*O17-Q$3*Q17-R$3*R17-S$3*S17-T$3*T17</f>
        <v>-27905.178</v>
      </c>
      <c r="O17" s="55">
        <v>0</v>
      </c>
      <c r="P17" s="55"/>
      <c r="Q17" s="55">
        <f>'Differential Tuition Allocation'!F10</f>
        <v>2842647.8739999998</v>
      </c>
      <c r="R17" s="48">
        <v>225000</v>
      </c>
      <c r="S17" s="48">
        <v>152097</v>
      </c>
      <c r="T17" s="55">
        <v>3000</v>
      </c>
      <c r="V17" s="48">
        <f t="shared" si="1"/>
        <v>3194839.696</v>
      </c>
      <c r="W17" s="168"/>
      <c r="X17" s="821">
        <v>20462422</v>
      </c>
      <c r="Y17" s="48">
        <v>20462422</v>
      </c>
      <c r="Z17" s="12"/>
      <c r="AA17" s="272" t="s">
        <v>394</v>
      </c>
      <c r="AB17" s="1412">
        <v>6.0000000000000001E-3</v>
      </c>
      <c r="AC17" s="273">
        <v>8.1081081081081086E-2</v>
      </c>
    </row>
    <row r="18" spans="1:29" ht="16.5" thickBot="1">
      <c r="A18" s="178" t="s">
        <v>75</v>
      </c>
      <c r="B18" s="48"/>
      <c r="C18" s="48"/>
      <c r="D18" s="48"/>
      <c r="E18" s="48"/>
      <c r="F18" s="48"/>
      <c r="G18" s="48"/>
      <c r="H18" s="48"/>
      <c r="I18" s="48"/>
      <c r="J18" s="48"/>
      <c r="K18" s="48"/>
      <c r="L18" s="183"/>
      <c r="M18" s="48"/>
      <c r="N18" s="55">
        <f t="shared" si="2"/>
        <v>-629629.88800000004</v>
      </c>
      <c r="O18" s="55">
        <v>7000000</v>
      </c>
      <c r="P18" s="55"/>
      <c r="Q18" s="55">
        <f>'Differential Tuition Allocation'!F11</f>
        <v>9347387.2766666673</v>
      </c>
      <c r="R18" s="48">
        <v>1431500</v>
      </c>
      <c r="S18" s="48">
        <v>77012</v>
      </c>
      <c r="T18" s="55">
        <v>2300000</v>
      </c>
      <c r="V18" s="48">
        <f>SUM(B18:T18)</f>
        <v>19526269.388666667</v>
      </c>
      <c r="W18" s="168"/>
      <c r="X18" s="821">
        <v>64222079</v>
      </c>
      <c r="Y18" s="48">
        <v>61306607</v>
      </c>
      <c r="Z18" s="12"/>
      <c r="AA18" s="274"/>
      <c r="AB18" s="1414">
        <v>7.3999999999999996E-2</v>
      </c>
      <c r="AC18" s="275">
        <v>1</v>
      </c>
    </row>
    <row r="19" spans="1:29">
      <c r="A19" s="179" t="s">
        <v>76</v>
      </c>
      <c r="B19" s="44"/>
      <c r="C19" s="44"/>
      <c r="D19" s="44"/>
      <c r="E19" s="44"/>
      <c r="F19" s="44"/>
      <c r="G19" s="44"/>
      <c r="H19" s="44"/>
      <c r="I19" s="44"/>
      <c r="J19" s="44"/>
      <c r="K19" s="44"/>
      <c r="L19" s="182"/>
      <c r="M19" s="44"/>
      <c r="N19" s="43">
        <f t="shared" si="2"/>
        <v>-206605.74669999999</v>
      </c>
      <c r="O19" s="43">
        <v>1814888.55</v>
      </c>
      <c r="P19" s="43"/>
      <c r="Q19" s="43">
        <f>'Differential Tuition Allocation'!F12</f>
        <v>107227.7</v>
      </c>
      <c r="R19" s="44">
        <v>542000</v>
      </c>
      <c r="S19" s="44">
        <v>435081</v>
      </c>
      <c r="T19" s="43">
        <v>450000</v>
      </c>
      <c r="V19" s="44">
        <f>SUM(B19:T19)</f>
        <v>3142591.5033</v>
      </c>
      <c r="W19" s="168"/>
      <c r="X19" s="241">
        <v>9355600</v>
      </c>
      <c r="Y19" s="44">
        <v>9355600</v>
      </c>
      <c r="Z19" s="12"/>
      <c r="AA19" s="180"/>
      <c r="AC19" s="167"/>
    </row>
    <row r="20" spans="1:29">
      <c r="A20" s="54" t="s">
        <v>77</v>
      </c>
      <c r="B20" s="48"/>
      <c r="C20" s="48"/>
      <c r="D20" s="48"/>
      <c r="E20" s="48"/>
      <c r="F20" s="48"/>
      <c r="G20" s="48"/>
      <c r="H20" s="48"/>
      <c r="I20" s="48"/>
      <c r="J20" s="48"/>
      <c r="K20" s="48"/>
      <c r="L20" s="183"/>
      <c r="M20" s="48"/>
      <c r="N20" s="55">
        <f t="shared" si="2"/>
        <v>-100853.046</v>
      </c>
      <c r="O20" s="55">
        <v>0</v>
      </c>
      <c r="P20" s="55"/>
      <c r="Q20" s="55">
        <f>'Differential Tuition Allocation'!F13</f>
        <v>0</v>
      </c>
      <c r="R20" s="48">
        <v>1250000</v>
      </c>
      <c r="S20" s="48">
        <v>112879</v>
      </c>
      <c r="T20" s="55">
        <v>900000</v>
      </c>
      <c r="V20" s="48">
        <f>SUM(B20:T20)</f>
        <v>2162025.9539999999</v>
      </c>
      <c r="W20" s="168"/>
      <c r="X20" s="821">
        <v>20440194</v>
      </c>
      <c r="Y20" s="48">
        <v>20440194</v>
      </c>
      <c r="Z20" s="12"/>
      <c r="AA20" s="180"/>
      <c r="AC20" s="167"/>
    </row>
    <row r="21" spans="1:29">
      <c r="A21" s="178" t="s">
        <v>78</v>
      </c>
      <c r="B21" s="48"/>
      <c r="C21" s="48"/>
      <c r="D21" s="48"/>
      <c r="E21" s="48"/>
      <c r="F21" s="48"/>
      <c r="G21" s="48"/>
      <c r="H21" s="48"/>
      <c r="I21" s="48"/>
      <c r="J21" s="48"/>
      <c r="K21" s="48"/>
      <c r="L21" s="183"/>
      <c r="M21" s="48"/>
      <c r="N21" s="55">
        <f t="shared" si="2"/>
        <v>-5920</v>
      </c>
      <c r="O21" s="55">
        <v>0</v>
      </c>
      <c r="P21" s="55"/>
      <c r="Q21" s="55">
        <f>'Differential Tuition Allocation'!F14</f>
        <v>0</v>
      </c>
      <c r="R21" s="48">
        <v>80000</v>
      </c>
      <c r="S21" s="48">
        <v>0</v>
      </c>
      <c r="T21" s="55">
        <v>25000</v>
      </c>
      <c r="V21" s="48">
        <f t="shared" si="1"/>
        <v>99080</v>
      </c>
      <c r="W21" s="168"/>
      <c r="X21" s="821">
        <v>4830008</v>
      </c>
      <c r="Y21" s="48">
        <v>4806568</v>
      </c>
      <c r="Z21" s="12"/>
      <c r="AA21" s="180"/>
      <c r="AC21" s="167"/>
    </row>
    <row r="22" spans="1:29">
      <c r="A22" s="179" t="s">
        <v>79</v>
      </c>
      <c r="B22" s="44"/>
      <c r="C22" s="44"/>
      <c r="D22" s="44"/>
      <c r="E22" s="44"/>
      <c r="F22" s="44"/>
      <c r="G22" s="44"/>
      <c r="H22" s="44"/>
      <c r="I22" s="44"/>
      <c r="J22" s="44"/>
      <c r="K22" s="44"/>
      <c r="L22" s="182"/>
      <c r="M22" s="44"/>
      <c r="N22" s="43">
        <f t="shared" si="2"/>
        <v>-124520.466</v>
      </c>
      <c r="O22" s="43">
        <v>0</v>
      </c>
      <c r="P22" s="43"/>
      <c r="Q22" s="43">
        <f>'Differential Tuition Allocation'!F15</f>
        <v>0</v>
      </c>
      <c r="R22" s="44">
        <v>1350000</v>
      </c>
      <c r="S22" s="44">
        <v>332709</v>
      </c>
      <c r="T22" s="43">
        <v>80000</v>
      </c>
      <c r="V22" s="44">
        <f t="shared" si="1"/>
        <v>1638188.534</v>
      </c>
      <c r="W22" s="168"/>
      <c r="X22" s="241">
        <v>45922830</v>
      </c>
      <c r="Y22" s="44">
        <v>45894131</v>
      </c>
      <c r="Z22" s="12"/>
      <c r="AA22" s="180"/>
      <c r="AC22" s="167"/>
    </row>
    <row r="23" spans="1:29">
      <c r="A23" s="178" t="s">
        <v>80</v>
      </c>
      <c r="B23" s="48"/>
      <c r="C23" s="48"/>
      <c r="D23" s="48"/>
      <c r="E23" s="48"/>
      <c r="F23" s="48"/>
      <c r="G23" s="48"/>
      <c r="H23" s="48"/>
      <c r="I23" s="48"/>
      <c r="J23" s="48"/>
      <c r="K23" s="48"/>
      <c r="L23" s="183"/>
      <c r="M23" s="48"/>
      <c r="N23" s="55">
        <f>-O$3*(O23-3000000)-Q$3*Q23-R$3*R23-S$3*S23-T$3*T23</f>
        <v>-76433.248019999999</v>
      </c>
      <c r="O23" s="55">
        <v>3640724.73</v>
      </c>
      <c r="P23" s="55"/>
      <c r="Q23" s="55">
        <f>'Differential Tuition Allocation'!F16</f>
        <v>0</v>
      </c>
      <c r="R23" s="48">
        <v>372500</v>
      </c>
      <c r="S23" s="48">
        <v>19657</v>
      </c>
      <c r="T23" s="55">
        <v>4000000</v>
      </c>
      <c r="V23" s="48">
        <f t="shared" si="1"/>
        <v>7956448.4819799997</v>
      </c>
      <c r="W23" s="168"/>
      <c r="X23" s="821">
        <v>14831995</v>
      </c>
      <c r="Y23" s="48">
        <v>14831995</v>
      </c>
      <c r="Z23" s="12"/>
      <c r="AA23" s="180"/>
      <c r="AC23" s="167"/>
    </row>
    <row r="24" spans="1:29">
      <c r="A24" s="178" t="s">
        <v>81</v>
      </c>
      <c r="B24" s="55"/>
      <c r="C24" s="55"/>
      <c r="D24" s="55"/>
      <c r="E24" s="55"/>
      <c r="F24" s="55"/>
      <c r="G24" s="55"/>
      <c r="H24" s="55"/>
      <c r="I24" s="55"/>
      <c r="J24" s="55"/>
      <c r="K24" s="55"/>
      <c r="L24" s="184"/>
      <c r="M24" s="55"/>
      <c r="N24" s="55">
        <f t="shared" si="2"/>
        <v>-109608.874</v>
      </c>
      <c r="O24" s="55">
        <v>1141201</v>
      </c>
      <c r="P24" s="55"/>
      <c r="Q24" s="55">
        <f>'Differential Tuition Allocation'!F17</f>
        <v>4068741.5599999996</v>
      </c>
      <c r="R24" s="48">
        <v>340000</v>
      </c>
      <c r="S24" s="48">
        <v>0</v>
      </c>
      <c r="T24" s="55">
        <v>200000</v>
      </c>
      <c r="V24" s="55">
        <f t="shared" si="1"/>
        <v>5640333.6859999998</v>
      </c>
      <c r="W24" s="168"/>
      <c r="X24" s="821">
        <v>12737398</v>
      </c>
      <c r="Y24" s="48">
        <v>12737398</v>
      </c>
      <c r="Z24" s="12"/>
      <c r="AA24" s="180"/>
      <c r="AC24" s="167"/>
    </row>
    <row r="25" spans="1:29">
      <c r="A25" s="179" t="s">
        <v>82</v>
      </c>
      <c r="B25" s="44"/>
      <c r="C25" s="44"/>
      <c r="D25" s="44"/>
      <c r="E25" s="44"/>
      <c r="F25" s="44"/>
      <c r="G25" s="44"/>
      <c r="H25" s="44"/>
      <c r="I25" s="44"/>
      <c r="J25" s="44"/>
      <c r="K25" s="44"/>
      <c r="L25" s="182"/>
      <c r="M25" s="44"/>
      <c r="N25" s="43">
        <f t="shared" si="2"/>
        <v>-117008.57799999999</v>
      </c>
      <c r="O25" s="43">
        <v>0</v>
      </c>
      <c r="P25" s="43"/>
      <c r="Q25" s="43">
        <f>'Differential Tuition Allocation'!F18</f>
        <v>0</v>
      </c>
      <c r="R25" s="44">
        <v>1355000</v>
      </c>
      <c r="S25" s="44">
        <v>226197</v>
      </c>
      <c r="T25" s="43">
        <v>800000</v>
      </c>
      <c r="V25" s="44">
        <f t="shared" si="1"/>
        <v>2264188.4220000003</v>
      </c>
      <c r="W25" s="168"/>
      <c r="X25" s="241">
        <v>42113801</v>
      </c>
      <c r="Y25" s="44">
        <v>41413801</v>
      </c>
      <c r="Z25" s="12"/>
      <c r="AA25" s="180"/>
      <c r="AC25" s="167"/>
    </row>
    <row r="26" spans="1:29">
      <c r="A26" s="178" t="s">
        <v>83</v>
      </c>
      <c r="B26" s="55"/>
      <c r="C26" s="55"/>
      <c r="D26" s="55"/>
      <c r="E26" s="55"/>
      <c r="F26" s="55"/>
      <c r="G26" s="55"/>
      <c r="H26" s="55"/>
      <c r="I26" s="55"/>
      <c r="J26" s="55"/>
      <c r="K26" s="55"/>
      <c r="L26" s="184"/>
      <c r="M26" s="55"/>
      <c r="N26" s="55">
        <f t="shared" si="2"/>
        <v>-1047873.6699999999</v>
      </c>
      <c r="O26" s="55">
        <v>5160455</v>
      </c>
      <c r="P26" s="55"/>
      <c r="Q26" s="55">
        <f>'Differential Tuition Allocation'!F19</f>
        <v>2986244.48</v>
      </c>
      <c r="R26" s="48">
        <v>9000000</v>
      </c>
      <c r="S26" s="48">
        <v>0</v>
      </c>
      <c r="T26" s="55">
        <v>140000</v>
      </c>
      <c r="V26" s="55">
        <f t="shared" si="1"/>
        <v>16238825.810000001</v>
      </c>
      <c r="W26" s="168"/>
      <c r="X26" s="821">
        <v>24909417</v>
      </c>
      <c r="Y26" s="48">
        <v>24909417</v>
      </c>
      <c r="Z26" s="12"/>
      <c r="AA26" s="180">
        <f>SUM(B27:T27)</f>
        <v>0</v>
      </c>
      <c r="AC26" s="167"/>
    </row>
    <row r="27" spans="1:29">
      <c r="A27" s="178" t="s">
        <v>84</v>
      </c>
      <c r="B27" s="48"/>
      <c r="C27" s="48"/>
      <c r="D27" s="48"/>
      <c r="E27" s="48"/>
      <c r="F27" s="48"/>
      <c r="G27" s="48"/>
      <c r="H27" s="48"/>
      <c r="I27" s="48"/>
      <c r="J27" s="48"/>
      <c r="K27" s="48"/>
      <c r="L27" s="183"/>
      <c r="M27" s="48"/>
      <c r="N27" s="55">
        <f t="shared" si="2"/>
        <v>0</v>
      </c>
      <c r="O27" s="55">
        <v>0</v>
      </c>
      <c r="P27" s="55"/>
      <c r="Q27" s="55">
        <f>'Differential Tuition Allocation'!F20</f>
        <v>0</v>
      </c>
      <c r="R27" s="55">
        <v>0</v>
      </c>
      <c r="S27" s="55">
        <v>0</v>
      </c>
      <c r="T27" s="55">
        <v>0</v>
      </c>
      <c r="V27" s="48">
        <f t="shared" si="1"/>
        <v>0</v>
      </c>
      <c r="W27" s="168"/>
      <c r="X27" s="821">
        <v>543366</v>
      </c>
      <c r="Y27" s="48">
        <v>543366</v>
      </c>
      <c r="Z27" s="12"/>
      <c r="AA27" s="180"/>
      <c r="AC27" s="167"/>
    </row>
    <row r="28" spans="1:29">
      <c r="A28" s="179" t="s">
        <v>85</v>
      </c>
      <c r="B28" s="44"/>
      <c r="C28" s="44"/>
      <c r="D28" s="44"/>
      <c r="E28" s="44"/>
      <c r="F28" s="44"/>
      <c r="G28" s="44"/>
      <c r="H28" s="44"/>
      <c r="I28" s="44"/>
      <c r="J28" s="44"/>
      <c r="K28" s="44"/>
      <c r="L28" s="182"/>
      <c r="M28" s="44"/>
      <c r="N28" s="43">
        <f t="shared" si="2"/>
        <v>-12506</v>
      </c>
      <c r="O28" s="43">
        <v>0</v>
      </c>
      <c r="P28" s="43"/>
      <c r="Q28" s="43">
        <f>'Differential Tuition Allocation'!F21</f>
        <v>1439386</v>
      </c>
      <c r="R28" s="44">
        <v>169000</v>
      </c>
      <c r="S28" s="44">
        <v>0</v>
      </c>
      <c r="T28" s="43">
        <v>0</v>
      </c>
      <c r="V28" s="44">
        <f>SUM(B28:T28)</f>
        <v>1595880</v>
      </c>
      <c r="W28" s="168"/>
      <c r="X28" s="241">
        <v>2839964</v>
      </c>
      <c r="Y28" s="44">
        <v>2839964</v>
      </c>
      <c r="Z28" s="12"/>
      <c r="AA28" s="180"/>
      <c r="AC28" s="167"/>
    </row>
    <row r="29" spans="1:29">
      <c r="A29" s="54" t="s">
        <v>87</v>
      </c>
      <c r="B29" s="55"/>
      <c r="C29" s="55"/>
      <c r="D29" s="55"/>
      <c r="E29" s="55"/>
      <c r="F29" s="55"/>
      <c r="G29" s="55"/>
      <c r="H29" s="55"/>
      <c r="I29" s="55"/>
      <c r="J29" s="55"/>
      <c r="K29" s="55"/>
      <c r="L29" s="184"/>
      <c r="M29" s="55"/>
      <c r="N29" s="55">
        <v>0</v>
      </c>
      <c r="O29" s="55">
        <v>0</v>
      </c>
      <c r="P29" s="55"/>
      <c r="Q29" s="55">
        <f>'Differential Tuition Allocation'!F22</f>
        <v>0</v>
      </c>
      <c r="R29" s="55">
        <v>20115497</v>
      </c>
      <c r="S29" s="55">
        <v>0</v>
      </c>
      <c r="T29" s="55">
        <v>0</v>
      </c>
      <c r="V29" s="55">
        <f t="shared" si="1"/>
        <v>20115497</v>
      </c>
      <c r="W29" s="168"/>
      <c r="X29" s="821">
        <v>18786975</v>
      </c>
      <c r="Y29" s="48">
        <v>18786975</v>
      </c>
      <c r="Z29" s="12"/>
      <c r="AA29" s="180"/>
      <c r="AC29" s="167"/>
    </row>
    <row r="30" spans="1:29">
      <c r="A30" s="178" t="s">
        <v>88</v>
      </c>
      <c r="B30" s="48"/>
      <c r="C30" s="48"/>
      <c r="D30" s="48"/>
      <c r="E30" s="48"/>
      <c r="F30" s="48"/>
      <c r="G30" s="48"/>
      <c r="H30" s="48"/>
      <c r="I30" s="48"/>
      <c r="J30" s="48"/>
      <c r="K30" s="48"/>
      <c r="L30" s="183"/>
      <c r="M30" s="48"/>
      <c r="N30" s="55">
        <f t="shared" si="2"/>
        <v>0</v>
      </c>
      <c r="O30" s="55">
        <v>0</v>
      </c>
      <c r="P30" s="55"/>
      <c r="Q30" s="55">
        <f>'Differential Tuition Allocation'!F23</f>
        <v>0</v>
      </c>
      <c r="R30" s="48">
        <v>0</v>
      </c>
      <c r="S30" s="48">
        <v>0</v>
      </c>
      <c r="T30" s="55">
        <v>3440000</v>
      </c>
      <c r="U30" s="46"/>
      <c r="V30" s="48">
        <f t="shared" si="1"/>
        <v>3440000</v>
      </c>
      <c r="W30" s="168"/>
      <c r="X30" s="241">
        <v>3296000</v>
      </c>
      <c r="Y30" s="44">
        <v>3296000</v>
      </c>
      <c r="Z30" s="12"/>
      <c r="AA30" s="180"/>
      <c r="AC30" s="167"/>
    </row>
    <row r="31" spans="1:29">
      <c r="A31" s="368" t="s">
        <v>461</v>
      </c>
      <c r="B31" s="228"/>
      <c r="C31" s="228"/>
      <c r="D31" s="228"/>
      <c r="E31" s="228"/>
      <c r="F31" s="228"/>
      <c r="G31" s="228"/>
      <c r="H31" s="228"/>
      <c r="I31" s="228"/>
      <c r="J31" s="228"/>
      <c r="K31" s="228"/>
      <c r="L31" s="226"/>
      <c r="M31" s="228"/>
      <c r="N31" s="43">
        <f t="shared" si="2"/>
        <v>-259</v>
      </c>
      <c r="O31" s="43">
        <v>0</v>
      </c>
      <c r="P31" s="43"/>
      <c r="Q31" s="43">
        <f>'Differential Tuition Allocation'!F24</f>
        <v>0</v>
      </c>
      <c r="R31" s="228">
        <f>4132700-464000-3665200</f>
        <v>3500</v>
      </c>
      <c r="S31" s="228">
        <v>0</v>
      </c>
      <c r="T31" s="43"/>
      <c r="U31" s="226"/>
      <c r="V31" s="228">
        <f>SUM(B31:T31)</f>
        <v>3241</v>
      </c>
      <c r="W31" s="168"/>
      <c r="X31" s="821">
        <v>4706010</v>
      </c>
      <c r="Y31" s="48">
        <v>4706010</v>
      </c>
      <c r="Z31" s="12"/>
    </row>
    <row r="32" spans="1:29">
      <c r="A32" s="367" t="s">
        <v>462</v>
      </c>
      <c r="B32" s="55"/>
      <c r="C32" s="55"/>
      <c r="D32" s="55"/>
      <c r="E32" s="55"/>
      <c r="F32" s="55"/>
      <c r="G32" s="55"/>
      <c r="H32" s="55"/>
      <c r="I32" s="55"/>
      <c r="J32" s="55"/>
      <c r="K32" s="55"/>
      <c r="L32" s="46"/>
      <c r="M32" s="55"/>
      <c r="N32" s="55">
        <f t="shared" si="2"/>
        <v>0</v>
      </c>
      <c r="O32" s="55"/>
      <c r="P32" s="55"/>
      <c r="Q32" s="55">
        <f>'Differential Tuition Allocation'!F25</f>
        <v>0</v>
      </c>
      <c r="R32" s="55"/>
      <c r="S32" s="55">
        <v>0</v>
      </c>
      <c r="T32" s="55"/>
      <c r="U32" s="46"/>
      <c r="V32" s="55">
        <f t="shared" si="1"/>
        <v>0</v>
      </c>
      <c r="W32" s="168"/>
      <c r="X32" s="821">
        <v>838394</v>
      </c>
      <c r="Y32" s="48">
        <v>838394</v>
      </c>
      <c r="Z32" s="12"/>
    </row>
    <row r="33" spans="1:29">
      <c r="A33" s="178" t="s">
        <v>89</v>
      </c>
      <c r="B33" s="48"/>
      <c r="C33" s="48"/>
      <c r="D33" s="48"/>
      <c r="E33" s="48"/>
      <c r="F33" s="48"/>
      <c r="G33" s="48"/>
      <c r="H33" s="48"/>
      <c r="I33" s="48"/>
      <c r="J33" s="48"/>
      <c r="K33" s="48"/>
      <c r="L33" s="183"/>
      <c r="M33" s="48"/>
      <c r="N33" s="55">
        <f t="shared" si="2"/>
        <v>-22210.36</v>
      </c>
      <c r="O33" s="55">
        <v>49413</v>
      </c>
      <c r="P33" s="55"/>
      <c r="Q33" s="172">
        <f>'Differential Tuition Allocation'!F26</f>
        <v>0</v>
      </c>
      <c r="R33" s="55">
        <v>140000</v>
      </c>
      <c r="S33" s="48">
        <v>110727</v>
      </c>
      <c r="T33" s="55">
        <v>2580000</v>
      </c>
      <c r="U33" s="46"/>
      <c r="V33" s="48">
        <f t="shared" si="1"/>
        <v>2857929.64</v>
      </c>
      <c r="W33" s="168"/>
      <c r="X33" s="241">
        <v>14579961</v>
      </c>
      <c r="Y33" s="44">
        <v>14579961</v>
      </c>
      <c r="Z33" s="12"/>
    </row>
    <row r="34" spans="1:29">
      <c r="A34" s="368" t="s">
        <v>90</v>
      </c>
      <c r="B34" s="228"/>
      <c r="C34" s="228"/>
      <c r="D34" s="228"/>
      <c r="E34" s="228"/>
      <c r="F34" s="228"/>
      <c r="G34" s="228"/>
      <c r="H34" s="228"/>
      <c r="I34" s="228"/>
      <c r="J34" s="228"/>
      <c r="K34" s="228"/>
      <c r="L34" s="369"/>
      <c r="M34" s="228"/>
      <c r="N34" s="43">
        <f t="shared" si="2"/>
        <v>-100546.11176</v>
      </c>
      <c r="O34" s="229">
        <v>476964.24</v>
      </c>
      <c r="P34" s="229"/>
      <c r="Q34" s="370">
        <f>'Differential Tuition Allocation'!F27</f>
        <v>0</v>
      </c>
      <c r="R34" s="228">
        <v>725000</v>
      </c>
      <c r="S34" s="228">
        <v>156767</v>
      </c>
      <c r="T34" s="229">
        <v>1000000</v>
      </c>
      <c r="U34" s="226"/>
      <c r="V34" s="228">
        <f>SUM(B34:T34)</f>
        <v>2258185.12824</v>
      </c>
      <c r="W34" s="168"/>
      <c r="X34" s="821">
        <v>11354044</v>
      </c>
      <c r="Y34" s="48">
        <v>11354044</v>
      </c>
      <c r="Z34" s="12"/>
    </row>
    <row r="35" spans="1:29">
      <c r="A35" s="371" t="s">
        <v>91</v>
      </c>
      <c r="B35" s="372">
        <f>SUM(B16:B34)</f>
        <v>0</v>
      </c>
      <c r="C35" s="372">
        <f>SUM(C16:C34)</f>
        <v>0</v>
      </c>
      <c r="D35" s="372"/>
      <c r="E35" s="372">
        <f>SUM(E16:E34)</f>
        <v>0</v>
      </c>
      <c r="F35" s="372"/>
      <c r="G35" s="372">
        <f>SUM(G16:G34)</f>
        <v>0</v>
      </c>
      <c r="H35" s="372">
        <f>SUM(H16:H34)</f>
        <v>0</v>
      </c>
      <c r="I35" s="372">
        <f>SUM(I16:I34)</f>
        <v>0</v>
      </c>
      <c r="J35" s="372">
        <f>SUM(J16:J34)</f>
        <v>0</v>
      </c>
      <c r="K35" s="372"/>
      <c r="L35" s="372">
        <f>SUM(L16:L34)</f>
        <v>0</v>
      </c>
      <c r="M35" s="372"/>
      <c r="N35" s="372">
        <f t="shared" ref="N35:T35" si="3">SUM(N16:N34)</f>
        <v>-2711805.29648</v>
      </c>
      <c r="O35" s="372">
        <f t="shared" si="3"/>
        <v>20236154.52</v>
      </c>
      <c r="P35" s="372"/>
      <c r="Q35" s="372">
        <f>SUM(Q16:Q34)</f>
        <v>20791634.890666667</v>
      </c>
      <c r="R35" s="372">
        <f t="shared" si="3"/>
        <v>37622997</v>
      </c>
      <c r="S35" s="372">
        <f t="shared" si="3"/>
        <v>1902363</v>
      </c>
      <c r="T35" s="372">
        <f t="shared" si="3"/>
        <v>17818000</v>
      </c>
      <c r="U35" s="373"/>
      <c r="V35" s="372">
        <f>SUM(V16:V34)</f>
        <v>95659344.114186674</v>
      </c>
      <c r="W35" s="168"/>
      <c r="X35" s="372">
        <f>SUM(X16:X34)</f>
        <v>341586017</v>
      </c>
      <c r="Y35" s="372">
        <f>SUM(Y16:Y34)</f>
        <v>337076725</v>
      </c>
      <c r="Z35" s="12"/>
    </row>
    <row r="36" spans="1:29">
      <c r="A36" s="178"/>
      <c r="B36" s="46"/>
      <c r="C36" s="46"/>
      <c r="D36" s="46"/>
      <c r="E36" s="46"/>
      <c r="F36" s="46"/>
      <c r="G36" s="46"/>
      <c r="H36" s="46"/>
      <c r="I36" s="46"/>
      <c r="J36" s="46"/>
      <c r="K36" s="46"/>
      <c r="L36" s="46"/>
      <c r="M36" s="46"/>
      <c r="N36" s="46"/>
      <c r="O36" s="46"/>
      <c r="P36" s="46"/>
      <c r="Q36" s="46"/>
      <c r="R36" s="46"/>
      <c r="S36" s="46"/>
      <c r="T36" s="46"/>
      <c r="U36" s="46"/>
      <c r="V36" s="46"/>
      <c r="W36" s="168"/>
      <c r="X36" s="43"/>
      <c r="Y36" s="44"/>
      <c r="Z36" s="12"/>
    </row>
    <row r="37" spans="1:29">
      <c r="A37" s="168"/>
      <c r="T37" s="12"/>
      <c r="W37" s="173"/>
      <c r="X37" s="173"/>
      <c r="Y37" s="48"/>
      <c r="Z37" s="12"/>
    </row>
    <row r="38" spans="1:29">
      <c r="A38" s="54" t="s">
        <v>92</v>
      </c>
      <c r="B38" s="55"/>
      <c r="C38" s="55"/>
      <c r="D38" s="55"/>
      <c r="E38" s="55"/>
      <c r="F38" s="55"/>
      <c r="G38" s="55"/>
      <c r="H38" s="55"/>
      <c r="I38" s="55"/>
      <c r="J38" s="55"/>
      <c r="K38" s="55"/>
      <c r="L38" s="55"/>
      <c r="M38" s="55"/>
      <c r="N38" s="55"/>
      <c r="O38" s="55"/>
      <c r="P38" s="55"/>
      <c r="Q38" s="55"/>
      <c r="R38" s="55"/>
      <c r="S38" s="55"/>
      <c r="T38" s="55"/>
      <c r="V38" s="55"/>
      <c r="W38" s="168"/>
      <c r="X38" s="55"/>
      <c r="Y38" s="48"/>
      <c r="Z38" s="12"/>
      <c r="AC38" s="167"/>
    </row>
    <row r="39" spans="1:29">
      <c r="A39" s="179" t="s">
        <v>93</v>
      </c>
      <c r="B39" s="44"/>
      <c r="C39" s="44"/>
      <c r="D39" s="44"/>
      <c r="E39" s="44"/>
      <c r="F39" s="182"/>
      <c r="G39" s="182"/>
      <c r="H39" s="182"/>
      <c r="I39" s="182"/>
      <c r="J39" s="182"/>
      <c r="K39" s="182"/>
      <c r="L39" s="182"/>
      <c r="M39" s="44"/>
      <c r="N39" s="43">
        <f t="shared" ref="N39:N57" si="4">-O$3*O39-Q$3*Q39-R$3*R39-S$3*S39-T$3*T39</f>
        <v>0</v>
      </c>
      <c r="O39" s="43">
        <v>0</v>
      </c>
      <c r="P39" s="43"/>
      <c r="Q39" s="170"/>
      <c r="R39" s="44">
        <v>0</v>
      </c>
      <c r="S39" s="43">
        <v>0</v>
      </c>
      <c r="T39" s="393"/>
      <c r="V39" s="44">
        <f t="shared" ref="V39:V57" si="5">SUM(B39:T39)</f>
        <v>0</v>
      </c>
      <c r="W39" s="168"/>
      <c r="X39" s="241">
        <v>8383602</v>
      </c>
      <c r="Y39" s="44">
        <v>8383602</v>
      </c>
      <c r="Z39" s="12"/>
      <c r="AA39" s="180"/>
      <c r="AC39" s="167"/>
    </row>
    <row r="40" spans="1:29">
      <c r="A40" s="367" t="s">
        <v>344</v>
      </c>
      <c r="B40" s="55"/>
      <c r="C40" s="55"/>
      <c r="D40" s="55"/>
      <c r="E40" s="48"/>
      <c r="F40" s="55"/>
      <c r="G40" s="55"/>
      <c r="H40" s="55"/>
      <c r="I40" s="55"/>
      <c r="J40" s="55"/>
      <c r="K40" s="55"/>
      <c r="L40" s="184"/>
      <c r="M40" s="55"/>
      <c r="N40" s="55">
        <f>-O$3*O40-Q$3*Q40-R$3*R40-S$3*S40-T$3*T40</f>
        <v>0</v>
      </c>
      <c r="O40" s="55">
        <v>0</v>
      </c>
      <c r="P40" s="55"/>
      <c r="Q40" s="181"/>
      <c r="R40" s="48">
        <v>0</v>
      </c>
      <c r="S40" s="48">
        <v>0</v>
      </c>
      <c r="T40" s="388">
        <v>0</v>
      </c>
      <c r="V40" s="55">
        <f>SUM(B40:T40)</f>
        <v>0</v>
      </c>
      <c r="W40" s="168"/>
      <c r="X40" s="821">
        <v>5500000</v>
      </c>
      <c r="Y40" s="821">
        <v>5500000</v>
      </c>
      <c r="Z40" s="12"/>
      <c r="AA40" s="180"/>
      <c r="AC40" s="167"/>
    </row>
    <row r="41" spans="1:29">
      <c r="A41" s="178" t="s">
        <v>94</v>
      </c>
      <c r="B41" s="55"/>
      <c r="C41" s="55"/>
      <c r="D41" s="55"/>
      <c r="E41" s="48"/>
      <c r="F41" s="55"/>
      <c r="G41" s="55"/>
      <c r="H41" s="55"/>
      <c r="I41" s="55"/>
      <c r="J41" s="55"/>
      <c r="K41" s="55"/>
      <c r="L41" s="184"/>
      <c r="M41" s="55"/>
      <c r="N41" s="55">
        <f t="shared" si="4"/>
        <v>0</v>
      </c>
      <c r="O41" s="55">
        <v>0</v>
      </c>
      <c r="P41" s="55"/>
      <c r="Q41" s="181"/>
      <c r="R41" s="48">
        <v>0</v>
      </c>
      <c r="S41" s="48">
        <v>0</v>
      </c>
      <c r="T41" s="388">
        <v>0</v>
      </c>
      <c r="V41" s="55">
        <f t="shared" si="5"/>
        <v>0</v>
      </c>
      <c r="W41" s="168"/>
      <c r="X41" s="821">
        <v>4019773</v>
      </c>
      <c r="Y41" s="48">
        <v>4019773</v>
      </c>
      <c r="Z41" s="12"/>
      <c r="AA41" s="180"/>
      <c r="AC41" s="167"/>
    </row>
    <row r="42" spans="1:29">
      <c r="A42" s="54" t="s">
        <v>95</v>
      </c>
      <c r="B42" s="55"/>
      <c r="C42" s="55"/>
      <c r="D42" s="55"/>
      <c r="E42" s="48"/>
      <c r="F42" s="184"/>
      <c r="G42" s="184"/>
      <c r="H42" s="184"/>
      <c r="I42" s="184"/>
      <c r="J42" s="184"/>
      <c r="K42" s="184"/>
      <c r="L42" s="184"/>
      <c r="M42" s="55"/>
      <c r="N42" s="55">
        <f t="shared" si="4"/>
        <v>0</v>
      </c>
      <c r="O42" s="55">
        <v>0</v>
      </c>
      <c r="P42" s="55"/>
      <c r="Q42" s="55"/>
      <c r="R42" s="55">
        <v>0</v>
      </c>
      <c r="S42" s="55">
        <v>0</v>
      </c>
      <c r="T42" s="383"/>
      <c r="V42" s="55">
        <f t="shared" si="5"/>
        <v>0</v>
      </c>
      <c r="W42" s="168"/>
      <c r="X42" s="821">
        <v>1435806</v>
      </c>
      <c r="Y42" s="48">
        <v>1435806</v>
      </c>
      <c r="Z42" s="12"/>
      <c r="AA42" s="180"/>
      <c r="AC42" s="167"/>
    </row>
    <row r="43" spans="1:29">
      <c r="A43" s="179" t="s">
        <v>96</v>
      </c>
      <c r="B43" s="44"/>
      <c r="C43" s="44"/>
      <c r="D43" s="44"/>
      <c r="E43" s="44"/>
      <c r="F43" s="182"/>
      <c r="G43" s="182"/>
      <c r="H43" s="182"/>
      <c r="I43" s="182"/>
      <c r="J43" s="182"/>
      <c r="K43" s="182"/>
      <c r="L43" s="182"/>
      <c r="M43" s="44"/>
      <c r="N43" s="43">
        <f t="shared" si="4"/>
        <v>0</v>
      </c>
      <c r="O43" s="43">
        <v>0</v>
      </c>
      <c r="P43" s="43"/>
      <c r="Q43" s="170"/>
      <c r="R43" s="44">
        <v>0</v>
      </c>
      <c r="S43" s="43">
        <v>0</v>
      </c>
      <c r="T43" s="393">
        <v>0</v>
      </c>
      <c r="V43" s="44">
        <f t="shared" si="5"/>
        <v>0</v>
      </c>
      <c r="W43" s="168"/>
      <c r="X43" s="241">
        <f>8453610-X40</f>
        <v>2953610</v>
      </c>
      <c r="Y43" s="241">
        <f>8453610-Y40</f>
        <v>2953610</v>
      </c>
      <c r="Z43" s="12"/>
      <c r="AA43" s="180"/>
      <c r="AC43" s="167"/>
    </row>
    <row r="44" spans="1:29">
      <c r="A44" s="178" t="s">
        <v>97</v>
      </c>
      <c r="B44" s="55"/>
      <c r="C44" s="55"/>
      <c r="D44" s="55"/>
      <c r="E44" s="55"/>
      <c r="F44" s="55"/>
      <c r="G44" s="55"/>
      <c r="H44" s="55"/>
      <c r="I44" s="55"/>
      <c r="J44" s="55"/>
      <c r="K44" s="55"/>
      <c r="L44" s="184"/>
      <c r="M44" s="55"/>
      <c r="N44" s="55">
        <f t="shared" si="4"/>
        <v>-244200</v>
      </c>
      <c r="O44" s="55"/>
      <c r="P44" s="55"/>
      <c r="Q44" s="181"/>
      <c r="R44" s="48">
        <v>3300000</v>
      </c>
      <c r="S44" s="48">
        <v>0</v>
      </c>
      <c r="T44" s="388"/>
      <c r="V44" s="55">
        <f t="shared" si="5"/>
        <v>3055800</v>
      </c>
      <c r="W44" s="168"/>
      <c r="X44" s="821">
        <v>9724870</v>
      </c>
      <c r="Y44" s="48">
        <v>9724870</v>
      </c>
      <c r="Z44" s="12"/>
      <c r="AA44" s="180"/>
      <c r="AC44" s="167"/>
    </row>
    <row r="45" spans="1:29">
      <c r="A45" s="367" t="s">
        <v>483</v>
      </c>
      <c r="B45" s="55"/>
      <c r="C45" s="55"/>
      <c r="D45" s="55"/>
      <c r="E45" s="55"/>
      <c r="F45" s="55"/>
      <c r="G45" s="55"/>
      <c r="H45" s="55"/>
      <c r="I45" s="55"/>
      <c r="J45" s="55"/>
      <c r="K45" s="55"/>
      <c r="L45" s="184"/>
      <c r="M45" s="55"/>
      <c r="N45" s="55">
        <f t="shared" si="4"/>
        <v>-278328.8</v>
      </c>
      <c r="O45" s="55"/>
      <c r="P45" s="55"/>
      <c r="Q45" s="181"/>
      <c r="R45" s="48">
        <f>96000+3665200</f>
        <v>3761200</v>
      </c>
      <c r="S45" s="48">
        <v>0</v>
      </c>
      <c r="T45" s="388"/>
      <c r="V45" s="55">
        <f t="shared" si="5"/>
        <v>3482871.2</v>
      </c>
      <c r="W45" s="168"/>
      <c r="X45" s="821">
        <v>5000049</v>
      </c>
      <c r="Y45" s="48">
        <v>5000049</v>
      </c>
      <c r="Z45" s="12"/>
      <c r="AA45" s="180"/>
      <c r="AC45" s="167"/>
    </row>
    <row r="46" spans="1:29">
      <c r="A46" s="178" t="s">
        <v>98</v>
      </c>
      <c r="B46" s="55"/>
      <c r="C46" s="55"/>
      <c r="D46" s="55"/>
      <c r="E46" s="55"/>
      <c r="F46" s="55"/>
      <c r="G46" s="55"/>
      <c r="H46" s="55">
        <f>-N$59*AC11</f>
        <v>714133.56728000008</v>
      </c>
      <c r="I46" s="55"/>
      <c r="J46" s="55"/>
      <c r="K46" s="55"/>
      <c r="L46" s="184"/>
      <c r="M46" s="55"/>
      <c r="N46" s="55">
        <f t="shared" si="4"/>
        <v>-3478</v>
      </c>
      <c r="O46" s="55">
        <v>0</v>
      </c>
      <c r="P46" s="55"/>
      <c r="Q46" s="181"/>
      <c r="R46" s="48">
        <v>47000</v>
      </c>
      <c r="S46" s="48">
        <v>0</v>
      </c>
      <c r="T46" s="388">
        <v>0</v>
      </c>
      <c r="V46" s="55">
        <f>SUM(B46:T46)</f>
        <v>757655.56728000008</v>
      </c>
      <c r="W46" s="168"/>
      <c r="X46" s="821">
        <v>3643184</v>
      </c>
      <c r="Y46" s="48">
        <v>3643184</v>
      </c>
      <c r="Z46" s="12"/>
      <c r="AA46" s="180"/>
      <c r="AC46" s="167"/>
    </row>
    <row r="47" spans="1:29">
      <c r="A47" s="179" t="s">
        <v>99</v>
      </c>
      <c r="B47" s="44"/>
      <c r="C47" s="44"/>
      <c r="D47" s="44"/>
      <c r="E47" s="44"/>
      <c r="F47" s="44"/>
      <c r="G47" s="44">
        <f>-N$59*AC12</f>
        <v>1122209.8914400002</v>
      </c>
      <c r="H47" s="44"/>
      <c r="I47" s="44"/>
      <c r="J47" s="44"/>
      <c r="K47" s="44"/>
      <c r="L47" s="182"/>
      <c r="M47" s="44"/>
      <c r="N47" s="43">
        <f t="shared" si="4"/>
        <v>-4144</v>
      </c>
      <c r="O47" s="43">
        <v>0</v>
      </c>
      <c r="P47" s="43"/>
      <c r="Q47" s="170"/>
      <c r="R47" s="44">
        <v>56000</v>
      </c>
      <c r="S47" s="43">
        <v>0</v>
      </c>
      <c r="T47" s="393">
        <v>2580000</v>
      </c>
      <c r="V47" s="44">
        <f t="shared" si="5"/>
        <v>3754065.8914400004</v>
      </c>
      <c r="W47" s="168"/>
      <c r="X47" s="241">
        <v>19774660</v>
      </c>
      <c r="Y47" s="44">
        <v>19774660</v>
      </c>
      <c r="Z47" s="12"/>
      <c r="AA47" s="180"/>
      <c r="AC47" s="167"/>
    </row>
    <row r="48" spans="1:29">
      <c r="A48" s="178" t="s">
        <v>484</v>
      </c>
      <c r="B48" s="55"/>
      <c r="C48" s="55"/>
      <c r="D48" s="55"/>
      <c r="E48" s="55"/>
      <c r="F48" s="55"/>
      <c r="G48" s="55">
        <f>-N$59*AC13</f>
        <v>255047.70260000002</v>
      </c>
      <c r="H48" s="55"/>
      <c r="I48" s="55"/>
      <c r="J48" s="55"/>
      <c r="K48" s="55"/>
      <c r="L48" s="184"/>
      <c r="M48" s="55"/>
      <c r="N48" s="55">
        <f t="shared" si="4"/>
        <v>-85100</v>
      </c>
      <c r="O48" s="55">
        <v>0</v>
      </c>
      <c r="P48" s="55"/>
      <c r="Q48" s="181"/>
      <c r="R48" s="48">
        <v>1150000</v>
      </c>
      <c r="S48" s="48">
        <v>0</v>
      </c>
      <c r="T48" s="388">
        <v>430000</v>
      </c>
      <c r="V48" s="55">
        <f t="shared" si="5"/>
        <v>1749947.7026</v>
      </c>
      <c r="W48" s="168"/>
      <c r="X48" s="821">
        <v>4501875</v>
      </c>
      <c r="Y48" s="48">
        <v>4501875</v>
      </c>
      <c r="Z48" s="12"/>
      <c r="AA48" s="180"/>
      <c r="AC48" s="167"/>
    </row>
    <row r="49" spans="1:29">
      <c r="A49" s="54" t="s">
        <v>86</v>
      </c>
      <c r="B49" s="55"/>
      <c r="C49" s="55"/>
      <c r="D49" s="55"/>
      <c r="E49" s="55"/>
      <c r="F49" s="55"/>
      <c r="G49" s="55"/>
      <c r="H49" s="55"/>
      <c r="I49" s="55"/>
      <c r="J49" s="55"/>
      <c r="K49" s="55"/>
      <c r="L49" s="184"/>
      <c r="M49" s="55"/>
      <c r="N49" s="55">
        <f t="shared" si="4"/>
        <v>0</v>
      </c>
      <c r="O49" s="55">
        <v>0</v>
      </c>
      <c r="P49" s="55"/>
      <c r="Q49" s="181"/>
      <c r="R49" s="48">
        <v>0</v>
      </c>
      <c r="S49" s="48">
        <v>0</v>
      </c>
      <c r="T49" s="383">
        <v>0</v>
      </c>
      <c r="V49" s="55">
        <f t="shared" si="5"/>
        <v>0</v>
      </c>
      <c r="W49" s="168"/>
      <c r="X49" s="821">
        <v>1522413</v>
      </c>
      <c r="Y49" s="48">
        <v>1522413</v>
      </c>
      <c r="Z49" s="12"/>
      <c r="AA49" s="180"/>
      <c r="AC49" s="167"/>
    </row>
    <row r="50" spans="1:29">
      <c r="A50" s="368" t="s">
        <v>100</v>
      </c>
      <c r="B50" s="229"/>
      <c r="C50" s="229"/>
      <c r="D50" s="229"/>
      <c r="E50" s="229"/>
      <c r="F50" s="229"/>
      <c r="G50" s="229">
        <f>-N$59*AC14</f>
        <v>255047.70260000002</v>
      </c>
      <c r="H50" s="229"/>
      <c r="I50" s="229"/>
      <c r="J50" s="229"/>
      <c r="K50" s="229"/>
      <c r="L50" s="385"/>
      <c r="M50" s="229"/>
      <c r="N50" s="229">
        <f t="shared" si="4"/>
        <v>0</v>
      </c>
      <c r="O50" s="229">
        <v>0</v>
      </c>
      <c r="P50" s="229"/>
      <c r="Q50" s="370"/>
      <c r="R50" s="228"/>
      <c r="S50" s="228">
        <v>0</v>
      </c>
      <c r="T50" s="393">
        <v>3440000</v>
      </c>
      <c r="U50" s="226"/>
      <c r="V50" s="229">
        <f t="shared" si="5"/>
        <v>3695047.7026</v>
      </c>
      <c r="W50" s="168"/>
      <c r="X50" s="241">
        <v>7580439</v>
      </c>
      <c r="Y50" s="44">
        <v>7580439</v>
      </c>
      <c r="Z50" s="12"/>
      <c r="AA50" s="180"/>
      <c r="AC50" s="167"/>
    </row>
    <row r="51" spans="1:29">
      <c r="A51" s="178" t="s">
        <v>101</v>
      </c>
      <c r="B51" s="48"/>
      <c r="C51" s="48"/>
      <c r="D51" s="48"/>
      <c r="E51" s="48"/>
      <c r="F51" s="48"/>
      <c r="G51" s="48"/>
      <c r="H51" s="48"/>
      <c r="I51" s="48"/>
      <c r="J51" s="48"/>
      <c r="K51" s="48"/>
      <c r="L51" s="183"/>
      <c r="M51" s="48"/>
      <c r="N51" s="55">
        <f t="shared" si="4"/>
        <v>-139661.902</v>
      </c>
      <c r="O51" s="55">
        <v>73323</v>
      </c>
      <c r="P51" s="55"/>
      <c r="Q51" s="172"/>
      <c r="R51" s="48">
        <f>1350000+464000</f>
        <v>1814000</v>
      </c>
      <c r="S51" s="55">
        <v>0</v>
      </c>
      <c r="T51" s="383">
        <v>0</v>
      </c>
      <c r="U51" s="46"/>
      <c r="V51" s="48">
        <f t="shared" si="5"/>
        <v>1747661.098</v>
      </c>
      <c r="W51" s="168"/>
      <c r="X51" s="821">
        <v>7705927</v>
      </c>
      <c r="Y51" s="48">
        <v>7705927</v>
      </c>
      <c r="Z51" s="12"/>
      <c r="AA51" s="180"/>
      <c r="AC51" s="167"/>
    </row>
    <row r="52" spans="1:29">
      <c r="A52" s="178" t="s">
        <v>102</v>
      </c>
      <c r="B52" s="55"/>
      <c r="C52" s="55"/>
      <c r="D52" s="55"/>
      <c r="E52" s="55"/>
      <c r="F52" s="55"/>
      <c r="G52" s="55"/>
      <c r="H52" s="55"/>
      <c r="I52" s="55"/>
      <c r="J52" s="55">
        <f>-N$59*AC15</f>
        <v>561104.94572000008</v>
      </c>
      <c r="K52" s="55"/>
      <c r="L52" s="184"/>
      <c r="M52" s="55"/>
      <c r="N52" s="55">
        <f t="shared" si="4"/>
        <v>0</v>
      </c>
      <c r="O52" s="55">
        <v>0</v>
      </c>
      <c r="P52" s="55"/>
      <c r="Q52" s="181"/>
      <c r="R52" s="48">
        <v>0</v>
      </c>
      <c r="S52" s="48">
        <v>0</v>
      </c>
      <c r="T52" s="388">
        <v>1720000</v>
      </c>
      <c r="U52" s="46"/>
      <c r="V52" s="55">
        <f t="shared" si="5"/>
        <v>2281104.9457200002</v>
      </c>
      <c r="W52" s="168"/>
      <c r="X52" s="821">
        <v>12025835</v>
      </c>
      <c r="Y52" s="48">
        <v>12025835</v>
      </c>
      <c r="Z52" s="12"/>
      <c r="AA52" s="180"/>
      <c r="AC52" s="167"/>
    </row>
    <row r="53" spans="1:29">
      <c r="A53" s="368" t="s">
        <v>103</v>
      </c>
      <c r="B53" s="229"/>
      <c r="C53" s="229"/>
      <c r="D53" s="229"/>
      <c r="E53" s="229"/>
      <c r="F53" s="229"/>
      <c r="G53" s="229"/>
      <c r="H53" s="229"/>
      <c r="I53" s="229"/>
      <c r="J53" s="229">
        <f>-N$59*(AC17+AC16)</f>
        <v>867162.18884000008</v>
      </c>
      <c r="K53" s="229"/>
      <c r="L53" s="385"/>
      <c r="M53" s="229"/>
      <c r="N53" s="229">
        <f t="shared" si="4"/>
        <v>-32930</v>
      </c>
      <c r="O53" s="229">
        <v>0</v>
      </c>
      <c r="P53" s="229"/>
      <c r="Q53" s="370"/>
      <c r="R53" s="228">
        <v>445000</v>
      </c>
      <c r="S53" s="228">
        <v>0</v>
      </c>
      <c r="T53" s="393">
        <v>1720000</v>
      </c>
      <c r="U53" s="226"/>
      <c r="V53" s="229">
        <f t="shared" si="5"/>
        <v>2999232.18884</v>
      </c>
      <c r="W53" s="168"/>
      <c r="X53" s="241">
        <v>25520328</v>
      </c>
      <c r="Y53" s="44">
        <v>25520328</v>
      </c>
      <c r="Z53" s="12"/>
      <c r="AA53" s="180"/>
      <c r="AC53" s="167"/>
    </row>
    <row r="54" spans="1:29">
      <c r="A54" s="178" t="s">
        <v>104</v>
      </c>
      <c r="B54" s="48"/>
      <c r="C54" s="48"/>
      <c r="D54" s="48"/>
      <c r="E54" s="48"/>
      <c r="F54" s="48"/>
      <c r="G54" s="48"/>
      <c r="H54" s="48"/>
      <c r="I54" s="48"/>
      <c r="J54" s="48"/>
      <c r="K54" s="48"/>
      <c r="L54" s="183"/>
      <c r="M54" s="48"/>
      <c r="N54" s="55">
        <f t="shared" si="4"/>
        <v>-4958</v>
      </c>
      <c r="O54" s="55">
        <v>0</v>
      </c>
      <c r="P54" s="55"/>
      <c r="Q54" s="172"/>
      <c r="R54" s="48">
        <v>67000</v>
      </c>
      <c r="S54" s="55">
        <v>0</v>
      </c>
      <c r="T54" s="383">
        <v>4730000</v>
      </c>
      <c r="U54" s="46"/>
      <c r="V54" s="48">
        <f>SUM(B54:T54)</f>
        <v>4792042</v>
      </c>
      <c r="W54" s="168"/>
      <c r="X54" s="821">
        <v>17684064</v>
      </c>
      <c r="Y54" s="48">
        <v>17684064</v>
      </c>
      <c r="Z54" s="12"/>
      <c r="AC54" s="167"/>
    </row>
    <row r="55" spans="1:29">
      <c r="A55" s="178" t="s">
        <v>459</v>
      </c>
      <c r="B55" s="48"/>
      <c r="C55" s="48"/>
      <c r="D55" s="48"/>
      <c r="E55" s="48"/>
      <c r="F55" s="48"/>
      <c r="G55" s="48"/>
      <c r="H55" s="48"/>
      <c r="I55" s="48"/>
      <c r="J55" s="48"/>
      <c r="K55" s="48"/>
      <c r="L55" s="183"/>
      <c r="M55" s="48"/>
      <c r="N55" s="55">
        <f t="shared" si="4"/>
        <v>0</v>
      </c>
      <c r="O55" s="55">
        <v>0</v>
      </c>
      <c r="P55" s="55"/>
      <c r="Q55" s="172"/>
      <c r="R55" s="48"/>
      <c r="S55" s="55">
        <v>0</v>
      </c>
      <c r="T55" s="383">
        <v>0</v>
      </c>
      <c r="U55" s="46"/>
      <c r="V55" s="48">
        <f>SUM(B55:T55)</f>
        <v>0</v>
      </c>
      <c r="W55" s="168"/>
      <c r="X55" s="821">
        <v>3700133</v>
      </c>
      <c r="Y55" s="48">
        <v>3700133</v>
      </c>
      <c r="Z55" s="12"/>
      <c r="AC55" s="167"/>
    </row>
    <row r="56" spans="1:29">
      <c r="A56" s="386" t="s">
        <v>485</v>
      </c>
      <c r="B56" s="228"/>
      <c r="C56" s="228"/>
      <c r="D56" s="228"/>
      <c r="E56" s="228"/>
      <c r="F56" s="228"/>
      <c r="G56" s="228"/>
      <c r="H56" s="228"/>
      <c r="I56" s="228"/>
      <c r="J56" s="228"/>
      <c r="K56" s="228"/>
      <c r="L56" s="369"/>
      <c r="M56" s="228"/>
      <c r="N56" s="229">
        <f t="shared" si="4"/>
        <v>0</v>
      </c>
      <c r="O56" s="229">
        <v>0</v>
      </c>
      <c r="P56" s="229"/>
      <c r="Q56" s="387"/>
      <c r="R56" s="228"/>
      <c r="S56" s="229">
        <v>0</v>
      </c>
      <c r="T56" s="393">
        <v>860000</v>
      </c>
      <c r="U56" s="226"/>
      <c r="V56" s="229">
        <f t="shared" si="5"/>
        <v>860000</v>
      </c>
      <c r="W56" s="168"/>
      <c r="X56" s="241">
        <v>2369903</v>
      </c>
      <c r="Y56" s="44">
        <v>2369903</v>
      </c>
      <c r="Z56" s="12"/>
      <c r="AC56" s="167"/>
    </row>
    <row r="57" spans="1:29">
      <c r="A57" s="178" t="s">
        <v>105</v>
      </c>
      <c r="B57" s="55"/>
      <c r="C57" s="55"/>
      <c r="D57" s="55"/>
      <c r="E57" s="55"/>
      <c r="F57" s="55"/>
      <c r="G57" s="55"/>
      <c r="H57" s="55"/>
      <c r="I57" s="55"/>
      <c r="J57" s="55"/>
      <c r="K57" s="55"/>
      <c r="L57" s="184"/>
      <c r="M57" s="55"/>
      <c r="N57" s="55">
        <f t="shared" si="4"/>
        <v>0</v>
      </c>
      <c r="O57" s="55">
        <v>0</v>
      </c>
      <c r="P57" s="55"/>
      <c r="Q57" s="181"/>
      <c r="R57" s="48"/>
      <c r="S57" s="48">
        <v>0</v>
      </c>
      <c r="T57" s="383">
        <v>4300000</v>
      </c>
      <c r="V57" s="55">
        <f t="shared" si="5"/>
        <v>4300000</v>
      </c>
      <c r="W57" s="168"/>
      <c r="X57" s="821">
        <v>12372914</v>
      </c>
      <c r="Y57" s="48">
        <v>12372914</v>
      </c>
      <c r="Z57" s="12"/>
      <c r="AA57" s="167"/>
      <c r="AB57" s="167"/>
      <c r="AC57" s="167"/>
    </row>
    <row r="58" spans="1:29">
      <c r="A58" s="375" t="s">
        <v>106</v>
      </c>
      <c r="B58" s="376">
        <f>SUM(B39:B57)</f>
        <v>0</v>
      </c>
      <c r="C58" s="376">
        <f>SUM(C39:C57)</f>
        <v>0</v>
      </c>
      <c r="D58" s="376"/>
      <c r="E58" s="376">
        <f>SUM(E39:E57)</f>
        <v>0</v>
      </c>
      <c r="F58" s="376"/>
      <c r="G58" s="376">
        <f>SUM(G39:G57)</f>
        <v>1632305.2966400001</v>
      </c>
      <c r="H58" s="376">
        <f>SUM(H39:H57)</f>
        <v>714133.56728000008</v>
      </c>
      <c r="I58" s="376">
        <f>SUM(I39:I57)</f>
        <v>0</v>
      </c>
      <c r="J58" s="376">
        <f>SUM(J39:J57)</f>
        <v>1428267.1345600002</v>
      </c>
      <c r="K58" s="376"/>
      <c r="L58" s="376">
        <f>SUM(L39:L57)</f>
        <v>0</v>
      </c>
      <c r="M58" s="376"/>
      <c r="N58" s="376">
        <f t="shared" ref="N58:T58" si="6">SUM(N39:N57)</f>
        <v>-792800.70200000005</v>
      </c>
      <c r="O58" s="376">
        <f t="shared" si="6"/>
        <v>73323</v>
      </c>
      <c r="P58" s="376"/>
      <c r="Q58" s="376">
        <f t="shared" si="6"/>
        <v>0</v>
      </c>
      <c r="R58" s="376">
        <f t="shared" si="6"/>
        <v>10640200</v>
      </c>
      <c r="S58" s="376">
        <f t="shared" si="6"/>
        <v>0</v>
      </c>
      <c r="T58" s="376">
        <f t="shared" si="6"/>
        <v>19780000</v>
      </c>
      <c r="U58" s="373"/>
      <c r="V58" s="376">
        <f>SUM(V39:V57)</f>
        <v>33475428.296480007</v>
      </c>
      <c r="W58" s="168"/>
      <c r="X58" s="376">
        <f>SUM(X39:X57)</f>
        <v>155419385</v>
      </c>
      <c r="Y58" s="376">
        <f>SUM(Y39:Y57)</f>
        <v>155419385</v>
      </c>
      <c r="Z58" s="12"/>
      <c r="AA58" s="167"/>
      <c r="AB58" s="167"/>
      <c r="AC58" s="167"/>
    </row>
    <row r="59" spans="1:29" ht="16.5" thickBot="1">
      <c r="A59" s="377" t="s">
        <v>107</v>
      </c>
      <c r="B59" s="378">
        <f>B6+B7+B8+B9+B10+B11+B12+B35+B58</f>
        <v>0</v>
      </c>
      <c r="C59" s="378">
        <f>C6+C7+C8+C9+C10+C11+C12+C35+C58</f>
        <v>0</v>
      </c>
      <c r="D59" s="378"/>
      <c r="E59" s="378">
        <f>E6+E7+E8+E9+E10+E11+E12+E35+E58</f>
        <v>0</v>
      </c>
      <c r="F59" s="378"/>
      <c r="G59" s="378">
        <f>G6+G7+G8+G9+G10+G11+G12+G35+G58</f>
        <v>1632305.2966400001</v>
      </c>
      <c r="H59" s="378">
        <f>H6+H7+H8+H9+H10+H11+H12+H35+H58</f>
        <v>714133.56728000008</v>
      </c>
      <c r="I59" s="378">
        <f>I6+I7+I8+I9+I10+I11+I12+I35+I58</f>
        <v>0</v>
      </c>
      <c r="J59" s="378">
        <f>J6+J7+J8+J9+J10+J11+J12+J35+J58</f>
        <v>1428267.1345600002</v>
      </c>
      <c r="K59" s="378"/>
      <c r="L59" s="378">
        <f>L6+L7+L8+L9+L10+L11+L12+L35+L58</f>
        <v>0</v>
      </c>
      <c r="M59" s="378"/>
      <c r="N59" s="378">
        <f t="shared" ref="N59:T59" si="7">N6+N7+N8+N9+N10+N11+N12+N35+N58</f>
        <v>-3774705.9984800001</v>
      </c>
      <c r="O59" s="378">
        <f t="shared" si="7"/>
        <v>20309477.52</v>
      </c>
      <c r="P59" s="378">
        <f t="shared" si="7"/>
        <v>10000000</v>
      </c>
      <c r="Q59" s="378">
        <f t="shared" si="7"/>
        <v>20791634.890666667</v>
      </c>
      <c r="R59" s="378">
        <f t="shared" si="7"/>
        <v>51913197</v>
      </c>
      <c r="S59" s="378">
        <f t="shared" si="7"/>
        <v>1902363</v>
      </c>
      <c r="T59" s="378">
        <f t="shared" si="7"/>
        <v>37598000</v>
      </c>
      <c r="U59" s="379"/>
      <c r="V59" s="378">
        <f>V6+V7+V8+V9+V10+V11+V12+V35+V58</f>
        <v>142514672.41066667</v>
      </c>
      <c r="W59" s="660"/>
      <c r="X59" s="378">
        <f>SUM(X6,X35,X58)</f>
        <v>552825759</v>
      </c>
      <c r="Y59" s="378">
        <f>SUM(Y6,Y35,Y58)</f>
        <v>552825759</v>
      </c>
      <c r="Z59" s="12"/>
      <c r="AA59" s="167"/>
      <c r="AB59" s="167"/>
      <c r="AC59" s="167"/>
    </row>
    <row r="60" spans="1:29" ht="17.25" thickTop="1" thickBot="1">
      <c r="A60" s="178"/>
      <c r="B60" s="178"/>
      <c r="C60" s="178"/>
      <c r="D60" s="178"/>
      <c r="E60" s="178"/>
      <c r="F60" s="178"/>
      <c r="G60" s="178"/>
      <c r="H60" s="178"/>
      <c r="I60" s="178"/>
      <c r="J60" s="178"/>
      <c r="K60" s="178"/>
      <c r="L60" s="172"/>
      <c r="M60" s="172"/>
      <c r="N60" s="55"/>
      <c r="O60" s="55"/>
      <c r="P60" s="55"/>
      <c r="Q60" s="55"/>
      <c r="R60" s="169"/>
      <c r="S60" s="55"/>
      <c r="T60" s="173"/>
      <c r="U60" s="173"/>
      <c r="V60" s="171">
        <f>SUM(B59:T59)</f>
        <v>142514672.41066667</v>
      </c>
      <c r="W60" s="168"/>
      <c r="X60" s="378">
        <v>552825759.38800001</v>
      </c>
      <c r="Y60" s="378">
        <v>552825759.38800001</v>
      </c>
      <c r="Z60" s="167"/>
      <c r="AA60" s="167"/>
      <c r="AB60" s="167"/>
      <c r="AC60" s="167"/>
    </row>
    <row r="61" spans="1:29" ht="16.5" thickTop="1">
      <c r="A61" s="167"/>
      <c r="B61" s="167"/>
      <c r="C61" s="167"/>
      <c r="D61" s="167"/>
      <c r="E61" s="169"/>
      <c r="F61" s="167"/>
      <c r="G61" s="167"/>
      <c r="H61" s="167"/>
      <c r="I61" s="167"/>
      <c r="J61" s="169"/>
      <c r="K61" s="167"/>
      <c r="L61" s="169"/>
      <c r="M61" s="169"/>
      <c r="N61" s="169"/>
      <c r="O61" s="169"/>
      <c r="P61" s="169"/>
      <c r="Q61" s="169"/>
      <c r="R61" s="169"/>
      <c r="S61" s="169"/>
      <c r="T61" s="169"/>
      <c r="U61" s="167"/>
      <c r="V61" s="169"/>
      <c r="W61" s="167"/>
      <c r="X61" s="169"/>
      <c r="Y61" s="167"/>
      <c r="Z61" s="167"/>
      <c r="AA61" s="167"/>
      <c r="AB61" s="167"/>
      <c r="AC61" s="167"/>
    </row>
    <row r="62" spans="1:29">
      <c r="A62" s="167"/>
      <c r="B62" s="167"/>
      <c r="C62" s="167"/>
      <c r="D62" s="167"/>
      <c r="E62" s="167"/>
      <c r="F62" s="167"/>
      <c r="G62" s="167"/>
      <c r="H62" s="167"/>
      <c r="I62" s="167"/>
      <c r="J62" s="167"/>
      <c r="K62" s="167"/>
      <c r="L62" s="169"/>
      <c r="M62" s="167"/>
      <c r="N62" s="167"/>
      <c r="O62" s="167"/>
      <c r="P62" s="167"/>
      <c r="Q62" s="167"/>
      <c r="R62" s="169" t="s">
        <v>1669</v>
      </c>
      <c r="S62" s="167"/>
      <c r="T62" s="169">
        <f>T59-43000000</f>
        <v>-5402000</v>
      </c>
      <c r="U62" s="167"/>
      <c r="V62" s="169"/>
      <c r="W62" s="167"/>
      <c r="X62" s="167"/>
      <c r="Y62" s="167"/>
      <c r="Z62" s="167"/>
      <c r="AA62" s="167"/>
      <c r="AB62" s="167"/>
      <c r="AC62" s="167"/>
    </row>
    <row r="63" spans="1:29">
      <c r="A63" s="167"/>
      <c r="B63" s="167"/>
      <c r="C63" s="167"/>
      <c r="D63" s="167"/>
      <c r="E63" s="167"/>
      <c r="F63" s="167"/>
      <c r="G63" s="167"/>
      <c r="H63" s="167"/>
      <c r="I63" s="167"/>
      <c r="J63" s="167"/>
      <c r="K63" s="167"/>
      <c r="L63" s="185"/>
      <c r="M63" s="167"/>
      <c r="N63" s="167"/>
      <c r="O63" s="167"/>
      <c r="P63" s="167"/>
      <c r="Q63" s="167"/>
      <c r="R63" s="169" t="s">
        <v>400</v>
      </c>
      <c r="S63" s="169"/>
      <c r="T63" s="169">
        <v>3440000</v>
      </c>
      <c r="U63" s="167"/>
      <c r="V63" s="169"/>
      <c r="W63" s="167"/>
      <c r="X63" s="167"/>
      <c r="Y63" s="167"/>
      <c r="Z63" s="167"/>
      <c r="AA63" s="167"/>
      <c r="AB63" s="167"/>
      <c r="AC63" s="167"/>
    </row>
    <row r="64" spans="1:29">
      <c r="A64" s="167"/>
      <c r="B64" s="167"/>
      <c r="C64" s="167"/>
      <c r="D64" s="167"/>
      <c r="E64" s="167"/>
      <c r="F64" s="167"/>
      <c r="G64" s="167"/>
      <c r="H64" s="167"/>
      <c r="I64" s="167"/>
      <c r="J64" s="167"/>
      <c r="K64" s="167"/>
      <c r="L64" s="167"/>
      <c r="M64" s="167"/>
      <c r="N64" s="167"/>
      <c r="O64" s="167"/>
      <c r="P64" s="167"/>
      <c r="Q64" s="167"/>
      <c r="R64" s="167" t="s">
        <v>1670</v>
      </c>
      <c r="S64" s="169"/>
      <c r="T64" s="169">
        <v>1525000</v>
      </c>
      <c r="U64" s="167"/>
      <c r="V64" s="167"/>
      <c r="W64" s="167"/>
      <c r="X64" s="167"/>
      <c r="Y64" s="167"/>
      <c r="Z64" s="167"/>
      <c r="AA64" s="167"/>
      <c r="AB64" s="167"/>
      <c r="AC64" s="167"/>
    </row>
    <row r="65" spans="1:29">
      <c r="A65" s="167"/>
      <c r="B65" s="167"/>
      <c r="C65" s="167"/>
      <c r="D65" s="167"/>
      <c r="E65" s="167"/>
      <c r="F65" s="167"/>
      <c r="G65" s="167"/>
      <c r="H65" s="167"/>
      <c r="I65" s="167"/>
      <c r="J65" s="167"/>
      <c r="K65" s="167"/>
      <c r="L65" s="167"/>
      <c r="M65" s="167"/>
      <c r="N65" s="167"/>
      <c r="O65" s="167"/>
      <c r="P65" s="167"/>
      <c r="Q65" s="167"/>
      <c r="R65" s="167" t="s">
        <v>1671</v>
      </c>
      <c r="S65" s="167"/>
      <c r="T65" s="185">
        <v>437000</v>
      </c>
      <c r="U65" s="167"/>
      <c r="V65" s="167"/>
      <c r="W65" s="167"/>
      <c r="X65" s="167"/>
      <c r="Y65" s="167"/>
      <c r="Z65" s="167"/>
      <c r="AA65" s="167"/>
      <c r="AB65" s="167"/>
      <c r="AC65" s="167"/>
    </row>
    <row r="66" spans="1:29">
      <c r="A66" s="167"/>
      <c r="B66" s="167"/>
      <c r="C66" s="167"/>
      <c r="D66" s="167"/>
      <c r="E66" s="167"/>
      <c r="F66" s="167"/>
      <c r="G66" s="167"/>
      <c r="H66" s="167"/>
      <c r="I66" s="167"/>
      <c r="J66" s="167"/>
      <c r="K66" s="167"/>
      <c r="L66" s="167"/>
      <c r="M66" s="167"/>
      <c r="N66" s="167"/>
      <c r="O66" s="167"/>
      <c r="P66" s="167"/>
      <c r="Q66" s="167"/>
      <c r="R66" s="167"/>
      <c r="S66" s="1384"/>
      <c r="T66" s="169">
        <f>SUM(T62:T65)</f>
        <v>0</v>
      </c>
      <c r="U66" s="167"/>
      <c r="V66" s="167"/>
      <c r="W66" s="167"/>
      <c r="X66" s="167"/>
      <c r="Y66" s="167"/>
      <c r="Z66" s="167"/>
    </row>
    <row r="67" spans="1:29">
      <c r="O67" s="322"/>
      <c r="P67" s="322"/>
      <c r="Q67" s="322"/>
    </row>
    <row r="68" spans="1:29">
      <c r="O68" s="322"/>
      <c r="P68" s="322"/>
      <c r="Q68" s="322"/>
    </row>
    <row r="69" spans="1:29">
      <c r="O69" s="154"/>
      <c r="P69" s="154"/>
      <c r="Q69" s="322"/>
    </row>
    <row r="70" spans="1:29">
      <c r="O70" s="154"/>
      <c r="P70" s="154"/>
      <c r="Q70" s="154"/>
      <c r="R70">
        <f>'Step 0 FY18 Revenue'!L49+'Step 0 FY18 Revenue'!L53+'Step 0 FY18 Revenue'!L54</f>
        <v>32397700</v>
      </c>
    </row>
    <row r="71" spans="1:29">
      <c r="R71" s="12">
        <f>R59-R29</f>
        <v>31797700</v>
      </c>
    </row>
  </sheetData>
  <mergeCells count="5">
    <mergeCell ref="B4:E4"/>
    <mergeCell ref="G4:J4"/>
    <mergeCell ref="N4:T4"/>
    <mergeCell ref="X6:X12"/>
    <mergeCell ref="Y6:Y12"/>
  </mergeCells>
  <pageMargins left="0.75" right="0.75" top="1" bottom="1" header="0.5" footer="0.5"/>
  <pageSetup orientation="portrait" horizontalDpi="4294967292" verticalDpi="429496729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34"/>
  <sheetViews>
    <sheetView zoomScale="120" zoomScaleNormal="120" zoomScalePageLayoutView="120" workbookViewId="0">
      <selection activeCell="F26" sqref="F26"/>
    </sheetView>
  </sheetViews>
  <sheetFormatPr defaultColWidth="11" defaultRowHeight="15.75"/>
  <cols>
    <col min="1" max="1" width="48.5" customWidth="1"/>
    <col min="2" max="2" width="14" customWidth="1"/>
    <col min="3" max="3" width="17.875" customWidth="1"/>
    <col min="4" max="4" width="13.375" customWidth="1"/>
    <col min="7" max="7" width="43.5" customWidth="1"/>
    <col min="8" max="8" width="13.5" bestFit="1" customWidth="1"/>
  </cols>
  <sheetData>
    <row r="1" spans="1:8">
      <c r="A1" s="175" t="s">
        <v>62</v>
      </c>
    </row>
    <row r="2" spans="1:8" ht="16.5" thickBot="1">
      <c r="A2" s="175" t="s">
        <v>1478</v>
      </c>
    </row>
    <row r="3" spans="1:8">
      <c r="A3" s="270"/>
      <c r="B3" s="399"/>
      <c r="C3" s="399"/>
      <c r="D3" s="400"/>
      <c r="G3" s="915" t="s">
        <v>1482</v>
      </c>
      <c r="H3" s="400"/>
    </row>
    <row r="4" spans="1:8">
      <c r="A4" s="272"/>
      <c r="B4" s="62"/>
      <c r="C4" s="62"/>
      <c r="D4" s="401"/>
      <c r="G4" s="272"/>
      <c r="H4" s="401"/>
    </row>
    <row r="5" spans="1:8" ht="32.1" customHeight="1">
      <c r="A5" s="1783" t="s">
        <v>1515</v>
      </c>
      <c r="B5" s="1784"/>
      <c r="C5" s="1784"/>
      <c r="D5" s="1785"/>
      <c r="G5" s="1416" t="s">
        <v>1483</v>
      </c>
      <c r="H5" s="1417">
        <v>9357244</v>
      </c>
    </row>
    <row r="6" spans="1:8" ht="17.25">
      <c r="A6" s="402"/>
      <c r="B6" s="214"/>
      <c r="C6" s="214"/>
      <c r="D6" s="401"/>
      <c r="G6" s="1416" t="s">
        <v>419</v>
      </c>
      <c r="H6" s="1417">
        <v>1525000</v>
      </c>
    </row>
    <row r="7" spans="1:8" ht="17.25">
      <c r="A7" s="402" t="s">
        <v>1479</v>
      </c>
      <c r="B7" s="214"/>
      <c r="C7" s="403">
        <f>'Step 1 Dedicated Funds'!X3</f>
        <v>439093662.53790474</v>
      </c>
      <c r="D7" s="401"/>
      <c r="G7" s="1416" t="s">
        <v>420</v>
      </c>
      <c r="H7" s="1417">
        <v>0</v>
      </c>
    </row>
    <row r="8" spans="1:8" ht="17.25">
      <c r="A8" s="402"/>
      <c r="B8" s="214"/>
      <c r="C8" s="403"/>
      <c r="D8" s="401"/>
      <c r="G8" s="1416" t="s">
        <v>1541</v>
      </c>
      <c r="H8" s="1417">
        <v>6546678</v>
      </c>
    </row>
    <row r="9" spans="1:8">
      <c r="A9" s="402" t="s">
        <v>1480</v>
      </c>
      <c r="B9" s="1099">
        <v>0.59</v>
      </c>
      <c r="C9" s="403">
        <f>B9*C7</f>
        <v>259065260.89736378</v>
      </c>
      <c r="D9" s="401"/>
      <c r="G9" s="617" t="s">
        <v>946</v>
      </c>
      <c r="H9" s="1418">
        <v>750000</v>
      </c>
    </row>
    <row r="10" spans="1:8" ht="18" thickBot="1">
      <c r="A10" s="1359" t="s">
        <v>1481</v>
      </c>
      <c r="B10" s="1360"/>
      <c r="C10" s="403">
        <f>H10</f>
        <v>18178922</v>
      </c>
      <c r="D10" s="401"/>
      <c r="G10" s="1419" t="s">
        <v>13</v>
      </c>
      <c r="H10" s="1420">
        <f>SUM(H5:H9)</f>
        <v>18178922</v>
      </c>
    </row>
    <row r="11" spans="1:8" ht="16.5" thickBot="1">
      <c r="A11" s="1359" t="s">
        <v>1487</v>
      </c>
      <c r="B11" s="1360"/>
      <c r="C11" s="403">
        <v>21840000</v>
      </c>
      <c r="D11" s="401"/>
    </row>
    <row r="12" spans="1:8" ht="18" thickBot="1">
      <c r="A12" s="1359" t="s">
        <v>1484</v>
      </c>
      <c r="B12" s="1360"/>
      <c r="C12" s="1362">
        <f>C9-C10-C11</f>
        <v>219046338.89736378</v>
      </c>
      <c r="D12" s="401"/>
      <c r="G12" s="1421" t="s">
        <v>1485</v>
      </c>
      <c r="H12" s="1422">
        <v>21840000</v>
      </c>
    </row>
    <row r="13" spans="1:8">
      <c r="A13" s="402"/>
      <c r="B13" s="1360"/>
      <c r="C13" s="403"/>
      <c r="D13" s="401"/>
    </row>
    <row r="14" spans="1:8">
      <c r="A14" s="402"/>
      <c r="B14" s="1360"/>
      <c r="C14" s="403"/>
      <c r="D14" s="401"/>
    </row>
    <row r="15" spans="1:8" ht="16.5" thickBot="1">
      <c r="A15" s="402"/>
      <c r="B15" s="1360"/>
      <c r="C15" s="403"/>
      <c r="D15" s="401"/>
    </row>
    <row r="16" spans="1:8">
      <c r="A16" s="402"/>
      <c r="B16" s="1360"/>
      <c r="C16" s="403"/>
      <c r="D16" s="401"/>
      <c r="G16" s="915" t="s">
        <v>1545</v>
      </c>
      <c r="H16" s="400"/>
    </row>
    <row r="17" spans="1:8" ht="17.25">
      <c r="A17" s="402"/>
      <c r="B17" s="1100"/>
      <c r="C17" s="403"/>
      <c r="D17" s="401"/>
      <c r="G17" s="1416" t="s">
        <v>1546</v>
      </c>
      <c r="H17" s="1417">
        <v>3161000</v>
      </c>
    </row>
    <row r="18" spans="1:8" ht="48.75">
      <c r="A18" s="1358" t="s">
        <v>1585</v>
      </c>
      <c r="B18" s="1100">
        <f>1-B9</f>
        <v>0.41000000000000003</v>
      </c>
      <c r="C18" s="403">
        <f>B18*C7</f>
        <v>180028401.64054096</v>
      </c>
      <c r="D18" s="401"/>
      <c r="G18" s="1416" t="s">
        <v>1549</v>
      </c>
      <c r="H18" s="1417">
        <v>3111300</v>
      </c>
    </row>
    <row r="19" spans="1:8" ht="17.25">
      <c r="A19" s="272"/>
      <c r="B19" s="62"/>
      <c r="C19" s="62"/>
      <c r="D19" s="401"/>
      <c r="G19" s="1416" t="s">
        <v>1550</v>
      </c>
      <c r="H19" s="1417">
        <v>11563620</v>
      </c>
    </row>
    <row r="20" spans="1:8" ht="17.25">
      <c r="A20" s="402" t="s">
        <v>11</v>
      </c>
      <c r="B20" s="214"/>
      <c r="C20" s="1361">
        <f>SUM(C10:C18)</f>
        <v>439093662.53790474</v>
      </c>
      <c r="D20" s="401"/>
      <c r="G20" s="1416" t="s">
        <v>1547</v>
      </c>
      <c r="H20" s="1417">
        <v>4150000</v>
      </c>
    </row>
    <row r="21" spans="1:8" ht="17.25">
      <c r="A21" s="272"/>
      <c r="B21" s="62"/>
      <c r="C21" s="62"/>
      <c r="D21" s="401"/>
      <c r="G21" s="1416" t="s">
        <v>482</v>
      </c>
      <c r="H21" s="1417">
        <v>26139223</v>
      </c>
    </row>
    <row r="22" spans="1:8" ht="18" thickBot="1">
      <c r="A22" s="404"/>
      <c r="B22" s="405"/>
      <c r="C22" s="405"/>
      <c r="D22" s="406"/>
      <c r="G22" s="1416" t="s">
        <v>1551</v>
      </c>
      <c r="H22" s="1417">
        <f>12690885-1603665</f>
        <v>11087220</v>
      </c>
    </row>
    <row r="23" spans="1:8" ht="17.25">
      <c r="G23" s="1416" t="s">
        <v>1548</v>
      </c>
      <c r="H23" s="1426">
        <f>C18-SUM(H17:H22)</f>
        <v>120816038.64054096</v>
      </c>
    </row>
    <row r="24" spans="1:8" ht="18" thickBot="1">
      <c r="G24" s="1419" t="s">
        <v>13</v>
      </c>
      <c r="H24" s="1420">
        <f>SUM(H17:H23)</f>
        <v>180028401.64054096</v>
      </c>
    </row>
    <row r="25" spans="1:8">
      <c r="A25" s="10"/>
      <c r="C25" s="219"/>
    </row>
    <row r="26" spans="1:8">
      <c r="A26" s="10" t="s">
        <v>1582</v>
      </c>
      <c r="C26" s="191"/>
    </row>
    <row r="27" spans="1:8">
      <c r="A27" s="402" t="s">
        <v>1583</v>
      </c>
      <c r="C27" s="191"/>
    </row>
    <row r="28" spans="1:8">
      <c r="A28" s="402" t="s">
        <v>1584</v>
      </c>
    </row>
    <row r="29" spans="1:8">
      <c r="A29" s="402" t="s">
        <v>1604</v>
      </c>
      <c r="C29" s="403"/>
    </row>
    <row r="30" spans="1:8">
      <c r="A30" s="1080" t="s">
        <v>1605</v>
      </c>
      <c r="C30" s="191"/>
    </row>
    <row r="32" spans="1:8">
      <c r="C32" s="191"/>
    </row>
    <row r="33" spans="3:3">
      <c r="C33" s="180"/>
    </row>
    <row r="34" spans="3:3">
      <c r="C34" s="180"/>
    </row>
  </sheetData>
  <mergeCells count="1">
    <mergeCell ref="A5:D5"/>
  </mergeCells>
  <phoneticPr fontId="52" type="noConversion"/>
  <pageMargins left="0.75" right="0.75" top="1" bottom="1" header="0.5" footer="0.5"/>
  <pageSetup scale="89" orientation="portrait" horizontalDpi="4294967292" verticalDpi="429496729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A74"/>
  <sheetViews>
    <sheetView topLeftCell="A20" workbookViewId="0">
      <selection activeCell="E16" sqref="E16:E34"/>
    </sheetView>
  </sheetViews>
  <sheetFormatPr defaultColWidth="11" defaultRowHeight="15.75"/>
  <cols>
    <col min="1" max="1" width="38.375" customWidth="1"/>
    <col min="5" max="5" width="11.5" bestFit="1" customWidth="1"/>
    <col min="6" max="6" width="2.5" customWidth="1"/>
    <col min="7" max="9" width="12.625" customWidth="1"/>
    <col min="10" max="10" width="12.875" customWidth="1"/>
    <col min="11" max="11" width="2.375" customWidth="1"/>
    <col min="12" max="12" width="13.625" customWidth="1"/>
    <col min="13" max="13" width="11.5" bestFit="1" customWidth="1"/>
    <col min="14" max="14" width="11.625" customWidth="1"/>
    <col min="16" max="16" width="12.5" bestFit="1" customWidth="1"/>
    <col min="17" max="17" width="12.625" customWidth="1"/>
    <col min="18" max="18" width="11.625" bestFit="1" customWidth="1"/>
    <col min="19" max="19" width="3" customWidth="1"/>
    <col min="21" max="21" width="12.5" customWidth="1"/>
    <col min="22" max="22" width="3" customWidth="1"/>
    <col min="23" max="23" width="13.375" customWidth="1"/>
    <col min="24" max="24" width="3" customWidth="1"/>
    <col min="25" max="25" width="13.375" customWidth="1"/>
    <col min="26" max="26" width="5.875" customWidth="1"/>
    <col min="27" max="27" width="14.625" customWidth="1"/>
    <col min="28" max="28" width="13.5" customWidth="1"/>
    <col min="29" max="29" width="12.5" bestFit="1" customWidth="1"/>
  </cols>
  <sheetData>
    <row r="1" spans="1:27">
      <c r="A1" s="175" t="s">
        <v>62</v>
      </c>
      <c r="B1" s="175"/>
      <c r="C1" s="175"/>
      <c r="D1" s="175"/>
      <c r="E1" s="175"/>
      <c r="F1" s="175"/>
      <c r="G1" s="175"/>
      <c r="H1" s="175"/>
      <c r="I1" s="175"/>
      <c r="J1" s="175"/>
      <c r="K1" s="175"/>
      <c r="L1" s="175"/>
      <c r="M1" s="175"/>
      <c r="N1" s="175"/>
      <c r="U1" s="202" t="s">
        <v>177</v>
      </c>
      <c r="V1" s="203"/>
      <c r="W1" s="207">
        <f>'Step 6 Service-Support'!T2</f>
        <v>581608334.94857144</v>
      </c>
      <c r="X1" s="175"/>
      <c r="Y1" s="175"/>
      <c r="Z1" s="657"/>
      <c r="AA1" s="657"/>
    </row>
    <row r="2" spans="1:27" ht="16.5" thickBot="1">
      <c r="A2" s="175" t="s">
        <v>1475</v>
      </c>
      <c r="B2" s="175"/>
      <c r="C2" s="175"/>
      <c r="D2" s="175"/>
      <c r="E2" s="175"/>
      <c r="F2" s="175"/>
      <c r="G2" s="175"/>
      <c r="H2" s="175"/>
      <c r="I2" s="175"/>
      <c r="J2" s="175"/>
      <c r="K2" s="175"/>
      <c r="L2" s="175"/>
      <c r="M2" s="175"/>
      <c r="N2" s="175"/>
      <c r="U2" s="204" t="s">
        <v>178</v>
      </c>
      <c r="V2" s="205"/>
      <c r="W2" s="206">
        <f>W1-W59</f>
        <v>179728401.64054102</v>
      </c>
    </row>
    <row r="3" spans="1:27">
      <c r="A3" s="175"/>
      <c r="B3" s="175"/>
      <c r="C3" s="175"/>
      <c r="D3" s="175"/>
      <c r="E3" s="175"/>
      <c r="F3" s="175"/>
      <c r="G3" s="175"/>
      <c r="H3" s="175"/>
      <c r="I3" s="175"/>
      <c r="J3" s="175"/>
      <c r="K3" s="175"/>
      <c r="L3" s="175"/>
      <c r="M3" s="175"/>
      <c r="N3" s="175"/>
      <c r="O3" s="175"/>
      <c r="P3" s="175"/>
      <c r="Q3" s="175"/>
      <c r="R3" s="175"/>
      <c r="S3" s="175"/>
      <c r="T3" s="175"/>
    </row>
    <row r="4" spans="1:27">
      <c r="A4" s="176"/>
      <c r="B4" s="1786" t="s">
        <v>168</v>
      </c>
      <c r="C4" s="1786"/>
      <c r="D4" s="1786"/>
      <c r="E4" s="1786"/>
      <c r="F4" s="196"/>
      <c r="G4" s="1781" t="s">
        <v>169</v>
      </c>
      <c r="H4" s="1781"/>
      <c r="I4" s="1781"/>
      <c r="J4" s="1781"/>
      <c r="K4" s="201"/>
      <c r="L4" s="1787" t="s">
        <v>666</v>
      </c>
      <c r="M4" s="1787"/>
      <c r="N4" s="1787"/>
      <c r="O4" s="1787"/>
      <c r="P4" s="1787"/>
      <c r="Q4" s="1787"/>
      <c r="R4" s="1787"/>
      <c r="S4" s="176"/>
      <c r="T4" s="1782" t="s">
        <v>154</v>
      </c>
      <c r="U4" s="1782"/>
      <c r="V4" s="196"/>
    </row>
    <row r="5" spans="1:27" ht="63.75">
      <c r="A5" s="186" t="s">
        <v>69</v>
      </c>
      <c r="B5" s="231" t="s">
        <v>175</v>
      </c>
      <c r="C5" s="231" t="s">
        <v>738</v>
      </c>
      <c r="D5" s="231" t="s">
        <v>672</v>
      </c>
      <c r="E5" s="231" t="s">
        <v>1554</v>
      </c>
      <c r="F5" s="238"/>
      <c r="G5" s="231" t="s">
        <v>159</v>
      </c>
      <c r="H5" s="231" t="s">
        <v>160</v>
      </c>
      <c r="I5" s="231" t="s">
        <v>161</v>
      </c>
      <c r="J5" s="231" t="s">
        <v>162</v>
      </c>
      <c r="K5" s="237"/>
      <c r="L5" s="237" t="s">
        <v>653</v>
      </c>
      <c r="M5" s="237" t="s">
        <v>654</v>
      </c>
      <c r="N5" s="237" t="s">
        <v>655</v>
      </c>
      <c r="O5" s="237" t="s">
        <v>406</v>
      </c>
      <c r="P5" s="237" t="s">
        <v>656</v>
      </c>
      <c r="Q5" s="237" t="s">
        <v>1401</v>
      </c>
      <c r="R5" s="661"/>
      <c r="S5" s="231"/>
      <c r="T5" s="231" t="s">
        <v>167</v>
      </c>
      <c r="U5" s="231" t="s">
        <v>171</v>
      </c>
      <c r="V5" s="238"/>
      <c r="W5" s="231" t="s">
        <v>1476</v>
      </c>
      <c r="X5" s="1140"/>
      <c r="Y5" s="1141" t="s">
        <v>1031</v>
      </c>
    </row>
    <row r="6" spans="1:27">
      <c r="A6" s="177" t="s">
        <v>479</v>
      </c>
      <c r="B6" s="44"/>
      <c r="C6" s="44"/>
      <c r="D6" s="44"/>
      <c r="E6" s="44"/>
      <c r="F6" s="55"/>
      <c r="G6" s="44"/>
      <c r="H6" s="44"/>
      <c r="I6" s="44"/>
      <c r="J6" s="44"/>
      <c r="K6" s="48"/>
      <c r="L6" s="44"/>
      <c r="M6" s="44"/>
      <c r="N6" s="44"/>
      <c r="O6" s="44"/>
      <c r="P6" s="44"/>
      <c r="Q6" s="44"/>
      <c r="R6" s="44"/>
      <c r="S6" s="48"/>
      <c r="T6" s="44">
        <f>'Step 1 Dedicated Funds'!N6</f>
        <v>0</v>
      </c>
      <c r="U6" s="44">
        <f>SUM('Step 1 Dedicated Funds'!O6:T6)</f>
        <v>0</v>
      </c>
      <c r="V6" s="55"/>
      <c r="W6" s="44">
        <f t="shared" ref="W6:W12" si="0">SUM(B6:V6)</f>
        <v>0</v>
      </c>
      <c r="X6" s="167"/>
      <c r="Y6" s="1765">
        <v>55820357</v>
      </c>
    </row>
    <row r="7" spans="1:27">
      <c r="A7" s="177" t="s">
        <v>486</v>
      </c>
      <c r="B7" s="44"/>
      <c r="C7" s="44"/>
      <c r="D7" s="44"/>
      <c r="E7" s="44"/>
      <c r="F7" s="55"/>
      <c r="G7" s="44"/>
      <c r="H7" s="44"/>
      <c r="I7" s="44"/>
      <c r="J7" s="44"/>
      <c r="K7" s="48"/>
      <c r="L7" s="44"/>
      <c r="M7" s="44"/>
      <c r="N7" s="44"/>
      <c r="O7" s="44"/>
      <c r="P7" s="44"/>
      <c r="Q7" s="44"/>
      <c r="R7" s="44"/>
      <c r="S7" s="48"/>
      <c r="T7" s="44">
        <f>'Step 1 Dedicated Funds'!N7</f>
        <v>-270100</v>
      </c>
      <c r="U7" s="44">
        <f>SUM('Step 1 Dedicated Funds'!O7:T7)</f>
        <v>3650000</v>
      </c>
      <c r="V7" s="55"/>
      <c r="W7" s="44">
        <f t="shared" si="0"/>
        <v>3379900</v>
      </c>
      <c r="X7" s="167"/>
      <c r="Y7" s="1766"/>
    </row>
    <row r="8" spans="1:27">
      <c r="A8" s="177" t="s">
        <v>735</v>
      </c>
      <c r="B8" s="44"/>
      <c r="C8" s="44"/>
      <c r="D8" s="44"/>
      <c r="E8" s="44"/>
      <c r="F8" s="55"/>
      <c r="G8" s="44"/>
      <c r="H8" s="44"/>
      <c r="I8" s="44"/>
      <c r="J8" s="44"/>
      <c r="K8" s="48"/>
      <c r="L8" s="44"/>
      <c r="M8" s="44"/>
      <c r="N8" s="44"/>
      <c r="O8" s="44"/>
      <c r="P8" s="44"/>
      <c r="Q8" s="44"/>
      <c r="R8" s="44"/>
      <c r="S8" s="48"/>
      <c r="T8" s="44">
        <f>'Step 1 Dedicated Funds'!N8</f>
        <v>0</v>
      </c>
      <c r="U8" s="44">
        <f>SUM('Step 1 Dedicated Funds'!O8:T8)</f>
        <v>0</v>
      </c>
      <c r="V8" s="55"/>
      <c r="W8" s="44">
        <f t="shared" si="0"/>
        <v>0</v>
      </c>
      <c r="X8" s="168"/>
      <c r="Y8" s="1766"/>
    </row>
    <row r="9" spans="1:27">
      <c r="A9" s="177" t="s">
        <v>753</v>
      </c>
      <c r="B9" s="44"/>
      <c r="C9" s="44"/>
      <c r="D9" s="44"/>
      <c r="E9" s="44"/>
      <c r="F9" s="55"/>
      <c r="G9" s="44"/>
      <c r="H9" s="44"/>
      <c r="I9" s="44"/>
      <c r="J9" s="44"/>
      <c r="K9" s="48"/>
      <c r="L9" s="44"/>
      <c r="M9" s="44"/>
      <c r="N9" s="44"/>
      <c r="O9" s="44"/>
      <c r="P9" s="44"/>
      <c r="Q9" s="44"/>
      <c r="R9" s="44"/>
      <c r="S9" s="48"/>
      <c r="T9" s="44">
        <f>'Step 1 Dedicated Funds'!N9</f>
        <v>0</v>
      </c>
      <c r="U9" s="44">
        <f>SUM('Step 1 Dedicated Funds'!O9:T9)</f>
        <v>10000000</v>
      </c>
      <c r="V9" s="55"/>
      <c r="W9" s="44">
        <f t="shared" si="0"/>
        <v>10000000</v>
      </c>
      <c r="X9" s="168"/>
      <c r="Y9" s="1766"/>
    </row>
    <row r="10" spans="1:27">
      <c r="A10" s="177" t="s">
        <v>480</v>
      </c>
      <c r="B10" s="44">
        <f>'Step 2 Productivity Split'!C10</f>
        <v>18178922</v>
      </c>
      <c r="C10" s="44"/>
      <c r="D10" s="44"/>
      <c r="E10" s="44"/>
      <c r="F10" s="55"/>
      <c r="G10" s="44"/>
      <c r="H10" s="44"/>
      <c r="I10" s="44"/>
      <c r="J10" s="44"/>
      <c r="K10" s="48"/>
      <c r="L10" s="44"/>
      <c r="M10" s="44"/>
      <c r="N10" s="44"/>
      <c r="O10" s="44"/>
      <c r="P10" s="44"/>
      <c r="Q10" s="44"/>
      <c r="R10" s="44"/>
      <c r="S10" s="48"/>
      <c r="T10" s="44">
        <f>'Step 1 Dedicated Funds'!N10</f>
        <v>0</v>
      </c>
      <c r="U10" s="44">
        <f>SUM('Step 1 Dedicated Funds'!O10:T10)</f>
        <v>0</v>
      </c>
      <c r="V10" s="55"/>
      <c r="W10" s="44">
        <f t="shared" si="0"/>
        <v>18178922</v>
      </c>
      <c r="X10" s="168"/>
      <c r="Y10" s="1766"/>
    </row>
    <row r="11" spans="1:27">
      <c r="A11" s="177" t="s">
        <v>481</v>
      </c>
      <c r="B11" s="44"/>
      <c r="C11" s="44"/>
      <c r="D11" s="44"/>
      <c r="E11" s="44"/>
      <c r="F11" s="55"/>
      <c r="G11" s="44"/>
      <c r="H11" s="44"/>
      <c r="I11" s="44"/>
      <c r="J11" s="44"/>
      <c r="K11" s="48"/>
      <c r="L11" s="44"/>
      <c r="M11" s="44"/>
      <c r="N11" s="44"/>
      <c r="O11" s="44"/>
      <c r="P11" s="44"/>
      <c r="Q11" s="44"/>
      <c r="R11" s="44"/>
      <c r="S11" s="48"/>
      <c r="T11" s="44">
        <f>'Step 1 Dedicated Funds'!N11</f>
        <v>0</v>
      </c>
      <c r="U11" s="44">
        <f>SUM('Step 1 Dedicated Funds'!O11:T11)</f>
        <v>0</v>
      </c>
      <c r="V11" s="55"/>
      <c r="W11" s="44">
        <f t="shared" si="0"/>
        <v>0</v>
      </c>
      <c r="X11" s="168"/>
      <c r="Y11" s="1766"/>
    </row>
    <row r="12" spans="1:27">
      <c r="A12" s="177" t="s">
        <v>482</v>
      </c>
      <c r="B12" s="44"/>
      <c r="C12" s="44"/>
      <c r="D12" s="44"/>
      <c r="E12" s="44"/>
      <c r="F12" s="55"/>
      <c r="G12" s="44"/>
      <c r="H12" s="44"/>
      <c r="I12" s="44"/>
      <c r="J12" s="44"/>
      <c r="K12" s="48"/>
      <c r="L12" s="44"/>
      <c r="M12" s="44"/>
      <c r="N12" s="44"/>
      <c r="O12" s="44"/>
      <c r="P12" s="44"/>
      <c r="Q12" s="44"/>
      <c r="R12" s="44"/>
      <c r="S12" s="48"/>
      <c r="T12" s="44">
        <f>'Step 1 Dedicated Funds'!N12</f>
        <v>0</v>
      </c>
      <c r="U12" s="44">
        <f>SUM('Step 1 Dedicated Funds'!O12:T12)</f>
        <v>0</v>
      </c>
      <c r="V12" s="55"/>
      <c r="W12" s="44">
        <f t="shared" si="0"/>
        <v>0</v>
      </c>
      <c r="X12" s="168"/>
      <c r="Y12" s="1766"/>
    </row>
    <row r="13" spans="1:27">
      <c r="A13" s="168"/>
      <c r="B13" s="48"/>
      <c r="C13" s="48"/>
      <c r="D13" s="48"/>
      <c r="E13" s="48"/>
      <c r="F13" s="55"/>
      <c r="G13" s="48"/>
      <c r="H13" s="48"/>
      <c r="I13" s="48"/>
      <c r="J13" s="48"/>
      <c r="K13" s="48"/>
      <c r="L13" s="48"/>
      <c r="M13" s="48"/>
      <c r="N13" s="48"/>
      <c r="O13" s="48"/>
      <c r="P13" s="48"/>
      <c r="Q13" s="48"/>
      <c r="R13" s="48"/>
      <c r="S13" s="48"/>
      <c r="T13" s="48"/>
      <c r="U13" s="48"/>
      <c r="V13" s="48"/>
      <c r="W13" s="48"/>
      <c r="X13" s="168"/>
      <c r="Y13" s="48"/>
    </row>
    <row r="14" spans="1:27">
      <c r="A14" s="51" t="s">
        <v>72</v>
      </c>
      <c r="B14" s="34"/>
      <c r="C14" s="34"/>
      <c r="D14" s="34"/>
      <c r="E14" s="34"/>
      <c r="F14" s="54"/>
      <c r="G14" s="34"/>
      <c r="H14" s="34"/>
      <c r="I14" s="34"/>
      <c r="J14" s="34"/>
      <c r="K14" s="49"/>
      <c r="L14" s="34"/>
      <c r="M14" s="34"/>
      <c r="N14" s="34"/>
      <c r="O14" s="34"/>
      <c r="P14" s="34"/>
      <c r="Q14" s="34"/>
      <c r="R14" s="34"/>
      <c r="S14" s="49"/>
      <c r="T14" s="34"/>
      <c r="U14" s="34"/>
      <c r="V14" s="54"/>
      <c r="W14" s="34"/>
      <c r="X14" s="168"/>
      <c r="Y14" s="34"/>
    </row>
    <row r="15" spans="1:27">
      <c r="A15" s="1382" t="s">
        <v>1514</v>
      </c>
      <c r="B15" s="34"/>
      <c r="C15" s="34"/>
      <c r="D15" s="34"/>
      <c r="E15" s="34"/>
      <c r="F15" s="54"/>
      <c r="G15" s="34"/>
      <c r="H15" s="34"/>
      <c r="I15" s="34"/>
      <c r="J15" s="34"/>
      <c r="K15" s="49"/>
      <c r="L15" s="34"/>
      <c r="M15" s="34"/>
      <c r="N15" s="34"/>
      <c r="O15" s="34"/>
      <c r="P15" s="34"/>
      <c r="Q15" s="34"/>
      <c r="R15" s="34"/>
      <c r="S15" s="49"/>
      <c r="T15" s="34"/>
      <c r="U15" s="34"/>
      <c r="V15" s="54"/>
      <c r="W15" s="382">
        <f t="shared" ref="W15:W34" si="1">SUM(B15:V15)</f>
        <v>0</v>
      </c>
      <c r="X15" s="168"/>
      <c r="Y15" s="34"/>
    </row>
    <row r="16" spans="1:27">
      <c r="A16" s="179" t="s">
        <v>73</v>
      </c>
      <c r="B16" s="44"/>
      <c r="C16" s="44"/>
      <c r="D16" s="44"/>
      <c r="E16" s="44">
        <v>0</v>
      </c>
      <c r="F16" s="55"/>
      <c r="G16" s="381"/>
      <c r="H16" s="381"/>
      <c r="I16" s="381"/>
      <c r="J16" s="381"/>
      <c r="K16" s="48"/>
      <c r="L16" s="381">
        <f>'Compile Productivity $'!B13</f>
        <v>4330962.1050008144</v>
      </c>
      <c r="M16" s="381">
        <f>'Compile Productivity $'!C13</f>
        <v>4062828.4382634559</v>
      </c>
      <c r="N16" s="381">
        <f>'Compile Productivity $'!D13</f>
        <v>7438000</v>
      </c>
      <c r="O16" s="381">
        <f>'Compile Productivity $'!E13</f>
        <v>1459316.4883024483</v>
      </c>
      <c r="P16" s="381">
        <f>'Compile Productivity $'!F13</f>
        <v>492908.91727135814</v>
      </c>
      <c r="Q16" s="381">
        <f>'Compile Productivity $'!G13</f>
        <v>2996760.1394493561</v>
      </c>
      <c r="R16" s="381"/>
      <c r="S16" s="48"/>
      <c r="T16" s="381">
        <f>'Step 1 Dedicated Funds'!N16</f>
        <v>-129925.12999999999</v>
      </c>
      <c r="U16" s="381">
        <f>SUM('Step 1 Dedicated Funds'!O16:T16)</f>
        <v>3655745</v>
      </c>
      <c r="V16" s="55"/>
      <c r="W16" s="381">
        <f t="shared" si="1"/>
        <v>24306595.958287429</v>
      </c>
      <c r="X16" s="168"/>
      <c r="Y16" s="241">
        <v>24815559</v>
      </c>
    </row>
    <row r="17" spans="1:25">
      <c r="A17" s="54" t="s">
        <v>74</v>
      </c>
      <c r="B17" s="48"/>
      <c r="C17" s="48"/>
      <c r="D17" s="48"/>
      <c r="E17" s="48">
        <v>0</v>
      </c>
      <c r="F17" s="55"/>
      <c r="G17" s="382"/>
      <c r="H17" s="382"/>
      <c r="I17" s="382"/>
      <c r="J17" s="382"/>
      <c r="K17" s="48"/>
      <c r="L17" s="382">
        <f>'Compile Productivity $'!B14</f>
        <v>6098014.0602151724</v>
      </c>
      <c r="M17" s="382">
        <f>'Compile Productivity $'!C14</f>
        <v>5008750.544583492</v>
      </c>
      <c r="N17" s="382">
        <f>'Compile Productivity $'!D14</f>
        <v>4841000</v>
      </c>
      <c r="O17" s="382">
        <f>'Compile Productivity $'!E14</f>
        <v>3661.2158427891541</v>
      </c>
      <c r="P17" s="382">
        <f>'Compile Productivity $'!F14</f>
        <v>1204914.2940596591</v>
      </c>
      <c r="Q17" s="382">
        <f>'Compile Productivity $'!G14</f>
        <v>1415123.0877913125</v>
      </c>
      <c r="R17" s="382"/>
      <c r="S17" s="48"/>
      <c r="T17" s="382">
        <f>'Step 1 Dedicated Funds'!N17</f>
        <v>-27905.178</v>
      </c>
      <c r="U17" s="382">
        <f>SUM('Step 1 Dedicated Funds'!O17:T17)</f>
        <v>3222744.8739999998</v>
      </c>
      <c r="V17" s="55"/>
      <c r="W17" s="382">
        <f t="shared" si="1"/>
        <v>21766302.898492426</v>
      </c>
      <c r="X17" s="168"/>
      <c r="Y17" s="821">
        <v>20462422</v>
      </c>
    </row>
    <row r="18" spans="1:25">
      <c r="A18" s="178" t="s">
        <v>75</v>
      </c>
      <c r="B18" s="48"/>
      <c r="C18" s="48"/>
      <c r="D18" s="48"/>
      <c r="E18" s="48">
        <v>0</v>
      </c>
      <c r="F18" s="55"/>
      <c r="G18" s="382"/>
      <c r="H18" s="382"/>
      <c r="I18" s="382"/>
      <c r="J18" s="382"/>
      <c r="K18" s="48"/>
      <c r="L18" s="382">
        <f>'Compile Productivity $'!B15</f>
        <v>6197731.9396294253</v>
      </c>
      <c r="M18" s="382">
        <f>'Compile Productivity $'!C15</f>
        <v>12887618.959108954</v>
      </c>
      <c r="N18" s="382">
        <f>'Compile Productivity $'!D15</f>
        <v>15471000</v>
      </c>
      <c r="O18" s="382">
        <f>'Compile Productivity $'!E15</f>
        <v>1760533.9184146451</v>
      </c>
      <c r="P18" s="382">
        <f>'Compile Productivity $'!F15</f>
        <v>1970453.1146573103</v>
      </c>
      <c r="Q18" s="382">
        <f>'Compile Productivity $'!G15</f>
        <v>9987494.9167604316</v>
      </c>
      <c r="R18" s="382"/>
      <c r="S18" s="48"/>
      <c r="T18" s="382">
        <f>'Step 1 Dedicated Funds'!N18</f>
        <v>-629629.88800000004</v>
      </c>
      <c r="U18" s="382">
        <f>SUM('Step 1 Dedicated Funds'!O18:T18)</f>
        <v>20155899.276666667</v>
      </c>
      <c r="V18" s="55"/>
      <c r="W18" s="382">
        <f t="shared" si="1"/>
        <v>67801102.237237439</v>
      </c>
      <c r="X18" s="168"/>
      <c r="Y18" s="821">
        <v>64222079</v>
      </c>
    </row>
    <row r="19" spans="1:25">
      <c r="A19" s="179" t="s">
        <v>76</v>
      </c>
      <c r="B19" s="44"/>
      <c r="C19" s="44"/>
      <c r="D19" s="44"/>
      <c r="E19" s="44">
        <v>750000</v>
      </c>
      <c r="F19" s="55"/>
      <c r="G19" s="381"/>
      <c r="H19" s="381"/>
      <c r="I19" s="381"/>
      <c r="J19" s="381"/>
      <c r="K19" s="48"/>
      <c r="L19" s="381">
        <f>'Compile Productivity $'!B16</f>
        <v>1032008.4842294791</v>
      </c>
      <c r="M19" s="381">
        <f>'Compile Productivity $'!C16</f>
        <v>1216033.8803664767</v>
      </c>
      <c r="N19" s="381">
        <f>'Compile Productivity $'!D16</f>
        <v>1489000</v>
      </c>
      <c r="O19" s="381">
        <f>'Compile Productivity $'!E16</f>
        <v>351174.30069355096</v>
      </c>
      <c r="P19" s="381">
        <f>'Compile Productivity $'!F16</f>
        <v>186029.68925574538</v>
      </c>
      <c r="Q19" s="381">
        <f>'Compile Productivity $'!G16</f>
        <v>1367226.4321265465</v>
      </c>
      <c r="R19" s="381"/>
      <c r="S19" s="48"/>
      <c r="T19" s="381">
        <f>'Step 1 Dedicated Funds'!N19</f>
        <v>-206605.74669999999</v>
      </c>
      <c r="U19" s="381">
        <f>SUM('Step 1 Dedicated Funds'!O19:T19)</f>
        <v>3349197.25</v>
      </c>
      <c r="V19" s="55"/>
      <c r="W19" s="381">
        <f t="shared" si="1"/>
        <v>9534064.2899717987</v>
      </c>
      <c r="X19" s="168"/>
      <c r="Y19" s="241">
        <v>9355600</v>
      </c>
    </row>
    <row r="20" spans="1:25">
      <c r="A20" s="54" t="s">
        <v>77</v>
      </c>
      <c r="B20" s="48"/>
      <c r="C20" s="48"/>
      <c r="D20" s="48"/>
      <c r="E20" s="48">
        <v>0</v>
      </c>
      <c r="F20" s="55"/>
      <c r="G20" s="382"/>
      <c r="H20" s="382"/>
      <c r="I20" s="382"/>
      <c r="J20" s="382"/>
      <c r="K20" s="48"/>
      <c r="L20" s="382">
        <f>'Compile Productivity $'!B17</f>
        <v>5388886.6157729132</v>
      </c>
      <c r="M20" s="382">
        <f>'Compile Productivity $'!C17</f>
        <v>4303847.7806698401</v>
      </c>
      <c r="N20" s="382">
        <f>'Compile Productivity $'!D17</f>
        <v>3597000</v>
      </c>
      <c r="O20" s="382">
        <f>'Compile Productivity $'!E17</f>
        <v>696931.98959000909</v>
      </c>
      <c r="P20" s="382">
        <f>'Compile Productivity $'!F17</f>
        <v>981917.66314386949</v>
      </c>
      <c r="Q20" s="382">
        <f>'Compile Productivity $'!G17</f>
        <v>2021194.7388021345</v>
      </c>
      <c r="R20" s="382"/>
      <c r="S20" s="48"/>
      <c r="T20" s="382">
        <f>'Step 1 Dedicated Funds'!N20</f>
        <v>-100853.046</v>
      </c>
      <c r="U20" s="382">
        <f>SUM('Step 1 Dedicated Funds'!O20:T20)</f>
        <v>2262879</v>
      </c>
      <c r="V20" s="55"/>
      <c r="W20" s="382">
        <f t="shared" si="1"/>
        <v>19151804.741978765</v>
      </c>
      <c r="X20" s="168"/>
      <c r="Y20" s="821">
        <v>20440194</v>
      </c>
    </row>
    <row r="21" spans="1:25">
      <c r="A21" s="178" t="s">
        <v>78</v>
      </c>
      <c r="B21" s="48"/>
      <c r="C21" s="48"/>
      <c r="D21" s="48"/>
      <c r="E21" s="48">
        <v>250000</v>
      </c>
      <c r="F21" s="55"/>
      <c r="G21" s="382"/>
      <c r="H21" s="382"/>
      <c r="I21" s="382"/>
      <c r="J21" s="382"/>
      <c r="K21" s="48"/>
      <c r="L21" s="382">
        <f>'Compile Productivity $'!B18</f>
        <v>1237465.4375682762</v>
      </c>
      <c r="M21" s="382">
        <f>'Compile Productivity $'!C18</f>
        <v>246651.00639659457</v>
      </c>
      <c r="N21" s="382">
        <f>'Compile Productivity $'!D18</f>
        <v>1817000</v>
      </c>
      <c r="O21" s="382">
        <f>'Compile Productivity $'!E18</f>
        <v>17698.498355001917</v>
      </c>
      <c r="P21" s="382">
        <f>'Compile Productivity $'!F18</f>
        <v>232802.24015642281</v>
      </c>
      <c r="Q21" s="382">
        <f>'Compile Productivity $'!G18</f>
        <v>1137959.8418030241</v>
      </c>
      <c r="R21" s="382"/>
      <c r="S21" s="48"/>
      <c r="T21" s="382">
        <f>'Step 1 Dedicated Funds'!N21</f>
        <v>-5920</v>
      </c>
      <c r="U21" s="382">
        <f>SUM('Step 1 Dedicated Funds'!O21:T21)</f>
        <v>105000</v>
      </c>
      <c r="V21" s="55"/>
      <c r="W21" s="382">
        <f t="shared" si="1"/>
        <v>5038657.0242793197</v>
      </c>
      <c r="X21" s="168"/>
      <c r="Y21" s="821">
        <v>4830008</v>
      </c>
    </row>
    <row r="22" spans="1:25">
      <c r="A22" s="179" t="s">
        <v>79</v>
      </c>
      <c r="B22" s="44"/>
      <c r="C22" s="44"/>
      <c r="D22" s="44"/>
      <c r="E22" s="44">
        <v>0</v>
      </c>
      <c r="F22" s="55"/>
      <c r="G22" s="381"/>
      <c r="H22" s="381"/>
      <c r="I22" s="381"/>
      <c r="J22" s="381"/>
      <c r="K22" s="48"/>
      <c r="L22" s="381">
        <f>'Compile Productivity $'!B19</f>
        <v>20343697.414019994</v>
      </c>
      <c r="M22" s="381">
        <f>'Compile Productivity $'!C19</f>
        <v>6143677.3678060807</v>
      </c>
      <c r="N22" s="381">
        <f>'Compile Productivity $'!D19</f>
        <v>13056000</v>
      </c>
      <c r="O22" s="381">
        <f>'Compile Productivity $'!E19</f>
        <v>72993.153751321035</v>
      </c>
      <c r="P22" s="381">
        <f>'Compile Productivity $'!F19</f>
        <v>1234271.6396475714</v>
      </c>
      <c r="Q22" s="381">
        <f>'Compile Productivity $'!G19</f>
        <v>2005849.1081571057</v>
      </c>
      <c r="R22" s="381"/>
      <c r="S22" s="48"/>
      <c r="T22" s="381">
        <f>'Step 1 Dedicated Funds'!N22</f>
        <v>-124520.466</v>
      </c>
      <c r="U22" s="381">
        <f>SUM('Step 1 Dedicated Funds'!O22:T22)</f>
        <v>1762709</v>
      </c>
      <c r="V22" s="55"/>
      <c r="W22" s="381">
        <f t="shared" si="1"/>
        <v>44494677.217382081</v>
      </c>
      <c r="X22" s="168"/>
      <c r="Y22" s="241">
        <v>45922830</v>
      </c>
    </row>
    <row r="23" spans="1:25">
      <c r="A23" s="178" t="s">
        <v>80</v>
      </c>
      <c r="B23" s="48"/>
      <c r="C23" s="48"/>
      <c r="D23" s="48"/>
      <c r="E23" s="48">
        <v>2600000</v>
      </c>
      <c r="F23" s="55"/>
      <c r="G23" s="382"/>
      <c r="H23" s="382"/>
      <c r="I23" s="382"/>
      <c r="J23" s="382"/>
      <c r="K23" s="48"/>
      <c r="L23" s="382">
        <f>'Compile Productivity $'!B20</f>
        <v>2590882.5638019373</v>
      </c>
      <c r="M23" s="382">
        <f>'Compile Productivity $'!C20</f>
        <v>853875.83086411131</v>
      </c>
      <c r="N23" s="382">
        <f>'Compile Productivity $'!D20</f>
        <v>1385000</v>
      </c>
      <c r="O23" s="382">
        <f>'Compile Productivity $'!E20</f>
        <v>1864879.4057358669</v>
      </c>
      <c r="P23" s="382">
        <f>'Compile Productivity $'!F20</f>
        <v>149350.19466513742</v>
      </c>
      <c r="Q23" s="382">
        <f>'Compile Productivity $'!G20</f>
        <v>1547775.3050429728</v>
      </c>
      <c r="R23" s="382"/>
      <c r="S23" s="48"/>
      <c r="T23" s="382">
        <f>'Step 1 Dedicated Funds'!N23</f>
        <v>-76433.248019999999</v>
      </c>
      <c r="U23" s="382">
        <f>SUM('Step 1 Dedicated Funds'!O23:T23)</f>
        <v>8032881.7300000004</v>
      </c>
      <c r="V23" s="55"/>
      <c r="W23" s="382">
        <f t="shared" si="1"/>
        <v>18948211.782090023</v>
      </c>
      <c r="X23" s="168"/>
      <c r="Y23" s="821">
        <v>14831995</v>
      </c>
    </row>
    <row r="24" spans="1:25">
      <c r="A24" s="178" t="s">
        <v>81</v>
      </c>
      <c r="B24" s="55"/>
      <c r="C24" s="55"/>
      <c r="D24" s="55"/>
      <c r="E24" s="55">
        <v>2930000</v>
      </c>
      <c r="F24" s="55"/>
      <c r="G24" s="383"/>
      <c r="H24" s="383"/>
      <c r="I24" s="383"/>
      <c r="J24" s="383"/>
      <c r="K24" s="55"/>
      <c r="L24" s="383">
        <f>'Compile Productivity $'!B21</f>
        <v>147592.04373479375</v>
      </c>
      <c r="M24" s="383">
        <f>'Compile Productivity $'!C21</f>
        <v>0</v>
      </c>
      <c r="N24" s="383">
        <f>'Compile Productivity $'!D21</f>
        <v>115000</v>
      </c>
      <c r="O24" s="383">
        <f>'Compile Productivity $'!E21</f>
        <v>190353.50504244954</v>
      </c>
      <c r="P24" s="383">
        <f>'Compile Productivity $'!F21</f>
        <v>55935.712292815158</v>
      </c>
      <c r="Q24" s="383">
        <f>'Compile Productivity $'!G21</f>
        <v>3634566.8862528903</v>
      </c>
      <c r="R24" s="383"/>
      <c r="S24" s="55"/>
      <c r="T24" s="383">
        <f>'Step 1 Dedicated Funds'!N24</f>
        <v>-109608.874</v>
      </c>
      <c r="U24" s="383">
        <f>SUM('Step 1 Dedicated Funds'!O24:T24)</f>
        <v>5749942.5599999996</v>
      </c>
      <c r="V24" s="55"/>
      <c r="W24" s="383">
        <f t="shared" si="1"/>
        <v>12713781.83332295</v>
      </c>
      <c r="X24" s="168"/>
      <c r="Y24" s="821">
        <v>12737398</v>
      </c>
    </row>
    <row r="25" spans="1:25">
      <c r="A25" s="179" t="s">
        <v>82</v>
      </c>
      <c r="B25" s="44"/>
      <c r="C25" s="44"/>
      <c r="D25" s="44"/>
      <c r="E25" s="44">
        <v>0</v>
      </c>
      <c r="F25" s="55"/>
      <c r="G25" s="381"/>
      <c r="H25" s="381"/>
      <c r="I25" s="381"/>
      <c r="J25" s="381"/>
      <c r="K25" s="48"/>
      <c r="L25" s="381">
        <f>'Compile Productivity $'!B22</f>
        <v>23013790.883986704</v>
      </c>
      <c r="M25" s="381">
        <f>'Compile Productivity $'!C22</f>
        <v>5193991.1331941113</v>
      </c>
      <c r="N25" s="381">
        <f>'Compile Productivity $'!D22</f>
        <v>6604000</v>
      </c>
      <c r="O25" s="381">
        <f>'Compile Productivity $'!E22</f>
        <v>631019.69091526477</v>
      </c>
      <c r="P25" s="381">
        <f>'Compile Productivity $'!F22</f>
        <v>713716.44515106641</v>
      </c>
      <c r="Q25" s="381">
        <f>'Compile Productivity $'!G22</f>
        <v>3347195.3259247104</v>
      </c>
      <c r="R25" s="381"/>
      <c r="S25" s="48"/>
      <c r="T25" s="381">
        <f>'Step 1 Dedicated Funds'!N25</f>
        <v>-117008.57799999999</v>
      </c>
      <c r="U25" s="381">
        <f>SUM('Step 1 Dedicated Funds'!O25:T25)</f>
        <v>2381197</v>
      </c>
      <c r="V25" s="55"/>
      <c r="W25" s="381">
        <f t="shared" si="1"/>
        <v>41767901.901171856</v>
      </c>
      <c r="X25" s="168"/>
      <c r="Y25" s="241">
        <v>42113801</v>
      </c>
    </row>
    <row r="26" spans="1:25">
      <c r="A26" s="178" t="s">
        <v>83</v>
      </c>
      <c r="B26" s="55"/>
      <c r="C26" s="55"/>
      <c r="D26" s="55"/>
      <c r="E26" s="55">
        <f>300000+6910000</f>
        <v>7210000</v>
      </c>
      <c r="F26" s="55"/>
      <c r="G26" s="383"/>
      <c r="H26" s="383"/>
      <c r="I26" s="383"/>
      <c r="J26" s="383"/>
      <c r="K26" s="55"/>
      <c r="L26" s="383">
        <f>'Compile Productivity $'!B23</f>
        <v>302898.14914308861</v>
      </c>
      <c r="M26" s="383">
        <f>'Compile Productivity $'!C23</f>
        <v>0</v>
      </c>
      <c r="N26" s="383">
        <f>'Compile Productivity $'!D23</f>
        <v>0</v>
      </c>
      <c r="O26" s="383">
        <f>'Compile Productivity $'!E23</f>
        <v>139434.01238899163</v>
      </c>
      <c r="P26" s="383">
        <f>'Compile Productivity $'!F23</f>
        <v>17381.675886031815</v>
      </c>
      <c r="Q26" s="383">
        <f>'Compile Productivity $'!G23</f>
        <v>2419899.3325825199</v>
      </c>
      <c r="R26" s="383"/>
      <c r="S26" s="55"/>
      <c r="T26" s="383">
        <f>'Step 1 Dedicated Funds'!N26</f>
        <v>-1047873.6699999999</v>
      </c>
      <c r="U26" s="383">
        <f>SUM('Step 1 Dedicated Funds'!O26:T26)</f>
        <v>17286699.48</v>
      </c>
      <c r="V26" s="55"/>
      <c r="W26" s="383">
        <f t="shared" si="1"/>
        <v>26328438.98000063</v>
      </c>
      <c r="X26" s="168"/>
      <c r="Y26" s="821">
        <v>24909417</v>
      </c>
    </row>
    <row r="27" spans="1:25">
      <c r="A27" s="178" t="s">
        <v>84</v>
      </c>
      <c r="B27" s="48"/>
      <c r="C27" s="48"/>
      <c r="D27" s="48"/>
      <c r="E27" s="48">
        <v>0</v>
      </c>
      <c r="F27" s="55"/>
      <c r="G27" s="382"/>
      <c r="H27" s="382"/>
      <c r="I27" s="382"/>
      <c r="J27" s="382"/>
      <c r="K27" s="48"/>
      <c r="L27" s="382">
        <f>'Compile Productivity $'!B24</f>
        <v>0</v>
      </c>
      <c r="M27" s="382">
        <f>'Compile Productivity $'!C24</f>
        <v>0</v>
      </c>
      <c r="N27" s="382">
        <f>'Compile Productivity $'!D24</f>
        <v>0</v>
      </c>
      <c r="O27" s="382">
        <f>'Compile Productivity $'!E24</f>
        <v>0</v>
      </c>
      <c r="P27" s="382">
        <f>'Compile Productivity $'!F24</f>
        <v>0</v>
      </c>
      <c r="Q27" s="382">
        <f>'Compile Productivity $'!G24</f>
        <v>0</v>
      </c>
      <c r="R27" s="382"/>
      <c r="S27" s="48"/>
      <c r="T27" s="382">
        <f>'Step 1 Dedicated Funds'!N27</f>
        <v>0</v>
      </c>
      <c r="U27" s="382">
        <f>SUM('Step 1 Dedicated Funds'!O27:T27)</f>
        <v>0</v>
      </c>
      <c r="V27" s="55"/>
      <c r="W27" s="382">
        <f t="shared" si="1"/>
        <v>0</v>
      </c>
      <c r="X27" s="168"/>
      <c r="Y27" s="821">
        <v>543366</v>
      </c>
    </row>
    <row r="28" spans="1:25">
      <c r="A28" s="179" t="s">
        <v>85</v>
      </c>
      <c r="B28" s="44"/>
      <c r="C28" s="44"/>
      <c r="D28" s="44"/>
      <c r="E28" s="44">
        <v>0</v>
      </c>
      <c r="F28" s="55"/>
      <c r="G28" s="381"/>
      <c r="H28" s="381"/>
      <c r="I28" s="381"/>
      <c r="J28" s="381"/>
      <c r="K28" s="48"/>
      <c r="L28" s="381">
        <f>'Compile Productivity $'!B25</f>
        <v>1134692.1551494014</v>
      </c>
      <c r="M28" s="381">
        <f>'Compile Productivity $'!C25</f>
        <v>708809.78308782657</v>
      </c>
      <c r="N28" s="381">
        <f>'Compile Productivity $'!D25</f>
        <v>1000</v>
      </c>
      <c r="O28" s="381">
        <f>'Compile Productivity $'!E25</f>
        <v>0</v>
      </c>
      <c r="P28" s="381">
        <f>'Compile Productivity $'!F25</f>
        <v>2552.3560206654997</v>
      </c>
      <c r="Q28" s="381">
        <f>'Compile Productivity $'!G25</f>
        <v>0</v>
      </c>
      <c r="R28" s="381"/>
      <c r="S28" s="48"/>
      <c r="T28" s="381">
        <f>'Step 1 Dedicated Funds'!N28</f>
        <v>-12506</v>
      </c>
      <c r="U28" s="381">
        <f>SUM('Step 1 Dedicated Funds'!O28:T28)</f>
        <v>1608386</v>
      </c>
      <c r="V28" s="55"/>
      <c r="W28" s="381">
        <f t="shared" si="1"/>
        <v>3442934.2942578932</v>
      </c>
      <c r="X28" s="168"/>
      <c r="Y28" s="241">
        <v>2839964</v>
      </c>
    </row>
    <row r="29" spans="1:25">
      <c r="A29" s="54" t="s">
        <v>87</v>
      </c>
      <c r="B29" s="55"/>
      <c r="C29" s="55"/>
      <c r="D29" s="55"/>
      <c r="E29" s="55">
        <v>0</v>
      </c>
      <c r="F29" s="55"/>
      <c r="G29" s="55"/>
      <c r="H29" s="55"/>
      <c r="I29" s="55"/>
      <c r="J29" s="55"/>
      <c r="K29" s="55"/>
      <c r="L29" s="55">
        <f>'Compile Productivity $'!B26</f>
        <v>0</v>
      </c>
      <c r="M29" s="55">
        <f>'Compile Productivity $'!C26</f>
        <v>0</v>
      </c>
      <c r="N29" s="55">
        <f>'Compile Productivity $'!D26</f>
        <v>0</v>
      </c>
      <c r="O29" s="55">
        <f>'Compile Productivity $'!E26</f>
        <v>0</v>
      </c>
      <c r="P29" s="55">
        <f>'Compile Productivity $'!F26</f>
        <v>0</v>
      </c>
      <c r="Q29" s="55">
        <f>'Compile Productivity $'!G26</f>
        <v>0</v>
      </c>
      <c r="R29" s="55"/>
      <c r="S29" s="55"/>
      <c r="T29" s="55">
        <f>'Step 1 Dedicated Funds'!N29</f>
        <v>0</v>
      </c>
      <c r="U29" s="55">
        <f>SUM('Step 1 Dedicated Funds'!O29:T29)</f>
        <v>20115497</v>
      </c>
      <c r="V29" s="55"/>
      <c r="W29" s="55">
        <f t="shared" si="1"/>
        <v>20115497</v>
      </c>
      <c r="X29" s="168"/>
      <c r="Y29" s="821">
        <v>18786975</v>
      </c>
    </row>
    <row r="30" spans="1:25">
      <c r="A30" s="178" t="s">
        <v>88</v>
      </c>
      <c r="B30" s="48"/>
      <c r="C30" s="48"/>
      <c r="D30" s="48"/>
      <c r="E30" s="48">
        <v>0</v>
      </c>
      <c r="F30" s="55"/>
      <c r="G30" s="48"/>
      <c r="H30" s="48"/>
      <c r="I30" s="48"/>
      <c r="J30" s="48"/>
      <c r="K30" s="48"/>
      <c r="L30" s="48">
        <f>'Compile Productivity $'!B27</f>
        <v>0</v>
      </c>
      <c r="M30" s="48">
        <f>'Compile Productivity $'!C27</f>
        <v>0</v>
      </c>
      <c r="N30" s="48">
        <f>'Compile Productivity $'!D27</f>
        <v>0</v>
      </c>
      <c r="O30" s="48">
        <f>'Compile Productivity $'!E27</f>
        <v>0</v>
      </c>
      <c r="P30" s="48">
        <f>'Compile Productivity $'!F27</f>
        <v>0</v>
      </c>
      <c r="Q30" s="48">
        <f>'Compile Productivity $'!G27</f>
        <v>0</v>
      </c>
      <c r="R30" s="48"/>
      <c r="S30" s="48"/>
      <c r="T30" s="48">
        <f>'Step 1 Dedicated Funds'!N30</f>
        <v>0</v>
      </c>
      <c r="U30" s="48">
        <f>SUM('Step 1 Dedicated Funds'!O30:T30)</f>
        <v>3440000</v>
      </c>
      <c r="V30" s="55"/>
      <c r="W30" s="48">
        <f t="shared" si="1"/>
        <v>3440000</v>
      </c>
      <c r="X30" s="168"/>
      <c r="Y30" s="241">
        <v>3296000</v>
      </c>
    </row>
    <row r="31" spans="1:25">
      <c r="A31" s="368" t="s">
        <v>461</v>
      </c>
      <c r="B31" s="228"/>
      <c r="C31" s="228"/>
      <c r="D31" s="228"/>
      <c r="E31" s="228">
        <v>0</v>
      </c>
      <c r="F31" s="55"/>
      <c r="G31" s="228"/>
      <c r="H31" s="228"/>
      <c r="I31" s="228"/>
      <c r="J31" s="228"/>
      <c r="K31" s="48"/>
      <c r="L31" s="228">
        <f>'Compile Productivity $'!B28</f>
        <v>143634.2346562871</v>
      </c>
      <c r="M31" s="228">
        <f>'Compile Productivity $'!C28</f>
        <v>0</v>
      </c>
      <c r="N31" s="228">
        <f>'Compile Productivity $'!D28</f>
        <v>186000</v>
      </c>
      <c r="O31" s="228">
        <f>'Compile Productivity $'!E28</f>
        <v>0</v>
      </c>
      <c r="P31" s="228">
        <f>'Compile Productivity $'!F28</f>
        <v>1667.0933675625088</v>
      </c>
      <c r="Q31" s="228">
        <f>'Compile Productivity $'!G28</f>
        <v>0</v>
      </c>
      <c r="R31" s="228"/>
      <c r="S31" s="48"/>
      <c r="T31" s="228">
        <f>'Step 1 Dedicated Funds'!N31</f>
        <v>-259</v>
      </c>
      <c r="U31" s="228">
        <f>SUM('Step 1 Dedicated Funds'!O31:T31)</f>
        <v>3500</v>
      </c>
      <c r="V31" s="55"/>
      <c r="W31" s="228">
        <f t="shared" si="1"/>
        <v>334542.32802384964</v>
      </c>
      <c r="X31" s="168"/>
      <c r="Y31" s="821">
        <v>4706010</v>
      </c>
    </row>
    <row r="32" spans="1:25">
      <c r="A32" s="367" t="s">
        <v>462</v>
      </c>
      <c r="B32" s="55"/>
      <c r="C32" s="55"/>
      <c r="D32" s="55"/>
      <c r="E32" s="55">
        <v>0</v>
      </c>
      <c r="F32" s="55"/>
      <c r="G32" s="55"/>
      <c r="H32" s="55"/>
      <c r="I32" s="55"/>
      <c r="J32" s="55"/>
      <c r="K32" s="55"/>
      <c r="L32" s="55">
        <f>'Compile Productivity $'!B29</f>
        <v>330785.37515803892</v>
      </c>
      <c r="M32" s="55">
        <f>'Compile Productivity $'!C29</f>
        <v>0</v>
      </c>
      <c r="N32" s="55">
        <f>'Compile Productivity $'!D29</f>
        <v>358000</v>
      </c>
      <c r="O32" s="55">
        <f>'Compile Productivity $'!E29</f>
        <v>0</v>
      </c>
      <c r="P32" s="55">
        <f>'Compile Productivity $'!F29</f>
        <v>65920.930355003642</v>
      </c>
      <c r="Q32" s="55">
        <f>'Compile Productivity $'!G29</f>
        <v>619822.66477974958</v>
      </c>
      <c r="R32" s="55"/>
      <c r="S32" s="55"/>
      <c r="T32" s="55">
        <f>'Step 1 Dedicated Funds'!N32</f>
        <v>0</v>
      </c>
      <c r="U32" s="55">
        <f>SUM('Step 1 Dedicated Funds'!O32:T32)</f>
        <v>0</v>
      </c>
      <c r="V32" s="55"/>
      <c r="W32" s="55">
        <f t="shared" si="1"/>
        <v>1374528.9702927922</v>
      </c>
      <c r="X32" s="168"/>
      <c r="Y32" s="821">
        <v>838394</v>
      </c>
    </row>
    <row r="33" spans="1:25">
      <c r="A33" s="178" t="s">
        <v>89</v>
      </c>
      <c r="B33" s="48"/>
      <c r="C33" s="48"/>
      <c r="D33" s="48"/>
      <c r="E33" s="48">
        <v>0</v>
      </c>
      <c r="F33" s="55"/>
      <c r="G33" s="48"/>
      <c r="H33" s="48"/>
      <c r="I33" s="48"/>
      <c r="J33" s="48"/>
      <c r="K33" s="48"/>
      <c r="L33" s="48">
        <f>'Compile Productivity $'!B30</f>
        <v>0</v>
      </c>
      <c r="M33" s="48">
        <f>'Compile Productivity $'!C30</f>
        <v>0</v>
      </c>
      <c r="N33" s="48">
        <f>'Compile Productivity $'!D30</f>
        <v>0</v>
      </c>
      <c r="O33" s="48">
        <f>'Compile Productivity $'!E30</f>
        <v>3206.9413329626632</v>
      </c>
      <c r="P33" s="48">
        <f>'Compile Productivity $'!F30</f>
        <v>0</v>
      </c>
      <c r="Q33" s="48">
        <f>'Compile Productivity $'!G30</f>
        <v>0</v>
      </c>
      <c r="R33" s="48"/>
      <c r="S33" s="48"/>
      <c r="T33" s="48">
        <f>'Step 1 Dedicated Funds'!N33</f>
        <v>-22210.36</v>
      </c>
      <c r="U33" s="48">
        <f>SUM('Step 1 Dedicated Funds'!O33:T33)</f>
        <v>2880140</v>
      </c>
      <c r="V33" s="55"/>
      <c r="W33" s="48">
        <f t="shared" si="1"/>
        <v>2861136.5813329625</v>
      </c>
      <c r="X33" s="168"/>
      <c r="Y33" s="241">
        <v>14579961</v>
      </c>
    </row>
    <row r="34" spans="1:25">
      <c r="A34" s="368" t="s">
        <v>90</v>
      </c>
      <c r="B34" s="228"/>
      <c r="C34" s="228"/>
      <c r="D34" s="228"/>
      <c r="E34" s="228">
        <v>8400000</v>
      </c>
      <c r="F34" s="55"/>
      <c r="G34" s="384"/>
      <c r="H34" s="384"/>
      <c r="I34" s="384"/>
      <c r="J34" s="384"/>
      <c r="K34" s="48"/>
      <c r="L34" s="384">
        <f>'Compile Productivity $'!B31</f>
        <v>0</v>
      </c>
      <c r="M34" s="384">
        <f>'Compile Productivity $'!C31</f>
        <v>0</v>
      </c>
      <c r="N34" s="384">
        <f>'Compile Productivity $'!D31</f>
        <v>0</v>
      </c>
      <c r="O34" s="384">
        <f>'Compile Productivity $'!E31</f>
        <v>849637.58558934915</v>
      </c>
      <c r="P34" s="384">
        <f>'Compile Productivity $'!F31</f>
        <v>0</v>
      </c>
      <c r="Q34" s="384">
        <f>'Compile Productivity $'!G31</f>
        <v>0</v>
      </c>
      <c r="R34" s="384"/>
      <c r="S34" s="48"/>
      <c r="T34" s="384">
        <f>'Step 1 Dedicated Funds'!N34</f>
        <v>-100546.11176</v>
      </c>
      <c r="U34" s="384">
        <f>SUM('Step 1 Dedicated Funds'!O34:T34)</f>
        <v>2358731.2400000002</v>
      </c>
      <c r="V34" s="55"/>
      <c r="W34" s="384">
        <f t="shared" si="1"/>
        <v>11507822.71382935</v>
      </c>
      <c r="X34" s="168"/>
      <c r="Y34" s="821">
        <v>11354044</v>
      </c>
    </row>
    <row r="35" spans="1:25">
      <c r="A35" s="371" t="s">
        <v>91</v>
      </c>
      <c r="B35" s="372">
        <f>SUM(B16:B34)</f>
        <v>0</v>
      </c>
      <c r="C35" s="372">
        <f>SUM(C16:C34)</f>
        <v>0</v>
      </c>
      <c r="D35" s="372"/>
      <c r="E35" s="372">
        <f>SUM(E16:E34)</f>
        <v>22140000</v>
      </c>
      <c r="F35" s="658"/>
      <c r="G35" s="372"/>
      <c r="H35" s="372"/>
      <c r="I35" s="372"/>
      <c r="J35" s="372">
        <f t="shared" ref="J35:R35" si="2">SUM(J16:J34)</f>
        <v>0</v>
      </c>
      <c r="K35" s="372">
        <f t="shared" si="2"/>
        <v>0</v>
      </c>
      <c r="L35" s="372">
        <f t="shared" si="2"/>
        <v>72293041.462066323</v>
      </c>
      <c r="M35" s="372">
        <f t="shared" si="2"/>
        <v>40626084.724340945</v>
      </c>
      <c r="N35" s="372">
        <f t="shared" si="2"/>
        <v>56358000</v>
      </c>
      <c r="O35" s="372">
        <f t="shared" si="2"/>
        <v>8040840.7059546504</v>
      </c>
      <c r="P35" s="372">
        <f t="shared" si="2"/>
        <v>7309821.9659302207</v>
      </c>
      <c r="Q35" s="372">
        <f t="shared" si="2"/>
        <v>32500867.779472753</v>
      </c>
      <c r="R35" s="372">
        <f t="shared" si="2"/>
        <v>0</v>
      </c>
      <c r="S35" s="372"/>
      <c r="T35" s="372">
        <f>SUM(T16:T34)</f>
        <v>-2711805.29648</v>
      </c>
      <c r="U35" s="372">
        <f>SUM(U16:U34)</f>
        <v>98371149.410666674</v>
      </c>
      <c r="V35" s="659"/>
      <c r="W35" s="372">
        <f>SUM(W15:W34)</f>
        <v>334928000.75195158</v>
      </c>
      <c r="X35" s="168"/>
      <c r="Y35" s="372">
        <f>SUM(Y16:Y34)</f>
        <v>341586017</v>
      </c>
    </row>
    <row r="36" spans="1:25">
      <c r="A36" s="178"/>
      <c r="B36" s="46"/>
      <c r="C36" s="46"/>
      <c r="D36" s="46"/>
      <c r="E36" s="46"/>
      <c r="F36" s="181"/>
      <c r="G36" s="46"/>
      <c r="H36" s="46"/>
      <c r="I36" s="46"/>
      <c r="J36" s="46"/>
      <c r="K36" s="46"/>
      <c r="L36" s="46"/>
      <c r="M36" s="46"/>
      <c r="N36" s="46"/>
      <c r="O36" s="46"/>
      <c r="P36" s="46"/>
      <c r="Q36" s="46"/>
      <c r="R36" s="46"/>
      <c r="S36" s="46"/>
      <c r="T36" s="46"/>
      <c r="U36" s="46"/>
      <c r="V36" s="46"/>
      <c r="W36" s="46"/>
      <c r="X36" s="168"/>
      <c r="Y36" s="43"/>
    </row>
    <row r="37" spans="1:25">
      <c r="A37" s="168"/>
      <c r="F37" s="47"/>
      <c r="K37" s="46"/>
      <c r="S37" s="46"/>
      <c r="V37" s="46"/>
      <c r="X37" s="173"/>
      <c r="Y37" s="173"/>
    </row>
    <row r="38" spans="1:25">
      <c r="A38" s="54" t="s">
        <v>92</v>
      </c>
      <c r="B38" s="55"/>
      <c r="C38" s="55"/>
      <c r="D38" s="55"/>
      <c r="E38" s="55"/>
      <c r="F38" s="47"/>
      <c r="G38" s="55"/>
      <c r="H38" s="55"/>
      <c r="I38" s="55"/>
      <c r="J38" s="55"/>
      <c r="K38" s="55"/>
      <c r="L38" s="55"/>
      <c r="M38" s="55"/>
      <c r="N38" s="55"/>
      <c r="O38" s="55"/>
      <c r="P38" s="55"/>
      <c r="Q38" s="55"/>
      <c r="R38" s="55"/>
      <c r="S38" s="55"/>
      <c r="T38" s="55"/>
      <c r="U38" s="55"/>
      <c r="V38" s="55"/>
      <c r="W38" s="55"/>
      <c r="X38" s="168"/>
      <c r="Y38" s="55"/>
    </row>
    <row r="39" spans="1:25">
      <c r="A39" s="179" t="s">
        <v>93</v>
      </c>
      <c r="B39" s="44"/>
      <c r="C39" s="44"/>
      <c r="D39" s="44"/>
      <c r="E39" s="44"/>
      <c r="F39" s="55"/>
      <c r="G39" s="381">
        <f>'Step 1 Dedicated Funds'!G39</f>
        <v>0</v>
      </c>
      <c r="H39" s="381">
        <f>'Step 1 Dedicated Funds'!H39</f>
        <v>0</v>
      </c>
      <c r="I39" s="381">
        <f>'Step 1 Dedicated Funds'!I39</f>
        <v>0</v>
      </c>
      <c r="J39" s="381">
        <f>'Step 1 Dedicated Funds'!J39</f>
        <v>0</v>
      </c>
      <c r="K39" s="183"/>
      <c r="L39" s="381">
        <f>'Compile Productivity $'!B36</f>
        <v>0</v>
      </c>
      <c r="M39" s="381">
        <f>'Compile Productivity $'!C36</f>
        <v>0</v>
      </c>
      <c r="N39" s="381">
        <f>'Compile Productivity $'!D36</f>
        <v>0</v>
      </c>
      <c r="O39" s="381">
        <f>'Compile Productivity $'!E36</f>
        <v>11.536233093548432</v>
      </c>
      <c r="P39" s="381">
        <f>'Compile Productivity $'!F36</f>
        <v>0</v>
      </c>
      <c r="Q39" s="381">
        <f>'Compile Productivity $'!G36</f>
        <v>0</v>
      </c>
      <c r="R39" s="381"/>
      <c r="S39" s="48"/>
      <c r="T39" s="381">
        <f>'Step 1 Dedicated Funds'!N39</f>
        <v>0</v>
      </c>
      <c r="U39" s="381">
        <f>SUM('Step 1 Dedicated Funds'!O39:T39)</f>
        <v>0</v>
      </c>
      <c r="V39" s="55"/>
      <c r="W39" s="381">
        <f t="shared" ref="W39:W57" si="3">SUM(B39:V39)</f>
        <v>11.536233093548432</v>
      </c>
      <c r="X39" s="168"/>
      <c r="Y39" s="241">
        <v>8383602</v>
      </c>
    </row>
    <row r="40" spans="1:25">
      <c r="A40" s="367" t="s">
        <v>344</v>
      </c>
      <c r="B40" s="55"/>
      <c r="C40" s="55"/>
      <c r="D40" s="55"/>
      <c r="E40" s="48"/>
      <c r="F40" s="55"/>
      <c r="G40" s="55"/>
      <c r="H40" s="55"/>
      <c r="I40" s="55"/>
      <c r="J40" s="55"/>
      <c r="K40" s="55"/>
      <c r="L40" s="184"/>
      <c r="M40" s="55"/>
      <c r="N40" s="55">
        <f>-O$3*O40-Q$3*Q40-R$3*R40-S$3*S40-T$3*T40</f>
        <v>0</v>
      </c>
      <c r="O40" s="55">
        <v>0</v>
      </c>
      <c r="P40" s="55"/>
      <c r="Q40" s="181"/>
      <c r="R40" s="48">
        <v>0</v>
      </c>
      <c r="S40" s="48"/>
      <c r="T40" s="388">
        <v>0</v>
      </c>
      <c r="V40" s="55"/>
      <c r="W40" s="381"/>
      <c r="X40" s="168"/>
      <c r="Y40" s="821">
        <v>5500000</v>
      </c>
    </row>
    <row r="41" spans="1:25">
      <c r="A41" s="178" t="s">
        <v>94</v>
      </c>
      <c r="B41" s="55"/>
      <c r="C41" s="55"/>
      <c r="D41" s="55"/>
      <c r="E41" s="48"/>
      <c r="F41" s="184"/>
      <c r="G41" s="383">
        <f>'Step 1 Dedicated Funds'!G41</f>
        <v>0</v>
      </c>
      <c r="H41" s="383">
        <f>'Step 1 Dedicated Funds'!H41</f>
        <v>0</v>
      </c>
      <c r="I41" s="383">
        <f>'Step 1 Dedicated Funds'!I41</f>
        <v>0</v>
      </c>
      <c r="J41" s="383">
        <f>'Step 1 Dedicated Funds'!J41</f>
        <v>0</v>
      </c>
      <c r="K41" s="55"/>
      <c r="L41" s="383">
        <f>'Compile Productivity $'!B37</f>
        <v>0</v>
      </c>
      <c r="M41" s="383">
        <f>'Compile Productivity $'!C37</f>
        <v>0</v>
      </c>
      <c r="N41" s="383">
        <f>'Compile Productivity $'!D37</f>
        <v>0</v>
      </c>
      <c r="O41" s="383">
        <f>'Compile Productivity $'!E37</f>
        <v>0</v>
      </c>
      <c r="P41" s="383">
        <f>'Compile Productivity $'!F37</f>
        <v>0</v>
      </c>
      <c r="Q41" s="383">
        <f>'Compile Productivity $'!G37</f>
        <v>0</v>
      </c>
      <c r="R41" s="383"/>
      <c r="S41" s="55"/>
      <c r="T41" s="383">
        <f>'Step 1 Dedicated Funds'!N41</f>
        <v>0</v>
      </c>
      <c r="U41" s="383">
        <f>SUM('Step 1 Dedicated Funds'!O41:T41)</f>
        <v>0</v>
      </c>
      <c r="V41" s="55"/>
      <c r="W41" s="383">
        <f t="shared" si="3"/>
        <v>0</v>
      </c>
      <c r="X41" s="168"/>
      <c r="Y41" s="821">
        <v>4019773</v>
      </c>
    </row>
    <row r="42" spans="1:25">
      <c r="A42" s="54" t="s">
        <v>95</v>
      </c>
      <c r="B42" s="55"/>
      <c r="C42" s="55"/>
      <c r="D42" s="55"/>
      <c r="E42" s="48"/>
      <c r="F42" s="55"/>
      <c r="G42" s="383">
        <f>'Step 1 Dedicated Funds'!G42</f>
        <v>0</v>
      </c>
      <c r="H42" s="383">
        <f>'Step 1 Dedicated Funds'!H42</f>
        <v>0</v>
      </c>
      <c r="I42" s="383">
        <f>'Step 1 Dedicated Funds'!I42</f>
        <v>0</v>
      </c>
      <c r="J42" s="383">
        <f>'Step 1 Dedicated Funds'!J42</f>
        <v>0</v>
      </c>
      <c r="K42" s="184"/>
      <c r="L42" s="383">
        <f>'Compile Productivity $'!B38</f>
        <v>0</v>
      </c>
      <c r="M42" s="383">
        <f>'Compile Productivity $'!C38</f>
        <v>0</v>
      </c>
      <c r="N42" s="383">
        <f>'Compile Productivity $'!D38</f>
        <v>0</v>
      </c>
      <c r="O42" s="383">
        <f>'Compile Productivity $'!E38</f>
        <v>0</v>
      </c>
      <c r="P42" s="383">
        <f>'Compile Productivity $'!F38</f>
        <v>0</v>
      </c>
      <c r="Q42" s="383">
        <f>'Compile Productivity $'!G38</f>
        <v>0</v>
      </c>
      <c r="R42" s="383"/>
      <c r="S42" s="55"/>
      <c r="T42" s="383">
        <f>'Step 1 Dedicated Funds'!N42</f>
        <v>0</v>
      </c>
      <c r="U42" s="383">
        <f>SUM('Step 1 Dedicated Funds'!O42:T42)</f>
        <v>0</v>
      </c>
      <c r="V42" s="55"/>
      <c r="W42" s="383">
        <f t="shared" si="3"/>
        <v>0</v>
      </c>
      <c r="X42" s="168"/>
      <c r="Y42" s="821">
        <v>1435806</v>
      </c>
    </row>
    <row r="43" spans="1:25">
      <c r="A43" s="179" t="s">
        <v>96</v>
      </c>
      <c r="B43" s="44"/>
      <c r="C43" s="44"/>
      <c r="D43" s="44"/>
      <c r="E43" s="44"/>
      <c r="F43" s="184"/>
      <c r="G43" s="381">
        <f>'Step 1 Dedicated Funds'!G43</f>
        <v>0</v>
      </c>
      <c r="H43" s="381">
        <f>'Step 1 Dedicated Funds'!H43</f>
        <v>0</v>
      </c>
      <c r="I43" s="381">
        <f>'Step 1 Dedicated Funds'!I43</f>
        <v>0</v>
      </c>
      <c r="J43" s="381">
        <f>'Step 1 Dedicated Funds'!J43</f>
        <v>0</v>
      </c>
      <c r="K43" s="183"/>
      <c r="L43" s="381">
        <f>'Compile Productivity $'!B39</f>
        <v>0</v>
      </c>
      <c r="M43" s="381">
        <f>'Compile Productivity $'!C39</f>
        <v>0</v>
      </c>
      <c r="N43" s="381">
        <f>'Compile Productivity $'!D39</f>
        <v>0</v>
      </c>
      <c r="O43" s="381">
        <f>'Compile Productivity $'!E39</f>
        <v>0</v>
      </c>
      <c r="P43" s="381">
        <f>'Compile Productivity $'!F39</f>
        <v>0</v>
      </c>
      <c r="Q43" s="381">
        <f>'Compile Productivity $'!G39</f>
        <v>0</v>
      </c>
      <c r="R43" s="381"/>
      <c r="S43" s="48"/>
      <c r="T43" s="381">
        <f>'Step 1 Dedicated Funds'!N43</f>
        <v>0</v>
      </c>
      <c r="U43" s="381">
        <f>SUM('Step 1 Dedicated Funds'!O43:T43)</f>
        <v>0</v>
      </c>
      <c r="V43" s="55"/>
      <c r="W43" s="381">
        <f t="shared" si="3"/>
        <v>0</v>
      </c>
      <c r="X43" s="168"/>
      <c r="Y43" s="241">
        <f>8453610-Y40</f>
        <v>2953610</v>
      </c>
    </row>
    <row r="44" spans="1:25">
      <c r="A44" s="178" t="s">
        <v>97</v>
      </c>
      <c r="B44" s="55"/>
      <c r="C44" s="55"/>
      <c r="D44" s="55"/>
      <c r="E44" s="55"/>
      <c r="F44" s="184"/>
      <c r="G44" s="383">
        <f>'Step 1 Dedicated Funds'!G44</f>
        <v>0</v>
      </c>
      <c r="H44" s="383">
        <f>'Step 1 Dedicated Funds'!H44</f>
        <v>0</v>
      </c>
      <c r="I44" s="383">
        <f>'Step 1 Dedicated Funds'!I44</f>
        <v>0</v>
      </c>
      <c r="J44" s="383">
        <f>'Step 1 Dedicated Funds'!J44</f>
        <v>0</v>
      </c>
      <c r="K44" s="55"/>
      <c r="L44" s="383">
        <f>'Compile Productivity $'!B40</f>
        <v>0</v>
      </c>
      <c r="M44" s="383">
        <f>'Compile Productivity $'!C40</f>
        <v>0</v>
      </c>
      <c r="N44" s="383">
        <f>'Compile Productivity $'!D40</f>
        <v>0</v>
      </c>
      <c r="O44" s="383">
        <f>'Compile Productivity $'!E40</f>
        <v>45370.98588733653</v>
      </c>
      <c r="P44" s="383">
        <f>'Compile Productivity $'!F40</f>
        <v>0</v>
      </c>
      <c r="Q44" s="383">
        <f>'Compile Productivity $'!G40</f>
        <v>0</v>
      </c>
      <c r="R44" s="383"/>
      <c r="S44" s="55"/>
      <c r="T44" s="383">
        <f>'Step 1 Dedicated Funds'!N44</f>
        <v>-244200</v>
      </c>
      <c r="U44" s="383">
        <f>SUM('Step 1 Dedicated Funds'!O44:T44)</f>
        <v>3300000</v>
      </c>
      <c r="V44" s="55"/>
      <c r="W44" s="383">
        <f t="shared" si="3"/>
        <v>3101170.9858873365</v>
      </c>
      <c r="X44" s="168"/>
      <c r="Y44" s="821">
        <v>9724870</v>
      </c>
    </row>
    <row r="45" spans="1:25">
      <c r="A45" s="367" t="s">
        <v>483</v>
      </c>
      <c r="B45" s="55"/>
      <c r="C45" s="55"/>
      <c r="D45" s="55"/>
      <c r="E45" s="55"/>
      <c r="F45" s="55"/>
      <c r="G45" s="383">
        <f>'Step 1 Dedicated Funds'!G45</f>
        <v>0</v>
      </c>
      <c r="H45" s="383">
        <f>'Step 1 Dedicated Funds'!H45</f>
        <v>0</v>
      </c>
      <c r="I45" s="383">
        <f>'Step 1 Dedicated Funds'!I45</f>
        <v>0</v>
      </c>
      <c r="J45" s="383">
        <f>'Step 1 Dedicated Funds'!J45</f>
        <v>0</v>
      </c>
      <c r="K45" s="55"/>
      <c r="L45" s="383">
        <f>'Compile Productivity $'!B41</f>
        <v>1646432.7362341844</v>
      </c>
      <c r="M45" s="383">
        <f>'Compile Productivity $'!C41</f>
        <v>0</v>
      </c>
      <c r="N45" s="383">
        <f>'Compile Productivity $'!D41</f>
        <v>184000</v>
      </c>
      <c r="O45" s="383">
        <f>'Compile Productivity $'!E41</f>
        <v>4568.1511044794779</v>
      </c>
      <c r="P45" s="383">
        <f>'Compile Productivity $'!F41</f>
        <v>2873.2844511518533</v>
      </c>
      <c r="Q45" s="383">
        <f>'Compile Productivity $'!G41</f>
        <v>0</v>
      </c>
      <c r="R45" s="383"/>
      <c r="S45" s="55"/>
      <c r="T45" s="383">
        <f>'Step 1 Dedicated Funds'!N45</f>
        <v>-278328.8</v>
      </c>
      <c r="U45" s="383">
        <f>SUM('Step 1 Dedicated Funds'!O45:T45)</f>
        <v>3761200</v>
      </c>
      <c r="V45" s="55"/>
      <c r="W45" s="383">
        <f t="shared" si="3"/>
        <v>5320745.3717898158</v>
      </c>
      <c r="X45" s="168"/>
      <c r="Y45" s="821">
        <v>5000049</v>
      </c>
    </row>
    <row r="46" spans="1:25">
      <c r="A46" s="178" t="s">
        <v>98</v>
      </c>
      <c r="B46" s="55"/>
      <c r="C46" s="55"/>
      <c r="D46" s="55"/>
      <c r="E46" s="55"/>
      <c r="F46" s="55"/>
      <c r="G46" s="383">
        <f>'Step 1 Dedicated Funds'!G46</f>
        <v>0</v>
      </c>
      <c r="H46" s="383">
        <f>'Step 1 Dedicated Funds'!H46</f>
        <v>714133.56728000008</v>
      </c>
      <c r="I46" s="383">
        <f>'Step 1 Dedicated Funds'!I46</f>
        <v>0</v>
      </c>
      <c r="J46" s="383">
        <f>'Step 1 Dedicated Funds'!J46</f>
        <v>0</v>
      </c>
      <c r="K46" s="55"/>
      <c r="L46" s="383">
        <f>'Compile Productivity $'!B42</f>
        <v>0</v>
      </c>
      <c r="M46" s="383">
        <f>'Compile Productivity $'!C42</f>
        <v>0</v>
      </c>
      <c r="N46" s="383">
        <f>'Compile Productivity $'!D42</f>
        <v>0</v>
      </c>
      <c r="O46" s="383">
        <f>'Compile Productivity $'!E42</f>
        <v>4591.4207712322759</v>
      </c>
      <c r="P46" s="383">
        <f>'Compile Productivity $'!F42</f>
        <v>0</v>
      </c>
      <c r="Q46" s="383">
        <f>'Compile Productivity $'!G42</f>
        <v>0</v>
      </c>
      <c r="R46" s="383"/>
      <c r="S46" s="55"/>
      <c r="T46" s="383">
        <f>'Step 1 Dedicated Funds'!N46</f>
        <v>-3478</v>
      </c>
      <c r="U46" s="383">
        <f>SUM('Step 1 Dedicated Funds'!O46:T46)</f>
        <v>47000</v>
      </c>
      <c r="V46" s="55"/>
      <c r="W46" s="383">
        <f t="shared" si="3"/>
        <v>762246.9880512323</v>
      </c>
      <c r="X46" s="168"/>
      <c r="Y46" s="821">
        <v>3643184</v>
      </c>
    </row>
    <row r="47" spans="1:25">
      <c r="A47" s="179" t="s">
        <v>99</v>
      </c>
      <c r="B47" s="44"/>
      <c r="C47" s="44"/>
      <c r="D47" s="44"/>
      <c r="E47" s="44"/>
      <c r="F47" s="55"/>
      <c r="G47" s="381">
        <f>'Step 1 Dedicated Funds'!G47</f>
        <v>1122209.8914400002</v>
      </c>
      <c r="H47" s="381">
        <f>'Step 1 Dedicated Funds'!H47</f>
        <v>0</v>
      </c>
      <c r="I47" s="381">
        <f>'Step 1 Dedicated Funds'!I47</f>
        <v>0</v>
      </c>
      <c r="J47" s="381">
        <f>'Step 1 Dedicated Funds'!J47</f>
        <v>0</v>
      </c>
      <c r="K47" s="48"/>
      <c r="L47" s="381">
        <f>'Compile Productivity $'!B43</f>
        <v>0</v>
      </c>
      <c r="M47" s="381">
        <f>'Compile Productivity $'!C43</f>
        <v>0</v>
      </c>
      <c r="N47" s="381">
        <f>'Compile Productivity $'!D43</f>
        <v>0</v>
      </c>
      <c r="O47" s="381">
        <f>'Compile Productivity $'!E43</f>
        <v>5516.6858255045709</v>
      </c>
      <c r="P47" s="381">
        <f>'Compile Productivity $'!F43</f>
        <v>0</v>
      </c>
      <c r="Q47" s="381">
        <f>'Compile Productivity $'!G43</f>
        <v>0</v>
      </c>
      <c r="R47" s="381"/>
      <c r="S47" s="48"/>
      <c r="T47" s="381">
        <f>'Step 1 Dedicated Funds'!N47</f>
        <v>-4144</v>
      </c>
      <c r="U47" s="381">
        <f>SUM('Step 1 Dedicated Funds'!O47:T47)</f>
        <v>2636000</v>
      </c>
      <c r="V47" s="55"/>
      <c r="W47" s="381">
        <f t="shared" si="3"/>
        <v>3759582.5772655047</v>
      </c>
      <c r="X47" s="168"/>
      <c r="Y47" s="241">
        <v>19774660</v>
      </c>
    </row>
    <row r="48" spans="1:25">
      <c r="A48" s="178" t="s">
        <v>484</v>
      </c>
      <c r="B48" s="55"/>
      <c r="C48" s="55"/>
      <c r="D48" s="55"/>
      <c r="E48" s="55"/>
      <c r="F48" s="55"/>
      <c r="G48" s="383">
        <f>'Step 1 Dedicated Funds'!G48</f>
        <v>255047.70260000002</v>
      </c>
      <c r="H48" s="383">
        <f>'Step 1 Dedicated Funds'!H48</f>
        <v>0</v>
      </c>
      <c r="I48" s="383">
        <f>'Step 1 Dedicated Funds'!I48</f>
        <v>0</v>
      </c>
      <c r="J48" s="383">
        <f>'Step 1 Dedicated Funds'!J48</f>
        <v>0</v>
      </c>
      <c r="K48" s="55"/>
      <c r="L48" s="383">
        <f>'Compile Productivity $'!B44</f>
        <v>0</v>
      </c>
      <c r="M48" s="383">
        <f>'Compile Productivity $'!C44</f>
        <v>0</v>
      </c>
      <c r="N48" s="383">
        <f>'Compile Productivity $'!D44</f>
        <v>0</v>
      </c>
      <c r="O48" s="383">
        <f>'Compile Productivity $'!E44</f>
        <v>0</v>
      </c>
      <c r="P48" s="383">
        <f>'Compile Productivity $'!F44</f>
        <v>0</v>
      </c>
      <c r="Q48" s="383">
        <f>'Compile Productivity $'!G44</f>
        <v>0</v>
      </c>
      <c r="R48" s="383"/>
      <c r="S48" s="55"/>
      <c r="T48" s="383">
        <f>'Step 1 Dedicated Funds'!N48</f>
        <v>-85100</v>
      </c>
      <c r="U48" s="383">
        <f>SUM('Step 1 Dedicated Funds'!O48:T48)</f>
        <v>1580000</v>
      </c>
      <c r="V48" s="55"/>
      <c r="W48" s="383">
        <f t="shared" si="3"/>
        <v>1749947.7026</v>
      </c>
      <c r="X48" s="168"/>
      <c r="Y48" s="821">
        <v>4501875</v>
      </c>
    </row>
    <row r="49" spans="1:27">
      <c r="A49" s="54" t="s">
        <v>86</v>
      </c>
      <c r="B49" s="55"/>
      <c r="C49" s="55"/>
      <c r="D49" s="55"/>
      <c r="E49" s="55"/>
      <c r="F49" s="55"/>
      <c r="G49" s="382">
        <f>'Step 1 Dedicated Funds'!G49</f>
        <v>0</v>
      </c>
      <c r="H49" s="382">
        <f>'Step 1 Dedicated Funds'!H49</f>
        <v>0</v>
      </c>
      <c r="I49" s="382">
        <f>'Step 1 Dedicated Funds'!I49</f>
        <v>0</v>
      </c>
      <c r="J49" s="382">
        <f>'Step 1 Dedicated Funds'!J49</f>
        <v>0</v>
      </c>
      <c r="K49" s="55"/>
      <c r="L49" s="382">
        <f>'Compile Productivity $'!B45</f>
        <v>0</v>
      </c>
      <c r="M49" s="382">
        <f>'Compile Productivity $'!C45</f>
        <v>0</v>
      </c>
      <c r="N49" s="382">
        <f>'Compile Productivity $'!D45</f>
        <v>0</v>
      </c>
      <c r="O49" s="382">
        <f>'Compile Productivity $'!E45</f>
        <v>15084.462872218808</v>
      </c>
      <c r="P49" s="382">
        <f>'Compile Productivity $'!F45</f>
        <v>0</v>
      </c>
      <c r="Q49" s="382">
        <f>'Compile Productivity $'!G45</f>
        <v>0</v>
      </c>
      <c r="R49" s="382"/>
      <c r="S49" s="55"/>
      <c r="T49" s="382">
        <f>'Step 1 Dedicated Funds'!N49</f>
        <v>0</v>
      </c>
      <c r="U49" s="382">
        <f>SUM('Step 1 Dedicated Funds'!O49:T49)</f>
        <v>0</v>
      </c>
      <c r="V49" s="55"/>
      <c r="W49" s="382">
        <f t="shared" si="3"/>
        <v>15084.462872218808</v>
      </c>
      <c r="X49" s="168"/>
      <c r="Y49" s="821">
        <v>1522413</v>
      </c>
    </row>
    <row r="50" spans="1:27">
      <c r="A50" s="368" t="s">
        <v>100</v>
      </c>
      <c r="B50" s="229"/>
      <c r="C50" s="229"/>
      <c r="D50" s="229"/>
      <c r="E50" s="229"/>
      <c r="F50" s="55"/>
      <c r="G50" s="381">
        <f>'Step 1 Dedicated Funds'!G50</f>
        <v>255047.70260000002</v>
      </c>
      <c r="H50" s="381">
        <f>'Step 1 Dedicated Funds'!H50</f>
        <v>0</v>
      </c>
      <c r="I50" s="381">
        <f>'Step 1 Dedicated Funds'!I50</f>
        <v>0</v>
      </c>
      <c r="J50" s="381">
        <f>'Step 1 Dedicated Funds'!J50</f>
        <v>0</v>
      </c>
      <c r="K50" s="55"/>
      <c r="L50" s="381">
        <f>'Compile Productivity $'!B46</f>
        <v>0</v>
      </c>
      <c r="M50" s="381">
        <f>'Compile Productivity $'!C46</f>
        <v>0</v>
      </c>
      <c r="N50" s="381">
        <f>'Compile Productivity $'!D46</f>
        <v>0</v>
      </c>
      <c r="O50" s="381">
        <f>'Compile Productivity $'!E46</f>
        <v>0</v>
      </c>
      <c r="P50" s="381">
        <f>'Compile Productivity $'!F46</f>
        <v>0</v>
      </c>
      <c r="Q50" s="381">
        <f>'Compile Productivity $'!G46</f>
        <v>0</v>
      </c>
      <c r="R50" s="381"/>
      <c r="S50" s="55"/>
      <c r="T50" s="381">
        <f>'Step 1 Dedicated Funds'!N50</f>
        <v>0</v>
      </c>
      <c r="U50" s="381">
        <f>SUM('Step 1 Dedicated Funds'!O50:T50)</f>
        <v>3440000</v>
      </c>
      <c r="V50" s="55"/>
      <c r="W50" s="381">
        <f t="shared" si="3"/>
        <v>3695047.7026</v>
      </c>
      <c r="X50" s="168"/>
      <c r="Y50" s="241">
        <v>7580439</v>
      </c>
    </row>
    <row r="51" spans="1:27">
      <c r="A51" s="178" t="s">
        <v>101</v>
      </c>
      <c r="B51" s="48"/>
      <c r="C51" s="48"/>
      <c r="D51" s="48"/>
      <c r="E51" s="48"/>
      <c r="F51" s="55"/>
      <c r="G51" s="382">
        <f>'Step 1 Dedicated Funds'!G51</f>
        <v>0</v>
      </c>
      <c r="H51" s="382">
        <f>'Step 1 Dedicated Funds'!H51</f>
        <v>0</v>
      </c>
      <c r="I51" s="382">
        <f>'Step 1 Dedicated Funds'!I51</f>
        <v>0</v>
      </c>
      <c r="J51" s="382">
        <f>'Step 1 Dedicated Funds'!J51</f>
        <v>0</v>
      </c>
      <c r="K51" s="48"/>
      <c r="L51" s="382">
        <f>'Compile Productivity $'!B47</f>
        <v>0</v>
      </c>
      <c r="M51" s="382">
        <f>'Compile Productivity $'!C47</f>
        <v>0</v>
      </c>
      <c r="N51" s="382">
        <f>'Compile Productivity $'!D47</f>
        <v>0</v>
      </c>
      <c r="O51" s="382">
        <f>'Compile Productivity $'!E47</f>
        <v>8993.8576670004386</v>
      </c>
      <c r="P51" s="382">
        <f>'Compile Productivity $'!F47</f>
        <v>0</v>
      </c>
      <c r="Q51" s="382">
        <f>'Compile Productivity $'!G47</f>
        <v>0</v>
      </c>
      <c r="R51" s="382"/>
      <c r="S51" s="48"/>
      <c r="T51" s="382">
        <f>'Step 1 Dedicated Funds'!N51</f>
        <v>-139661.902</v>
      </c>
      <c r="U51" s="382">
        <f>SUM('Step 1 Dedicated Funds'!O51:T51)</f>
        <v>1887323</v>
      </c>
      <c r="V51" s="55"/>
      <c r="W51" s="382">
        <f t="shared" si="3"/>
        <v>1756654.9556670005</v>
      </c>
      <c r="X51" s="168"/>
      <c r="Y51" s="821">
        <v>7705927</v>
      </c>
    </row>
    <row r="52" spans="1:27">
      <c r="A52" s="178" t="s">
        <v>102</v>
      </c>
      <c r="B52" s="55"/>
      <c r="C52" s="55"/>
      <c r="D52" s="55"/>
      <c r="E52" s="55"/>
      <c r="F52" s="55"/>
      <c r="G52" s="383">
        <f>'Step 1 Dedicated Funds'!G52</f>
        <v>0</v>
      </c>
      <c r="H52" s="383">
        <f>'Step 1 Dedicated Funds'!H52</f>
        <v>0</v>
      </c>
      <c r="I52" s="383">
        <f>'Step 1 Dedicated Funds'!I52</f>
        <v>0</v>
      </c>
      <c r="J52" s="383">
        <f>'Step 1 Dedicated Funds'!J52</f>
        <v>561104.94572000008</v>
      </c>
      <c r="K52" s="55"/>
      <c r="L52" s="383">
        <f>'Compile Productivity $'!B48</f>
        <v>0</v>
      </c>
      <c r="M52" s="383">
        <f>'Compile Productivity $'!C48</f>
        <v>0</v>
      </c>
      <c r="N52" s="383">
        <f>'Compile Productivity $'!D48</f>
        <v>0</v>
      </c>
      <c r="O52" s="383">
        <f>'Compile Productivity $'!E48</f>
        <v>0</v>
      </c>
      <c r="P52" s="383">
        <f>'Compile Productivity $'!F48</f>
        <v>0</v>
      </c>
      <c r="Q52" s="383">
        <f>'Compile Productivity $'!G48</f>
        <v>0</v>
      </c>
      <c r="R52" s="383"/>
      <c r="S52" s="55"/>
      <c r="T52" s="383">
        <f>'Step 1 Dedicated Funds'!N52</f>
        <v>0</v>
      </c>
      <c r="U52" s="383">
        <f>SUM('Step 1 Dedicated Funds'!O52:T52)</f>
        <v>1720000</v>
      </c>
      <c r="V52" s="55"/>
      <c r="W52" s="383">
        <f t="shared" si="3"/>
        <v>2281104.9457200002</v>
      </c>
      <c r="X52" s="168"/>
      <c r="Y52" s="821">
        <v>12025835</v>
      </c>
    </row>
    <row r="53" spans="1:27">
      <c r="A53" s="368" t="s">
        <v>103</v>
      </c>
      <c r="B53" s="229"/>
      <c r="C53" s="229"/>
      <c r="D53" s="229"/>
      <c r="E53" s="229"/>
      <c r="F53" s="55"/>
      <c r="G53" s="381">
        <f>'Step 1 Dedicated Funds'!G53</f>
        <v>0</v>
      </c>
      <c r="H53" s="381">
        <f>'Step 1 Dedicated Funds'!H53</f>
        <v>0</v>
      </c>
      <c r="I53" s="381">
        <f>'Step 1 Dedicated Funds'!I53</f>
        <v>0</v>
      </c>
      <c r="J53" s="381">
        <f>'Step 1 Dedicated Funds'!J53</f>
        <v>867162.18884000008</v>
      </c>
      <c r="K53" s="55"/>
      <c r="L53" s="381">
        <f>'Compile Productivity $'!B49</f>
        <v>0</v>
      </c>
      <c r="M53" s="381">
        <f>'Compile Productivity $'!C49</f>
        <v>0</v>
      </c>
      <c r="N53" s="381">
        <f>'Compile Productivity $'!D49</f>
        <v>0</v>
      </c>
      <c r="O53" s="381">
        <f>'Compile Productivity $'!E49</f>
        <v>0</v>
      </c>
      <c r="P53" s="381">
        <f>'Compile Productivity $'!F49</f>
        <v>0</v>
      </c>
      <c r="Q53" s="381">
        <f>'Compile Productivity $'!G49</f>
        <v>0</v>
      </c>
      <c r="R53" s="381"/>
      <c r="S53" s="55"/>
      <c r="T53" s="381">
        <f>'Step 1 Dedicated Funds'!N53</f>
        <v>-32930</v>
      </c>
      <c r="U53" s="381">
        <f>SUM('Step 1 Dedicated Funds'!O53:T53)</f>
        <v>2165000</v>
      </c>
      <c r="V53" s="55"/>
      <c r="W53" s="381">
        <f t="shared" si="3"/>
        <v>2999232.18884</v>
      </c>
      <c r="X53" s="168"/>
      <c r="Y53" s="241">
        <v>25520328</v>
      </c>
    </row>
    <row r="54" spans="1:27">
      <c r="A54" s="178" t="s">
        <v>104</v>
      </c>
      <c r="B54" s="48"/>
      <c r="C54" s="48"/>
      <c r="D54" s="48"/>
      <c r="E54" s="48"/>
      <c r="F54" s="55"/>
      <c r="G54" s="382">
        <f>'Step 1 Dedicated Funds'!G54</f>
        <v>0</v>
      </c>
      <c r="H54" s="382">
        <f>'Step 1 Dedicated Funds'!H54</f>
        <v>0</v>
      </c>
      <c r="I54" s="382">
        <f>'Step 1 Dedicated Funds'!I54</f>
        <v>0</v>
      </c>
      <c r="J54" s="382">
        <f>'Step 1 Dedicated Funds'!J54</f>
        <v>0</v>
      </c>
      <c r="K54" s="48"/>
      <c r="L54" s="382">
        <f>'Compile Productivity $'!B50</f>
        <v>0</v>
      </c>
      <c r="M54" s="382">
        <f>'Compile Productivity $'!C50</f>
        <v>0</v>
      </c>
      <c r="N54" s="382">
        <f>'Compile Productivity $'!D50</f>
        <v>0</v>
      </c>
      <c r="O54" s="382">
        <f>'Compile Productivity $'!E50</f>
        <v>239.13855267424046</v>
      </c>
      <c r="P54" s="382">
        <f>'Compile Productivity $'!F50</f>
        <v>0</v>
      </c>
      <c r="Q54" s="382">
        <f>'Compile Productivity $'!G50</f>
        <v>0</v>
      </c>
      <c r="R54" s="382"/>
      <c r="S54" s="48"/>
      <c r="T54" s="382">
        <f>'Step 1 Dedicated Funds'!N54</f>
        <v>-4958</v>
      </c>
      <c r="U54" s="382">
        <f>SUM('Step 1 Dedicated Funds'!O54:T54)</f>
        <v>4797000</v>
      </c>
      <c r="V54" s="55"/>
      <c r="W54" s="382">
        <f t="shared" si="3"/>
        <v>4792281.1385526741</v>
      </c>
      <c r="X54" s="168"/>
      <c r="Y54" s="821">
        <v>17684064</v>
      </c>
    </row>
    <row r="55" spans="1:27">
      <c r="A55" s="178" t="s">
        <v>459</v>
      </c>
      <c r="B55" s="48"/>
      <c r="C55" s="48"/>
      <c r="D55" s="48"/>
      <c r="E55" s="48"/>
      <c r="F55" s="172"/>
      <c r="G55" s="382">
        <f>'Step 1 Dedicated Funds'!G55</f>
        <v>0</v>
      </c>
      <c r="H55" s="382">
        <f>'Step 1 Dedicated Funds'!H55</f>
        <v>0</v>
      </c>
      <c r="I55" s="382">
        <f>'Step 1 Dedicated Funds'!I55</f>
        <v>0</v>
      </c>
      <c r="J55" s="382">
        <f>'Step 1 Dedicated Funds'!J55</f>
        <v>0</v>
      </c>
      <c r="K55" s="48"/>
      <c r="L55" s="382">
        <f>'Compile Productivity $'!B51</f>
        <v>0</v>
      </c>
      <c r="M55" s="382">
        <f>'Compile Productivity $'!C51</f>
        <v>0</v>
      </c>
      <c r="N55" s="382">
        <f>'Compile Productivity $'!D51</f>
        <v>0</v>
      </c>
      <c r="O55" s="382">
        <f>'Compile Productivity $'!E51</f>
        <v>0</v>
      </c>
      <c r="P55" s="382">
        <f>'Compile Productivity $'!F51</f>
        <v>0</v>
      </c>
      <c r="Q55" s="382">
        <f>'Compile Productivity $'!G51</f>
        <v>0</v>
      </c>
      <c r="R55" s="382"/>
      <c r="S55" s="48"/>
      <c r="T55" s="382">
        <f>'Step 1 Dedicated Funds'!N55</f>
        <v>0</v>
      </c>
      <c r="U55" s="382">
        <f>SUM('Step 1 Dedicated Funds'!O55:T55)</f>
        <v>0</v>
      </c>
      <c r="V55" s="55"/>
      <c r="W55" s="382">
        <f t="shared" si="3"/>
        <v>0</v>
      </c>
      <c r="X55" s="168"/>
      <c r="Y55" s="821">
        <v>3700133</v>
      </c>
    </row>
    <row r="56" spans="1:27">
      <c r="A56" s="386" t="s">
        <v>485</v>
      </c>
      <c r="B56" s="228"/>
      <c r="C56" s="228"/>
      <c r="D56" s="228"/>
      <c r="E56" s="228"/>
      <c r="F56" s="55"/>
      <c r="G56" s="381">
        <f>'Step 1 Dedicated Funds'!G56</f>
        <v>0</v>
      </c>
      <c r="H56" s="381">
        <f>'Step 1 Dedicated Funds'!H56</f>
        <v>0</v>
      </c>
      <c r="I56" s="381">
        <f>'Step 1 Dedicated Funds'!I56</f>
        <v>0</v>
      </c>
      <c r="J56" s="381">
        <f>'Step 1 Dedicated Funds'!J56</f>
        <v>0</v>
      </c>
      <c r="K56" s="48"/>
      <c r="L56" s="381">
        <f>'Compile Productivity $'!B52</f>
        <v>0</v>
      </c>
      <c r="M56" s="381">
        <f>'Compile Productivity $'!C52</f>
        <v>0</v>
      </c>
      <c r="N56" s="381">
        <f>'Compile Productivity $'!D52</f>
        <v>0</v>
      </c>
      <c r="O56" s="381">
        <f>'Compile Productivity $'!E52</f>
        <v>0</v>
      </c>
      <c r="P56" s="381">
        <f>'Compile Productivity $'!F52</f>
        <v>0</v>
      </c>
      <c r="Q56" s="381">
        <f>'Compile Productivity $'!G52</f>
        <v>0</v>
      </c>
      <c r="R56" s="381"/>
      <c r="S56" s="48"/>
      <c r="T56" s="381">
        <f>'Step 1 Dedicated Funds'!N56</f>
        <v>0</v>
      </c>
      <c r="U56" s="381">
        <f>SUM('Step 1 Dedicated Funds'!O56:T56)</f>
        <v>860000</v>
      </c>
      <c r="V56" s="55"/>
      <c r="W56" s="381">
        <f t="shared" si="3"/>
        <v>860000</v>
      </c>
      <c r="X56" s="168"/>
      <c r="Y56" s="241">
        <v>2369903</v>
      </c>
    </row>
    <row r="57" spans="1:27">
      <c r="A57" s="178" t="s">
        <v>105</v>
      </c>
      <c r="B57" s="55"/>
      <c r="C57" s="55"/>
      <c r="D57" s="55"/>
      <c r="E57" s="55"/>
      <c r="F57" s="178"/>
      <c r="G57" s="382">
        <f>'Step 1 Dedicated Funds'!G57</f>
        <v>0</v>
      </c>
      <c r="H57" s="382">
        <f>'Step 1 Dedicated Funds'!H57</f>
        <v>0</v>
      </c>
      <c r="I57" s="382">
        <f>'Step 1 Dedicated Funds'!I57</f>
        <v>0</v>
      </c>
      <c r="J57" s="382">
        <f>'Step 1 Dedicated Funds'!J57</f>
        <v>0</v>
      </c>
      <c r="K57" s="55"/>
      <c r="L57" s="382">
        <f>'Compile Productivity $'!B53</f>
        <v>0</v>
      </c>
      <c r="M57" s="382">
        <f>'Compile Productivity $'!C53</f>
        <v>0</v>
      </c>
      <c r="N57" s="382">
        <f>'Compile Productivity $'!D53</f>
        <v>0</v>
      </c>
      <c r="O57" s="382">
        <f>'Compile Productivity $'!E53</f>
        <v>0</v>
      </c>
      <c r="P57" s="382">
        <f>'Compile Productivity $'!F53</f>
        <v>0</v>
      </c>
      <c r="Q57" s="382">
        <f>'Compile Productivity $'!G53</f>
        <v>0</v>
      </c>
      <c r="R57" s="382"/>
      <c r="S57" s="55"/>
      <c r="T57" s="382">
        <f>'Step 1 Dedicated Funds'!N57</f>
        <v>0</v>
      </c>
      <c r="U57" s="382">
        <f>SUM('Step 1 Dedicated Funds'!O57:T57)</f>
        <v>4300000</v>
      </c>
      <c r="V57" s="55"/>
      <c r="W57" s="382">
        <f t="shared" si="3"/>
        <v>4300000</v>
      </c>
      <c r="X57" s="168"/>
      <c r="Y57" s="821">
        <v>12372914</v>
      </c>
    </row>
    <row r="58" spans="1:27">
      <c r="A58" s="375" t="s">
        <v>106</v>
      </c>
      <c r="B58" s="376">
        <f>SUM(B39:B57)</f>
        <v>0</v>
      </c>
      <c r="C58" s="376">
        <f>SUM(C39:C57)</f>
        <v>0</v>
      </c>
      <c r="D58" s="376"/>
      <c r="E58" s="376">
        <f>SUM(E39:E57)</f>
        <v>0</v>
      </c>
      <c r="F58" s="390"/>
      <c r="G58" s="376">
        <f>SUM(G39:G57)</f>
        <v>1632305.2966400001</v>
      </c>
      <c r="H58" s="376">
        <f>SUM(H39:H57)</f>
        <v>714133.56728000008</v>
      </c>
      <c r="I58" s="376">
        <f>SUM(I39:I57)</f>
        <v>0</v>
      </c>
      <c r="J58" s="376">
        <f>SUM(J39:J57)</f>
        <v>1428267.1345600002</v>
      </c>
      <c r="K58" s="174">
        <f t="shared" ref="K58:R58" si="4">SUM(K39:K57)</f>
        <v>0</v>
      </c>
      <c r="L58" s="376">
        <f t="shared" si="4"/>
        <v>1646432.7362341844</v>
      </c>
      <c r="M58" s="376">
        <f t="shared" si="4"/>
        <v>0</v>
      </c>
      <c r="N58" s="376">
        <f t="shared" si="4"/>
        <v>184000</v>
      </c>
      <c r="O58" s="376">
        <f t="shared" si="4"/>
        <v>84376.238913539884</v>
      </c>
      <c r="P58" s="376">
        <f t="shared" si="4"/>
        <v>2873.2844511518533</v>
      </c>
      <c r="Q58" s="376">
        <f t="shared" si="4"/>
        <v>0</v>
      </c>
      <c r="R58" s="376">
        <f t="shared" si="4"/>
        <v>0</v>
      </c>
      <c r="S58" s="174"/>
      <c r="T58" s="376">
        <f>SUM(T39:T57)</f>
        <v>-792800.70200000005</v>
      </c>
      <c r="U58" s="376">
        <f>SUM(U39:U57)</f>
        <v>30493523</v>
      </c>
      <c r="V58" s="172"/>
      <c r="W58" s="376">
        <f>SUM(W39:W57)</f>
        <v>35393110.556078874</v>
      </c>
      <c r="X58" s="168"/>
      <c r="Y58" s="376">
        <f>SUM(Y39:Y57)</f>
        <v>155419385</v>
      </c>
    </row>
    <row r="59" spans="1:27" ht="16.5" thickBot="1">
      <c r="A59" s="377" t="s">
        <v>107</v>
      </c>
      <c r="B59" s="378">
        <f>B6+B7+B8+B9+B10+B11+B12+B35+B58</f>
        <v>18178922</v>
      </c>
      <c r="C59" s="378">
        <f>C6+C7+C8+C9+C10+C11+C12+C35+C58</f>
        <v>0</v>
      </c>
      <c r="D59" s="378"/>
      <c r="E59" s="378">
        <f>E6+E7+E8+E9+E10+E11+E12+E35+E58</f>
        <v>22140000</v>
      </c>
      <c r="F59" s="390"/>
      <c r="G59" s="378">
        <f>G6+G7+G8+G9+G10+G11+G12+G35+G58</f>
        <v>1632305.2966400001</v>
      </c>
      <c r="H59" s="378">
        <f>H6+H7+H8+H9+H10+H11+H12+H35+H58</f>
        <v>714133.56728000008</v>
      </c>
      <c r="I59" s="378">
        <f>I6+I7+I8+I9+I10+I11+I12+I35+I58</f>
        <v>0</v>
      </c>
      <c r="J59" s="378">
        <f>J6+J7+J8+J9+J10+J11+J12+J35+J58</f>
        <v>1428267.1345600002</v>
      </c>
      <c r="K59" s="200">
        <f>K6+K7+K8+K11+K12+K35+K58</f>
        <v>0</v>
      </c>
      <c r="L59" s="378">
        <f t="shared" ref="L59:R59" si="5">L6+L7+L8+L9+L10+L11+L12+L35+L58</f>
        <v>73939474.198300511</v>
      </c>
      <c r="M59" s="378">
        <f t="shared" si="5"/>
        <v>40626084.724340945</v>
      </c>
      <c r="N59" s="378">
        <f>N6+N7+N8+N9+N10+N11+N12+N35+N58</f>
        <v>56542000</v>
      </c>
      <c r="O59" s="378">
        <f t="shared" si="5"/>
        <v>8125216.9448681902</v>
      </c>
      <c r="P59" s="378">
        <f t="shared" si="5"/>
        <v>7312695.2503813729</v>
      </c>
      <c r="Q59" s="378">
        <f t="shared" si="5"/>
        <v>32500867.779472753</v>
      </c>
      <c r="R59" s="378">
        <f t="shared" si="5"/>
        <v>0</v>
      </c>
      <c r="S59" s="200"/>
      <c r="T59" s="378">
        <f>T6+T7+T8+T9+T10+T11+T12+T35+T58</f>
        <v>-3774705.9984800001</v>
      </c>
      <c r="U59" s="378">
        <f>U6+U7+U8+U9+U10+U11+U12+U35+U58</f>
        <v>142514672.41066667</v>
      </c>
      <c r="V59" s="55"/>
      <c r="W59" s="378">
        <f>W6+W7+W8+W9+W10+W11+W12+W35+W58</f>
        <v>401879933.30803043</v>
      </c>
      <c r="X59" s="660"/>
      <c r="Y59" s="378">
        <f>SUM(Y6,Y35,Y58)</f>
        <v>552825759</v>
      </c>
    </row>
    <row r="60" spans="1:27" ht="17.25" thickTop="1" thickBot="1">
      <c r="A60" s="178"/>
      <c r="B60" s="178"/>
      <c r="C60" s="178"/>
      <c r="D60" s="178"/>
      <c r="E60" s="178"/>
      <c r="F60" s="167"/>
      <c r="G60" s="167"/>
      <c r="H60" s="167"/>
      <c r="I60" s="167"/>
      <c r="J60" s="178"/>
      <c r="K60" s="178"/>
      <c r="L60" s="178"/>
      <c r="M60" s="178"/>
      <c r="N60" s="178"/>
      <c r="O60" s="178"/>
      <c r="P60" s="178"/>
      <c r="Q60" s="172"/>
      <c r="R60" s="172"/>
      <c r="S60" s="172"/>
      <c r="T60" s="55"/>
      <c r="U60" s="55"/>
      <c r="V60" s="55"/>
      <c r="W60" s="171">
        <f>SUM(B59:U59)</f>
        <v>401879933.30803049</v>
      </c>
      <c r="X60" s="168"/>
      <c r="Y60" s="46"/>
    </row>
    <row r="61" spans="1:27">
      <c r="A61" s="167"/>
      <c r="B61" s="167"/>
      <c r="C61" s="167"/>
      <c r="D61" s="167"/>
      <c r="E61" s="167"/>
      <c r="F61" s="167"/>
      <c r="G61" s="167"/>
      <c r="H61" s="167"/>
      <c r="I61" s="167"/>
      <c r="J61" s="167"/>
      <c r="K61" s="167"/>
      <c r="L61" s="167"/>
      <c r="M61" s="167"/>
      <c r="N61" s="167"/>
      <c r="O61" s="167"/>
      <c r="P61" s="306" t="s">
        <v>303</v>
      </c>
      <c r="Q61" s="1788">
        <f>L59+M59+N59+O59+P59+Q59+R59</f>
        <v>219046338.89736378</v>
      </c>
      <c r="R61" s="1789"/>
      <c r="S61" s="169"/>
      <c r="T61" s="169"/>
      <c r="U61" s="169"/>
      <c r="V61" s="169"/>
      <c r="W61" s="169"/>
      <c r="X61" s="168"/>
      <c r="Y61" s="46"/>
    </row>
    <row r="62" spans="1:27">
      <c r="A62" s="167"/>
      <c r="B62" s="167"/>
      <c r="C62" s="167"/>
      <c r="D62" s="167"/>
      <c r="E62" s="169"/>
      <c r="F62" s="167"/>
      <c r="G62" s="167"/>
      <c r="H62" s="167"/>
      <c r="I62" s="167"/>
      <c r="J62" s="169"/>
      <c r="K62" s="167"/>
      <c r="L62" s="169"/>
      <c r="M62" s="169"/>
      <c r="N62" s="167"/>
      <c r="O62" s="167"/>
      <c r="P62" s="307" t="s">
        <v>304</v>
      </c>
      <c r="Q62" s="308"/>
      <c r="R62" s="309">
        <f>Q61-'Dashboard-Academic Allocation'!E1</f>
        <v>0</v>
      </c>
      <c r="S62" s="167"/>
      <c r="T62" s="167"/>
      <c r="U62" s="12"/>
      <c r="Z62" s="168"/>
      <c r="AA62" s="167"/>
    </row>
    <row r="63" spans="1:27" ht="16.5" thickBot="1">
      <c r="A63" s="167"/>
      <c r="B63" s="167"/>
      <c r="C63" s="167"/>
      <c r="D63" s="167"/>
      <c r="E63" s="169"/>
      <c r="F63" s="167"/>
      <c r="G63" s="167"/>
      <c r="H63" s="167"/>
      <c r="I63" s="167"/>
      <c r="J63" s="167"/>
      <c r="K63" s="167"/>
      <c r="L63" s="169"/>
      <c r="M63" s="167"/>
      <c r="N63" s="167"/>
      <c r="O63" s="167"/>
      <c r="P63" s="310"/>
      <c r="Q63" s="311"/>
      <c r="R63" s="312" t="str">
        <f>IF(R62=0,"OK","ERROR")</f>
        <v>OK</v>
      </c>
      <c r="S63" s="167"/>
      <c r="T63" s="167"/>
      <c r="U63" s="12"/>
      <c r="Z63" s="167"/>
      <c r="AA63" s="167"/>
    </row>
    <row r="64" spans="1:27">
      <c r="A64" s="167"/>
      <c r="B64" s="167"/>
      <c r="C64" s="167"/>
      <c r="D64" s="167"/>
      <c r="E64" s="169"/>
      <c r="F64" s="167"/>
      <c r="G64" s="167"/>
      <c r="H64" s="167"/>
      <c r="I64" s="167"/>
      <c r="J64" s="167"/>
      <c r="K64" s="167"/>
      <c r="L64" s="169"/>
      <c r="M64" s="169"/>
      <c r="N64" s="169"/>
      <c r="O64" s="169"/>
      <c r="P64" s="169"/>
      <c r="Q64" s="169"/>
      <c r="R64" s="167"/>
      <c r="S64" s="167"/>
      <c r="T64" s="167"/>
      <c r="Z64" s="193"/>
      <c r="AA64" s="193"/>
    </row>
    <row r="65" spans="1:27">
      <c r="A65" s="193"/>
      <c r="B65" s="193"/>
      <c r="C65" s="193"/>
      <c r="D65" s="193"/>
      <c r="E65" s="800"/>
      <c r="F65" s="193"/>
      <c r="G65" s="193"/>
      <c r="H65" s="193"/>
      <c r="I65" s="193"/>
      <c r="J65" s="167"/>
      <c r="K65" s="167"/>
      <c r="L65" s="167"/>
      <c r="M65" s="167"/>
      <c r="N65" s="167"/>
      <c r="O65" s="167"/>
      <c r="P65" s="167"/>
      <c r="Q65" s="185"/>
      <c r="R65" s="169"/>
      <c r="S65" s="167"/>
      <c r="T65" s="167"/>
      <c r="Z65" s="193"/>
      <c r="AA65" s="193"/>
    </row>
    <row r="66" spans="1:27">
      <c r="A66" s="193"/>
      <c r="B66" s="193"/>
      <c r="C66" s="193"/>
      <c r="D66" s="193"/>
      <c r="E66" s="800"/>
      <c r="F66" s="193"/>
      <c r="G66" s="193"/>
      <c r="H66" s="193"/>
      <c r="I66" s="193"/>
      <c r="J66" s="167"/>
      <c r="K66" s="167"/>
      <c r="L66" s="169"/>
      <c r="M66" s="169"/>
      <c r="N66" s="169"/>
      <c r="O66" s="169"/>
      <c r="P66" s="169"/>
      <c r="Q66" s="169"/>
      <c r="R66" s="169"/>
      <c r="S66" s="167"/>
      <c r="T66" s="167"/>
      <c r="AA66" s="193"/>
    </row>
    <row r="67" spans="1:27">
      <c r="J67" s="167"/>
      <c r="K67" s="167"/>
      <c r="L67" s="167"/>
      <c r="M67" s="167"/>
      <c r="N67" s="167"/>
      <c r="O67" s="167"/>
      <c r="P67" s="167"/>
      <c r="Q67" s="169"/>
      <c r="R67" s="167"/>
      <c r="S67" s="167"/>
      <c r="T67" s="167"/>
    </row>
    <row r="68" spans="1:27">
      <c r="J68" s="193"/>
      <c r="K68" s="193"/>
      <c r="L68" s="193"/>
      <c r="M68" s="193"/>
      <c r="N68" s="193"/>
      <c r="O68" s="193"/>
      <c r="P68" s="193"/>
      <c r="Q68" s="193"/>
      <c r="R68" s="800"/>
      <c r="S68" s="193"/>
      <c r="T68" s="193"/>
      <c r="U68" s="193"/>
      <c r="V68" s="193"/>
      <c r="W68" s="193"/>
      <c r="X68" s="193"/>
      <c r="Y68" s="193"/>
      <c r="Z68" s="193"/>
    </row>
    <row r="69" spans="1:27">
      <c r="J69" s="193"/>
      <c r="K69" s="193"/>
      <c r="L69" s="800"/>
      <c r="M69" s="193"/>
      <c r="N69" s="193"/>
      <c r="O69" s="193"/>
      <c r="P69" s="193"/>
      <c r="Q69" s="193"/>
      <c r="R69" s="193"/>
      <c r="S69" s="193"/>
      <c r="T69" s="193"/>
      <c r="U69" s="193"/>
      <c r="V69" s="193"/>
      <c r="W69" s="193"/>
      <c r="X69" s="193"/>
      <c r="Y69" s="193"/>
      <c r="Z69" s="193"/>
    </row>
    <row r="72" spans="1:27">
      <c r="L72" s="12"/>
    </row>
    <row r="74" spans="1:27">
      <c r="N74" s="12"/>
    </row>
  </sheetData>
  <mergeCells count="6">
    <mergeCell ref="B4:E4"/>
    <mergeCell ref="L4:R4"/>
    <mergeCell ref="T4:U4"/>
    <mergeCell ref="Y6:Y12"/>
    <mergeCell ref="Q61:R61"/>
    <mergeCell ref="G4:J4"/>
  </mergeCells>
  <phoneticPr fontId="52" type="noConversion"/>
  <pageMargins left="0.7" right="0.7" top="0.75" bottom="0.75" header="0.3" footer="0.3"/>
  <pageSetup paperSize="3" scale="69" orientation="landscape"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3</vt:i4>
      </vt:variant>
    </vt:vector>
  </HeadingPairs>
  <TitlesOfParts>
    <vt:vector size="45" baseType="lpstr">
      <vt:lpstr>Dashboard-Academic Allocation</vt:lpstr>
      <vt:lpstr>Service and Support Allocation</vt:lpstr>
      <vt:lpstr>Distribution Pools</vt:lpstr>
      <vt:lpstr>Allocation by Category</vt:lpstr>
      <vt:lpstr>Pools, Rates, Reference</vt:lpstr>
      <vt:lpstr>Step 0 FY18 Revenue</vt:lpstr>
      <vt:lpstr>Step 1 Dedicated Funds</vt:lpstr>
      <vt:lpstr>Step 2 Productivity Split</vt:lpstr>
      <vt:lpstr>Step 3 Acad Product &amp; Pools</vt:lpstr>
      <vt:lpstr>Step 4a IM Summary</vt:lpstr>
      <vt:lpstr>Step 4 Contract and Reserves</vt:lpstr>
      <vt:lpstr>Step 5 Exec and Strategic</vt:lpstr>
      <vt:lpstr>Step 6a Service-Support Detail</vt:lpstr>
      <vt:lpstr>Step 6 Service-Support</vt:lpstr>
      <vt:lpstr>Step 7 Final Adjustments</vt:lpstr>
      <vt:lpstr>Summary Academic Detail</vt:lpstr>
      <vt:lpstr>Summary FY18 to FY19 Change</vt:lpstr>
      <vt:lpstr>Compile Productivity $</vt:lpstr>
      <vt:lpstr>Foundation SCH</vt:lpstr>
      <vt:lpstr>Honors College Incentive</vt:lpstr>
      <vt:lpstr>Undergrad Completions</vt:lpstr>
      <vt:lpstr>Graduate Completions</vt:lpstr>
      <vt:lpstr>Interdisciplinary Graduate</vt:lpstr>
      <vt:lpstr>Ecampus And Summer</vt:lpstr>
      <vt:lpstr>Strategic Populations</vt:lpstr>
      <vt:lpstr>Cascades Incentive</vt:lpstr>
      <vt:lpstr>Grant Data</vt:lpstr>
      <vt:lpstr>Pharmacy Vet Med</vt:lpstr>
      <vt:lpstr>FY19 Floor Calculations</vt:lpstr>
      <vt:lpstr>Community Support Funds</vt:lpstr>
      <vt:lpstr>What If Tool</vt:lpstr>
      <vt:lpstr>What If Data</vt:lpstr>
      <vt:lpstr>Overhead Assessment</vt:lpstr>
      <vt:lpstr>OSU Strategic Fund Detail</vt:lpstr>
      <vt:lpstr>State Targeted Funding</vt:lpstr>
      <vt:lpstr>Differential Tuition Allocation</vt:lpstr>
      <vt:lpstr>Differential Tuition History</vt:lpstr>
      <vt:lpstr>Buildings</vt:lpstr>
      <vt:lpstr>Weights</vt:lpstr>
      <vt:lpstr>Space Assigned</vt:lpstr>
      <vt:lpstr>F&amp;A Recovery</vt:lpstr>
      <vt:lpstr>FY19 SSCM Allocation</vt:lpstr>
      <vt:lpstr>'Dashboard-Academic Allocation'!Print_Area</vt:lpstr>
      <vt:lpstr>'Step 4a IM Summary'!Print_Area</vt:lpstr>
      <vt:lpstr>'Step 7 Final Adjustments'!Print_Area</vt:lpstr>
    </vt:vector>
  </TitlesOfParts>
  <Company>KPKV3-V9R8X-QMTGH-YXTCG-8P6HM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COSINe SHB</dc:creator>
  <cp:lastModifiedBy>Cholewinski, Karren</cp:lastModifiedBy>
  <cp:lastPrinted>2018-06-06T21:01:38Z</cp:lastPrinted>
  <dcterms:created xsi:type="dcterms:W3CDTF">2014-08-14T19:38:10Z</dcterms:created>
  <dcterms:modified xsi:type="dcterms:W3CDTF">2018-08-10T23:59:51Z</dcterms:modified>
</cp:coreProperties>
</file>