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P:\Docs - Bloomer\Budget Model\Website\"/>
    </mc:Choice>
  </mc:AlternateContent>
  <bookViews>
    <workbookView xWindow="555" yWindow="765" windowWidth="37800" windowHeight="24180" tabRatio="876"/>
  </bookViews>
  <sheets>
    <sheet name="Dashboard-Academic Allocation" sheetId="36" r:id="rId1"/>
    <sheet name="Service and Support Allocation" sheetId="57" r:id="rId2"/>
    <sheet name="Distribution Pools" sheetId="33" r:id="rId3"/>
    <sheet name="Allocation by Category" sheetId="27" r:id="rId4"/>
    <sheet name="Pools, Rates, Reference" sheetId="34" r:id="rId5"/>
    <sheet name="Step 0 FY18 Revenue" sheetId="8" r:id="rId6"/>
    <sheet name="FY18 Original" sheetId="7" r:id="rId7"/>
    <sheet name="Step 1a IM Summary" sheetId="9" r:id="rId8"/>
    <sheet name="Step 1b.  FY18  Revised" sheetId="10" r:id="rId9"/>
    <sheet name="Step 1 Contract and Reserves" sheetId="19" r:id="rId10"/>
    <sheet name="Step 2 Exec and Strategic" sheetId="20" r:id="rId11"/>
    <sheet name="Step 3 Dedicated Funds" sheetId="21" r:id="rId12"/>
    <sheet name="Step 4 Productivity Split" sheetId="46" r:id="rId13"/>
    <sheet name="Step 5a Serv Support Measures" sheetId="28" r:id="rId14"/>
    <sheet name="Step 5 Support Funds" sheetId="22" r:id="rId15"/>
    <sheet name="Step 6 Acad Productivity+Floor" sheetId="23" r:id="rId16"/>
    <sheet name="Step 7 FY16 Final Model" sheetId="24" r:id="rId17"/>
    <sheet name="Compile Productivity $" sheetId="55" r:id="rId18"/>
    <sheet name="Foundation SCH" sheetId="3" r:id="rId19"/>
    <sheet name="Honors College Incentive" sheetId="49" r:id="rId20"/>
    <sheet name="Undergrad Completions" sheetId="48" r:id="rId21"/>
    <sheet name="Graduate Completions" sheetId="50" r:id="rId22"/>
    <sheet name="Ecampus And Summer" sheetId="51" r:id="rId23"/>
    <sheet name="Strategic Populations" sheetId="53" r:id="rId24"/>
    <sheet name="Interdisciplinary Graduate" sheetId="54" r:id="rId25"/>
    <sheet name="Grant Data" sheetId="47" r:id="rId26"/>
    <sheet name="Cascades Incentive" sheetId="56" r:id="rId27"/>
    <sheet name="Pharmacy Vet Med" sheetId="63" r:id="rId28"/>
    <sheet name="FY18 Floor Calculations" sheetId="59" r:id="rId29"/>
    <sheet name="Inst Management Detail" sheetId="6" r:id="rId30"/>
    <sheet name="Overhead Assessment" sheetId="38" r:id="rId31"/>
    <sheet name="Executive  Funding" sheetId="42" r:id="rId32"/>
    <sheet name="FY18 OSU Targeted Fund Detail" sheetId="60" r:id="rId33"/>
    <sheet name="State Targeted Funding" sheetId="44" r:id="rId34"/>
    <sheet name="Differential Tuition Allocation" sheetId="45" r:id="rId35"/>
    <sheet name="Buildings" sheetId="29" r:id="rId36"/>
    <sheet name="Weights" sheetId="30" r:id="rId37"/>
    <sheet name="Space Assigned" sheetId="58" r:id="rId38"/>
    <sheet name="F&amp;A Recovery" sheetId="62" r:id="rId39"/>
    <sheet name="FY18 SSCM Allocation" sheetId="61" r:id="rId40"/>
  </sheets>
  <definedNames>
    <definedName name="_xlnm.Print_Area" localSheetId="0">'Dashboard-Academic Allocation'!$A$1:$X$60</definedName>
    <definedName name="_xlnm.Print_Area" localSheetId="6">'FY18 Original'!$A$1:$N$49</definedName>
    <definedName name="_xlnm.Print_Area" localSheetId="7">'Step 1a IM Summary'!$A$4:$H$31</definedName>
    <definedName name="_xlnm.Print_Area" localSheetId="15">'Step 6 Acad Productivity+Floor'!$A$1:$Z$54</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I57" i="51" l="1"/>
  <c r="C66" i="51"/>
  <c r="O84" i="9"/>
  <c r="G50" i="28"/>
  <c r="G53" i="28"/>
  <c r="G52" i="28"/>
  <c r="D59" i="28"/>
  <c r="G37" i="28"/>
  <c r="G43" i="28"/>
  <c r="G51" i="28"/>
  <c r="G48" i="28"/>
  <c r="G49" i="28"/>
  <c r="G40" i="28"/>
  <c r="G47" i="28"/>
  <c r="G46" i="28"/>
  <c r="G45" i="28"/>
  <c r="G44" i="28"/>
  <c r="G42" i="28"/>
  <c r="G41" i="28"/>
  <c r="G30" i="28"/>
  <c r="B73" i="28"/>
  <c r="C73" i="28"/>
  <c r="D73" i="28"/>
  <c r="G28" i="28"/>
  <c r="E67" i="28"/>
  <c r="G26" i="28"/>
  <c r="G24" i="28"/>
  <c r="E73" i="28"/>
  <c r="F65" i="28"/>
  <c r="E63" i="28"/>
  <c r="F63" i="28"/>
  <c r="E59" i="28"/>
  <c r="B9" i="46"/>
  <c r="D26" i="61"/>
  <c r="D27" i="61"/>
  <c r="N42" i="50"/>
  <c r="N65" i="50"/>
  <c r="N88" i="50"/>
  <c r="L88" i="50"/>
  <c r="C13" i="36"/>
  <c r="N48" i="50"/>
  <c r="F43" i="54"/>
  <c r="D4" i="54"/>
  <c r="I6" i="50"/>
  <c r="D6" i="54"/>
  <c r="G18" i="54"/>
  <c r="G43" i="54"/>
  <c r="AF40" i="54"/>
  <c r="AG40" i="54"/>
  <c r="AH40" i="54"/>
  <c r="AI40" i="54"/>
  <c r="AJ40" i="54"/>
  <c r="AK40" i="54"/>
  <c r="AL40" i="54"/>
  <c r="AM40" i="54"/>
  <c r="AN40" i="54"/>
  <c r="AO40" i="54"/>
  <c r="AP40" i="54"/>
  <c r="AQ40" i="54"/>
  <c r="AR40" i="54"/>
  <c r="AR15" i="54"/>
  <c r="AR36" i="54"/>
  <c r="AR44" i="54"/>
  <c r="D43" i="54"/>
  <c r="L48" i="50"/>
  <c r="N23" i="50"/>
  <c r="F18" i="54"/>
  <c r="AF41" i="54"/>
  <c r="AG41" i="54"/>
  <c r="AH41" i="54"/>
  <c r="AI41" i="54"/>
  <c r="AJ41" i="54"/>
  <c r="AK41" i="54"/>
  <c r="AL41" i="54"/>
  <c r="AM41" i="54"/>
  <c r="AN41" i="54"/>
  <c r="AO41" i="54"/>
  <c r="AP41" i="54"/>
  <c r="AQ41" i="54"/>
  <c r="AR41" i="54"/>
  <c r="D18" i="54"/>
  <c r="L23" i="50"/>
  <c r="F110" i="30"/>
  <c r="F111" i="30"/>
  <c r="F112" i="30"/>
  <c r="E110" i="30"/>
  <c r="E111" i="30"/>
  <c r="E112" i="30"/>
  <c r="D110" i="30"/>
  <c r="D111" i="30"/>
  <c r="D112" i="30"/>
  <c r="C110" i="30"/>
  <c r="C111" i="30"/>
  <c r="C112" i="30"/>
  <c r="F109" i="30"/>
  <c r="E109" i="30"/>
  <c r="D109" i="30"/>
  <c r="C109" i="30"/>
  <c r="F105" i="30"/>
  <c r="F106" i="30"/>
  <c r="F107" i="30"/>
  <c r="E107" i="30"/>
  <c r="D105" i="30"/>
  <c r="D106" i="30"/>
  <c r="D107" i="30"/>
  <c r="C105" i="30"/>
  <c r="C106" i="30"/>
  <c r="C107" i="30"/>
  <c r="F104" i="30"/>
  <c r="D104" i="30"/>
  <c r="C104" i="30"/>
  <c r="D28" i="42"/>
  <c r="E28" i="42"/>
  <c r="D29" i="42"/>
  <c r="E29" i="42"/>
  <c r="D30" i="42"/>
  <c r="E30" i="42"/>
  <c r="E31" i="42"/>
  <c r="E32" i="42"/>
  <c r="E33" i="42"/>
  <c r="E34" i="42"/>
  <c r="D35" i="42"/>
  <c r="E35" i="42"/>
  <c r="E36" i="42"/>
  <c r="E37" i="42"/>
  <c r="E38" i="42"/>
  <c r="D39" i="42"/>
  <c r="E39" i="42"/>
  <c r="E40" i="42"/>
  <c r="E41" i="42"/>
  <c r="E22" i="42"/>
  <c r="D17" i="42"/>
  <c r="E16" i="42"/>
  <c r="D6" i="42"/>
  <c r="D8" i="42"/>
  <c r="E5" i="42"/>
  <c r="B47" i="60"/>
  <c r="AE12" i="47"/>
  <c r="AC12" i="47"/>
  <c r="AC13" i="47"/>
  <c r="AC14" i="47"/>
  <c r="AC15" i="47"/>
  <c r="AC16" i="47"/>
  <c r="AC17" i="47"/>
  <c r="AC18" i="47"/>
  <c r="AC19" i="47"/>
  <c r="AC20" i="47"/>
  <c r="AC21" i="47"/>
  <c r="AC22" i="47"/>
  <c r="AC27" i="47"/>
  <c r="AC29" i="47"/>
  <c r="AC30" i="47"/>
  <c r="AC35" i="47"/>
  <c r="AC39" i="47"/>
  <c r="AC40" i="47"/>
  <c r="AC42" i="47"/>
  <c r="AC44" i="47"/>
  <c r="AC46" i="47"/>
  <c r="AC50" i="47"/>
  <c r="AC54" i="47"/>
  <c r="AD12" i="47"/>
  <c r="Y39" i="47"/>
  <c r="Y54" i="47"/>
  <c r="AP52" i="47"/>
  <c r="AL35" i="47"/>
  <c r="AM35" i="47"/>
  <c r="AP35" i="47"/>
  <c r="AP36" i="47"/>
  <c r="AL37" i="47"/>
  <c r="AM37" i="47"/>
  <c r="AP37" i="47"/>
  <c r="AP38" i="47"/>
  <c r="AK39" i="47"/>
  <c r="AP39" i="47"/>
  <c r="AK40" i="47"/>
  <c r="AP40" i="47"/>
  <c r="AL41" i="47"/>
  <c r="AP41" i="47"/>
  <c r="AP42" i="47"/>
  <c r="AP43" i="47"/>
  <c r="AL44" i="47"/>
  <c r="AM44" i="47"/>
  <c r="AP44" i="47"/>
  <c r="AP45" i="47"/>
  <c r="AK46" i="47"/>
  <c r="AL46" i="47"/>
  <c r="AM46" i="47"/>
  <c r="AP46" i="47"/>
  <c r="AP47" i="47"/>
  <c r="AK48" i="47"/>
  <c r="AP48" i="47"/>
  <c r="AP49" i="47"/>
  <c r="AP50" i="47"/>
  <c r="AP51" i="47"/>
  <c r="AP53" i="47"/>
  <c r="AK12" i="47"/>
  <c r="AL12" i="47"/>
  <c r="AM12" i="47"/>
  <c r="AP12" i="47"/>
  <c r="AL13" i="47"/>
  <c r="AP13" i="47"/>
  <c r="AK14" i="47"/>
  <c r="AL14" i="47"/>
  <c r="AM14" i="47"/>
  <c r="AP14" i="47"/>
  <c r="AL15" i="47"/>
  <c r="AM15" i="47"/>
  <c r="AP15" i="47"/>
  <c r="AP16" i="47"/>
  <c r="AP17" i="47"/>
  <c r="AK18" i="47"/>
  <c r="AL18" i="47"/>
  <c r="AM18" i="47"/>
  <c r="AP18" i="47"/>
  <c r="AP19" i="47"/>
  <c r="AK20" i="47"/>
  <c r="AL20" i="47"/>
  <c r="AP20" i="47"/>
  <c r="AK21" i="47"/>
  <c r="AL21" i="47"/>
  <c r="AM21" i="47"/>
  <c r="AP21" i="47"/>
  <c r="AM22" i="47"/>
  <c r="AP22" i="47"/>
  <c r="AP23" i="47"/>
  <c r="AP24" i="47"/>
  <c r="AP25" i="47"/>
  <c r="AP26" i="47"/>
  <c r="AP27" i="47"/>
  <c r="AP28" i="47"/>
  <c r="AL29" i="47"/>
  <c r="AM29" i="47"/>
  <c r="AP29" i="47"/>
  <c r="AK30" i="47"/>
  <c r="AL30" i="47"/>
  <c r="AM30" i="47"/>
  <c r="AP30" i="47"/>
  <c r="AP31" i="47"/>
  <c r="AP54" i="47"/>
  <c r="AQ52" i="47"/>
  <c r="AN52" i="47"/>
  <c r="AN35" i="47"/>
  <c r="AN36" i="47"/>
  <c r="AN37" i="47"/>
  <c r="AN38" i="47"/>
  <c r="AN39" i="47"/>
  <c r="AN40" i="47"/>
  <c r="AN41" i="47"/>
  <c r="AN42" i="47"/>
  <c r="AN43" i="47"/>
  <c r="AJ44" i="47"/>
  <c r="AN44" i="47"/>
  <c r="AN45" i="47"/>
  <c r="AI46" i="47"/>
  <c r="AJ46" i="47"/>
  <c r="AN46" i="47"/>
  <c r="AN47" i="47"/>
  <c r="AN48" i="47"/>
  <c r="AN49" i="47"/>
  <c r="AN50" i="47"/>
  <c r="AN51" i="47"/>
  <c r="AN53" i="47"/>
  <c r="AN12" i="47"/>
  <c r="AI13" i="47"/>
  <c r="AJ13" i="47"/>
  <c r="AN13" i="47"/>
  <c r="AN14" i="47"/>
  <c r="AN15" i="47"/>
  <c r="AN16" i="47"/>
  <c r="AN17" i="47"/>
  <c r="AJ18" i="47"/>
  <c r="AN18" i="47"/>
  <c r="AN19" i="47"/>
  <c r="AJ20" i="47"/>
  <c r="AN20" i="47"/>
  <c r="AN21" i="47"/>
  <c r="AN22" i="47"/>
  <c r="AN23" i="47"/>
  <c r="AN24" i="47"/>
  <c r="AN25" i="47"/>
  <c r="AN26" i="47"/>
  <c r="AN27" i="47"/>
  <c r="AN28" i="47"/>
  <c r="AN29" i="47"/>
  <c r="AN30" i="47"/>
  <c r="AN31" i="47"/>
  <c r="AN54" i="47"/>
  <c r="AO52" i="47"/>
  <c r="AQ51" i="47"/>
  <c r="AO51" i="47"/>
  <c r="AQ50" i="47"/>
  <c r="AO50" i="47"/>
  <c r="AQ49" i="47"/>
  <c r="AO49" i="47"/>
  <c r="AQ48" i="47"/>
  <c r="AO48" i="47"/>
  <c r="AQ47" i="47"/>
  <c r="AO47" i="47"/>
  <c r="AQ46" i="47"/>
  <c r="AO46" i="47"/>
  <c r="AQ45" i="47"/>
  <c r="AO45" i="47"/>
  <c r="AQ44" i="47"/>
  <c r="AO44" i="47"/>
  <c r="AQ43" i="47"/>
  <c r="AO43" i="47"/>
  <c r="AQ42" i="47"/>
  <c r="AO42" i="47"/>
  <c r="AQ41" i="47"/>
  <c r="AO41" i="47"/>
  <c r="AQ40" i="47"/>
  <c r="AO40" i="47"/>
  <c r="AQ39" i="47"/>
  <c r="AO39" i="47"/>
  <c r="AQ38" i="47"/>
  <c r="AO38" i="47"/>
  <c r="AQ37" i="47"/>
  <c r="AO37" i="47"/>
  <c r="AQ36" i="47"/>
  <c r="AO36" i="47"/>
  <c r="AQ35" i="47"/>
  <c r="AO35" i="47"/>
  <c r="AQ30" i="47"/>
  <c r="AO30" i="47"/>
  <c r="AQ29" i="47"/>
  <c r="AO29" i="47"/>
  <c r="AQ28" i="47"/>
  <c r="AO28" i="47"/>
  <c r="AQ27" i="47"/>
  <c r="AO27" i="47"/>
  <c r="AQ26" i="47"/>
  <c r="AO26" i="47"/>
  <c r="AQ25" i="47"/>
  <c r="AO25" i="47"/>
  <c r="AQ24" i="47"/>
  <c r="AO24" i="47"/>
  <c r="AQ23" i="47"/>
  <c r="AO23" i="47"/>
  <c r="AQ22" i="47"/>
  <c r="AO22" i="47"/>
  <c r="AQ21" i="47"/>
  <c r="AO21" i="47"/>
  <c r="AQ20" i="47"/>
  <c r="AO20" i="47"/>
  <c r="AQ19" i="47"/>
  <c r="AO19" i="47"/>
  <c r="AQ18" i="47"/>
  <c r="AO18" i="47"/>
  <c r="AQ17" i="47"/>
  <c r="AO17" i="47"/>
  <c r="AQ16" i="47"/>
  <c r="AO16" i="47"/>
  <c r="AQ15" i="47"/>
  <c r="AO15" i="47"/>
  <c r="AQ14" i="47"/>
  <c r="AO14" i="47"/>
  <c r="AQ13" i="47"/>
  <c r="AO13" i="47"/>
  <c r="AO12" i="47"/>
  <c r="C25" i="51"/>
  <c r="G15" i="51"/>
  <c r="G20" i="51"/>
  <c r="G21" i="51"/>
  <c r="G24" i="51"/>
  <c r="G25" i="51"/>
  <c r="C36" i="51"/>
  <c r="E12" i="34"/>
  <c r="B39" i="34"/>
  <c r="B40" i="34"/>
  <c r="R84" i="51"/>
  <c r="S84" i="51"/>
  <c r="V84" i="51"/>
  <c r="R109" i="51"/>
  <c r="S109" i="51"/>
  <c r="V109" i="51"/>
  <c r="R132" i="51"/>
  <c r="S132" i="51"/>
  <c r="V132" i="51"/>
  <c r="R155" i="51"/>
  <c r="S155" i="51"/>
  <c r="V155" i="51"/>
  <c r="F6" i="34"/>
  <c r="AA109" i="51"/>
  <c r="AB109" i="51"/>
  <c r="AC109" i="51"/>
  <c r="AA155" i="51"/>
  <c r="AB155" i="51"/>
  <c r="AC155" i="51"/>
  <c r="G6" i="34"/>
  <c r="B47" i="34"/>
  <c r="B48" i="34"/>
  <c r="E6" i="34"/>
  <c r="R177" i="51"/>
  <c r="S177" i="51"/>
  <c r="V177" i="51"/>
  <c r="R199" i="51"/>
  <c r="S199" i="51"/>
  <c r="V199" i="51"/>
  <c r="F7" i="34"/>
  <c r="B43" i="34"/>
  <c r="B44" i="34"/>
  <c r="AA199" i="51"/>
  <c r="AB199" i="51"/>
  <c r="AC199" i="51"/>
  <c r="G7" i="34"/>
  <c r="B51" i="34"/>
  <c r="B52" i="34"/>
  <c r="E7" i="34"/>
  <c r="E8" i="34"/>
  <c r="E10" i="34"/>
  <c r="D38" i="36"/>
  <c r="E11" i="34"/>
  <c r="D39" i="36"/>
  <c r="M2" i="20"/>
  <c r="D8" i="20"/>
  <c r="D8" i="21"/>
  <c r="B14" i="34"/>
  <c r="L6" i="8"/>
  <c r="L7" i="8"/>
  <c r="L26" i="8"/>
  <c r="L39" i="8"/>
  <c r="L40" i="8"/>
  <c r="L45" i="8"/>
  <c r="L49" i="8"/>
  <c r="L50" i="8"/>
  <c r="L51" i="8"/>
  <c r="L53" i="8"/>
  <c r="L54" i="8"/>
  <c r="L55" i="8"/>
  <c r="I56" i="8"/>
  <c r="L56" i="8"/>
  <c r="L57" i="8"/>
  <c r="L58" i="8"/>
  <c r="L60" i="8"/>
  <c r="B4" i="34"/>
  <c r="B5" i="34"/>
  <c r="B6" i="34"/>
  <c r="Q38" i="8"/>
  <c r="B8" i="9"/>
  <c r="B6" i="19"/>
  <c r="B6" i="20"/>
  <c r="B6" i="21"/>
  <c r="B11" i="9"/>
  <c r="B7" i="19"/>
  <c r="B7" i="20"/>
  <c r="B7" i="21"/>
  <c r="B9" i="34"/>
  <c r="L5" i="9"/>
  <c r="B14" i="9"/>
  <c r="B12" i="19"/>
  <c r="B12" i="20"/>
  <c r="B12" i="21"/>
  <c r="B10" i="34"/>
  <c r="L16" i="9"/>
  <c r="B20" i="9"/>
  <c r="B10" i="19"/>
  <c r="B10" i="20"/>
  <c r="B10" i="21"/>
  <c r="B11" i="34"/>
  <c r="L23" i="9"/>
  <c r="B23" i="9"/>
  <c r="B11" i="19"/>
  <c r="B11" i="20"/>
  <c r="B11" i="21"/>
  <c r="B12" i="34"/>
  <c r="C6" i="21"/>
  <c r="B17" i="9"/>
  <c r="C7" i="20"/>
  <c r="C7" i="21"/>
  <c r="M1" i="20"/>
  <c r="E10" i="10"/>
  <c r="C15" i="20"/>
  <c r="C16" i="20"/>
  <c r="C17" i="20"/>
  <c r="E13" i="10"/>
  <c r="C18" i="20"/>
  <c r="C19" i="20"/>
  <c r="C20" i="20"/>
  <c r="C21" i="20"/>
  <c r="C22" i="20"/>
  <c r="C23" i="20"/>
  <c r="C24" i="20"/>
  <c r="C25" i="20"/>
  <c r="C26" i="20"/>
  <c r="C27" i="20"/>
  <c r="C28" i="20"/>
  <c r="C29" i="20"/>
  <c r="C30" i="20"/>
  <c r="C31" i="20"/>
  <c r="C32" i="20"/>
  <c r="C33" i="20"/>
  <c r="C34" i="20"/>
  <c r="E33" i="10"/>
  <c r="C38" i="20"/>
  <c r="E34" i="10"/>
  <c r="C39" i="20"/>
  <c r="E35" i="10"/>
  <c r="C40" i="20"/>
  <c r="E36" i="10"/>
  <c r="C41" i="20"/>
  <c r="E37" i="10"/>
  <c r="C42" i="20"/>
  <c r="E38" i="10"/>
  <c r="C43" i="20"/>
  <c r="E39" i="10"/>
  <c r="C44" i="20"/>
  <c r="E40" i="10"/>
  <c r="C45" i="20"/>
  <c r="E41" i="10"/>
  <c r="C46" i="20"/>
  <c r="E42" i="10"/>
  <c r="C47" i="20"/>
  <c r="E43" i="10"/>
  <c r="C48" i="20"/>
  <c r="E44" i="10"/>
  <c r="C49" i="20"/>
  <c r="E45" i="10"/>
  <c r="C50" i="20"/>
  <c r="E46" i="10"/>
  <c r="C51" i="20"/>
  <c r="E47" i="10"/>
  <c r="C52" i="20"/>
  <c r="E48" i="10"/>
  <c r="C53" i="20"/>
  <c r="E49" i="10"/>
  <c r="C54" i="20"/>
  <c r="E50" i="10"/>
  <c r="C55" i="20"/>
  <c r="C56" i="20"/>
  <c r="C8" i="20"/>
  <c r="C8" i="21"/>
  <c r="W57" i="20"/>
  <c r="C9" i="20"/>
  <c r="C9" i="21"/>
  <c r="C10" i="21"/>
  <c r="C11" i="21"/>
  <c r="C12" i="21"/>
  <c r="C15" i="21"/>
  <c r="C16" i="21"/>
  <c r="C17" i="21"/>
  <c r="C18" i="21"/>
  <c r="C19" i="21"/>
  <c r="C20" i="21"/>
  <c r="C21" i="21"/>
  <c r="C22" i="21"/>
  <c r="C23" i="21"/>
  <c r="C24" i="21"/>
  <c r="C25" i="21"/>
  <c r="C26" i="21"/>
  <c r="C27" i="21"/>
  <c r="C28" i="21"/>
  <c r="C29" i="21"/>
  <c r="C30" i="21"/>
  <c r="C31" i="21"/>
  <c r="C32" i="21"/>
  <c r="C33" i="21"/>
  <c r="C34" i="21"/>
  <c r="C38" i="21"/>
  <c r="C39" i="21"/>
  <c r="C40" i="21"/>
  <c r="C41" i="21"/>
  <c r="C42" i="21"/>
  <c r="C43" i="21"/>
  <c r="C44" i="21"/>
  <c r="C45" i="21"/>
  <c r="C46" i="21"/>
  <c r="C47" i="21"/>
  <c r="C48" i="21"/>
  <c r="C49" i="21"/>
  <c r="C50" i="21"/>
  <c r="C51" i="21"/>
  <c r="C52" i="21"/>
  <c r="C53" i="21"/>
  <c r="C54" i="21"/>
  <c r="C55" i="21"/>
  <c r="C56" i="21"/>
  <c r="C57" i="21"/>
  <c r="B13" i="34"/>
  <c r="B18" i="9"/>
  <c r="B9" i="19"/>
  <c r="B9" i="20"/>
  <c r="B9" i="21"/>
  <c r="B15" i="34"/>
  <c r="B33" i="10"/>
  <c r="C33" i="10"/>
  <c r="D33" i="10"/>
  <c r="F33" i="10"/>
  <c r="G33" i="10"/>
  <c r="H33" i="10"/>
  <c r="I33" i="10"/>
  <c r="J33" i="10"/>
  <c r="K33" i="10"/>
  <c r="L33" i="10"/>
  <c r="N33" i="10"/>
  <c r="D38" i="20"/>
  <c r="D38" i="21"/>
  <c r="D40" i="21"/>
  <c r="B36" i="10"/>
  <c r="C36" i="10"/>
  <c r="D36" i="10"/>
  <c r="F36" i="10"/>
  <c r="G36" i="10"/>
  <c r="H36" i="10"/>
  <c r="I36" i="10"/>
  <c r="J36" i="10"/>
  <c r="K36" i="10"/>
  <c r="L36" i="10"/>
  <c r="N36" i="10"/>
  <c r="D41" i="20"/>
  <c r="D41" i="21"/>
  <c r="B16" i="34"/>
  <c r="F34" i="21"/>
  <c r="M1" i="21"/>
  <c r="P3" i="21"/>
  <c r="M8" i="21"/>
  <c r="N3" i="21"/>
  <c r="Q3" i="21"/>
  <c r="M15" i="21"/>
  <c r="M16" i="21"/>
  <c r="M17" i="21"/>
  <c r="M18" i="21"/>
  <c r="M19" i="21"/>
  <c r="M20" i="21"/>
  <c r="M21" i="21"/>
  <c r="M22" i="21"/>
  <c r="M23" i="21"/>
  <c r="M24" i="21"/>
  <c r="M25" i="21"/>
  <c r="M26" i="21"/>
  <c r="M27" i="21"/>
  <c r="M29" i="21"/>
  <c r="M30" i="21"/>
  <c r="M31" i="21"/>
  <c r="M32" i="21"/>
  <c r="M33" i="21"/>
  <c r="M34" i="21"/>
  <c r="M38" i="21"/>
  <c r="M39" i="21"/>
  <c r="M40" i="21"/>
  <c r="M41" i="21"/>
  <c r="M42" i="21"/>
  <c r="M43" i="21"/>
  <c r="M44" i="21"/>
  <c r="M45" i="21"/>
  <c r="M46" i="21"/>
  <c r="M47" i="21"/>
  <c r="M48" i="21"/>
  <c r="M49" i="21"/>
  <c r="M50" i="21"/>
  <c r="M51" i="21"/>
  <c r="M52" i="21"/>
  <c r="M53" i="21"/>
  <c r="M54" i="21"/>
  <c r="M55" i="21"/>
  <c r="M56" i="21"/>
  <c r="M57" i="21"/>
  <c r="F45" i="21"/>
  <c r="F46" i="21"/>
  <c r="F48" i="21"/>
  <c r="F56" i="21"/>
  <c r="F57" i="21"/>
  <c r="G34" i="21"/>
  <c r="G44" i="21"/>
  <c r="G56" i="21"/>
  <c r="G57" i="21"/>
  <c r="H34" i="21"/>
  <c r="H56" i="21"/>
  <c r="H57" i="21"/>
  <c r="I34" i="21"/>
  <c r="I50" i="21"/>
  <c r="I51" i="21"/>
  <c r="I56" i="21"/>
  <c r="I57" i="21"/>
  <c r="K34" i="21"/>
  <c r="K56" i="21"/>
  <c r="K57" i="21"/>
  <c r="N34" i="21"/>
  <c r="N56" i="21"/>
  <c r="N57" i="21"/>
  <c r="O34" i="21"/>
  <c r="O56" i="21"/>
  <c r="O57" i="21"/>
  <c r="P34" i="21"/>
  <c r="P56" i="21"/>
  <c r="P57" i="21"/>
  <c r="Q34" i="21"/>
  <c r="Q56" i="21"/>
  <c r="Q57" i="21"/>
  <c r="R34" i="21"/>
  <c r="R56" i="21"/>
  <c r="R57" i="21"/>
  <c r="B17" i="34"/>
  <c r="B19" i="34"/>
  <c r="B21" i="34"/>
  <c r="B23" i="34"/>
  <c r="B24" i="34"/>
  <c r="B8" i="20"/>
  <c r="B8" i="21"/>
  <c r="T8" i="21"/>
  <c r="D6" i="21"/>
  <c r="T6" i="21"/>
  <c r="D7" i="21"/>
  <c r="T7" i="21"/>
  <c r="D9" i="21"/>
  <c r="T9" i="21"/>
  <c r="D10" i="21"/>
  <c r="T10" i="21"/>
  <c r="D11" i="21"/>
  <c r="T11" i="21"/>
  <c r="D12" i="21"/>
  <c r="T12" i="21"/>
  <c r="T15" i="21"/>
  <c r="T16" i="21"/>
  <c r="T17" i="21"/>
  <c r="T18" i="21"/>
  <c r="T19" i="21"/>
  <c r="T20" i="21"/>
  <c r="T21" i="21"/>
  <c r="T22" i="21"/>
  <c r="T23" i="21"/>
  <c r="T24" i="21"/>
  <c r="T25" i="21"/>
  <c r="T26" i="21"/>
  <c r="T27" i="21"/>
  <c r="T28" i="21"/>
  <c r="T29" i="21"/>
  <c r="T30" i="21"/>
  <c r="T31" i="21"/>
  <c r="T32" i="21"/>
  <c r="T33" i="21"/>
  <c r="T34" i="21"/>
  <c r="T38" i="21"/>
  <c r="D39" i="21"/>
  <c r="T39" i="21"/>
  <c r="T40" i="21"/>
  <c r="T41" i="21"/>
  <c r="T42" i="21"/>
  <c r="T43" i="21"/>
  <c r="T44" i="21"/>
  <c r="T45" i="21"/>
  <c r="T46" i="21"/>
  <c r="T47" i="21"/>
  <c r="T48" i="21"/>
  <c r="T49" i="21"/>
  <c r="T50" i="21"/>
  <c r="T51" i="21"/>
  <c r="T52" i="21"/>
  <c r="T53" i="21"/>
  <c r="T54" i="21"/>
  <c r="T55" i="21"/>
  <c r="T56" i="21"/>
  <c r="T57" i="21"/>
  <c r="V2" i="19"/>
  <c r="V2" i="20"/>
  <c r="V2" i="21"/>
  <c r="V3" i="21"/>
  <c r="C7" i="46"/>
  <c r="B11" i="46"/>
  <c r="C11" i="46"/>
  <c r="K5" i="28"/>
  <c r="K7" i="28"/>
  <c r="I24" i="28"/>
  <c r="F26" i="22"/>
  <c r="I28" i="28"/>
  <c r="F30" i="22"/>
  <c r="I30" i="28"/>
  <c r="F32" i="22"/>
  <c r="I26" i="28"/>
  <c r="F28" i="22"/>
  <c r="F34" i="22"/>
  <c r="I43" i="28"/>
  <c r="F45" i="22"/>
  <c r="I44" i="28"/>
  <c r="F46" i="22"/>
  <c r="I45" i="28"/>
  <c r="F47" i="22"/>
  <c r="I46" i="28"/>
  <c r="F48" i="22"/>
  <c r="F56" i="22"/>
  <c r="F57" i="22"/>
  <c r="I40" i="28"/>
  <c r="G42" i="22"/>
  <c r="I41" i="28"/>
  <c r="G43" i="22"/>
  <c r="I42" i="28"/>
  <c r="G44" i="22"/>
  <c r="I47" i="28"/>
  <c r="G49" i="22"/>
  <c r="G56" i="22"/>
  <c r="G34" i="22"/>
  <c r="G57" i="22"/>
  <c r="I50" i="28"/>
  <c r="H52" i="22"/>
  <c r="I53" i="28"/>
  <c r="H55" i="22"/>
  <c r="H56" i="22"/>
  <c r="H34" i="22"/>
  <c r="H57" i="22"/>
  <c r="I37" i="28"/>
  <c r="I39" i="22"/>
  <c r="I48" i="28"/>
  <c r="I50" i="22"/>
  <c r="I49" i="28"/>
  <c r="I51" i="22"/>
  <c r="I51" i="28"/>
  <c r="I53" i="22"/>
  <c r="I52" i="28"/>
  <c r="I54" i="22"/>
  <c r="I56" i="22"/>
  <c r="I34" i="22"/>
  <c r="I57" i="22"/>
  <c r="C22" i="46"/>
  <c r="C58" i="36"/>
  <c r="C59" i="36"/>
  <c r="E1" i="36"/>
  <c r="D42" i="36"/>
  <c r="B3" i="47"/>
  <c r="C25" i="36"/>
  <c r="B5" i="47"/>
  <c r="N12" i="47"/>
  <c r="N13" i="47"/>
  <c r="N14" i="47"/>
  <c r="N15" i="47"/>
  <c r="N16" i="47"/>
  <c r="N17" i="47"/>
  <c r="N18" i="47"/>
  <c r="N19" i="47"/>
  <c r="N20" i="47"/>
  <c r="N21" i="47"/>
  <c r="N22" i="47"/>
  <c r="N24" i="47"/>
  <c r="N25" i="47"/>
  <c r="N27" i="47"/>
  <c r="N29" i="47"/>
  <c r="N30" i="47"/>
  <c r="N31" i="47"/>
  <c r="N35" i="47"/>
  <c r="L39" i="47"/>
  <c r="L40" i="47"/>
  <c r="L37" i="47"/>
  <c r="N37" i="47"/>
  <c r="N39" i="47"/>
  <c r="N40" i="47"/>
  <c r="N41" i="47"/>
  <c r="N43" i="47"/>
  <c r="N44" i="47"/>
  <c r="N46" i="47"/>
  <c r="N48" i="47"/>
  <c r="N53" i="47"/>
  <c r="N54" i="47"/>
  <c r="O12" i="47"/>
  <c r="B6" i="47"/>
  <c r="AA12" i="47"/>
  <c r="AA13" i="47"/>
  <c r="AA14" i="47"/>
  <c r="AA15" i="47"/>
  <c r="AA16" i="47"/>
  <c r="AA17" i="47"/>
  <c r="AA18" i="47"/>
  <c r="AA19" i="47"/>
  <c r="AA20" i="47"/>
  <c r="AA21" i="47"/>
  <c r="AA22" i="47"/>
  <c r="AA27" i="47"/>
  <c r="AA29" i="47"/>
  <c r="AA30" i="47"/>
  <c r="AA35" i="47"/>
  <c r="AA39" i="47"/>
  <c r="AA40" i="47"/>
  <c r="AA42" i="47"/>
  <c r="AA44" i="47"/>
  <c r="AA46" i="47"/>
  <c r="AA50" i="47"/>
  <c r="AA54" i="47"/>
  <c r="AB12" i="47"/>
  <c r="B7" i="47"/>
  <c r="B12" i="47"/>
  <c r="AQ12" i="47"/>
  <c r="P12" i="47"/>
  <c r="P13" i="47"/>
  <c r="P14" i="47"/>
  <c r="P15" i="47"/>
  <c r="P16" i="47"/>
  <c r="P17" i="47"/>
  <c r="P18" i="47"/>
  <c r="P19" i="47"/>
  <c r="P20" i="47"/>
  <c r="P21" i="47"/>
  <c r="P22" i="47"/>
  <c r="P23" i="47"/>
  <c r="P24" i="47"/>
  <c r="P25" i="47"/>
  <c r="P26" i="47"/>
  <c r="P27" i="47"/>
  <c r="P28" i="47"/>
  <c r="P29" i="47"/>
  <c r="P30" i="47"/>
  <c r="P31" i="47"/>
  <c r="P35" i="47"/>
  <c r="P36" i="47"/>
  <c r="M39" i="47"/>
  <c r="M40" i="47"/>
  <c r="M37" i="47"/>
  <c r="P37" i="47"/>
  <c r="P38" i="47"/>
  <c r="P39" i="47"/>
  <c r="P40" i="47"/>
  <c r="P41" i="47"/>
  <c r="P42" i="47"/>
  <c r="P43" i="47"/>
  <c r="P44" i="47"/>
  <c r="P45" i="47"/>
  <c r="P46" i="47"/>
  <c r="P47" i="47"/>
  <c r="P48" i="47"/>
  <c r="P49" i="47"/>
  <c r="P50" i="47"/>
  <c r="P51" i="47"/>
  <c r="P52" i="47"/>
  <c r="P53" i="47"/>
  <c r="P54" i="47"/>
  <c r="Q12" i="47"/>
  <c r="C12" i="47"/>
  <c r="AE13" i="47"/>
  <c r="AE14" i="47"/>
  <c r="AE15" i="47"/>
  <c r="AE16" i="47"/>
  <c r="AE17" i="47"/>
  <c r="AE18" i="47"/>
  <c r="AE19" i="47"/>
  <c r="AE20" i="47"/>
  <c r="AE21" i="47"/>
  <c r="AE22" i="47"/>
  <c r="AE29" i="47"/>
  <c r="AE39" i="47"/>
  <c r="AE40" i="47"/>
  <c r="AE42" i="47"/>
  <c r="AE44" i="47"/>
  <c r="AE46" i="47"/>
  <c r="AE35" i="47"/>
  <c r="AE30" i="47"/>
  <c r="AE27" i="47"/>
  <c r="AE50" i="47"/>
  <c r="AE54" i="47"/>
  <c r="AF12" i="47"/>
  <c r="D12" i="47"/>
  <c r="Z54" i="47"/>
  <c r="H46" i="47"/>
  <c r="H30" i="47"/>
  <c r="J53" i="47"/>
  <c r="J31" i="47"/>
  <c r="J54" i="47"/>
  <c r="L53" i="47"/>
  <c r="L31" i="47"/>
  <c r="L54" i="47"/>
  <c r="K53" i="47"/>
  <c r="K31" i="47"/>
  <c r="K54" i="47"/>
  <c r="I53" i="47"/>
  <c r="I31" i="47"/>
  <c r="I54" i="47"/>
  <c r="H53" i="47"/>
  <c r="H31" i="47"/>
  <c r="H54" i="47"/>
  <c r="M31" i="47"/>
  <c r="M53" i="47"/>
  <c r="M54" i="47"/>
  <c r="AL53" i="47"/>
  <c r="AL31" i="47"/>
  <c r="AL54" i="47"/>
  <c r="AM31" i="47"/>
  <c r="AM53" i="47"/>
  <c r="AM54" i="47"/>
  <c r="AM56" i="47"/>
  <c r="AK31" i="47"/>
  <c r="N13" i="50"/>
  <c r="N46" i="50"/>
  <c r="N69" i="50"/>
  <c r="N92" i="50"/>
  <c r="L92" i="50"/>
  <c r="N50" i="50"/>
  <c r="N73" i="50"/>
  <c r="N96" i="50"/>
  <c r="L96" i="50"/>
  <c r="N43" i="50"/>
  <c r="N66" i="50"/>
  <c r="N89" i="50"/>
  <c r="L89" i="50"/>
  <c r="N44" i="50"/>
  <c r="N67" i="50"/>
  <c r="N90" i="50"/>
  <c r="L90" i="50"/>
  <c r="N45" i="50"/>
  <c r="N68" i="50"/>
  <c r="N91" i="50"/>
  <c r="L91" i="50"/>
  <c r="N47" i="50"/>
  <c r="N70" i="50"/>
  <c r="N93" i="50"/>
  <c r="L93" i="50"/>
  <c r="N71" i="50"/>
  <c r="N94" i="50"/>
  <c r="L94" i="50"/>
  <c r="N49" i="50"/>
  <c r="N72" i="50"/>
  <c r="N95" i="50"/>
  <c r="L95" i="50"/>
  <c r="N51" i="50"/>
  <c r="N74" i="50"/>
  <c r="N97" i="50"/>
  <c r="L97" i="50"/>
  <c r="N52" i="50"/>
  <c r="N75" i="50"/>
  <c r="N98" i="50"/>
  <c r="L98" i="50"/>
  <c r="N53" i="50"/>
  <c r="N76" i="50"/>
  <c r="N99" i="50"/>
  <c r="L99" i="50"/>
  <c r="L101" i="50"/>
  <c r="L102" i="50"/>
  <c r="L103" i="50"/>
  <c r="L104" i="50"/>
  <c r="L105" i="50"/>
  <c r="L106" i="50"/>
  <c r="H42" i="50"/>
  <c r="C114" i="50"/>
  <c r="H43" i="50"/>
  <c r="C115" i="50"/>
  <c r="H44" i="50"/>
  <c r="C116" i="50"/>
  <c r="H45" i="50"/>
  <c r="C117" i="50"/>
  <c r="H46" i="50"/>
  <c r="C118" i="50"/>
  <c r="H47" i="50"/>
  <c r="C119" i="50"/>
  <c r="H48" i="50"/>
  <c r="C120" i="50"/>
  <c r="H49" i="50"/>
  <c r="C121" i="50"/>
  <c r="H50" i="50"/>
  <c r="C122" i="50"/>
  <c r="H51" i="50"/>
  <c r="C123" i="50"/>
  <c r="H52" i="50"/>
  <c r="C124" i="50"/>
  <c r="H53" i="50"/>
  <c r="C125" i="50"/>
  <c r="C126" i="50"/>
  <c r="F41" i="54"/>
  <c r="D5" i="54"/>
  <c r="G12" i="54"/>
  <c r="G13" i="54"/>
  <c r="G14" i="54"/>
  <c r="G15" i="54"/>
  <c r="G16" i="54"/>
  <c r="G41" i="54"/>
  <c r="D41" i="54"/>
  <c r="L46" i="50"/>
  <c r="F45" i="54"/>
  <c r="G17" i="54"/>
  <c r="G19" i="54"/>
  <c r="G20" i="54"/>
  <c r="G45" i="54"/>
  <c r="D45" i="54"/>
  <c r="L50" i="50"/>
  <c r="F37" i="54"/>
  <c r="G37" i="54"/>
  <c r="D37" i="54"/>
  <c r="L42" i="50"/>
  <c r="F38" i="54"/>
  <c r="G38" i="54"/>
  <c r="D38" i="54"/>
  <c r="L43" i="50"/>
  <c r="F39" i="54"/>
  <c r="G39" i="54"/>
  <c r="D39" i="54"/>
  <c r="L44" i="50"/>
  <c r="F40" i="54"/>
  <c r="G40" i="54"/>
  <c r="D40" i="54"/>
  <c r="L45" i="50"/>
  <c r="F42" i="54"/>
  <c r="G42" i="54"/>
  <c r="D42" i="54"/>
  <c r="L47" i="50"/>
  <c r="F44" i="54"/>
  <c r="G44" i="54"/>
  <c r="D44" i="54"/>
  <c r="L49" i="50"/>
  <c r="F46" i="54"/>
  <c r="G21" i="54"/>
  <c r="G46" i="54"/>
  <c r="D46" i="54"/>
  <c r="L51" i="50"/>
  <c r="F47" i="54"/>
  <c r="G22" i="54"/>
  <c r="G47" i="54"/>
  <c r="D47" i="54"/>
  <c r="L52" i="50"/>
  <c r="F48" i="54"/>
  <c r="G23" i="54"/>
  <c r="G48" i="54"/>
  <c r="D48" i="54"/>
  <c r="L53" i="50"/>
  <c r="L55" i="50"/>
  <c r="L56" i="50"/>
  <c r="L57" i="50"/>
  <c r="L58" i="50"/>
  <c r="L59" i="50"/>
  <c r="L60" i="50"/>
  <c r="L69" i="50"/>
  <c r="L73" i="50"/>
  <c r="L65" i="50"/>
  <c r="L66" i="50"/>
  <c r="L67" i="50"/>
  <c r="L68" i="50"/>
  <c r="L70" i="50"/>
  <c r="F66" i="54"/>
  <c r="G66" i="54"/>
  <c r="AF42" i="54"/>
  <c r="AG42" i="54"/>
  <c r="AH42" i="54"/>
  <c r="AI42" i="54"/>
  <c r="AJ42" i="54"/>
  <c r="AK42" i="54"/>
  <c r="AL42" i="54"/>
  <c r="AM42" i="54"/>
  <c r="AN42" i="54"/>
  <c r="AO42" i="54"/>
  <c r="AP42" i="54"/>
  <c r="AQ42" i="54"/>
  <c r="AR42" i="54"/>
  <c r="D66" i="54"/>
  <c r="L71" i="50"/>
  <c r="L72" i="50"/>
  <c r="L74" i="50"/>
  <c r="L75" i="50"/>
  <c r="L76" i="50"/>
  <c r="L78" i="50"/>
  <c r="L79" i="50"/>
  <c r="L80" i="50"/>
  <c r="L81" i="50"/>
  <c r="L82" i="50"/>
  <c r="L83" i="50"/>
  <c r="N17" i="50"/>
  <c r="F12" i="54"/>
  <c r="D12" i="54"/>
  <c r="L17" i="50"/>
  <c r="N18" i="50"/>
  <c r="F13" i="54"/>
  <c r="D13" i="54"/>
  <c r="L18" i="50"/>
  <c r="N19" i="50"/>
  <c r="F14" i="54"/>
  <c r="D14" i="54"/>
  <c r="L19" i="50"/>
  <c r="N20" i="50"/>
  <c r="F15" i="54"/>
  <c r="D15" i="54"/>
  <c r="L20" i="50"/>
  <c r="N21" i="50"/>
  <c r="F16" i="54"/>
  <c r="D16" i="54"/>
  <c r="L21" i="50"/>
  <c r="N22" i="50"/>
  <c r="F17" i="54"/>
  <c r="D17" i="54"/>
  <c r="L22" i="50"/>
  <c r="N24" i="50"/>
  <c r="F19" i="54"/>
  <c r="D19" i="54"/>
  <c r="L24" i="50"/>
  <c r="N25" i="50"/>
  <c r="F20" i="54"/>
  <c r="D20" i="54"/>
  <c r="L25" i="50"/>
  <c r="N26" i="50"/>
  <c r="F21" i="54"/>
  <c r="D21" i="54"/>
  <c r="L26" i="50"/>
  <c r="N27" i="50"/>
  <c r="F22" i="54"/>
  <c r="D22" i="54"/>
  <c r="L27" i="50"/>
  <c r="N28" i="50"/>
  <c r="F23" i="54"/>
  <c r="D23" i="54"/>
  <c r="L28" i="50"/>
  <c r="L30" i="50"/>
  <c r="L31" i="50"/>
  <c r="L32" i="50"/>
  <c r="L33" i="50"/>
  <c r="L34" i="50"/>
  <c r="L35" i="50"/>
  <c r="H17" i="50"/>
  <c r="B114" i="50"/>
  <c r="H18" i="50"/>
  <c r="B115" i="50"/>
  <c r="H19" i="50"/>
  <c r="B116" i="50"/>
  <c r="H20" i="50"/>
  <c r="B117" i="50"/>
  <c r="H21" i="50"/>
  <c r="B118" i="50"/>
  <c r="H22" i="50"/>
  <c r="B119" i="50"/>
  <c r="H23" i="50"/>
  <c r="B120" i="50"/>
  <c r="H24" i="50"/>
  <c r="B121" i="50"/>
  <c r="H25" i="50"/>
  <c r="B122" i="50"/>
  <c r="H26" i="50"/>
  <c r="B123" i="50"/>
  <c r="H27" i="50"/>
  <c r="B124" i="50"/>
  <c r="H28" i="50"/>
  <c r="B125" i="50"/>
  <c r="B126" i="50"/>
  <c r="AB17" i="48"/>
  <c r="N17" i="48"/>
  <c r="L17" i="48"/>
  <c r="X134" i="3"/>
  <c r="T134" i="3"/>
  <c r="V134" i="3"/>
  <c r="L64" i="3"/>
  <c r="H64" i="3"/>
  <c r="H41" i="3"/>
  <c r="L181" i="51"/>
  <c r="L182" i="51"/>
  <c r="L183" i="51"/>
  <c r="L184" i="51"/>
  <c r="L185" i="51"/>
  <c r="L186" i="51"/>
  <c r="L187" i="51"/>
  <c r="L188" i="51"/>
  <c r="L189" i="51"/>
  <c r="L190" i="51"/>
  <c r="L191" i="51"/>
  <c r="L192" i="51"/>
  <c r="L194" i="51"/>
  <c r="L195" i="51"/>
  <c r="L196" i="51"/>
  <c r="L197" i="51"/>
  <c r="L198" i="51"/>
  <c r="L199" i="51"/>
  <c r="L159" i="51"/>
  <c r="L160" i="51"/>
  <c r="L161" i="51"/>
  <c r="L162" i="51"/>
  <c r="L163" i="51"/>
  <c r="L164" i="51"/>
  <c r="L165" i="51"/>
  <c r="L166" i="51"/>
  <c r="L167" i="51"/>
  <c r="L168" i="51"/>
  <c r="L169" i="51"/>
  <c r="L170" i="51"/>
  <c r="L172" i="51"/>
  <c r="L173" i="51"/>
  <c r="L174" i="51"/>
  <c r="L175" i="51"/>
  <c r="L176" i="51"/>
  <c r="L177" i="51"/>
  <c r="L137" i="51"/>
  <c r="L138" i="51"/>
  <c r="L139" i="51"/>
  <c r="L140" i="51"/>
  <c r="L141" i="51"/>
  <c r="L142" i="51"/>
  <c r="L143" i="51"/>
  <c r="L144" i="51"/>
  <c r="L145" i="51"/>
  <c r="L146" i="51"/>
  <c r="L147" i="51"/>
  <c r="L148" i="51"/>
  <c r="L150" i="51"/>
  <c r="L151" i="51"/>
  <c r="L152" i="51"/>
  <c r="L153" i="51"/>
  <c r="L154" i="51"/>
  <c r="L155" i="51"/>
  <c r="L114" i="51"/>
  <c r="L115" i="51"/>
  <c r="L116" i="51"/>
  <c r="L117" i="51"/>
  <c r="L118" i="51"/>
  <c r="L119" i="51"/>
  <c r="L120" i="51"/>
  <c r="L121" i="51"/>
  <c r="L122" i="51"/>
  <c r="L123" i="51"/>
  <c r="L124" i="51"/>
  <c r="L125" i="51"/>
  <c r="L127" i="51"/>
  <c r="L128" i="51"/>
  <c r="L129" i="51"/>
  <c r="L130" i="51"/>
  <c r="L131" i="51"/>
  <c r="L132" i="51"/>
  <c r="L91" i="51"/>
  <c r="L92" i="51"/>
  <c r="L93" i="51"/>
  <c r="L94" i="51"/>
  <c r="L95" i="51"/>
  <c r="L96" i="51"/>
  <c r="L97" i="51"/>
  <c r="L98" i="51"/>
  <c r="L99" i="51"/>
  <c r="L100" i="51"/>
  <c r="L101" i="51"/>
  <c r="L102" i="51"/>
  <c r="L104" i="51"/>
  <c r="L105" i="51"/>
  <c r="L106" i="51"/>
  <c r="L107" i="51"/>
  <c r="L108" i="51"/>
  <c r="L109" i="51"/>
  <c r="L66" i="51"/>
  <c r="L67" i="51"/>
  <c r="L68" i="51"/>
  <c r="L69" i="51"/>
  <c r="L70" i="51"/>
  <c r="L71" i="51"/>
  <c r="L72" i="51"/>
  <c r="L73" i="51"/>
  <c r="L74" i="51"/>
  <c r="L75" i="51"/>
  <c r="L76" i="51"/>
  <c r="L77" i="51"/>
  <c r="L79" i="51"/>
  <c r="L80" i="51"/>
  <c r="L81" i="51"/>
  <c r="L82" i="51"/>
  <c r="L83" i="51"/>
  <c r="L84" i="51"/>
  <c r="L202" i="51"/>
  <c r="B11" i="27"/>
  <c r="D11" i="27"/>
  <c r="S106" i="50"/>
  <c r="U106" i="50"/>
  <c r="W106" i="50"/>
  <c r="D10" i="27"/>
  <c r="S35" i="48"/>
  <c r="U35" i="48"/>
  <c r="W35" i="48"/>
  <c r="D9" i="27"/>
  <c r="H65" i="3"/>
  <c r="H66" i="3"/>
  <c r="T137" i="3"/>
  <c r="H67" i="3"/>
  <c r="H68" i="3"/>
  <c r="AC139" i="3"/>
  <c r="T139" i="3"/>
  <c r="H69" i="3"/>
  <c r="H70" i="3"/>
  <c r="H71" i="3"/>
  <c r="H72" i="3"/>
  <c r="H73" i="3"/>
  <c r="H74" i="3"/>
  <c r="H75" i="3"/>
  <c r="H77" i="3"/>
  <c r="H78" i="3"/>
  <c r="H79" i="3"/>
  <c r="H80" i="3"/>
  <c r="H81" i="3"/>
  <c r="H82" i="3"/>
  <c r="D8" i="27"/>
  <c r="R85" i="3"/>
  <c r="S85" i="3"/>
  <c r="T85" i="3"/>
  <c r="G64" i="3"/>
  <c r="G65" i="3"/>
  <c r="G66" i="3"/>
  <c r="R88" i="3"/>
  <c r="S88" i="3"/>
  <c r="T88" i="3"/>
  <c r="G67" i="3"/>
  <c r="G68" i="3"/>
  <c r="AA90" i="3"/>
  <c r="R90" i="3"/>
  <c r="AB90" i="3"/>
  <c r="S90" i="3"/>
  <c r="AC90" i="3"/>
  <c r="T90" i="3"/>
  <c r="G69" i="3"/>
  <c r="G70" i="3"/>
  <c r="G71" i="3"/>
  <c r="G72" i="3"/>
  <c r="G73" i="3"/>
  <c r="G74" i="3"/>
  <c r="G75" i="3"/>
  <c r="G77" i="3"/>
  <c r="G78" i="3"/>
  <c r="G79" i="3"/>
  <c r="G80" i="3"/>
  <c r="G81" i="3"/>
  <c r="G82" i="3"/>
  <c r="D7" i="27"/>
  <c r="R41" i="3"/>
  <c r="S41" i="3"/>
  <c r="T41" i="3"/>
  <c r="F64" i="3"/>
  <c r="F65" i="3"/>
  <c r="F66" i="3"/>
  <c r="F67" i="3"/>
  <c r="F68" i="3"/>
  <c r="AA46" i="3"/>
  <c r="R46" i="3"/>
  <c r="AB46" i="3"/>
  <c r="S46" i="3"/>
  <c r="AC46" i="3"/>
  <c r="T46" i="3"/>
  <c r="F69" i="3"/>
  <c r="F70" i="3"/>
  <c r="F71" i="3"/>
  <c r="F72" i="3"/>
  <c r="F73" i="3"/>
  <c r="F74" i="3"/>
  <c r="F75" i="3"/>
  <c r="F77" i="3"/>
  <c r="F78" i="3"/>
  <c r="F79" i="3"/>
  <c r="F80" i="3"/>
  <c r="F81" i="3"/>
  <c r="F82" i="3"/>
  <c r="D6" i="27"/>
  <c r="S35" i="50"/>
  <c r="U35" i="50"/>
  <c r="W35" i="50"/>
  <c r="S60" i="50"/>
  <c r="U60" i="50"/>
  <c r="W60" i="50"/>
  <c r="S83" i="50"/>
  <c r="U83" i="50"/>
  <c r="W83" i="50"/>
  <c r="D20" i="27"/>
  <c r="W60" i="48"/>
  <c r="U60" i="48"/>
  <c r="S60" i="48"/>
  <c r="D19" i="27"/>
  <c r="B20" i="27"/>
  <c r="N42" i="48"/>
  <c r="AD42" i="48"/>
  <c r="AB42" i="48"/>
  <c r="AC42" i="48"/>
  <c r="L42" i="48"/>
  <c r="AB18" i="48"/>
  <c r="N43" i="48"/>
  <c r="AD43" i="48"/>
  <c r="AB43" i="48"/>
  <c r="AC43" i="48"/>
  <c r="L43" i="48"/>
  <c r="AB19" i="48"/>
  <c r="N44" i="48"/>
  <c r="AD44" i="48"/>
  <c r="AB44" i="48"/>
  <c r="AC44" i="48"/>
  <c r="L44" i="48"/>
  <c r="AB20" i="48"/>
  <c r="N45" i="48"/>
  <c r="AD45" i="48"/>
  <c r="AB45" i="48"/>
  <c r="AC45" i="48"/>
  <c r="L45" i="48"/>
  <c r="AB21" i="48"/>
  <c r="N46" i="48"/>
  <c r="AD46" i="48"/>
  <c r="AB46" i="48"/>
  <c r="AC46" i="48"/>
  <c r="L46" i="48"/>
  <c r="AB22" i="48"/>
  <c r="N47" i="48"/>
  <c r="AD47" i="48"/>
  <c r="AB47" i="48"/>
  <c r="AC47" i="48"/>
  <c r="L47" i="48"/>
  <c r="AB23" i="48"/>
  <c r="N48" i="48"/>
  <c r="AD48" i="48"/>
  <c r="AB48" i="48"/>
  <c r="AC48" i="48"/>
  <c r="L48" i="48"/>
  <c r="AB24" i="48"/>
  <c r="N49" i="48"/>
  <c r="AD49" i="48"/>
  <c r="AB49" i="48"/>
  <c r="AC49" i="48"/>
  <c r="L49" i="48"/>
  <c r="AB25" i="48"/>
  <c r="N50" i="48"/>
  <c r="AD50" i="48"/>
  <c r="AB50" i="48"/>
  <c r="AC50" i="48"/>
  <c r="L50" i="48"/>
  <c r="AB26" i="48"/>
  <c r="N51" i="48"/>
  <c r="AD51" i="48"/>
  <c r="AB51" i="48"/>
  <c r="AC51" i="48"/>
  <c r="L51" i="48"/>
  <c r="AB27" i="48"/>
  <c r="N52" i="48"/>
  <c r="AD52" i="48"/>
  <c r="AB52" i="48"/>
  <c r="AC52" i="48"/>
  <c r="L52" i="48"/>
  <c r="AB28" i="48"/>
  <c r="N53" i="48"/>
  <c r="AD53" i="48"/>
  <c r="AB53" i="48"/>
  <c r="AC53" i="48"/>
  <c r="L53" i="48"/>
  <c r="L54" i="48"/>
  <c r="AB30" i="48"/>
  <c r="N55" i="48"/>
  <c r="L55" i="48"/>
  <c r="AB31" i="48"/>
  <c r="N56" i="48"/>
  <c r="L56" i="48"/>
  <c r="AB32" i="48"/>
  <c r="N57" i="48"/>
  <c r="L57" i="48"/>
  <c r="AB33" i="48"/>
  <c r="N58" i="48"/>
  <c r="AD58" i="48"/>
  <c r="AB58" i="48"/>
  <c r="AC58" i="48"/>
  <c r="L58" i="48"/>
  <c r="AB34" i="48"/>
  <c r="N59" i="48"/>
  <c r="L59" i="48"/>
  <c r="L60" i="48"/>
  <c r="B19" i="27"/>
  <c r="B10" i="27"/>
  <c r="N18" i="48"/>
  <c r="L18" i="48"/>
  <c r="N19" i="48"/>
  <c r="L19" i="48"/>
  <c r="N20" i="48"/>
  <c r="L20" i="48"/>
  <c r="N21" i="48"/>
  <c r="L21" i="48"/>
  <c r="N22" i="48"/>
  <c r="L22" i="48"/>
  <c r="N23" i="48"/>
  <c r="L23" i="48"/>
  <c r="N24" i="48"/>
  <c r="L24" i="48"/>
  <c r="N25" i="48"/>
  <c r="L25" i="48"/>
  <c r="N26" i="48"/>
  <c r="L26" i="48"/>
  <c r="N27" i="48"/>
  <c r="L27" i="48"/>
  <c r="N28" i="48"/>
  <c r="L28" i="48"/>
  <c r="L29" i="48"/>
  <c r="N30" i="48"/>
  <c r="L30" i="48"/>
  <c r="N31" i="48"/>
  <c r="L31" i="48"/>
  <c r="N32" i="48"/>
  <c r="L32" i="48"/>
  <c r="N33" i="48"/>
  <c r="L33" i="48"/>
  <c r="N34" i="48"/>
  <c r="L34" i="48"/>
  <c r="L35" i="48"/>
  <c r="B9" i="27"/>
  <c r="L41" i="3"/>
  <c r="L65" i="3"/>
  <c r="L42" i="3"/>
  <c r="L66" i="3"/>
  <c r="L43" i="3"/>
  <c r="X137" i="3"/>
  <c r="L67" i="3"/>
  <c r="L44" i="3"/>
  <c r="L68" i="3"/>
  <c r="L45" i="3"/>
  <c r="AG139" i="3"/>
  <c r="X139" i="3"/>
  <c r="L69" i="3"/>
  <c r="L46" i="3"/>
  <c r="L70" i="3"/>
  <c r="L47" i="3"/>
  <c r="L71" i="3"/>
  <c r="L48" i="3"/>
  <c r="L72" i="3"/>
  <c r="L49" i="3"/>
  <c r="L73" i="3"/>
  <c r="L50" i="3"/>
  <c r="L74" i="3"/>
  <c r="L51" i="3"/>
  <c r="L75" i="3"/>
  <c r="L52" i="3"/>
  <c r="L77" i="3"/>
  <c r="L54" i="3"/>
  <c r="L78" i="3"/>
  <c r="L55" i="3"/>
  <c r="L79" i="3"/>
  <c r="L56" i="3"/>
  <c r="L80" i="3"/>
  <c r="L57" i="3"/>
  <c r="L81" i="3"/>
  <c r="L58" i="3"/>
  <c r="L59" i="3"/>
  <c r="B8" i="27"/>
  <c r="X85" i="3"/>
  <c r="V85" i="3"/>
  <c r="K64" i="3"/>
  <c r="K41" i="3"/>
  <c r="K65" i="3"/>
  <c r="K42" i="3"/>
  <c r="K66" i="3"/>
  <c r="K43" i="3"/>
  <c r="X88" i="3"/>
  <c r="V88" i="3"/>
  <c r="K67" i="3"/>
  <c r="K44" i="3"/>
  <c r="K68" i="3"/>
  <c r="K45" i="3"/>
  <c r="AG90" i="3"/>
  <c r="X90" i="3"/>
  <c r="AE90" i="3"/>
  <c r="V90" i="3"/>
  <c r="K69" i="3"/>
  <c r="K46" i="3"/>
  <c r="K70" i="3"/>
  <c r="K47" i="3"/>
  <c r="K71" i="3"/>
  <c r="K48" i="3"/>
  <c r="K72" i="3"/>
  <c r="K49" i="3"/>
  <c r="K73" i="3"/>
  <c r="K50" i="3"/>
  <c r="K74" i="3"/>
  <c r="K51" i="3"/>
  <c r="K75" i="3"/>
  <c r="K52" i="3"/>
  <c r="K77" i="3"/>
  <c r="K54" i="3"/>
  <c r="K78" i="3"/>
  <c r="K55" i="3"/>
  <c r="K79" i="3"/>
  <c r="K56" i="3"/>
  <c r="K80" i="3"/>
  <c r="K57" i="3"/>
  <c r="K81" i="3"/>
  <c r="K58" i="3"/>
  <c r="K59" i="3"/>
  <c r="B7" i="27"/>
  <c r="X41" i="3"/>
  <c r="V41" i="3"/>
  <c r="J64" i="3"/>
  <c r="J41" i="3"/>
  <c r="J65" i="3"/>
  <c r="J42" i="3"/>
  <c r="J66" i="3"/>
  <c r="J43" i="3"/>
  <c r="X44" i="3"/>
  <c r="V44" i="3"/>
  <c r="J67" i="3"/>
  <c r="J44" i="3"/>
  <c r="J68" i="3"/>
  <c r="J45" i="3"/>
  <c r="AG46" i="3"/>
  <c r="X46" i="3"/>
  <c r="AE46" i="3"/>
  <c r="V46" i="3"/>
  <c r="J69" i="3"/>
  <c r="J46" i="3"/>
  <c r="J70" i="3"/>
  <c r="J47" i="3"/>
  <c r="J71" i="3"/>
  <c r="J48" i="3"/>
  <c r="J72" i="3"/>
  <c r="J49" i="3"/>
  <c r="J73" i="3"/>
  <c r="J50" i="3"/>
  <c r="J74" i="3"/>
  <c r="J51" i="3"/>
  <c r="J75" i="3"/>
  <c r="J52" i="3"/>
  <c r="J53" i="3"/>
  <c r="J77" i="3"/>
  <c r="J54" i="3"/>
  <c r="J78" i="3"/>
  <c r="J55" i="3"/>
  <c r="J79" i="3"/>
  <c r="J56" i="3"/>
  <c r="J80" i="3"/>
  <c r="J57" i="3"/>
  <c r="J81" i="3"/>
  <c r="J58" i="3"/>
  <c r="J59" i="3"/>
  <c r="B6" i="27"/>
  <c r="Q32" i="8"/>
  <c r="Q44" i="8"/>
  <c r="Q45" i="8"/>
  <c r="Q46" i="8"/>
  <c r="R42" i="8"/>
  <c r="B25" i="27"/>
  <c r="B28" i="27"/>
  <c r="B29" i="27"/>
  <c r="B26" i="27"/>
  <c r="B27" i="27"/>
  <c r="B30" i="27"/>
  <c r="B31" i="27"/>
  <c r="B32" i="27"/>
  <c r="B33" i="27"/>
  <c r="B34" i="27"/>
  <c r="B35" i="27"/>
  <c r="B36" i="27"/>
  <c r="D30" i="36"/>
  <c r="C11" i="3"/>
  <c r="J19" i="3"/>
  <c r="C19" i="3"/>
  <c r="D33" i="36"/>
  <c r="C5" i="49"/>
  <c r="O31" i="49"/>
  <c r="K31" i="49"/>
  <c r="M31" i="49"/>
  <c r="F12" i="49"/>
  <c r="C12" i="49"/>
  <c r="L13" i="55"/>
  <c r="B13" i="55"/>
  <c r="H15" i="23"/>
  <c r="D34" i="36"/>
  <c r="D35" i="36"/>
  <c r="C9" i="48"/>
  <c r="H42" i="48"/>
  <c r="C4" i="48"/>
  <c r="C5" i="48"/>
  <c r="D4" i="48"/>
  <c r="H17" i="48"/>
  <c r="D5" i="48"/>
  <c r="C42" i="48"/>
  <c r="C17" i="48"/>
  <c r="M13" i="55"/>
  <c r="C13" i="55"/>
  <c r="I15" i="23"/>
  <c r="E13" i="55"/>
  <c r="K15" i="23"/>
  <c r="D43" i="36"/>
  <c r="C9" i="53"/>
  <c r="L17" i="53"/>
  <c r="I5" i="53"/>
  <c r="N42" i="53"/>
  <c r="L42" i="53"/>
  <c r="L65" i="53"/>
  <c r="I8" i="53"/>
  <c r="N88" i="53"/>
  <c r="T88" i="53"/>
  <c r="L88" i="53"/>
  <c r="I7" i="53"/>
  <c r="N110" i="53"/>
  <c r="L110" i="53"/>
  <c r="H17" i="53"/>
  <c r="N18" i="53"/>
  <c r="L18" i="53"/>
  <c r="N43" i="53"/>
  <c r="L43" i="53"/>
  <c r="N66" i="53"/>
  <c r="L66" i="53"/>
  <c r="N89" i="53"/>
  <c r="T89" i="53"/>
  <c r="L89" i="53"/>
  <c r="N111" i="53"/>
  <c r="L111" i="53"/>
  <c r="H18" i="53"/>
  <c r="N19" i="53"/>
  <c r="L19" i="53"/>
  <c r="N44" i="53"/>
  <c r="L44" i="53"/>
  <c r="N67" i="53"/>
  <c r="L67" i="53"/>
  <c r="N90" i="53"/>
  <c r="T90" i="53"/>
  <c r="L90" i="53"/>
  <c r="N112" i="53"/>
  <c r="L112" i="53"/>
  <c r="H19" i="53"/>
  <c r="N20" i="53"/>
  <c r="L20" i="53"/>
  <c r="N45" i="53"/>
  <c r="L45" i="53"/>
  <c r="N68" i="53"/>
  <c r="L68" i="53"/>
  <c r="N91" i="53"/>
  <c r="T91" i="53"/>
  <c r="L91" i="53"/>
  <c r="N113" i="53"/>
  <c r="L113" i="53"/>
  <c r="H20" i="53"/>
  <c r="N21" i="53"/>
  <c r="L21" i="53"/>
  <c r="N46" i="53"/>
  <c r="L46" i="53"/>
  <c r="N69" i="53"/>
  <c r="L69" i="53"/>
  <c r="N92" i="53"/>
  <c r="T92" i="53"/>
  <c r="L92" i="53"/>
  <c r="N114" i="53"/>
  <c r="L114" i="53"/>
  <c r="H21" i="53"/>
  <c r="N22" i="53"/>
  <c r="L22" i="53"/>
  <c r="N47" i="53"/>
  <c r="L47" i="53"/>
  <c r="N70" i="53"/>
  <c r="L70" i="53"/>
  <c r="N93" i="53"/>
  <c r="T93" i="53"/>
  <c r="L93" i="53"/>
  <c r="N115" i="53"/>
  <c r="L115" i="53"/>
  <c r="H22" i="53"/>
  <c r="N23" i="53"/>
  <c r="L23" i="53"/>
  <c r="N48" i="53"/>
  <c r="L48" i="53"/>
  <c r="N71" i="53"/>
  <c r="L71" i="53"/>
  <c r="N94" i="53"/>
  <c r="T94" i="53"/>
  <c r="L94" i="53"/>
  <c r="N116" i="53"/>
  <c r="L116" i="53"/>
  <c r="H23" i="53"/>
  <c r="N24" i="53"/>
  <c r="L24" i="53"/>
  <c r="N49" i="53"/>
  <c r="L49" i="53"/>
  <c r="N72" i="53"/>
  <c r="L72" i="53"/>
  <c r="N95" i="53"/>
  <c r="T95" i="53"/>
  <c r="L95" i="53"/>
  <c r="N117" i="53"/>
  <c r="L117" i="53"/>
  <c r="H24" i="53"/>
  <c r="N25" i="53"/>
  <c r="L25" i="53"/>
  <c r="N50" i="53"/>
  <c r="L50" i="53"/>
  <c r="N73" i="53"/>
  <c r="L73" i="53"/>
  <c r="N96" i="53"/>
  <c r="T96" i="53"/>
  <c r="L96" i="53"/>
  <c r="N118" i="53"/>
  <c r="L118" i="53"/>
  <c r="H25" i="53"/>
  <c r="N26" i="53"/>
  <c r="L26" i="53"/>
  <c r="N51" i="53"/>
  <c r="L51" i="53"/>
  <c r="N74" i="53"/>
  <c r="L74" i="53"/>
  <c r="N97" i="53"/>
  <c r="T97" i="53"/>
  <c r="L97" i="53"/>
  <c r="N119" i="53"/>
  <c r="L119" i="53"/>
  <c r="H26" i="53"/>
  <c r="N27" i="53"/>
  <c r="L27" i="53"/>
  <c r="N52" i="53"/>
  <c r="L52" i="53"/>
  <c r="N75" i="53"/>
  <c r="L75" i="53"/>
  <c r="N98" i="53"/>
  <c r="T98" i="53"/>
  <c r="L98" i="53"/>
  <c r="N120" i="53"/>
  <c r="L120" i="53"/>
  <c r="H27" i="53"/>
  <c r="N28" i="53"/>
  <c r="L28" i="53"/>
  <c r="N53" i="53"/>
  <c r="L53" i="53"/>
  <c r="N76" i="53"/>
  <c r="L76" i="53"/>
  <c r="N99" i="53"/>
  <c r="T99" i="53"/>
  <c r="L99" i="53"/>
  <c r="N121" i="53"/>
  <c r="L121" i="53"/>
  <c r="H28" i="53"/>
  <c r="N30" i="53"/>
  <c r="L30" i="53"/>
  <c r="N55" i="53"/>
  <c r="L55" i="53"/>
  <c r="N78" i="53"/>
  <c r="L78" i="53"/>
  <c r="N101" i="53"/>
  <c r="L101" i="53"/>
  <c r="N123" i="53"/>
  <c r="L123" i="53"/>
  <c r="H30" i="53"/>
  <c r="N31" i="53"/>
  <c r="L31" i="53"/>
  <c r="N56" i="53"/>
  <c r="L56" i="53"/>
  <c r="N79" i="53"/>
  <c r="L79" i="53"/>
  <c r="N102" i="53"/>
  <c r="L102" i="53"/>
  <c r="N124" i="53"/>
  <c r="L124" i="53"/>
  <c r="H31" i="53"/>
  <c r="N32" i="53"/>
  <c r="L32" i="53"/>
  <c r="N57" i="53"/>
  <c r="L57" i="53"/>
  <c r="N80" i="53"/>
  <c r="L80" i="53"/>
  <c r="N103" i="53"/>
  <c r="L103" i="53"/>
  <c r="N125" i="53"/>
  <c r="L125" i="53"/>
  <c r="H32" i="53"/>
  <c r="N33" i="53"/>
  <c r="L33" i="53"/>
  <c r="N58" i="53"/>
  <c r="L58" i="53"/>
  <c r="N81" i="53"/>
  <c r="L81" i="53"/>
  <c r="N104" i="53"/>
  <c r="L104" i="53"/>
  <c r="N126" i="53"/>
  <c r="L126" i="53"/>
  <c r="H33" i="53"/>
  <c r="N34" i="53"/>
  <c r="L34" i="53"/>
  <c r="N59" i="53"/>
  <c r="L59" i="53"/>
  <c r="N82" i="53"/>
  <c r="L82" i="53"/>
  <c r="N105" i="53"/>
  <c r="L105" i="53"/>
  <c r="N127" i="53"/>
  <c r="L127" i="53"/>
  <c r="H34" i="53"/>
  <c r="H35" i="53"/>
  <c r="C42" i="53"/>
  <c r="C17" i="53"/>
  <c r="D49" i="36"/>
  <c r="C9" i="56"/>
  <c r="H17" i="56"/>
  <c r="C17" i="56"/>
  <c r="P13" i="55"/>
  <c r="F13" i="55"/>
  <c r="L15" i="23"/>
  <c r="D36" i="36"/>
  <c r="D37" i="36"/>
  <c r="C9" i="50"/>
  <c r="C4" i="50"/>
  <c r="C5" i="50"/>
  <c r="D4" i="50"/>
  <c r="D5" i="50"/>
  <c r="C42" i="50"/>
  <c r="C17" i="50"/>
  <c r="Q13" i="55"/>
  <c r="K10" i="10"/>
  <c r="G13" i="55"/>
  <c r="H13" i="55"/>
  <c r="N15" i="23"/>
  <c r="M2" i="59"/>
  <c r="K17" i="59"/>
  <c r="L17" i="59"/>
  <c r="M7" i="59"/>
  <c r="M17" i="59"/>
  <c r="C15" i="22"/>
  <c r="C15" i="23"/>
  <c r="N13" i="55"/>
  <c r="D13" i="55"/>
  <c r="J15" i="23"/>
  <c r="M15" i="23"/>
  <c r="M15" i="22"/>
  <c r="P15" i="23"/>
  <c r="N15" i="22"/>
  <c r="O15" i="22"/>
  <c r="P15" i="22"/>
  <c r="Q15" i="22"/>
  <c r="R15" i="22"/>
  <c r="Q15" i="23"/>
  <c r="T15" i="23"/>
  <c r="J23" i="3"/>
  <c r="C23" i="3"/>
  <c r="F16" i="49"/>
  <c r="C16" i="49"/>
  <c r="L17" i="55"/>
  <c r="B21" i="55"/>
  <c r="H23" i="23"/>
  <c r="H46" i="48"/>
  <c r="H21" i="48"/>
  <c r="C46" i="48"/>
  <c r="C21" i="48"/>
  <c r="M17" i="55"/>
  <c r="C21" i="55"/>
  <c r="I23" i="23"/>
  <c r="Q20" i="47"/>
  <c r="AF20" i="47"/>
  <c r="D20" i="47"/>
  <c r="E21" i="55"/>
  <c r="K23" i="23"/>
  <c r="C46" i="53"/>
  <c r="C21" i="53"/>
  <c r="H21" i="56"/>
  <c r="C21" i="56"/>
  <c r="P17" i="55"/>
  <c r="F21" i="55"/>
  <c r="L23" i="23"/>
  <c r="C46" i="50"/>
  <c r="C21" i="50"/>
  <c r="Q17" i="55"/>
  <c r="G21" i="55"/>
  <c r="H21" i="55"/>
  <c r="N23" i="23"/>
  <c r="S2" i="23"/>
  <c r="E11" i="63"/>
  <c r="E12" i="63"/>
  <c r="E13" i="63"/>
  <c r="E16" i="63"/>
  <c r="E19" i="63"/>
  <c r="C23" i="22"/>
  <c r="C23" i="23"/>
  <c r="F23" i="23"/>
  <c r="N17" i="55"/>
  <c r="D21" i="55"/>
  <c r="J23" i="23"/>
  <c r="M23" i="23"/>
  <c r="M23" i="22"/>
  <c r="P23" i="23"/>
  <c r="N23" i="22"/>
  <c r="O23" i="22"/>
  <c r="P23" i="22"/>
  <c r="Q23" i="22"/>
  <c r="R23" i="22"/>
  <c r="Q23" i="23"/>
  <c r="S23" i="23"/>
  <c r="J27" i="3"/>
  <c r="C27" i="3"/>
  <c r="F20" i="49"/>
  <c r="C20" i="49"/>
  <c r="L21" i="55"/>
  <c r="B23" i="55"/>
  <c r="H25" i="23"/>
  <c r="Q22" i="47"/>
  <c r="AF22" i="47"/>
  <c r="D22" i="47"/>
  <c r="E23" i="55"/>
  <c r="K25" i="23"/>
  <c r="C50" i="53"/>
  <c r="C25" i="53"/>
  <c r="H25" i="56"/>
  <c r="C25" i="56"/>
  <c r="P21" i="55"/>
  <c r="F23" i="55"/>
  <c r="L25" i="23"/>
  <c r="C50" i="50"/>
  <c r="C25" i="50"/>
  <c r="Q21" i="55"/>
  <c r="G23" i="55"/>
  <c r="H23" i="55"/>
  <c r="N25" i="23"/>
  <c r="C11" i="63"/>
  <c r="C12" i="63"/>
  <c r="C16" i="63"/>
  <c r="C19" i="63"/>
  <c r="C25" i="22"/>
  <c r="C25" i="23"/>
  <c r="F25" i="23"/>
  <c r="I25" i="23"/>
  <c r="N21" i="55"/>
  <c r="D23" i="55"/>
  <c r="J25" i="23"/>
  <c r="M25" i="23"/>
  <c r="M25" i="22"/>
  <c r="P25" i="23"/>
  <c r="N25" i="22"/>
  <c r="O25" i="22"/>
  <c r="P25" i="22"/>
  <c r="Q25" i="22"/>
  <c r="R25" i="22"/>
  <c r="Q25" i="23"/>
  <c r="S25" i="23"/>
  <c r="S8" i="23"/>
  <c r="J20" i="3"/>
  <c r="C20" i="3"/>
  <c r="F13" i="49"/>
  <c r="C13" i="49"/>
  <c r="L14" i="55"/>
  <c r="B14" i="55"/>
  <c r="H16" i="23"/>
  <c r="H43" i="48"/>
  <c r="H18" i="48"/>
  <c r="C43" i="48"/>
  <c r="C18" i="48"/>
  <c r="M14" i="55"/>
  <c r="C14" i="55"/>
  <c r="I16" i="23"/>
  <c r="Q13" i="47"/>
  <c r="AF13" i="47"/>
  <c r="D13" i="47"/>
  <c r="E14" i="55"/>
  <c r="K16" i="23"/>
  <c r="C43" i="53"/>
  <c r="C18" i="53"/>
  <c r="H18" i="56"/>
  <c r="C18" i="56"/>
  <c r="P14" i="55"/>
  <c r="F14" i="55"/>
  <c r="L16" i="23"/>
  <c r="C43" i="50"/>
  <c r="C18" i="50"/>
  <c r="Q14" i="55"/>
  <c r="G14" i="55"/>
  <c r="H14" i="55"/>
  <c r="N16" i="23"/>
  <c r="K18" i="59"/>
  <c r="L18" i="59"/>
  <c r="M18" i="59"/>
  <c r="C16" i="22"/>
  <c r="C16" i="23"/>
  <c r="F16" i="23"/>
  <c r="N14" i="55"/>
  <c r="D14" i="55"/>
  <c r="J16" i="23"/>
  <c r="M16" i="23"/>
  <c r="M16" i="22"/>
  <c r="P16" i="23"/>
  <c r="N16" i="22"/>
  <c r="O16" i="22"/>
  <c r="P16" i="22"/>
  <c r="Q16" i="22"/>
  <c r="R16" i="22"/>
  <c r="Q16" i="23"/>
  <c r="T16" i="23"/>
  <c r="J28" i="3"/>
  <c r="C28" i="3"/>
  <c r="F21" i="49"/>
  <c r="C21" i="49"/>
  <c r="L22" i="55"/>
  <c r="B15" i="55"/>
  <c r="H17" i="23"/>
  <c r="H51" i="48"/>
  <c r="H26" i="48"/>
  <c r="C51" i="48"/>
  <c r="C26" i="48"/>
  <c r="M22" i="55"/>
  <c r="C15" i="55"/>
  <c r="I17" i="23"/>
  <c r="Q14" i="47"/>
  <c r="AF14" i="47"/>
  <c r="D14" i="47"/>
  <c r="E15" i="55"/>
  <c r="K17" i="23"/>
  <c r="C51" i="53"/>
  <c r="C26" i="53"/>
  <c r="H26" i="56"/>
  <c r="C26" i="56"/>
  <c r="P22" i="55"/>
  <c r="F15" i="55"/>
  <c r="L17" i="23"/>
  <c r="C51" i="50"/>
  <c r="C26" i="50"/>
  <c r="Q22" i="55"/>
  <c r="G15" i="55"/>
  <c r="H15" i="55"/>
  <c r="N17" i="23"/>
  <c r="K19" i="59"/>
  <c r="L19" i="59"/>
  <c r="M19" i="59"/>
  <c r="C17" i="22"/>
  <c r="C17" i="23"/>
  <c r="F17" i="23"/>
  <c r="N22" i="55"/>
  <c r="D15" i="55"/>
  <c r="J17" i="23"/>
  <c r="M17" i="23"/>
  <c r="M17" i="22"/>
  <c r="P17" i="23"/>
  <c r="N17" i="22"/>
  <c r="O17" i="22"/>
  <c r="P17" i="22"/>
  <c r="Q17" i="22"/>
  <c r="R17" i="22"/>
  <c r="Q17" i="23"/>
  <c r="T17" i="23"/>
  <c r="J22" i="3"/>
  <c r="C22" i="3"/>
  <c r="F15" i="49"/>
  <c r="C15" i="49"/>
  <c r="L16" i="55"/>
  <c r="B16" i="55"/>
  <c r="H18" i="23"/>
  <c r="H45" i="48"/>
  <c r="H20" i="48"/>
  <c r="C45" i="48"/>
  <c r="C20" i="48"/>
  <c r="M16" i="55"/>
  <c r="C16" i="55"/>
  <c r="I18" i="23"/>
  <c r="Q15" i="47"/>
  <c r="AF15" i="47"/>
  <c r="D15" i="47"/>
  <c r="E16" i="55"/>
  <c r="K18" i="23"/>
  <c r="C45" i="53"/>
  <c r="C20" i="53"/>
  <c r="H20" i="56"/>
  <c r="C20" i="56"/>
  <c r="P16" i="55"/>
  <c r="F16" i="55"/>
  <c r="L18" i="23"/>
  <c r="C45" i="50"/>
  <c r="C20" i="50"/>
  <c r="Q16" i="55"/>
  <c r="K13" i="10"/>
  <c r="G16" i="55"/>
  <c r="H16" i="55"/>
  <c r="N18" i="23"/>
  <c r="K20" i="59"/>
  <c r="L20" i="59"/>
  <c r="M20" i="59"/>
  <c r="C18" i="22"/>
  <c r="C18" i="23"/>
  <c r="F18" i="23"/>
  <c r="N16" i="55"/>
  <c r="D16" i="55"/>
  <c r="J18" i="23"/>
  <c r="M18" i="23"/>
  <c r="M18" i="22"/>
  <c r="P18" i="23"/>
  <c r="N18" i="22"/>
  <c r="O18" i="22"/>
  <c r="P18" i="22"/>
  <c r="Q18" i="22"/>
  <c r="R18" i="22"/>
  <c r="Q18" i="23"/>
  <c r="T18" i="23"/>
  <c r="J29" i="3"/>
  <c r="C29" i="3"/>
  <c r="F22" i="49"/>
  <c r="C22" i="49"/>
  <c r="L23" i="55"/>
  <c r="B17" i="55"/>
  <c r="H19" i="23"/>
  <c r="H52" i="48"/>
  <c r="H27" i="48"/>
  <c r="C52" i="48"/>
  <c r="C27" i="48"/>
  <c r="M23" i="55"/>
  <c r="C17" i="55"/>
  <c r="I19" i="23"/>
  <c r="Q16" i="47"/>
  <c r="AF16" i="47"/>
  <c r="D16" i="47"/>
  <c r="E17" i="55"/>
  <c r="K19" i="23"/>
  <c r="C52" i="53"/>
  <c r="C27" i="53"/>
  <c r="H27" i="56"/>
  <c r="C27" i="56"/>
  <c r="P23" i="55"/>
  <c r="F17" i="55"/>
  <c r="L19" i="23"/>
  <c r="C52" i="50"/>
  <c r="C27" i="50"/>
  <c r="Q23" i="55"/>
  <c r="G17" i="55"/>
  <c r="H17" i="55"/>
  <c r="N19" i="23"/>
  <c r="K21" i="59"/>
  <c r="L21" i="59"/>
  <c r="M21" i="59"/>
  <c r="C19" i="22"/>
  <c r="C19" i="23"/>
  <c r="F19" i="23"/>
  <c r="N23" i="55"/>
  <c r="D17" i="55"/>
  <c r="J19" i="23"/>
  <c r="M19" i="23"/>
  <c r="M19" i="22"/>
  <c r="P19" i="23"/>
  <c r="N19" i="22"/>
  <c r="O19" i="22"/>
  <c r="P19" i="22"/>
  <c r="Q19" i="22"/>
  <c r="R19" i="22"/>
  <c r="Q19" i="23"/>
  <c r="T19" i="23"/>
  <c r="J21" i="3"/>
  <c r="C21" i="3"/>
  <c r="F14" i="49"/>
  <c r="C14" i="49"/>
  <c r="L15" i="55"/>
  <c r="B18" i="55"/>
  <c r="H20" i="23"/>
  <c r="H44" i="48"/>
  <c r="H19" i="48"/>
  <c r="C44" i="48"/>
  <c r="C19" i="48"/>
  <c r="M15" i="55"/>
  <c r="C18" i="55"/>
  <c r="I20" i="23"/>
  <c r="Q17" i="47"/>
  <c r="AF17" i="47"/>
  <c r="D17" i="47"/>
  <c r="E18" i="55"/>
  <c r="K20" i="23"/>
  <c r="C44" i="53"/>
  <c r="C19" i="53"/>
  <c r="H19" i="56"/>
  <c r="C19" i="56"/>
  <c r="P15" i="55"/>
  <c r="F18" i="55"/>
  <c r="L20" i="23"/>
  <c r="C44" i="50"/>
  <c r="C19" i="50"/>
  <c r="Q15" i="55"/>
  <c r="G18" i="55"/>
  <c r="H18" i="55"/>
  <c r="N20" i="23"/>
  <c r="K22" i="59"/>
  <c r="L22" i="59"/>
  <c r="M22" i="59"/>
  <c r="C20" i="22"/>
  <c r="C20" i="23"/>
  <c r="F20" i="23"/>
  <c r="N15" i="55"/>
  <c r="D18" i="55"/>
  <c r="J20" i="23"/>
  <c r="M20" i="23"/>
  <c r="M20" i="22"/>
  <c r="P20" i="23"/>
  <c r="N20" i="22"/>
  <c r="O20" i="22"/>
  <c r="P20" i="22"/>
  <c r="Q20" i="22"/>
  <c r="R20" i="22"/>
  <c r="Q20" i="23"/>
  <c r="T20" i="23"/>
  <c r="J26" i="3"/>
  <c r="C26" i="3"/>
  <c r="F19" i="49"/>
  <c r="C19" i="49"/>
  <c r="L20" i="55"/>
  <c r="B19" i="55"/>
  <c r="H21" i="23"/>
  <c r="H49" i="48"/>
  <c r="H24" i="48"/>
  <c r="C49" i="48"/>
  <c r="C24" i="48"/>
  <c r="M20" i="55"/>
  <c r="C19" i="55"/>
  <c r="I21" i="23"/>
  <c r="Q18" i="47"/>
  <c r="AF18" i="47"/>
  <c r="D18" i="47"/>
  <c r="E19" i="55"/>
  <c r="K21" i="23"/>
  <c r="C49" i="53"/>
  <c r="C24" i="53"/>
  <c r="H24" i="56"/>
  <c r="C24" i="56"/>
  <c r="P20" i="55"/>
  <c r="F19" i="55"/>
  <c r="L21" i="23"/>
  <c r="C49" i="50"/>
  <c r="C24" i="50"/>
  <c r="Q20" i="55"/>
  <c r="G19" i="55"/>
  <c r="H19" i="55"/>
  <c r="N21" i="23"/>
  <c r="K23" i="59"/>
  <c r="L23" i="59"/>
  <c r="M23" i="59"/>
  <c r="C21" i="22"/>
  <c r="C21" i="23"/>
  <c r="F21" i="23"/>
  <c r="N20" i="55"/>
  <c r="D19" i="55"/>
  <c r="J21" i="23"/>
  <c r="M21" i="23"/>
  <c r="M21" i="22"/>
  <c r="P21" i="23"/>
  <c r="N21" i="22"/>
  <c r="O21" i="22"/>
  <c r="P21" i="22"/>
  <c r="Q21" i="22"/>
  <c r="R21" i="22"/>
  <c r="Q21" i="23"/>
  <c r="T21" i="23"/>
  <c r="J30" i="3"/>
  <c r="C30" i="3"/>
  <c r="F23" i="49"/>
  <c r="C23" i="49"/>
  <c r="L24" i="55"/>
  <c r="B20" i="55"/>
  <c r="H22" i="23"/>
  <c r="H53" i="48"/>
  <c r="H28" i="48"/>
  <c r="C53" i="48"/>
  <c r="C28" i="48"/>
  <c r="M24" i="55"/>
  <c r="C20" i="55"/>
  <c r="I22" i="23"/>
  <c r="Q19" i="47"/>
  <c r="AF19" i="47"/>
  <c r="D19" i="47"/>
  <c r="E20" i="55"/>
  <c r="K22" i="23"/>
  <c r="C53" i="53"/>
  <c r="C28" i="53"/>
  <c r="H28" i="56"/>
  <c r="C28" i="56"/>
  <c r="P24" i="55"/>
  <c r="F20" i="55"/>
  <c r="L22" i="23"/>
  <c r="C53" i="50"/>
  <c r="C28" i="50"/>
  <c r="Q24" i="55"/>
  <c r="G20" i="55"/>
  <c r="H20" i="55"/>
  <c r="N22" i="23"/>
  <c r="K24" i="59"/>
  <c r="L24" i="59"/>
  <c r="M24" i="59"/>
  <c r="C22" i="22"/>
  <c r="C22" i="23"/>
  <c r="F22" i="23"/>
  <c r="N24" i="55"/>
  <c r="D20" i="55"/>
  <c r="J22" i="23"/>
  <c r="M22" i="23"/>
  <c r="M22" i="22"/>
  <c r="P22" i="23"/>
  <c r="N22" i="22"/>
  <c r="O22" i="22"/>
  <c r="P22" i="22"/>
  <c r="Q22" i="22"/>
  <c r="R22" i="22"/>
  <c r="Q22" i="23"/>
  <c r="T22" i="23"/>
  <c r="K25" i="59"/>
  <c r="L25" i="59"/>
  <c r="M25" i="59"/>
  <c r="T23" i="23"/>
  <c r="J24" i="3"/>
  <c r="C24" i="3"/>
  <c r="F17" i="49"/>
  <c r="C17" i="49"/>
  <c r="L18" i="55"/>
  <c r="B22" i="55"/>
  <c r="H24" i="23"/>
  <c r="H47" i="48"/>
  <c r="H22" i="48"/>
  <c r="C47" i="48"/>
  <c r="C22" i="48"/>
  <c r="M18" i="55"/>
  <c r="C22" i="55"/>
  <c r="I24" i="23"/>
  <c r="Q21" i="47"/>
  <c r="AF21" i="47"/>
  <c r="D21" i="47"/>
  <c r="E22" i="55"/>
  <c r="K24" i="23"/>
  <c r="C47" i="53"/>
  <c r="C22" i="53"/>
  <c r="H22" i="56"/>
  <c r="C22" i="56"/>
  <c r="P18" i="55"/>
  <c r="F22" i="55"/>
  <c r="L24" i="23"/>
  <c r="C47" i="50"/>
  <c r="C22" i="50"/>
  <c r="Q18" i="55"/>
  <c r="G22" i="55"/>
  <c r="H22" i="55"/>
  <c r="N24" i="23"/>
  <c r="K26" i="59"/>
  <c r="L26" i="59"/>
  <c r="M26" i="59"/>
  <c r="C24" i="22"/>
  <c r="C24" i="23"/>
  <c r="F24" i="23"/>
  <c r="N18" i="55"/>
  <c r="D22" i="55"/>
  <c r="J24" i="23"/>
  <c r="M24" i="23"/>
  <c r="M24" i="22"/>
  <c r="P24" i="23"/>
  <c r="N24" i="22"/>
  <c r="O24" i="22"/>
  <c r="P24" i="22"/>
  <c r="Q24" i="22"/>
  <c r="R24" i="22"/>
  <c r="Q24" i="23"/>
  <c r="T24" i="23"/>
  <c r="K27" i="59"/>
  <c r="L27" i="59"/>
  <c r="M27" i="59"/>
  <c r="T25" i="23"/>
  <c r="F26" i="23"/>
  <c r="D23" i="47"/>
  <c r="E24" i="55"/>
  <c r="K26" i="23"/>
  <c r="C26" i="22"/>
  <c r="C26" i="23"/>
  <c r="H26" i="23"/>
  <c r="I26" i="23"/>
  <c r="J26" i="23"/>
  <c r="L26" i="23"/>
  <c r="M26" i="23"/>
  <c r="N26" i="23"/>
  <c r="M26" i="22"/>
  <c r="P26" i="23"/>
  <c r="N26" i="22"/>
  <c r="O26" i="22"/>
  <c r="P26" i="22"/>
  <c r="Q26" i="22"/>
  <c r="R26" i="22"/>
  <c r="Q26" i="23"/>
  <c r="T26" i="23"/>
  <c r="J34" i="3"/>
  <c r="C34" i="3"/>
  <c r="F27" i="49"/>
  <c r="C27" i="49"/>
  <c r="L28" i="55"/>
  <c r="B25" i="55"/>
  <c r="H27" i="23"/>
  <c r="H57" i="48"/>
  <c r="H32" i="48"/>
  <c r="C57" i="48"/>
  <c r="C32" i="48"/>
  <c r="M28" i="55"/>
  <c r="C25" i="55"/>
  <c r="I27" i="23"/>
  <c r="D24" i="47"/>
  <c r="E25" i="55"/>
  <c r="K27" i="23"/>
  <c r="C57" i="53"/>
  <c r="C32" i="53"/>
  <c r="H32" i="56"/>
  <c r="C32" i="56"/>
  <c r="P28" i="55"/>
  <c r="F25" i="55"/>
  <c r="L27" i="23"/>
  <c r="J32" i="50"/>
  <c r="C32" i="50"/>
  <c r="Q28" i="55"/>
  <c r="G25" i="55"/>
  <c r="H25" i="55"/>
  <c r="N27" i="23"/>
  <c r="K29" i="59"/>
  <c r="L29" i="59"/>
  <c r="M29" i="59"/>
  <c r="C27" i="22"/>
  <c r="C27" i="23"/>
  <c r="F27" i="23"/>
  <c r="N28" i="55"/>
  <c r="D25" i="55"/>
  <c r="J27" i="23"/>
  <c r="M27" i="23"/>
  <c r="M27" i="22"/>
  <c r="P27" i="23"/>
  <c r="N27" i="22"/>
  <c r="O27" i="22"/>
  <c r="P27" i="22"/>
  <c r="Q27" i="22"/>
  <c r="R27" i="22"/>
  <c r="Q27" i="23"/>
  <c r="T27" i="23"/>
  <c r="D25" i="47"/>
  <c r="E26" i="55"/>
  <c r="K28" i="23"/>
  <c r="F28" i="23"/>
  <c r="C28" i="22"/>
  <c r="C28" i="23"/>
  <c r="H28" i="23"/>
  <c r="I28" i="23"/>
  <c r="N37" i="55"/>
  <c r="D26" i="55"/>
  <c r="J28" i="23"/>
  <c r="L28" i="23"/>
  <c r="M28" i="23"/>
  <c r="N28" i="23"/>
  <c r="M28" i="22"/>
  <c r="P28" i="23"/>
  <c r="N28" i="22"/>
  <c r="O28" i="22"/>
  <c r="P28" i="22"/>
  <c r="Q28" i="22"/>
  <c r="R28" i="22"/>
  <c r="Q28" i="23"/>
  <c r="T28" i="23"/>
  <c r="D26" i="47"/>
  <c r="E27" i="55"/>
  <c r="K29" i="23"/>
  <c r="C29" i="22"/>
  <c r="C29" i="23"/>
  <c r="F29" i="23"/>
  <c r="H29" i="23"/>
  <c r="I29" i="23"/>
  <c r="J29" i="23"/>
  <c r="L29" i="23"/>
  <c r="M29" i="23"/>
  <c r="N29" i="23"/>
  <c r="M29" i="22"/>
  <c r="P29" i="23"/>
  <c r="N29" i="22"/>
  <c r="O29" i="22"/>
  <c r="P29" i="22"/>
  <c r="Q29" i="22"/>
  <c r="R29" i="22"/>
  <c r="Q29" i="23"/>
  <c r="T29" i="23"/>
  <c r="F30" i="23"/>
  <c r="J36" i="3"/>
  <c r="C36" i="3"/>
  <c r="F29" i="49"/>
  <c r="C29" i="49"/>
  <c r="L30" i="55"/>
  <c r="B28" i="55"/>
  <c r="H30" i="23"/>
  <c r="AF27" i="47"/>
  <c r="D27" i="47"/>
  <c r="E28" i="55"/>
  <c r="K30" i="23"/>
  <c r="C59" i="53"/>
  <c r="C34" i="53"/>
  <c r="H34" i="56"/>
  <c r="C34" i="56"/>
  <c r="P30" i="55"/>
  <c r="F28" i="55"/>
  <c r="L30" i="23"/>
  <c r="C30" i="22"/>
  <c r="C30" i="23"/>
  <c r="I30" i="23"/>
  <c r="N30" i="55"/>
  <c r="D28" i="55"/>
  <c r="J30" i="23"/>
  <c r="M30" i="23"/>
  <c r="N30" i="23"/>
  <c r="M30" i="22"/>
  <c r="P30" i="23"/>
  <c r="N30" i="22"/>
  <c r="O30" i="22"/>
  <c r="P30" i="22"/>
  <c r="Q30" i="22"/>
  <c r="R30" i="22"/>
  <c r="Q30" i="23"/>
  <c r="T30" i="23"/>
  <c r="J25" i="3"/>
  <c r="C25" i="3"/>
  <c r="F18" i="49"/>
  <c r="C18" i="49"/>
  <c r="L19" i="55"/>
  <c r="B29" i="55"/>
  <c r="H31" i="23"/>
  <c r="H48" i="48"/>
  <c r="H23" i="48"/>
  <c r="C48" i="48"/>
  <c r="C23" i="48"/>
  <c r="M19" i="55"/>
  <c r="C29" i="55"/>
  <c r="I31" i="23"/>
  <c r="D28" i="47"/>
  <c r="E29" i="55"/>
  <c r="K31" i="23"/>
  <c r="C48" i="53"/>
  <c r="C23" i="53"/>
  <c r="H23" i="56"/>
  <c r="C23" i="56"/>
  <c r="P19" i="55"/>
  <c r="F29" i="55"/>
  <c r="L31" i="23"/>
  <c r="C48" i="50"/>
  <c r="C23" i="50"/>
  <c r="Q19" i="55"/>
  <c r="H29" i="55"/>
  <c r="N31" i="23"/>
  <c r="N19" i="55"/>
  <c r="D29" i="55"/>
  <c r="J31" i="23"/>
  <c r="C31" i="22"/>
  <c r="C31" i="23"/>
  <c r="F31" i="23"/>
  <c r="M31" i="23"/>
  <c r="M31" i="22"/>
  <c r="P31" i="23"/>
  <c r="N31" i="22"/>
  <c r="O31" i="22"/>
  <c r="P31" i="22"/>
  <c r="Q31" i="22"/>
  <c r="R31" i="22"/>
  <c r="Q31" i="23"/>
  <c r="T31" i="23"/>
  <c r="F32" i="23"/>
  <c r="Q29" i="47"/>
  <c r="AF29" i="47"/>
  <c r="D29" i="47"/>
  <c r="E30" i="55"/>
  <c r="K32" i="23"/>
  <c r="C32" i="22"/>
  <c r="C32" i="23"/>
  <c r="H32" i="23"/>
  <c r="I32" i="23"/>
  <c r="J32" i="23"/>
  <c r="L32" i="23"/>
  <c r="M32" i="23"/>
  <c r="N32" i="23"/>
  <c r="M32" i="22"/>
  <c r="P32" i="23"/>
  <c r="N32" i="22"/>
  <c r="O32" i="22"/>
  <c r="P32" i="22"/>
  <c r="Q32" i="22"/>
  <c r="R32" i="22"/>
  <c r="Q32" i="23"/>
  <c r="T32" i="23"/>
  <c r="Q30" i="47"/>
  <c r="AF30" i="47"/>
  <c r="D30" i="47"/>
  <c r="E31" i="55"/>
  <c r="K33" i="23"/>
  <c r="K35" i="59"/>
  <c r="L35" i="59"/>
  <c r="M35" i="59"/>
  <c r="C33" i="22"/>
  <c r="C33" i="23"/>
  <c r="F33" i="23"/>
  <c r="H33" i="23"/>
  <c r="I33" i="23"/>
  <c r="L33" i="23"/>
  <c r="M33" i="23"/>
  <c r="N33" i="23"/>
  <c r="M33" i="22"/>
  <c r="P33" i="23"/>
  <c r="N33" i="22"/>
  <c r="O33" i="22"/>
  <c r="P33" i="22"/>
  <c r="Q33" i="22"/>
  <c r="R33" i="22"/>
  <c r="Q33" i="23"/>
  <c r="T33" i="23"/>
  <c r="T8" i="23"/>
  <c r="D8" i="22"/>
  <c r="D8" i="23"/>
  <c r="B8" i="22"/>
  <c r="B8" i="23"/>
  <c r="C8" i="22"/>
  <c r="C8" i="23"/>
  <c r="F8" i="23"/>
  <c r="M8" i="22"/>
  <c r="P8" i="23"/>
  <c r="N8" i="22"/>
  <c r="O8" i="22"/>
  <c r="P8" i="22"/>
  <c r="Q8" i="23"/>
  <c r="U8" i="23"/>
  <c r="H34" i="23"/>
  <c r="J32" i="3"/>
  <c r="C32" i="3"/>
  <c r="F25" i="49"/>
  <c r="C25" i="49"/>
  <c r="L26" i="55"/>
  <c r="J33" i="3"/>
  <c r="C33" i="3"/>
  <c r="F26" i="49"/>
  <c r="C26" i="49"/>
  <c r="L27" i="55"/>
  <c r="J35" i="3"/>
  <c r="C35" i="3"/>
  <c r="F28" i="49"/>
  <c r="C28" i="49"/>
  <c r="L29" i="55"/>
  <c r="B41" i="55"/>
  <c r="H43" i="23"/>
  <c r="H38" i="23"/>
  <c r="H39" i="23"/>
  <c r="H40" i="23"/>
  <c r="H41" i="23"/>
  <c r="H42" i="23"/>
  <c r="H44" i="23"/>
  <c r="H45" i="23"/>
  <c r="H46" i="23"/>
  <c r="H47" i="23"/>
  <c r="H48" i="23"/>
  <c r="H49" i="23"/>
  <c r="H50" i="23"/>
  <c r="H51" i="23"/>
  <c r="H52" i="23"/>
  <c r="H53" i="23"/>
  <c r="H54" i="23"/>
  <c r="H55" i="23"/>
  <c r="H56" i="23"/>
  <c r="H57" i="23"/>
  <c r="I34" i="23"/>
  <c r="H58" i="48"/>
  <c r="H33" i="48"/>
  <c r="C58" i="48"/>
  <c r="C33" i="48"/>
  <c r="M29" i="55"/>
  <c r="C41" i="55"/>
  <c r="I43" i="23"/>
  <c r="I38" i="23"/>
  <c r="I39" i="23"/>
  <c r="I40" i="23"/>
  <c r="I41" i="23"/>
  <c r="I42" i="23"/>
  <c r="I44" i="23"/>
  <c r="I45" i="23"/>
  <c r="I46" i="23"/>
  <c r="I47" i="23"/>
  <c r="I48" i="23"/>
  <c r="I49" i="23"/>
  <c r="I50" i="23"/>
  <c r="I51" i="23"/>
  <c r="I52" i="23"/>
  <c r="I53" i="23"/>
  <c r="I54" i="23"/>
  <c r="I55" i="23"/>
  <c r="I56" i="23"/>
  <c r="I57" i="23"/>
  <c r="K34" i="23"/>
  <c r="Q35" i="47"/>
  <c r="AF35" i="47"/>
  <c r="D35" i="47"/>
  <c r="E36" i="55"/>
  <c r="K38" i="23"/>
  <c r="Q36" i="47"/>
  <c r="D36" i="47"/>
  <c r="E37" i="55"/>
  <c r="K39" i="23"/>
  <c r="Q37" i="47"/>
  <c r="D37" i="47"/>
  <c r="E38" i="55"/>
  <c r="K40" i="23"/>
  <c r="Q38" i="47"/>
  <c r="D38" i="47"/>
  <c r="E39" i="55"/>
  <c r="K41" i="23"/>
  <c r="Q39" i="47"/>
  <c r="AF39" i="47"/>
  <c r="D39" i="47"/>
  <c r="E40" i="55"/>
  <c r="K42" i="23"/>
  <c r="Q40" i="47"/>
  <c r="AF40" i="47"/>
  <c r="D40" i="47"/>
  <c r="E41" i="55"/>
  <c r="K43" i="23"/>
  <c r="Q41" i="47"/>
  <c r="D41" i="47"/>
  <c r="E42" i="55"/>
  <c r="K44" i="23"/>
  <c r="Q42" i="47"/>
  <c r="AF42" i="47"/>
  <c r="D42" i="47"/>
  <c r="E43" i="55"/>
  <c r="K45" i="23"/>
  <c r="Q43" i="47"/>
  <c r="D43" i="47"/>
  <c r="E44" i="55"/>
  <c r="K46" i="23"/>
  <c r="Q44" i="47"/>
  <c r="AF44" i="47"/>
  <c r="D44" i="47"/>
  <c r="E45" i="55"/>
  <c r="K47" i="23"/>
  <c r="Q45" i="47"/>
  <c r="D45" i="47"/>
  <c r="E46" i="55"/>
  <c r="K48" i="23"/>
  <c r="Q46" i="47"/>
  <c r="AF46" i="47"/>
  <c r="D46" i="47"/>
  <c r="E47" i="55"/>
  <c r="K49" i="23"/>
  <c r="Q47" i="47"/>
  <c r="D47" i="47"/>
  <c r="E48" i="55"/>
  <c r="K50" i="23"/>
  <c r="Q48" i="47"/>
  <c r="D48" i="47"/>
  <c r="E49" i="55"/>
  <c r="K51" i="23"/>
  <c r="Q49" i="47"/>
  <c r="D49" i="47"/>
  <c r="E50" i="55"/>
  <c r="K52" i="23"/>
  <c r="Q50" i="47"/>
  <c r="AF50" i="47"/>
  <c r="D50" i="47"/>
  <c r="E51" i="55"/>
  <c r="K53" i="23"/>
  <c r="Q51" i="47"/>
  <c r="D51" i="47"/>
  <c r="E52" i="55"/>
  <c r="K54" i="23"/>
  <c r="Q52" i="47"/>
  <c r="D52" i="47"/>
  <c r="E53" i="55"/>
  <c r="K55" i="23"/>
  <c r="K56" i="23"/>
  <c r="K57" i="23"/>
  <c r="L34" i="23"/>
  <c r="C55" i="53"/>
  <c r="C30" i="53"/>
  <c r="H30" i="56"/>
  <c r="C30" i="56"/>
  <c r="P26" i="55"/>
  <c r="C56" i="53"/>
  <c r="C31" i="53"/>
  <c r="H31" i="56"/>
  <c r="C31" i="56"/>
  <c r="P27" i="55"/>
  <c r="C58" i="53"/>
  <c r="C33" i="53"/>
  <c r="H33" i="56"/>
  <c r="C33" i="56"/>
  <c r="P29" i="55"/>
  <c r="F41" i="55"/>
  <c r="L43" i="23"/>
  <c r="L38" i="23"/>
  <c r="L39" i="23"/>
  <c r="L40" i="23"/>
  <c r="L41" i="23"/>
  <c r="L42" i="23"/>
  <c r="L44" i="23"/>
  <c r="L45" i="23"/>
  <c r="L46" i="23"/>
  <c r="L47" i="23"/>
  <c r="L48" i="23"/>
  <c r="L49" i="23"/>
  <c r="L50" i="23"/>
  <c r="L51" i="23"/>
  <c r="L52" i="23"/>
  <c r="L53" i="23"/>
  <c r="L54" i="23"/>
  <c r="L55" i="23"/>
  <c r="L56" i="23"/>
  <c r="L57" i="23"/>
  <c r="N34" i="23"/>
  <c r="N38" i="23"/>
  <c r="N39" i="23"/>
  <c r="N40" i="23"/>
  <c r="N41" i="23"/>
  <c r="N42" i="23"/>
  <c r="N43" i="23"/>
  <c r="N44" i="23"/>
  <c r="N45" i="23"/>
  <c r="K41" i="10"/>
  <c r="G44" i="55"/>
  <c r="H44" i="55"/>
  <c r="N46" i="23"/>
  <c r="N47" i="23"/>
  <c r="G46" i="55"/>
  <c r="H46" i="55"/>
  <c r="N48" i="23"/>
  <c r="N49" i="23"/>
  <c r="N50" i="23"/>
  <c r="N51" i="23"/>
  <c r="N52" i="23"/>
  <c r="N53" i="23"/>
  <c r="N54" i="23"/>
  <c r="N55" i="23"/>
  <c r="N56" i="23"/>
  <c r="N57" i="23"/>
  <c r="J34" i="23"/>
  <c r="J38" i="23"/>
  <c r="J39" i="23"/>
  <c r="J40" i="23"/>
  <c r="J41" i="23"/>
  <c r="J42" i="23"/>
  <c r="N26" i="55"/>
  <c r="N27" i="55"/>
  <c r="N29" i="55"/>
  <c r="D41" i="55"/>
  <c r="J43" i="23"/>
  <c r="J44" i="23"/>
  <c r="J45" i="23"/>
  <c r="J46" i="23"/>
  <c r="J47" i="23"/>
  <c r="J48" i="23"/>
  <c r="J49" i="23"/>
  <c r="J50" i="23"/>
  <c r="J51" i="23"/>
  <c r="J52" i="23"/>
  <c r="J53" i="23"/>
  <c r="J54" i="23"/>
  <c r="J55" i="23"/>
  <c r="J56" i="23"/>
  <c r="J57" i="23"/>
  <c r="M34" i="23"/>
  <c r="K34" i="10"/>
  <c r="G36" i="55"/>
  <c r="M38" i="23"/>
  <c r="K35" i="10"/>
  <c r="G37" i="55"/>
  <c r="M39" i="23"/>
  <c r="G38" i="55"/>
  <c r="M40" i="23"/>
  <c r="K37" i="10"/>
  <c r="G39" i="55"/>
  <c r="M41" i="23"/>
  <c r="K38" i="10"/>
  <c r="G40" i="55"/>
  <c r="M42" i="23"/>
  <c r="M43" i="23"/>
  <c r="K39" i="10"/>
  <c r="G42" i="55"/>
  <c r="M44" i="23"/>
  <c r="K40" i="10"/>
  <c r="G43" i="55"/>
  <c r="M45" i="23"/>
  <c r="M46" i="23"/>
  <c r="M47" i="23"/>
  <c r="M48" i="23"/>
  <c r="K43" i="10"/>
  <c r="G47" i="55"/>
  <c r="M49" i="23"/>
  <c r="K44" i="10"/>
  <c r="G48" i="55"/>
  <c r="M50" i="23"/>
  <c r="K45" i="10"/>
  <c r="G49" i="55"/>
  <c r="M51" i="23"/>
  <c r="K46" i="10"/>
  <c r="G50" i="55"/>
  <c r="M52" i="23"/>
  <c r="M53" i="23"/>
  <c r="M54" i="23"/>
  <c r="K47" i="10"/>
  <c r="G53" i="55"/>
  <c r="M55" i="23"/>
  <c r="M56" i="23"/>
  <c r="M57" i="23"/>
  <c r="U15" i="23"/>
  <c r="U16" i="23"/>
  <c r="U17" i="23"/>
  <c r="U18" i="23"/>
  <c r="U19" i="23"/>
  <c r="U20" i="23"/>
  <c r="U21" i="23"/>
  <c r="U22" i="23"/>
  <c r="U23" i="23"/>
  <c r="U24" i="23"/>
  <c r="U25" i="23"/>
  <c r="U26" i="23"/>
  <c r="U27" i="23"/>
  <c r="U28" i="23"/>
  <c r="U29" i="23"/>
  <c r="U30" i="23"/>
  <c r="U31" i="23"/>
  <c r="U32" i="23"/>
  <c r="U33" i="23"/>
  <c r="U47" i="23"/>
  <c r="B16" i="33"/>
  <c r="U45" i="23"/>
  <c r="C45" i="22"/>
  <c r="C45" i="23"/>
  <c r="C46" i="22"/>
  <c r="C46" i="23"/>
  <c r="C48" i="22"/>
  <c r="C48" i="23"/>
  <c r="C16" i="33"/>
  <c r="H30" i="24"/>
  <c r="C22" i="33"/>
  <c r="K30" i="24"/>
  <c r="K32" i="24"/>
  <c r="K45" i="24"/>
  <c r="C26" i="33"/>
  <c r="L30" i="24"/>
  <c r="C27" i="33"/>
  <c r="F32" i="24"/>
  <c r="F46" i="24"/>
  <c r="F48" i="24"/>
  <c r="F30" i="24"/>
  <c r="F45" i="24"/>
  <c r="F26" i="24"/>
  <c r="C29" i="33"/>
  <c r="M45" i="22"/>
  <c r="P45" i="23"/>
  <c r="N45" i="22"/>
  <c r="O45" i="22"/>
  <c r="P45" i="22"/>
  <c r="Q45" i="22"/>
  <c r="R45" i="22"/>
  <c r="Q45" i="23"/>
  <c r="M46" i="22"/>
  <c r="P46" i="23"/>
  <c r="N46" i="22"/>
  <c r="O46" i="22"/>
  <c r="P46" i="22"/>
  <c r="Q46" i="22"/>
  <c r="R46" i="22"/>
  <c r="Q46" i="23"/>
  <c r="M48" i="22"/>
  <c r="P48" i="23"/>
  <c r="N48" i="22"/>
  <c r="O48" i="22"/>
  <c r="P48" i="22"/>
  <c r="Q48" i="22"/>
  <c r="R48" i="22"/>
  <c r="Q48" i="23"/>
  <c r="C14" i="33"/>
  <c r="J30" i="24"/>
  <c r="C25" i="33"/>
  <c r="C35" i="33"/>
  <c r="H15" i="24"/>
  <c r="H16" i="24"/>
  <c r="H17" i="24"/>
  <c r="H18" i="24"/>
  <c r="H19" i="24"/>
  <c r="H20" i="24"/>
  <c r="H21" i="24"/>
  <c r="H22" i="24"/>
  <c r="H23" i="24"/>
  <c r="H24" i="24"/>
  <c r="H25" i="24"/>
  <c r="H27" i="24"/>
  <c r="H31" i="24"/>
  <c r="H33" i="24"/>
  <c r="B22" i="33"/>
  <c r="I15" i="24"/>
  <c r="I16" i="24"/>
  <c r="I17" i="24"/>
  <c r="I18" i="24"/>
  <c r="I19" i="24"/>
  <c r="I20" i="24"/>
  <c r="I21" i="24"/>
  <c r="I22" i="24"/>
  <c r="I23" i="24"/>
  <c r="I24" i="24"/>
  <c r="I27" i="24"/>
  <c r="I31" i="24"/>
  <c r="I25" i="24"/>
  <c r="I26" i="24"/>
  <c r="I33" i="24"/>
  <c r="B23" i="33"/>
  <c r="N15" i="24"/>
  <c r="N16" i="24"/>
  <c r="N17" i="24"/>
  <c r="N18" i="24"/>
  <c r="N19" i="24"/>
  <c r="N20" i="24"/>
  <c r="N21" i="24"/>
  <c r="N22" i="24"/>
  <c r="N23" i="24"/>
  <c r="N24" i="24"/>
  <c r="N25" i="24"/>
  <c r="N27" i="24"/>
  <c r="N31" i="24"/>
  <c r="M15" i="24"/>
  <c r="M16" i="24"/>
  <c r="M17" i="24"/>
  <c r="M18" i="24"/>
  <c r="M19" i="24"/>
  <c r="M20" i="24"/>
  <c r="M21" i="24"/>
  <c r="M22" i="24"/>
  <c r="M23" i="24"/>
  <c r="M24" i="24"/>
  <c r="M25" i="24"/>
  <c r="M27" i="24"/>
  <c r="M31" i="24"/>
  <c r="B24" i="33"/>
  <c r="K15" i="24"/>
  <c r="K16" i="24"/>
  <c r="K17" i="24"/>
  <c r="K18" i="24"/>
  <c r="K19" i="24"/>
  <c r="K20" i="24"/>
  <c r="K21" i="24"/>
  <c r="K22" i="24"/>
  <c r="K23" i="24"/>
  <c r="K24" i="24"/>
  <c r="K25" i="24"/>
  <c r="K27" i="24"/>
  <c r="K31" i="24"/>
  <c r="K33" i="24"/>
  <c r="K47" i="24"/>
  <c r="B26" i="33"/>
  <c r="L15" i="24"/>
  <c r="L16" i="24"/>
  <c r="L17" i="24"/>
  <c r="L18" i="24"/>
  <c r="L19" i="24"/>
  <c r="L20" i="24"/>
  <c r="L21" i="24"/>
  <c r="L22" i="24"/>
  <c r="L23" i="24"/>
  <c r="L24" i="24"/>
  <c r="L25" i="24"/>
  <c r="L27" i="24"/>
  <c r="L31" i="24"/>
  <c r="L26" i="24"/>
  <c r="L33" i="24"/>
  <c r="B27" i="33"/>
  <c r="F47" i="24"/>
  <c r="B29" i="33"/>
  <c r="J31" i="24"/>
  <c r="J15" i="24"/>
  <c r="J16" i="24"/>
  <c r="J17" i="24"/>
  <c r="J18" i="24"/>
  <c r="J19" i="24"/>
  <c r="J20" i="24"/>
  <c r="J21" i="24"/>
  <c r="J22" i="24"/>
  <c r="J23" i="24"/>
  <c r="J24" i="24"/>
  <c r="J25" i="24"/>
  <c r="J27" i="24"/>
  <c r="J33" i="24"/>
  <c r="B25" i="33"/>
  <c r="M47" i="22"/>
  <c r="P47" i="23"/>
  <c r="N47" i="22"/>
  <c r="O47" i="22"/>
  <c r="P47" i="22"/>
  <c r="Q47" i="22"/>
  <c r="R47" i="22"/>
  <c r="Q47" i="23"/>
  <c r="B14" i="33"/>
  <c r="B10" i="22"/>
  <c r="B10" i="23"/>
  <c r="B10" i="24"/>
  <c r="B18" i="33"/>
  <c r="B32" i="33"/>
  <c r="B35" i="33"/>
  <c r="U42" i="23"/>
  <c r="U43" i="23"/>
  <c r="U49" i="23"/>
  <c r="D16" i="33"/>
  <c r="H43" i="24"/>
  <c r="D22" i="33"/>
  <c r="I43" i="24"/>
  <c r="D23" i="33"/>
  <c r="K43" i="24"/>
  <c r="K49" i="24"/>
  <c r="K42" i="24"/>
  <c r="D26" i="33"/>
  <c r="L43" i="24"/>
  <c r="D27" i="33"/>
  <c r="F44" i="24"/>
  <c r="F42" i="24"/>
  <c r="F43" i="24"/>
  <c r="F49" i="24"/>
  <c r="D29" i="33"/>
  <c r="M42" i="22"/>
  <c r="P42" i="23"/>
  <c r="N42" i="22"/>
  <c r="O42" i="22"/>
  <c r="P42" i="22"/>
  <c r="Q42" i="22"/>
  <c r="R42" i="22"/>
  <c r="Q42" i="23"/>
  <c r="M43" i="22"/>
  <c r="P43" i="23"/>
  <c r="N43" i="22"/>
  <c r="O43" i="22"/>
  <c r="P43" i="22"/>
  <c r="Q43" i="22"/>
  <c r="R43" i="22"/>
  <c r="Q43" i="23"/>
  <c r="M44" i="22"/>
  <c r="P44" i="23"/>
  <c r="N44" i="22"/>
  <c r="O44" i="22"/>
  <c r="P44" i="22"/>
  <c r="Q44" i="22"/>
  <c r="R44" i="22"/>
  <c r="Q44" i="23"/>
  <c r="M49" i="22"/>
  <c r="P49" i="23"/>
  <c r="N49" i="22"/>
  <c r="O49" i="22"/>
  <c r="P49" i="22"/>
  <c r="Q49" i="22"/>
  <c r="R49" i="22"/>
  <c r="Q49" i="23"/>
  <c r="D14" i="33"/>
  <c r="J43" i="24"/>
  <c r="D25" i="33"/>
  <c r="D35" i="33"/>
  <c r="K53" i="24"/>
  <c r="E26" i="33"/>
  <c r="F52" i="24"/>
  <c r="F53" i="24"/>
  <c r="F54" i="24"/>
  <c r="F55" i="24"/>
  <c r="E29" i="33"/>
  <c r="M52" i="22"/>
  <c r="P52" i="23"/>
  <c r="N52" i="22"/>
  <c r="O52" i="22"/>
  <c r="P52" i="22"/>
  <c r="Q52" i="22"/>
  <c r="R52" i="22"/>
  <c r="Q52" i="23"/>
  <c r="M53" i="22"/>
  <c r="P53" i="23"/>
  <c r="N53" i="22"/>
  <c r="O53" i="22"/>
  <c r="P53" i="22"/>
  <c r="Q53" i="22"/>
  <c r="R53" i="22"/>
  <c r="Q53" i="23"/>
  <c r="M54" i="22"/>
  <c r="P54" i="23"/>
  <c r="N54" i="22"/>
  <c r="O54" i="22"/>
  <c r="P54" i="22"/>
  <c r="Q54" i="22"/>
  <c r="R54" i="22"/>
  <c r="Q54" i="23"/>
  <c r="M55" i="22"/>
  <c r="P55" i="23"/>
  <c r="N55" i="22"/>
  <c r="O55" i="22"/>
  <c r="P55" i="22"/>
  <c r="Q55" i="22"/>
  <c r="R55" i="22"/>
  <c r="Q55" i="23"/>
  <c r="E14" i="33"/>
  <c r="C54" i="22"/>
  <c r="C54" i="23"/>
  <c r="E16" i="33"/>
  <c r="E35" i="33"/>
  <c r="U53" i="23"/>
  <c r="C53" i="22"/>
  <c r="C53" i="23"/>
  <c r="C52" i="22"/>
  <c r="C52" i="23"/>
  <c r="C51" i="22"/>
  <c r="C51" i="23"/>
  <c r="C39" i="22"/>
  <c r="C39" i="23"/>
  <c r="F16" i="33"/>
  <c r="F39" i="24"/>
  <c r="F51" i="24"/>
  <c r="F50" i="24"/>
  <c r="F29" i="33"/>
  <c r="M39" i="22"/>
  <c r="P39" i="23"/>
  <c r="N39" i="22"/>
  <c r="O39" i="22"/>
  <c r="P39" i="22"/>
  <c r="Q39" i="22"/>
  <c r="R39" i="22"/>
  <c r="Q39" i="23"/>
  <c r="M50" i="22"/>
  <c r="P50" i="23"/>
  <c r="N50" i="22"/>
  <c r="O50" i="22"/>
  <c r="P50" i="22"/>
  <c r="Q50" i="22"/>
  <c r="R50" i="22"/>
  <c r="Q50" i="23"/>
  <c r="M51" i="22"/>
  <c r="P51" i="23"/>
  <c r="N51" i="22"/>
  <c r="O51" i="22"/>
  <c r="P51" i="22"/>
  <c r="Q51" i="22"/>
  <c r="R51" i="22"/>
  <c r="Q51" i="23"/>
  <c r="F14" i="33"/>
  <c r="F35" i="33"/>
  <c r="K38" i="24"/>
  <c r="H26" i="33"/>
  <c r="M38" i="22"/>
  <c r="P38" i="24"/>
  <c r="N38" i="22"/>
  <c r="O38" i="22"/>
  <c r="P38" i="22"/>
  <c r="Q38" i="22"/>
  <c r="R38" i="22"/>
  <c r="Q38" i="24"/>
  <c r="M40" i="22"/>
  <c r="P40" i="24"/>
  <c r="N40" i="22"/>
  <c r="O40" i="22"/>
  <c r="P40" i="22"/>
  <c r="Q40" i="22"/>
  <c r="R40" i="22"/>
  <c r="Q40" i="24"/>
  <c r="M41" i="22"/>
  <c r="P41" i="24"/>
  <c r="N41" i="22"/>
  <c r="O41" i="22"/>
  <c r="P41" i="22"/>
  <c r="Q41" i="22"/>
  <c r="R41" i="22"/>
  <c r="Q41" i="24"/>
  <c r="H14" i="33"/>
  <c r="D38" i="22"/>
  <c r="D38" i="23"/>
  <c r="D40" i="22"/>
  <c r="D40" i="23"/>
  <c r="D41" i="22"/>
  <c r="D41" i="23"/>
  <c r="H15" i="33"/>
  <c r="C38" i="22"/>
  <c r="C38" i="23"/>
  <c r="C41" i="22"/>
  <c r="C41" i="23"/>
  <c r="H16" i="33"/>
  <c r="H35" i="33"/>
  <c r="B6" i="22"/>
  <c r="B6" i="23"/>
  <c r="C6" i="22"/>
  <c r="C6" i="23"/>
  <c r="D6" i="22"/>
  <c r="D6" i="23"/>
  <c r="F6" i="23"/>
  <c r="P6" i="23"/>
  <c r="Q6" i="23"/>
  <c r="W6" i="23"/>
  <c r="B7" i="22"/>
  <c r="B7" i="23"/>
  <c r="C7" i="22"/>
  <c r="C7" i="23"/>
  <c r="D7" i="22"/>
  <c r="D7" i="23"/>
  <c r="F7" i="23"/>
  <c r="P7" i="23"/>
  <c r="Q7" i="23"/>
  <c r="W7" i="23"/>
  <c r="J13" i="33"/>
  <c r="M10" i="22"/>
  <c r="P10" i="23"/>
  <c r="P10" i="24"/>
  <c r="P10" i="22"/>
  <c r="Q10" i="23"/>
  <c r="Q10" i="24"/>
  <c r="J14" i="33"/>
  <c r="B11" i="22"/>
  <c r="B11" i="23"/>
  <c r="B11" i="24"/>
  <c r="J18" i="33"/>
  <c r="J35" i="33"/>
  <c r="B12" i="22"/>
  <c r="B12" i="23"/>
  <c r="B12" i="24"/>
  <c r="C12" i="22"/>
  <c r="C12" i="23"/>
  <c r="C12" i="24"/>
  <c r="D12" i="22"/>
  <c r="D12" i="23"/>
  <c r="D12" i="24"/>
  <c r="F12" i="23"/>
  <c r="F12" i="24"/>
  <c r="H12" i="24"/>
  <c r="I12" i="24"/>
  <c r="J12" i="24"/>
  <c r="K12" i="24"/>
  <c r="L12" i="24"/>
  <c r="M12" i="24"/>
  <c r="N12" i="24"/>
  <c r="P12" i="23"/>
  <c r="P12" i="24"/>
  <c r="Q12" i="23"/>
  <c r="Q12" i="24"/>
  <c r="S12" i="24"/>
  <c r="T12" i="24"/>
  <c r="G13" i="33"/>
  <c r="G35" i="33"/>
  <c r="I32" i="33"/>
  <c r="I35" i="33"/>
  <c r="K35" i="33"/>
  <c r="K14" i="33"/>
  <c r="K13" i="33"/>
  <c r="K16" i="33"/>
  <c r="K22" i="33"/>
  <c r="K23" i="33"/>
  <c r="K24" i="33"/>
  <c r="K26" i="33"/>
  <c r="K27" i="33"/>
  <c r="K29" i="33"/>
  <c r="K25" i="33"/>
  <c r="K15" i="33"/>
  <c r="K17" i="33"/>
  <c r="K18" i="33"/>
  <c r="K32" i="33"/>
  <c r="K37" i="33"/>
  <c r="N12" i="49"/>
  <c r="N13" i="49"/>
  <c r="N14" i="49"/>
  <c r="N15" i="49"/>
  <c r="N16" i="49"/>
  <c r="N17" i="49"/>
  <c r="N18" i="49"/>
  <c r="N19" i="49"/>
  <c r="N20" i="49"/>
  <c r="N21" i="49"/>
  <c r="N22" i="49"/>
  <c r="N23" i="49"/>
  <c r="N27" i="49"/>
  <c r="N28" i="49"/>
  <c r="N31" i="49"/>
  <c r="L12" i="49"/>
  <c r="L13" i="49"/>
  <c r="L14" i="49"/>
  <c r="L15" i="49"/>
  <c r="L16" i="49"/>
  <c r="L17" i="49"/>
  <c r="L18" i="49"/>
  <c r="L19" i="49"/>
  <c r="L20" i="49"/>
  <c r="L21" i="49"/>
  <c r="L22" i="49"/>
  <c r="L23" i="49"/>
  <c r="L27" i="49"/>
  <c r="L28" i="49"/>
  <c r="L31" i="49"/>
  <c r="J31" i="49"/>
  <c r="I31" i="49"/>
  <c r="F24" i="49"/>
  <c r="F30" i="49"/>
  <c r="C30" i="49"/>
  <c r="I67" i="23"/>
  <c r="H70" i="23"/>
  <c r="H67" i="23"/>
  <c r="I74" i="23"/>
  <c r="N63" i="23"/>
  <c r="U44" i="23"/>
  <c r="U54" i="23"/>
  <c r="U55" i="23"/>
  <c r="V56" i="21"/>
  <c r="V34" i="21"/>
  <c r="V6" i="21"/>
  <c r="V59" i="21"/>
  <c r="P11" i="23"/>
  <c r="P34" i="23"/>
  <c r="P38" i="23"/>
  <c r="P40" i="23"/>
  <c r="P41" i="23"/>
  <c r="P56" i="23"/>
  <c r="P57" i="23"/>
  <c r="Q11" i="23"/>
  <c r="Q34" i="23"/>
  <c r="Q38" i="23"/>
  <c r="Q40" i="23"/>
  <c r="Q41" i="23"/>
  <c r="Q56" i="23"/>
  <c r="Q57" i="23"/>
  <c r="Q59" i="23"/>
  <c r="Q60" i="23"/>
  <c r="Q61" i="23"/>
  <c r="AA15" i="24"/>
  <c r="M33" i="24"/>
  <c r="N33" i="24"/>
  <c r="AA33" i="24"/>
  <c r="M32" i="24"/>
  <c r="N32" i="24"/>
  <c r="AA32" i="24"/>
  <c r="AA31" i="24"/>
  <c r="M30" i="24"/>
  <c r="N30" i="24"/>
  <c r="AA30" i="24"/>
  <c r="M29" i="24"/>
  <c r="N29" i="24"/>
  <c r="AA29" i="24"/>
  <c r="M28" i="24"/>
  <c r="N28" i="24"/>
  <c r="AA28" i="24"/>
  <c r="AA27" i="24"/>
  <c r="M26" i="24"/>
  <c r="N26" i="24"/>
  <c r="AA26" i="24"/>
  <c r="AA25" i="24"/>
  <c r="AA24" i="24"/>
  <c r="AA23" i="24"/>
  <c r="AA22" i="24"/>
  <c r="AA21" i="24"/>
  <c r="AA20" i="24"/>
  <c r="AA19" i="24"/>
  <c r="AA18" i="24"/>
  <c r="AA17" i="24"/>
  <c r="AA16" i="24"/>
  <c r="B66" i="50"/>
  <c r="C66" i="50"/>
  <c r="E66" i="50"/>
  <c r="B67" i="50"/>
  <c r="C67" i="50"/>
  <c r="E67" i="50"/>
  <c r="B68" i="50"/>
  <c r="C68" i="50"/>
  <c r="E68" i="50"/>
  <c r="B69" i="50"/>
  <c r="C69" i="50"/>
  <c r="E69" i="50"/>
  <c r="B70" i="50"/>
  <c r="C70" i="50"/>
  <c r="E70" i="50"/>
  <c r="B71" i="50"/>
  <c r="C71" i="50"/>
  <c r="E71" i="50"/>
  <c r="B72" i="50"/>
  <c r="C72" i="50"/>
  <c r="E72" i="50"/>
  <c r="B73" i="50"/>
  <c r="C73" i="50"/>
  <c r="E73" i="50"/>
  <c r="B74" i="50"/>
  <c r="E74" i="50"/>
  <c r="B75" i="50"/>
  <c r="C75" i="50"/>
  <c r="E75" i="50"/>
  <c r="B76" i="50"/>
  <c r="C76" i="50"/>
  <c r="E76" i="50"/>
  <c r="B77" i="50"/>
  <c r="C77" i="50"/>
  <c r="E77" i="50"/>
  <c r="E84" i="50"/>
  <c r="C84" i="50"/>
  <c r="B84" i="50"/>
  <c r="G77" i="50"/>
  <c r="F77" i="50"/>
  <c r="G76" i="50"/>
  <c r="F76" i="50"/>
  <c r="G75" i="50"/>
  <c r="F75" i="50"/>
  <c r="G74" i="50"/>
  <c r="G73" i="50"/>
  <c r="F73" i="50"/>
  <c r="G72" i="50"/>
  <c r="F72" i="50"/>
  <c r="G71" i="50"/>
  <c r="F71" i="50"/>
  <c r="G70" i="50"/>
  <c r="F70" i="50"/>
  <c r="G69" i="50"/>
  <c r="F69" i="50"/>
  <c r="G68" i="50"/>
  <c r="F68" i="50"/>
  <c r="G67" i="50"/>
  <c r="F67" i="50"/>
  <c r="G66" i="50"/>
  <c r="F66" i="50"/>
  <c r="B100" i="50"/>
  <c r="C100" i="50"/>
  <c r="B99" i="50"/>
  <c r="C99" i="50"/>
  <c r="B98" i="50"/>
  <c r="C98" i="50"/>
  <c r="B97" i="50"/>
  <c r="C97" i="50"/>
  <c r="B96" i="50"/>
  <c r="C96" i="50"/>
  <c r="B95" i="50"/>
  <c r="C95" i="50"/>
  <c r="B94" i="50"/>
  <c r="C94" i="50"/>
  <c r="B93" i="50"/>
  <c r="C93" i="50"/>
  <c r="B92" i="50"/>
  <c r="C92" i="50"/>
  <c r="B91" i="50"/>
  <c r="C91" i="50"/>
  <c r="B90" i="50"/>
  <c r="C90" i="50"/>
  <c r="B89" i="50"/>
  <c r="C89" i="50"/>
  <c r="E89" i="50"/>
  <c r="B107" i="50"/>
  <c r="B69" i="48"/>
  <c r="B70" i="48"/>
  <c r="B71" i="48"/>
  <c r="B72" i="48"/>
  <c r="B74" i="48"/>
  <c r="B76" i="48"/>
  <c r="B78" i="48"/>
  <c r="B79" i="48"/>
  <c r="B80" i="48"/>
  <c r="B84" i="48"/>
  <c r="B87" i="48"/>
  <c r="C87" i="48"/>
  <c r="C80" i="48"/>
  <c r="C79" i="48"/>
  <c r="C78" i="48"/>
  <c r="C76" i="48"/>
  <c r="C74" i="48"/>
  <c r="C73" i="48"/>
  <c r="C72" i="48"/>
  <c r="C71" i="48"/>
  <c r="C70" i="48"/>
  <c r="C69" i="48"/>
  <c r="B92" i="48"/>
  <c r="B93" i="48"/>
  <c r="B94" i="48"/>
  <c r="B95" i="48"/>
  <c r="B97" i="48"/>
  <c r="B99" i="48"/>
  <c r="B101" i="48"/>
  <c r="B102" i="48"/>
  <c r="B103" i="48"/>
  <c r="B107" i="48"/>
  <c r="B110" i="48"/>
  <c r="AB60" i="48"/>
  <c r="AC60" i="48"/>
  <c r="AD60" i="48"/>
  <c r="C110" i="48"/>
  <c r="C107" i="48"/>
  <c r="C103" i="48"/>
  <c r="C102" i="48"/>
  <c r="C101" i="48"/>
  <c r="C99" i="48"/>
  <c r="C97" i="48"/>
  <c r="C95" i="48"/>
  <c r="C94" i="48"/>
  <c r="C93" i="48"/>
  <c r="C92" i="48"/>
  <c r="E92" i="48"/>
  <c r="E93" i="48"/>
  <c r="E94" i="48"/>
  <c r="E95" i="48"/>
  <c r="E97" i="48"/>
  <c r="E99" i="48"/>
  <c r="E101" i="48"/>
  <c r="E102" i="48"/>
  <c r="E103" i="48"/>
  <c r="E107" i="48"/>
  <c r="E96" i="48"/>
  <c r="E98" i="48"/>
  <c r="E100" i="48"/>
  <c r="E104" i="48"/>
  <c r="E105" i="48"/>
  <c r="E106" i="48"/>
  <c r="E108" i="48"/>
  <c r="E109" i="48"/>
  <c r="E110" i="48"/>
  <c r="AB53" i="53"/>
  <c r="AA53" i="53"/>
  <c r="AB52" i="53"/>
  <c r="AA52" i="53"/>
  <c r="AB51" i="53"/>
  <c r="AA51" i="53"/>
  <c r="AB50" i="53"/>
  <c r="AA50" i="53"/>
  <c r="AB49" i="53"/>
  <c r="AA49" i="53"/>
  <c r="AB48" i="53"/>
  <c r="AA48" i="53"/>
  <c r="AB47" i="53"/>
  <c r="AA47" i="53"/>
  <c r="AB46" i="53"/>
  <c r="AA46" i="53"/>
  <c r="AB45" i="53"/>
  <c r="AA45" i="53"/>
  <c r="AB44" i="53"/>
  <c r="AA44" i="53"/>
  <c r="AB43" i="53"/>
  <c r="AA43" i="53"/>
  <c r="AB42" i="53"/>
  <c r="AA42" i="53"/>
  <c r="Z53" i="53"/>
  <c r="Z52" i="53"/>
  <c r="Z51" i="53"/>
  <c r="Z50" i="53"/>
  <c r="Z49" i="53"/>
  <c r="Z48" i="53"/>
  <c r="Z47" i="53"/>
  <c r="Z46" i="53"/>
  <c r="Z45" i="53"/>
  <c r="Z44" i="53"/>
  <c r="Z43" i="53"/>
  <c r="Z42" i="53"/>
  <c r="H42" i="53"/>
  <c r="AC42" i="53"/>
  <c r="R35" i="56"/>
  <c r="R34" i="56"/>
  <c r="R32" i="56"/>
  <c r="R31" i="56"/>
  <c r="R29" i="56"/>
  <c r="R28" i="56"/>
  <c r="R27" i="56"/>
  <c r="R25" i="56"/>
  <c r="R23" i="56"/>
  <c r="R21" i="56"/>
  <c r="R20" i="56"/>
  <c r="R19" i="56"/>
  <c r="R18" i="56"/>
  <c r="R29" i="47"/>
  <c r="R22" i="47"/>
  <c r="R21" i="47"/>
  <c r="R20" i="47"/>
  <c r="R19" i="47"/>
  <c r="R18" i="47"/>
  <c r="R17" i="47"/>
  <c r="R16" i="47"/>
  <c r="R15" i="47"/>
  <c r="R14" i="47"/>
  <c r="R13" i="47"/>
  <c r="R12" i="47"/>
  <c r="U28" i="49"/>
  <c r="U27" i="49"/>
  <c r="U23" i="49"/>
  <c r="U22" i="49"/>
  <c r="U21" i="49"/>
  <c r="U20" i="49"/>
  <c r="U19" i="49"/>
  <c r="U18" i="49"/>
  <c r="U16" i="49"/>
  <c r="U15" i="49"/>
  <c r="U14" i="49"/>
  <c r="U13" i="49"/>
  <c r="U12" i="49"/>
  <c r="U17" i="49"/>
  <c r="K103" i="3"/>
  <c r="K126" i="3"/>
  <c r="J103" i="3"/>
  <c r="J126" i="3"/>
  <c r="K102" i="3"/>
  <c r="K125" i="3"/>
  <c r="J102" i="3"/>
  <c r="J125" i="3"/>
  <c r="L101" i="3"/>
  <c r="L124" i="3"/>
  <c r="K101" i="3"/>
  <c r="K124" i="3"/>
  <c r="J101" i="3"/>
  <c r="J124" i="3"/>
  <c r="L100" i="3"/>
  <c r="L123" i="3"/>
  <c r="K100" i="3"/>
  <c r="K123" i="3"/>
  <c r="J100" i="3"/>
  <c r="J123" i="3"/>
  <c r="K99" i="3"/>
  <c r="K122" i="3"/>
  <c r="J99" i="3"/>
  <c r="J122" i="3"/>
  <c r="L97" i="3"/>
  <c r="L120" i="3"/>
  <c r="K97" i="3"/>
  <c r="K120" i="3"/>
  <c r="J97" i="3"/>
  <c r="J120" i="3"/>
  <c r="L96" i="3"/>
  <c r="L119" i="3"/>
  <c r="K96" i="3"/>
  <c r="K119" i="3"/>
  <c r="J96" i="3"/>
  <c r="J119" i="3"/>
  <c r="L95" i="3"/>
  <c r="L118" i="3"/>
  <c r="K95" i="3"/>
  <c r="K118" i="3"/>
  <c r="J95" i="3"/>
  <c r="J118" i="3"/>
  <c r="L94" i="3"/>
  <c r="L117" i="3"/>
  <c r="K94" i="3"/>
  <c r="K117" i="3"/>
  <c r="J94" i="3"/>
  <c r="J117" i="3"/>
  <c r="L93" i="3"/>
  <c r="L116" i="3"/>
  <c r="K93" i="3"/>
  <c r="K116" i="3"/>
  <c r="J93" i="3"/>
  <c r="J116" i="3"/>
  <c r="L92" i="3"/>
  <c r="L115" i="3"/>
  <c r="K92" i="3"/>
  <c r="K115" i="3"/>
  <c r="J92" i="3"/>
  <c r="J115" i="3"/>
  <c r="L91" i="3"/>
  <c r="L114" i="3"/>
  <c r="K91" i="3"/>
  <c r="K114" i="3"/>
  <c r="J91" i="3"/>
  <c r="J114" i="3"/>
  <c r="L90" i="3"/>
  <c r="L113" i="3"/>
  <c r="K90" i="3"/>
  <c r="K113" i="3"/>
  <c r="J90" i="3"/>
  <c r="J113" i="3"/>
  <c r="L89" i="3"/>
  <c r="L112" i="3"/>
  <c r="K89" i="3"/>
  <c r="K112" i="3"/>
  <c r="J89" i="3"/>
  <c r="J112" i="3"/>
  <c r="L88" i="3"/>
  <c r="L111" i="3"/>
  <c r="K88" i="3"/>
  <c r="K111" i="3"/>
  <c r="J88" i="3"/>
  <c r="J111" i="3"/>
  <c r="L87" i="3"/>
  <c r="L110" i="3"/>
  <c r="K87" i="3"/>
  <c r="K110" i="3"/>
  <c r="J87" i="3"/>
  <c r="J110" i="3"/>
  <c r="L86" i="3"/>
  <c r="L109" i="3"/>
  <c r="K86" i="3"/>
  <c r="K109" i="3"/>
  <c r="M96" i="3"/>
  <c r="C37" i="3"/>
  <c r="J104" i="3"/>
  <c r="J82" i="3"/>
  <c r="J127" i="3"/>
  <c r="L104" i="3"/>
  <c r="K104" i="3"/>
  <c r="L103" i="3"/>
  <c r="L102" i="3"/>
  <c r="L99" i="3"/>
  <c r="L98" i="3"/>
  <c r="K98" i="3"/>
  <c r="J98" i="3"/>
  <c r="J86" i="3"/>
  <c r="J109" i="3"/>
  <c r="M86" i="3"/>
  <c r="M87" i="3"/>
  <c r="M88" i="3"/>
  <c r="M89" i="3"/>
  <c r="M90" i="3"/>
  <c r="M91" i="3"/>
  <c r="M92" i="3"/>
  <c r="M93" i="3"/>
  <c r="M94" i="3"/>
  <c r="M95" i="3"/>
  <c r="M97" i="3"/>
  <c r="M99" i="3"/>
  <c r="M100" i="3"/>
  <c r="M101" i="3"/>
  <c r="M102" i="3"/>
  <c r="M103" i="3"/>
  <c r="M104" i="3"/>
  <c r="C26" i="46"/>
  <c r="C27" i="46"/>
  <c r="AF139" i="3"/>
  <c r="W139" i="3"/>
  <c r="W137" i="3"/>
  <c r="W134" i="3"/>
  <c r="U134" i="3"/>
  <c r="AF90" i="3"/>
  <c r="W90" i="3"/>
  <c r="AD90" i="3"/>
  <c r="U90" i="3"/>
  <c r="W88" i="3"/>
  <c r="U88" i="3"/>
  <c r="W85" i="3"/>
  <c r="U85" i="3"/>
  <c r="AF46" i="3"/>
  <c r="W46" i="3"/>
  <c r="AD46" i="3"/>
  <c r="U46" i="3"/>
  <c r="W44" i="3"/>
  <c r="W41" i="3"/>
  <c r="U41" i="3"/>
  <c r="AB35" i="48"/>
  <c r="AB36" i="48"/>
  <c r="W60" i="53"/>
  <c r="W35" i="53"/>
  <c r="W83" i="53"/>
  <c r="X14" i="3"/>
  <c r="D10" i="63"/>
  <c r="D11" i="63"/>
  <c r="D15" i="63"/>
  <c r="D16" i="63"/>
  <c r="D19" i="63"/>
  <c r="B11" i="63"/>
  <c r="B15" i="63"/>
  <c r="B16" i="63"/>
  <c r="B19" i="63"/>
  <c r="C26" i="61"/>
  <c r="C27" i="61"/>
  <c r="I13" i="61"/>
  <c r="I18" i="61"/>
  <c r="G23" i="61"/>
  <c r="I23" i="61"/>
  <c r="I25" i="61"/>
  <c r="G26" i="61"/>
  <c r="I26" i="61"/>
  <c r="I27" i="61"/>
  <c r="C37" i="61"/>
  <c r="G22" i="61"/>
  <c r="I22" i="61"/>
  <c r="G21" i="61"/>
  <c r="I21" i="61"/>
  <c r="G20" i="61"/>
  <c r="I20" i="61"/>
  <c r="G13" i="61"/>
  <c r="G18" i="61"/>
  <c r="G25" i="61"/>
  <c r="G27" i="61"/>
  <c r="C36" i="61"/>
  <c r="G19" i="61"/>
  <c r="C23" i="46"/>
  <c r="C24" i="28"/>
  <c r="V26" i="21"/>
  <c r="D24" i="28"/>
  <c r="E24" i="28"/>
  <c r="C28" i="28"/>
  <c r="V30" i="21"/>
  <c r="D28" i="28"/>
  <c r="E28" i="28"/>
  <c r="C30" i="28"/>
  <c r="V32" i="21"/>
  <c r="D30" i="28"/>
  <c r="E30" i="28"/>
  <c r="C37" i="28"/>
  <c r="V39" i="21"/>
  <c r="D37" i="28"/>
  <c r="E37" i="28"/>
  <c r="C40" i="28"/>
  <c r="V42" i="21"/>
  <c r="D40" i="28"/>
  <c r="E40" i="28"/>
  <c r="C41" i="28"/>
  <c r="V43" i="21"/>
  <c r="D41" i="28"/>
  <c r="E41" i="28"/>
  <c r="C42" i="28"/>
  <c r="V44" i="21"/>
  <c r="D42" i="28"/>
  <c r="E42" i="28"/>
  <c r="C43" i="28"/>
  <c r="V45" i="21"/>
  <c r="D43" i="28"/>
  <c r="E43" i="28"/>
  <c r="C44" i="28"/>
  <c r="V46" i="21"/>
  <c r="D44" i="28"/>
  <c r="E44" i="28"/>
  <c r="C45" i="28"/>
  <c r="V47" i="21"/>
  <c r="D45" i="28"/>
  <c r="E45" i="28"/>
  <c r="C46" i="28"/>
  <c r="V48" i="21"/>
  <c r="D46" i="28"/>
  <c r="E46" i="28"/>
  <c r="C47" i="28"/>
  <c r="V49" i="21"/>
  <c r="D47" i="28"/>
  <c r="E47" i="28"/>
  <c r="C48" i="28"/>
  <c r="V50" i="21"/>
  <c r="D48" i="28"/>
  <c r="E48" i="28"/>
  <c r="C49" i="28"/>
  <c r="V51" i="21"/>
  <c r="D49" i="28"/>
  <c r="E49" i="28"/>
  <c r="C50" i="28"/>
  <c r="V52" i="21"/>
  <c r="D50" i="28"/>
  <c r="E50" i="28"/>
  <c r="C51" i="28"/>
  <c r="V53" i="21"/>
  <c r="D51" i="28"/>
  <c r="E51" i="28"/>
  <c r="C52" i="28"/>
  <c r="V54" i="21"/>
  <c r="D52" i="28"/>
  <c r="E52" i="28"/>
  <c r="C53" i="28"/>
  <c r="V55" i="21"/>
  <c r="D53" i="28"/>
  <c r="E53" i="28"/>
  <c r="E56" i="28"/>
  <c r="I59" i="21"/>
  <c r="P15" i="24"/>
  <c r="Q15" i="24"/>
  <c r="P16" i="24"/>
  <c r="Q16" i="24"/>
  <c r="P17" i="24"/>
  <c r="Q17" i="24"/>
  <c r="P18" i="24"/>
  <c r="Q18" i="24"/>
  <c r="P19" i="24"/>
  <c r="Q19" i="24"/>
  <c r="P20" i="24"/>
  <c r="Q20" i="24"/>
  <c r="P21" i="24"/>
  <c r="Q21" i="24"/>
  <c r="P22" i="24"/>
  <c r="Q22" i="24"/>
  <c r="P23" i="24"/>
  <c r="Q23" i="24"/>
  <c r="P24" i="24"/>
  <c r="Q24" i="24"/>
  <c r="P25" i="24"/>
  <c r="Q25" i="24"/>
  <c r="P26" i="24"/>
  <c r="Q26" i="24"/>
  <c r="P27" i="24"/>
  <c r="Q27" i="24"/>
  <c r="P28" i="24"/>
  <c r="Q28" i="24"/>
  <c r="P29" i="24"/>
  <c r="Q29" i="24"/>
  <c r="P31" i="24"/>
  <c r="Q31" i="24"/>
  <c r="P33" i="24"/>
  <c r="Q33" i="24"/>
  <c r="P47" i="24"/>
  <c r="Q47" i="24"/>
  <c r="P30" i="24"/>
  <c r="Q30" i="24"/>
  <c r="P32" i="24"/>
  <c r="Q32" i="24"/>
  <c r="P45" i="24"/>
  <c r="Q45" i="24"/>
  <c r="P46" i="24"/>
  <c r="Q46" i="24"/>
  <c r="P48" i="24"/>
  <c r="Q48" i="24"/>
  <c r="P44" i="24"/>
  <c r="Q44" i="24"/>
  <c r="P43" i="24"/>
  <c r="Q43" i="24"/>
  <c r="P42" i="24"/>
  <c r="Q42" i="24"/>
  <c r="P49" i="24"/>
  <c r="Q49" i="24"/>
  <c r="P52" i="24"/>
  <c r="Q52" i="24"/>
  <c r="P53" i="24"/>
  <c r="Q53" i="24"/>
  <c r="P54" i="24"/>
  <c r="Q54" i="24"/>
  <c r="P55" i="24"/>
  <c r="Q55" i="24"/>
  <c r="P39" i="24"/>
  <c r="Q39" i="24"/>
  <c r="P50" i="24"/>
  <c r="Q50" i="24"/>
  <c r="P51" i="24"/>
  <c r="Q51" i="24"/>
  <c r="Q62" i="21"/>
  <c r="E34" i="57"/>
  <c r="E33" i="57"/>
  <c r="E32" i="57"/>
  <c r="E31" i="57"/>
  <c r="E30" i="57"/>
  <c r="E29" i="57"/>
  <c r="E28" i="57"/>
  <c r="E27" i="57"/>
  <c r="E26" i="57"/>
  <c r="E25" i="57"/>
  <c r="E24" i="57"/>
  <c r="E23" i="57"/>
  <c r="E22" i="57"/>
  <c r="E21" i="57"/>
  <c r="E14" i="57"/>
  <c r="E15" i="57"/>
  <c r="E16" i="57"/>
  <c r="E18" i="57"/>
  <c r="E17" i="57"/>
  <c r="E19" i="57"/>
  <c r="E20" i="57"/>
  <c r="E36" i="57"/>
  <c r="S55" i="24"/>
  <c r="S54" i="24"/>
  <c r="S53" i="24"/>
  <c r="U52" i="23"/>
  <c r="S52" i="24"/>
  <c r="U51" i="23"/>
  <c r="S51" i="24"/>
  <c r="U50" i="23"/>
  <c r="S50" i="24"/>
  <c r="S49" i="24"/>
  <c r="U48" i="23"/>
  <c r="S48" i="24"/>
  <c r="S47" i="24"/>
  <c r="U46" i="23"/>
  <c r="S46" i="24"/>
  <c r="S45" i="24"/>
  <c r="S44" i="24"/>
  <c r="S43" i="24"/>
  <c r="S42" i="24"/>
  <c r="U41" i="23"/>
  <c r="S41" i="24"/>
  <c r="U40" i="23"/>
  <c r="S40" i="24"/>
  <c r="U39" i="23"/>
  <c r="S39" i="24"/>
  <c r="U38" i="23"/>
  <c r="S38" i="24"/>
  <c r="S33" i="24"/>
  <c r="S32" i="24"/>
  <c r="S31" i="24"/>
  <c r="S30" i="24"/>
  <c r="S29" i="24"/>
  <c r="S28" i="24"/>
  <c r="S27" i="24"/>
  <c r="S26" i="24"/>
  <c r="S25" i="24"/>
  <c r="S24" i="24"/>
  <c r="S23" i="24"/>
  <c r="S22" i="24"/>
  <c r="S21" i="24"/>
  <c r="S20" i="24"/>
  <c r="S19" i="24"/>
  <c r="S18" i="24"/>
  <c r="S17" i="24"/>
  <c r="S16" i="24"/>
  <c r="S15" i="24"/>
  <c r="S11" i="24"/>
  <c r="S10" i="24"/>
  <c r="S9" i="24"/>
  <c r="S8" i="24"/>
  <c r="S7" i="24"/>
  <c r="S6" i="24"/>
  <c r="B9" i="22"/>
  <c r="B9" i="23"/>
  <c r="B9" i="24"/>
  <c r="T9" i="24"/>
  <c r="T64" i="24"/>
  <c r="B6" i="24"/>
  <c r="C6" i="24"/>
  <c r="D6" i="24"/>
  <c r="F6" i="24"/>
  <c r="H6" i="24"/>
  <c r="I6" i="24"/>
  <c r="J6" i="24"/>
  <c r="K6" i="24"/>
  <c r="L6" i="24"/>
  <c r="M6" i="24"/>
  <c r="N6" i="24"/>
  <c r="P6" i="24"/>
  <c r="Q6" i="24"/>
  <c r="T6" i="24"/>
  <c r="B7" i="24"/>
  <c r="C7" i="24"/>
  <c r="D7" i="24"/>
  <c r="F7" i="24"/>
  <c r="H7" i="24"/>
  <c r="I7" i="24"/>
  <c r="J7" i="24"/>
  <c r="K7" i="24"/>
  <c r="L7" i="24"/>
  <c r="M7" i="24"/>
  <c r="N7" i="24"/>
  <c r="P7" i="24"/>
  <c r="Q7" i="24"/>
  <c r="T7" i="24"/>
  <c r="B8" i="24"/>
  <c r="C8" i="24"/>
  <c r="D8" i="24"/>
  <c r="F8" i="24"/>
  <c r="H8" i="24"/>
  <c r="I8" i="24"/>
  <c r="J8" i="24"/>
  <c r="K8" i="24"/>
  <c r="L8" i="24"/>
  <c r="M8" i="24"/>
  <c r="N8" i="24"/>
  <c r="P8" i="24"/>
  <c r="Q8" i="24"/>
  <c r="T8" i="24"/>
  <c r="C10" i="22"/>
  <c r="C10" i="23"/>
  <c r="C10" i="24"/>
  <c r="D10" i="22"/>
  <c r="D10" i="23"/>
  <c r="D10" i="24"/>
  <c r="T10" i="24"/>
  <c r="C11" i="22"/>
  <c r="C11" i="23"/>
  <c r="C11" i="24"/>
  <c r="D11" i="22"/>
  <c r="D11" i="23"/>
  <c r="D11" i="24"/>
  <c r="F11" i="23"/>
  <c r="F11" i="24"/>
  <c r="H11" i="24"/>
  <c r="I11" i="24"/>
  <c r="J11" i="24"/>
  <c r="K11" i="24"/>
  <c r="L11" i="24"/>
  <c r="M11" i="24"/>
  <c r="N11" i="24"/>
  <c r="P11" i="24"/>
  <c r="Q11" i="24"/>
  <c r="T11" i="24"/>
  <c r="C15" i="24"/>
  <c r="F15" i="24"/>
  <c r="T15" i="24"/>
  <c r="C16" i="24"/>
  <c r="F16" i="24"/>
  <c r="T16" i="24"/>
  <c r="C17" i="24"/>
  <c r="F17" i="24"/>
  <c r="T17" i="24"/>
  <c r="C18" i="24"/>
  <c r="F18" i="24"/>
  <c r="T18" i="24"/>
  <c r="C19" i="24"/>
  <c r="F19" i="24"/>
  <c r="T19" i="24"/>
  <c r="C20" i="24"/>
  <c r="F20" i="24"/>
  <c r="T20" i="24"/>
  <c r="C21" i="24"/>
  <c r="F21" i="24"/>
  <c r="T21" i="24"/>
  <c r="C22" i="24"/>
  <c r="F22" i="24"/>
  <c r="T22" i="24"/>
  <c r="C23" i="24"/>
  <c r="F23" i="24"/>
  <c r="T23" i="24"/>
  <c r="C24" i="24"/>
  <c r="F24" i="24"/>
  <c r="T24" i="24"/>
  <c r="C25" i="24"/>
  <c r="F25" i="24"/>
  <c r="T25" i="24"/>
  <c r="K26" i="24"/>
  <c r="C26" i="24"/>
  <c r="H26" i="24"/>
  <c r="J26" i="24"/>
  <c r="T26" i="24"/>
  <c r="C27" i="24"/>
  <c r="F27" i="24"/>
  <c r="T27" i="24"/>
  <c r="K28" i="24"/>
  <c r="F28" i="24"/>
  <c r="C28" i="24"/>
  <c r="H28" i="24"/>
  <c r="I28" i="24"/>
  <c r="J28" i="24"/>
  <c r="L28" i="24"/>
  <c r="T28" i="24"/>
  <c r="K29" i="24"/>
  <c r="C29" i="24"/>
  <c r="F29" i="24"/>
  <c r="H29" i="24"/>
  <c r="I29" i="24"/>
  <c r="J29" i="24"/>
  <c r="L29" i="24"/>
  <c r="T29" i="24"/>
  <c r="C30" i="24"/>
  <c r="I30" i="24"/>
  <c r="T30" i="24"/>
  <c r="C31" i="24"/>
  <c r="F31" i="24"/>
  <c r="T31" i="24"/>
  <c r="C32" i="24"/>
  <c r="H32" i="24"/>
  <c r="I32" i="24"/>
  <c r="J32" i="24"/>
  <c r="L32" i="24"/>
  <c r="T32" i="24"/>
  <c r="C33" i="24"/>
  <c r="F33" i="24"/>
  <c r="T33" i="24"/>
  <c r="T34" i="24"/>
  <c r="C38" i="24"/>
  <c r="D38" i="24"/>
  <c r="F38" i="24"/>
  <c r="H38" i="24"/>
  <c r="I38" i="24"/>
  <c r="J38" i="24"/>
  <c r="L38" i="24"/>
  <c r="M38" i="24"/>
  <c r="N38" i="24"/>
  <c r="T38" i="24"/>
  <c r="K39" i="24"/>
  <c r="C39" i="24"/>
  <c r="D39" i="22"/>
  <c r="D39" i="23"/>
  <c r="D39" i="24"/>
  <c r="H39" i="24"/>
  <c r="I39" i="24"/>
  <c r="J39" i="24"/>
  <c r="L39" i="24"/>
  <c r="M39" i="24"/>
  <c r="N39" i="24"/>
  <c r="T39" i="24"/>
  <c r="K40" i="24"/>
  <c r="C40" i="22"/>
  <c r="C40" i="23"/>
  <c r="C40" i="24"/>
  <c r="D40" i="24"/>
  <c r="F40" i="24"/>
  <c r="H40" i="24"/>
  <c r="I40" i="24"/>
  <c r="J40" i="24"/>
  <c r="L40" i="24"/>
  <c r="M40" i="24"/>
  <c r="N40" i="24"/>
  <c r="T40" i="24"/>
  <c r="K41" i="24"/>
  <c r="C41" i="24"/>
  <c r="D41" i="24"/>
  <c r="F41" i="24"/>
  <c r="H41" i="24"/>
  <c r="I41" i="24"/>
  <c r="J41" i="24"/>
  <c r="L41" i="24"/>
  <c r="M41" i="24"/>
  <c r="N41" i="24"/>
  <c r="T41" i="24"/>
  <c r="C42" i="22"/>
  <c r="C42" i="23"/>
  <c r="C42" i="24"/>
  <c r="H42" i="24"/>
  <c r="I42" i="24"/>
  <c r="J42" i="24"/>
  <c r="L42" i="24"/>
  <c r="M42" i="24"/>
  <c r="N42" i="24"/>
  <c r="T42" i="24"/>
  <c r="C43" i="22"/>
  <c r="C43" i="23"/>
  <c r="C43" i="24"/>
  <c r="M43" i="24"/>
  <c r="N43" i="24"/>
  <c r="T43" i="24"/>
  <c r="K44" i="24"/>
  <c r="C44" i="22"/>
  <c r="C44" i="23"/>
  <c r="C44" i="24"/>
  <c r="H44" i="24"/>
  <c r="I44" i="24"/>
  <c r="J44" i="24"/>
  <c r="L44" i="24"/>
  <c r="M44" i="24"/>
  <c r="N44" i="24"/>
  <c r="T44" i="24"/>
  <c r="C45" i="24"/>
  <c r="H45" i="24"/>
  <c r="I45" i="24"/>
  <c r="J45" i="24"/>
  <c r="L45" i="24"/>
  <c r="M45" i="24"/>
  <c r="N45" i="24"/>
  <c r="T45" i="24"/>
  <c r="K46" i="24"/>
  <c r="C46" i="24"/>
  <c r="H46" i="24"/>
  <c r="I46" i="24"/>
  <c r="J46" i="24"/>
  <c r="L46" i="24"/>
  <c r="M46" i="24"/>
  <c r="N46" i="24"/>
  <c r="T46" i="24"/>
  <c r="C47" i="22"/>
  <c r="C47" i="23"/>
  <c r="C47" i="24"/>
  <c r="H47" i="24"/>
  <c r="I47" i="24"/>
  <c r="J47" i="24"/>
  <c r="L47" i="24"/>
  <c r="M47" i="24"/>
  <c r="N47" i="24"/>
  <c r="T47" i="24"/>
  <c r="K48" i="24"/>
  <c r="C48" i="24"/>
  <c r="H48" i="24"/>
  <c r="I48" i="24"/>
  <c r="J48" i="24"/>
  <c r="L48" i="24"/>
  <c r="M48" i="24"/>
  <c r="N48" i="24"/>
  <c r="T48" i="24"/>
  <c r="C49" i="22"/>
  <c r="C49" i="23"/>
  <c r="C49" i="24"/>
  <c r="H49" i="24"/>
  <c r="I49" i="24"/>
  <c r="J49" i="24"/>
  <c r="L49" i="24"/>
  <c r="M49" i="24"/>
  <c r="N49" i="24"/>
  <c r="T49" i="24"/>
  <c r="K50" i="24"/>
  <c r="C50" i="22"/>
  <c r="C50" i="23"/>
  <c r="C50" i="24"/>
  <c r="H50" i="24"/>
  <c r="I50" i="24"/>
  <c r="J50" i="24"/>
  <c r="L50" i="24"/>
  <c r="M50" i="24"/>
  <c r="N50" i="24"/>
  <c r="T50" i="24"/>
  <c r="K51" i="24"/>
  <c r="C51" i="24"/>
  <c r="H51" i="24"/>
  <c r="I51" i="24"/>
  <c r="J51" i="24"/>
  <c r="L51" i="24"/>
  <c r="M51" i="24"/>
  <c r="N51" i="24"/>
  <c r="T51" i="24"/>
  <c r="K52" i="24"/>
  <c r="C52" i="24"/>
  <c r="H52" i="24"/>
  <c r="I52" i="24"/>
  <c r="J52" i="24"/>
  <c r="L52" i="24"/>
  <c r="M52" i="24"/>
  <c r="N52" i="24"/>
  <c r="T52" i="24"/>
  <c r="C53" i="24"/>
  <c r="H53" i="24"/>
  <c r="I53" i="24"/>
  <c r="J53" i="24"/>
  <c r="L53" i="24"/>
  <c r="M53" i="24"/>
  <c r="N53" i="24"/>
  <c r="T53" i="24"/>
  <c r="K54" i="24"/>
  <c r="C54" i="24"/>
  <c r="H54" i="24"/>
  <c r="I54" i="24"/>
  <c r="J54" i="24"/>
  <c r="L54" i="24"/>
  <c r="M54" i="24"/>
  <c r="N54" i="24"/>
  <c r="T54" i="24"/>
  <c r="K55" i="24"/>
  <c r="C55" i="22"/>
  <c r="C55" i="23"/>
  <c r="C55" i="24"/>
  <c r="H55" i="24"/>
  <c r="I55" i="24"/>
  <c r="J55" i="24"/>
  <c r="L55" i="24"/>
  <c r="M55" i="24"/>
  <c r="N55" i="24"/>
  <c r="T55" i="24"/>
  <c r="T56" i="24"/>
  <c r="T57" i="24"/>
  <c r="F55" i="23"/>
  <c r="W55" i="23"/>
  <c r="F54" i="23"/>
  <c r="W54" i="23"/>
  <c r="F53" i="23"/>
  <c r="W53" i="23"/>
  <c r="F52" i="23"/>
  <c r="W52" i="23"/>
  <c r="F51" i="23"/>
  <c r="W51" i="23"/>
  <c r="F50" i="23"/>
  <c r="W50" i="23"/>
  <c r="F49" i="23"/>
  <c r="W49" i="23"/>
  <c r="F48" i="23"/>
  <c r="W48" i="23"/>
  <c r="F47" i="23"/>
  <c r="W47" i="23"/>
  <c r="F46" i="23"/>
  <c r="W46" i="23"/>
  <c r="F45" i="23"/>
  <c r="W45" i="23"/>
  <c r="F44" i="23"/>
  <c r="W44" i="23"/>
  <c r="F43" i="23"/>
  <c r="W43" i="23"/>
  <c r="F42" i="23"/>
  <c r="W42" i="23"/>
  <c r="F41" i="23"/>
  <c r="W41" i="23"/>
  <c r="F40" i="23"/>
  <c r="W40" i="23"/>
  <c r="F39" i="23"/>
  <c r="W39" i="23"/>
  <c r="F38" i="23"/>
  <c r="W38" i="23"/>
  <c r="W33" i="23"/>
  <c r="W32" i="23"/>
  <c r="W31" i="23"/>
  <c r="W30" i="23"/>
  <c r="W29" i="23"/>
  <c r="W28" i="23"/>
  <c r="W27" i="23"/>
  <c r="W26" i="23"/>
  <c r="W25" i="23"/>
  <c r="W24" i="23"/>
  <c r="W23" i="23"/>
  <c r="W22" i="23"/>
  <c r="W21" i="23"/>
  <c r="W20" i="23"/>
  <c r="W19" i="23"/>
  <c r="W18" i="23"/>
  <c r="W17" i="23"/>
  <c r="W16" i="23"/>
  <c r="W15" i="23"/>
  <c r="W12" i="23"/>
  <c r="W11" i="23"/>
  <c r="W10" i="23"/>
  <c r="C9" i="22"/>
  <c r="C9" i="23"/>
  <c r="D9" i="22"/>
  <c r="D9" i="23"/>
  <c r="W9" i="23"/>
  <c r="W8" i="23"/>
  <c r="W34" i="23"/>
  <c r="W56" i="23"/>
  <c r="W57" i="23"/>
  <c r="F34" i="23"/>
  <c r="F56" i="23"/>
  <c r="F57" i="23"/>
  <c r="B34" i="23"/>
  <c r="B56" i="23"/>
  <c r="B57" i="23"/>
  <c r="C34" i="23"/>
  <c r="C56" i="23"/>
  <c r="C57" i="23"/>
  <c r="D34" i="23"/>
  <c r="D56" i="23"/>
  <c r="D57" i="23"/>
  <c r="G34" i="23"/>
  <c r="G56" i="23"/>
  <c r="G57" i="23"/>
  <c r="W59" i="23"/>
  <c r="L36" i="59"/>
  <c r="M36" i="59"/>
  <c r="K36" i="59"/>
  <c r="I36" i="59"/>
  <c r="H36" i="59"/>
  <c r="G36" i="59"/>
  <c r="E36" i="59"/>
  <c r="D36" i="59"/>
  <c r="C36" i="59"/>
  <c r="B36" i="59"/>
  <c r="F53" i="3"/>
  <c r="F41" i="3"/>
  <c r="F42" i="3"/>
  <c r="F43" i="3"/>
  <c r="F44" i="3"/>
  <c r="F45" i="3"/>
  <c r="F46" i="3"/>
  <c r="F47" i="3"/>
  <c r="F48" i="3"/>
  <c r="F49" i="3"/>
  <c r="F50" i="3"/>
  <c r="F51" i="3"/>
  <c r="F52" i="3"/>
  <c r="F54" i="3"/>
  <c r="F55" i="3"/>
  <c r="F56" i="3"/>
  <c r="F57" i="3"/>
  <c r="F58" i="3"/>
  <c r="F59" i="3"/>
  <c r="H44" i="3"/>
  <c r="H46" i="3"/>
  <c r="H42" i="3"/>
  <c r="H43" i="3"/>
  <c r="H45" i="3"/>
  <c r="H47" i="3"/>
  <c r="H48" i="3"/>
  <c r="H49" i="3"/>
  <c r="H50" i="3"/>
  <c r="H51" i="3"/>
  <c r="H52" i="3"/>
  <c r="H53" i="3"/>
  <c r="H54" i="3"/>
  <c r="H55" i="3"/>
  <c r="H56" i="3"/>
  <c r="H57" i="3"/>
  <c r="H58" i="3"/>
  <c r="H59" i="3"/>
  <c r="G51" i="3"/>
  <c r="G41" i="3"/>
  <c r="G42" i="3"/>
  <c r="G43" i="3"/>
  <c r="G44" i="3"/>
  <c r="G45" i="3"/>
  <c r="G46" i="3"/>
  <c r="G47" i="3"/>
  <c r="G48" i="3"/>
  <c r="G49" i="3"/>
  <c r="G50" i="3"/>
  <c r="G52" i="3"/>
  <c r="G53" i="3"/>
  <c r="G54" i="3"/>
  <c r="G55" i="3"/>
  <c r="G56" i="3"/>
  <c r="G57" i="3"/>
  <c r="G58" i="3"/>
  <c r="G59" i="3"/>
  <c r="F29" i="3"/>
  <c r="D40" i="36"/>
  <c r="N26" i="10"/>
  <c r="N27" i="10"/>
  <c r="N28" i="10"/>
  <c r="I29" i="28"/>
  <c r="V28" i="21"/>
  <c r="D26" i="28"/>
  <c r="D56" i="28"/>
  <c r="N32" i="55"/>
  <c r="R8" i="51"/>
  <c r="R9" i="51"/>
  <c r="R10" i="51"/>
  <c r="R11" i="51"/>
  <c r="R12" i="51"/>
  <c r="R13" i="51"/>
  <c r="R14" i="51"/>
  <c r="R15" i="51"/>
  <c r="R16" i="51"/>
  <c r="R17" i="51"/>
  <c r="R18" i="51"/>
  <c r="R19" i="51"/>
  <c r="R24" i="51"/>
  <c r="R27" i="51"/>
  <c r="R33" i="51"/>
  <c r="P27" i="51"/>
  <c r="R28" i="51"/>
  <c r="O27" i="51"/>
  <c r="P28" i="51"/>
  <c r="N27" i="51"/>
  <c r="O28" i="51"/>
  <c r="M27" i="51"/>
  <c r="N28" i="51"/>
  <c r="B25" i="51"/>
  <c r="F25" i="51"/>
  <c r="B36" i="51"/>
  <c r="C27" i="51"/>
  <c r="C28" i="51"/>
  <c r="C31" i="51"/>
  <c r="C34" i="51"/>
  <c r="B31" i="51"/>
  <c r="B34" i="51"/>
  <c r="C33" i="51"/>
  <c r="B33" i="51"/>
  <c r="G27" i="51"/>
  <c r="G29" i="51"/>
  <c r="G30" i="51"/>
  <c r="G31" i="51"/>
  <c r="F31" i="51"/>
  <c r="P59" i="21"/>
  <c r="D34" i="21"/>
  <c r="D56" i="21"/>
  <c r="D57" i="21"/>
  <c r="B34" i="21"/>
  <c r="B56" i="21"/>
  <c r="B57" i="21"/>
  <c r="D59" i="21"/>
  <c r="J11" i="3"/>
  <c r="M21" i="45"/>
  <c r="N21" i="45"/>
  <c r="O21" i="45"/>
  <c r="M19" i="45"/>
  <c r="N19" i="45"/>
  <c r="O19" i="45"/>
  <c r="M17" i="45"/>
  <c r="N17" i="45"/>
  <c r="O17" i="45"/>
  <c r="M14" i="45"/>
  <c r="N14" i="45"/>
  <c r="O14" i="45"/>
  <c r="M13" i="45"/>
  <c r="N13" i="45"/>
  <c r="O13" i="45"/>
  <c r="M12" i="45"/>
  <c r="N12" i="45"/>
  <c r="O12" i="45"/>
  <c r="K11" i="45"/>
  <c r="M11" i="45"/>
  <c r="N11" i="45"/>
  <c r="O11" i="45"/>
  <c r="M10" i="45"/>
  <c r="N10" i="45"/>
  <c r="O10" i="45"/>
  <c r="D21" i="45"/>
  <c r="E21" i="45"/>
  <c r="F21" i="45"/>
  <c r="G19" i="45"/>
  <c r="D19" i="45"/>
  <c r="E19" i="45"/>
  <c r="F19" i="45"/>
  <c r="D17" i="45"/>
  <c r="E17" i="45"/>
  <c r="F17" i="45"/>
  <c r="D13" i="45"/>
  <c r="E13" i="45"/>
  <c r="F13" i="45"/>
  <c r="D12" i="45"/>
  <c r="E12" i="45"/>
  <c r="F12" i="45"/>
  <c r="B11" i="45"/>
  <c r="D11" i="45"/>
  <c r="E11" i="45"/>
  <c r="F11" i="45"/>
  <c r="G10" i="45"/>
  <c r="B10" i="45"/>
  <c r="D10" i="45"/>
  <c r="E10" i="45"/>
  <c r="F10" i="45"/>
  <c r="G55" i="62"/>
  <c r="G10" i="62"/>
  <c r="G20" i="62"/>
  <c r="G29" i="62"/>
  <c r="G32" i="62"/>
  <c r="G34" i="62"/>
  <c r="G45" i="62"/>
  <c r="G46" i="62"/>
  <c r="G48" i="62"/>
  <c r="G50" i="62"/>
  <c r="G51" i="62"/>
  <c r="G52" i="62"/>
  <c r="G54" i="62"/>
  <c r="G56" i="62"/>
  <c r="G57" i="62"/>
  <c r="H15" i="62"/>
  <c r="H16" i="62"/>
  <c r="H17" i="62"/>
  <c r="H18" i="62"/>
  <c r="H19" i="62"/>
  <c r="H20" i="62"/>
  <c r="H21" i="62"/>
  <c r="H22" i="62"/>
  <c r="H23" i="62"/>
  <c r="H24" i="62"/>
  <c r="H25" i="62"/>
  <c r="H29" i="62"/>
  <c r="H33" i="62"/>
  <c r="M40" i="62"/>
  <c r="M39" i="62"/>
  <c r="H55" i="62"/>
  <c r="H54" i="62"/>
  <c r="H53" i="62"/>
  <c r="H52" i="62"/>
  <c r="H51" i="62"/>
  <c r="H50" i="62"/>
  <c r="H49" i="62"/>
  <c r="H48" i="62"/>
  <c r="H47" i="62"/>
  <c r="H46" i="62"/>
  <c r="H45" i="62"/>
  <c r="H32" i="62"/>
  <c r="H34" i="62"/>
  <c r="H56" i="62"/>
  <c r="H57" i="62"/>
  <c r="B34" i="62"/>
  <c r="B56" i="62"/>
  <c r="B57" i="62"/>
  <c r="H59" i="62"/>
  <c r="H60" i="62"/>
  <c r="D62" i="62"/>
  <c r="D63" i="62"/>
  <c r="B62" i="62"/>
  <c r="B63" i="62"/>
  <c r="G59" i="62"/>
  <c r="G60" i="62"/>
  <c r="F34" i="62"/>
  <c r="F56" i="62"/>
  <c r="F57" i="62"/>
  <c r="D15" i="62"/>
  <c r="D16" i="62"/>
  <c r="D17" i="62"/>
  <c r="D18" i="62"/>
  <c r="D19" i="62"/>
  <c r="D20" i="62"/>
  <c r="D21" i="62"/>
  <c r="D22" i="62"/>
  <c r="D23" i="62"/>
  <c r="D24" i="62"/>
  <c r="D25" i="62"/>
  <c r="D26" i="62"/>
  <c r="D27" i="62"/>
  <c r="D28" i="62"/>
  <c r="D29" i="62"/>
  <c r="D32" i="62"/>
  <c r="D34" i="62"/>
  <c r="D39" i="62"/>
  <c r="D40" i="62"/>
  <c r="D41" i="62"/>
  <c r="D42" i="62"/>
  <c r="D43" i="62"/>
  <c r="D44" i="62"/>
  <c r="D45" i="62"/>
  <c r="D46" i="62"/>
  <c r="D47" i="62"/>
  <c r="D48" i="62"/>
  <c r="D49" i="62"/>
  <c r="D50" i="62"/>
  <c r="D51" i="62"/>
  <c r="D52" i="62"/>
  <c r="D53" i="62"/>
  <c r="D54" i="62"/>
  <c r="D55" i="62"/>
  <c r="D56" i="62"/>
  <c r="D57" i="62"/>
  <c r="V59" i="19"/>
  <c r="O51" i="10"/>
  <c r="O52" i="10"/>
  <c r="B42" i="10"/>
  <c r="B13" i="10"/>
  <c r="B10" i="10"/>
  <c r="H39" i="9"/>
  <c r="M10" i="10"/>
  <c r="N10" i="10"/>
  <c r="H42" i="9"/>
  <c r="M13" i="10"/>
  <c r="N13" i="10"/>
  <c r="N11" i="10"/>
  <c r="N12" i="10"/>
  <c r="N14" i="10"/>
  <c r="N15" i="10"/>
  <c r="N16" i="10"/>
  <c r="N17" i="10"/>
  <c r="N18" i="10"/>
  <c r="N19" i="10"/>
  <c r="N20" i="10"/>
  <c r="N21" i="10"/>
  <c r="N22" i="10"/>
  <c r="N23" i="10"/>
  <c r="N24" i="10"/>
  <c r="N25" i="10"/>
  <c r="N29" i="10"/>
  <c r="B25" i="9"/>
  <c r="B80" i="9"/>
  <c r="B58" i="9"/>
  <c r="B81" i="9"/>
  <c r="C80" i="9"/>
  <c r="C58" i="9"/>
  <c r="C81" i="9"/>
  <c r="D80" i="9"/>
  <c r="D58" i="9"/>
  <c r="D81" i="9"/>
  <c r="E80" i="9"/>
  <c r="E58" i="9"/>
  <c r="E81" i="9"/>
  <c r="F80" i="9"/>
  <c r="F58" i="9"/>
  <c r="F81" i="9"/>
  <c r="B27" i="9"/>
  <c r="B28" i="9"/>
  <c r="B29" i="9"/>
  <c r="L30" i="9"/>
  <c r="L37" i="9"/>
  <c r="L47" i="9"/>
  <c r="O62" i="9"/>
  <c r="O63" i="9"/>
  <c r="O65" i="9"/>
  <c r="O70" i="9"/>
  <c r="O71" i="9"/>
  <c r="O72" i="9"/>
  <c r="O75" i="9"/>
  <c r="O78" i="9"/>
  <c r="O80" i="9"/>
  <c r="O39" i="9"/>
  <c r="O41" i="9"/>
  <c r="O42" i="9"/>
  <c r="O43" i="9"/>
  <c r="O44" i="9"/>
  <c r="O45" i="9"/>
  <c r="O47" i="9"/>
  <c r="O48" i="9"/>
  <c r="O49" i="9"/>
  <c r="O51" i="9"/>
  <c r="O56" i="9"/>
  <c r="O59" i="9"/>
  <c r="O81" i="9"/>
  <c r="P80" i="9"/>
  <c r="P59" i="9"/>
  <c r="P81" i="9"/>
  <c r="R80" i="9"/>
  <c r="R39" i="9"/>
  <c r="R40" i="9"/>
  <c r="R41" i="9"/>
  <c r="R42" i="9"/>
  <c r="R43" i="9"/>
  <c r="R44" i="9"/>
  <c r="R45" i="9"/>
  <c r="R46" i="9"/>
  <c r="R47" i="9"/>
  <c r="R48" i="9"/>
  <c r="R49" i="9"/>
  <c r="R50" i="9"/>
  <c r="R51" i="9"/>
  <c r="R52" i="9"/>
  <c r="R53" i="9"/>
  <c r="R54" i="9"/>
  <c r="R55" i="9"/>
  <c r="R56" i="9"/>
  <c r="R57" i="9"/>
  <c r="R59" i="9"/>
  <c r="N48" i="6"/>
  <c r="N35" i="6"/>
  <c r="N16" i="6"/>
  <c r="N15" i="6"/>
  <c r="N41" i="6"/>
  <c r="N18" i="6"/>
  <c r="N45" i="6"/>
  <c r="N54" i="6"/>
  <c r="N8" i="6"/>
  <c r="N44" i="6"/>
  <c r="N40" i="6"/>
  <c r="N36" i="6"/>
  <c r="N37" i="6"/>
  <c r="N21" i="6"/>
  <c r="N14" i="6"/>
  <c r="N13" i="6"/>
  <c r="N12" i="6"/>
  <c r="N11" i="6"/>
  <c r="N10" i="6"/>
  <c r="N9" i="6"/>
  <c r="B35" i="10"/>
  <c r="C35" i="10"/>
  <c r="D35" i="10"/>
  <c r="F35" i="10"/>
  <c r="G35" i="10"/>
  <c r="H35" i="10"/>
  <c r="I35" i="10"/>
  <c r="J35" i="10"/>
  <c r="L35" i="10"/>
  <c r="N35" i="10"/>
  <c r="V38" i="21"/>
  <c r="Y38" i="23"/>
  <c r="Y39" i="23"/>
  <c r="V40" i="21"/>
  <c r="Y40" i="23"/>
  <c r="V41" i="21"/>
  <c r="Y41" i="23"/>
  <c r="Y42" i="23"/>
  <c r="Y43" i="23"/>
  <c r="Y44" i="23"/>
  <c r="Y45" i="23"/>
  <c r="Y46" i="23"/>
  <c r="Y47" i="23"/>
  <c r="Y48" i="23"/>
  <c r="Y49" i="23"/>
  <c r="Y50" i="23"/>
  <c r="Y51" i="23"/>
  <c r="Y52" i="23"/>
  <c r="Y53" i="23"/>
  <c r="Y54" i="23"/>
  <c r="Y55" i="23"/>
  <c r="Y60" i="23"/>
  <c r="C60" i="51"/>
  <c r="D56" i="51"/>
  <c r="H91" i="51"/>
  <c r="H92" i="51"/>
  <c r="H93" i="51"/>
  <c r="H94" i="51"/>
  <c r="H95" i="51"/>
  <c r="H96" i="51"/>
  <c r="H97" i="51"/>
  <c r="H98" i="51"/>
  <c r="H99" i="51"/>
  <c r="H100" i="51"/>
  <c r="H101" i="51"/>
  <c r="H102" i="51"/>
  <c r="H104" i="51"/>
  <c r="H105" i="51"/>
  <c r="H106" i="51"/>
  <c r="H107" i="51"/>
  <c r="H108" i="51"/>
  <c r="H109" i="51"/>
  <c r="C224" i="51"/>
  <c r="C231" i="51"/>
  <c r="C233" i="51"/>
  <c r="C229" i="51"/>
  <c r="C230" i="51"/>
  <c r="T56" i="23"/>
  <c r="S56" i="23"/>
  <c r="P60" i="21"/>
  <c r="P58" i="21"/>
  <c r="Q34" i="24"/>
  <c r="P34" i="24"/>
  <c r="D56" i="24"/>
  <c r="V33" i="21"/>
  <c r="V33" i="24"/>
  <c r="V32" i="24"/>
  <c r="V31" i="21"/>
  <c r="V31" i="24"/>
  <c r="V30" i="24"/>
  <c r="V29" i="21"/>
  <c r="V29" i="24"/>
  <c r="V28" i="24"/>
  <c r="V27" i="21"/>
  <c r="V27" i="24"/>
  <c r="V26" i="24"/>
  <c r="V25" i="21"/>
  <c r="V25" i="24"/>
  <c r="V24" i="21"/>
  <c r="V24" i="24"/>
  <c r="V23" i="21"/>
  <c r="V23" i="24"/>
  <c r="V22" i="21"/>
  <c r="V22" i="24"/>
  <c r="V21" i="21"/>
  <c r="V21" i="24"/>
  <c r="V20" i="21"/>
  <c r="V20" i="24"/>
  <c r="V19" i="21"/>
  <c r="V19" i="24"/>
  <c r="V18" i="21"/>
  <c r="V18" i="24"/>
  <c r="V17" i="21"/>
  <c r="V17" i="24"/>
  <c r="V16" i="21"/>
  <c r="V16" i="24"/>
  <c r="V15" i="21"/>
  <c r="V15" i="24"/>
  <c r="W57" i="21"/>
  <c r="W57" i="22"/>
  <c r="V57" i="21"/>
  <c r="V57" i="22"/>
  <c r="W56" i="21"/>
  <c r="W56" i="22"/>
  <c r="V56" i="22"/>
  <c r="W55" i="21"/>
  <c r="W55" i="22"/>
  <c r="V55" i="22"/>
  <c r="W54" i="21"/>
  <c r="W54" i="22"/>
  <c r="V54" i="22"/>
  <c r="W53" i="21"/>
  <c r="W53" i="22"/>
  <c r="V53" i="22"/>
  <c r="W52" i="21"/>
  <c r="W52" i="22"/>
  <c r="V52" i="22"/>
  <c r="W51" i="21"/>
  <c r="W51" i="22"/>
  <c r="V51" i="22"/>
  <c r="W50" i="21"/>
  <c r="W50" i="22"/>
  <c r="V50" i="22"/>
  <c r="W49" i="21"/>
  <c r="W49" i="22"/>
  <c r="V49" i="22"/>
  <c r="W48" i="21"/>
  <c r="W48" i="22"/>
  <c r="V48" i="22"/>
  <c r="W47" i="21"/>
  <c r="W47" i="22"/>
  <c r="V47" i="22"/>
  <c r="W46" i="21"/>
  <c r="W46" i="22"/>
  <c r="V46" i="22"/>
  <c r="W45" i="21"/>
  <c r="W45" i="22"/>
  <c r="V45" i="22"/>
  <c r="W44" i="21"/>
  <c r="W44" i="22"/>
  <c r="V44" i="22"/>
  <c r="W43" i="21"/>
  <c r="W43" i="22"/>
  <c r="V43" i="22"/>
  <c r="W42" i="21"/>
  <c r="W42" i="22"/>
  <c r="V42" i="22"/>
  <c r="W41" i="21"/>
  <c r="W41" i="22"/>
  <c r="V41" i="22"/>
  <c r="W40" i="21"/>
  <c r="W40" i="22"/>
  <c r="V40" i="22"/>
  <c r="W39" i="21"/>
  <c r="W39" i="22"/>
  <c r="V39" i="22"/>
  <c r="W38" i="21"/>
  <c r="W38" i="22"/>
  <c r="V38" i="22"/>
  <c r="W34" i="21"/>
  <c r="W34" i="22"/>
  <c r="V34" i="22"/>
  <c r="W33" i="21"/>
  <c r="W33" i="22"/>
  <c r="V33" i="22"/>
  <c r="W32" i="21"/>
  <c r="W32" i="22"/>
  <c r="V32" i="22"/>
  <c r="W31" i="21"/>
  <c r="W31" i="22"/>
  <c r="V31" i="22"/>
  <c r="W30" i="21"/>
  <c r="W30" i="22"/>
  <c r="V30" i="22"/>
  <c r="W29" i="21"/>
  <c r="W29" i="22"/>
  <c r="V29" i="22"/>
  <c r="W28" i="21"/>
  <c r="W28" i="22"/>
  <c r="V28" i="22"/>
  <c r="W27" i="21"/>
  <c r="W27" i="22"/>
  <c r="V27" i="22"/>
  <c r="W26" i="21"/>
  <c r="W26" i="22"/>
  <c r="V26" i="22"/>
  <c r="W25" i="21"/>
  <c r="W25" i="22"/>
  <c r="V25" i="22"/>
  <c r="W24" i="21"/>
  <c r="W24" i="22"/>
  <c r="V24" i="22"/>
  <c r="W23" i="21"/>
  <c r="W23" i="22"/>
  <c r="V23" i="22"/>
  <c r="W22" i="21"/>
  <c r="W22" i="22"/>
  <c r="V22" i="22"/>
  <c r="W21" i="21"/>
  <c r="W21" i="22"/>
  <c r="V21" i="22"/>
  <c r="W20" i="21"/>
  <c r="W20" i="22"/>
  <c r="V20" i="22"/>
  <c r="W19" i="21"/>
  <c r="W19" i="22"/>
  <c r="V19" i="22"/>
  <c r="W18" i="21"/>
  <c r="W18" i="22"/>
  <c r="V18" i="22"/>
  <c r="W17" i="21"/>
  <c r="W17" i="22"/>
  <c r="V17" i="22"/>
  <c r="W16" i="21"/>
  <c r="W16" i="22"/>
  <c r="V16" i="22"/>
  <c r="W15" i="21"/>
  <c r="W15" i="22"/>
  <c r="V15" i="22"/>
  <c r="Z57" i="23"/>
  <c r="Y57" i="23"/>
  <c r="Z56" i="23"/>
  <c r="Y56" i="23"/>
  <c r="Z55" i="23"/>
  <c r="Z54" i="23"/>
  <c r="Z53" i="23"/>
  <c r="Z52" i="23"/>
  <c r="Z51" i="23"/>
  <c r="Z50" i="23"/>
  <c r="Z49" i="23"/>
  <c r="Z48" i="23"/>
  <c r="Z47" i="23"/>
  <c r="Z46" i="23"/>
  <c r="Z45" i="23"/>
  <c r="Z44" i="23"/>
  <c r="Z43" i="23"/>
  <c r="Z42" i="23"/>
  <c r="Z41" i="23"/>
  <c r="Z40" i="23"/>
  <c r="Z39" i="23"/>
  <c r="Z38" i="23"/>
  <c r="Z34" i="23"/>
  <c r="Y34" i="23"/>
  <c r="Z33" i="23"/>
  <c r="Y33" i="23"/>
  <c r="Z32" i="23"/>
  <c r="Y32" i="23"/>
  <c r="Z31" i="23"/>
  <c r="Y31" i="23"/>
  <c r="Z30" i="23"/>
  <c r="Y30" i="23"/>
  <c r="Z29" i="23"/>
  <c r="Y29" i="23"/>
  <c r="Z28" i="23"/>
  <c r="Y28" i="23"/>
  <c r="Z27" i="23"/>
  <c r="Y27" i="23"/>
  <c r="Z26" i="23"/>
  <c r="Y26" i="23"/>
  <c r="Z25" i="23"/>
  <c r="Y25" i="23"/>
  <c r="Z24" i="23"/>
  <c r="Y24" i="23"/>
  <c r="Z23" i="23"/>
  <c r="Y23" i="23"/>
  <c r="Z22" i="23"/>
  <c r="Y22" i="23"/>
  <c r="Z21" i="23"/>
  <c r="Y21" i="23"/>
  <c r="Z20" i="23"/>
  <c r="Y20" i="23"/>
  <c r="Z19" i="23"/>
  <c r="Y19" i="23"/>
  <c r="Z18" i="23"/>
  <c r="Y18" i="23"/>
  <c r="Z17" i="23"/>
  <c r="Y17" i="23"/>
  <c r="Z16" i="23"/>
  <c r="Y16" i="23"/>
  <c r="Z15" i="23"/>
  <c r="Y15" i="23"/>
  <c r="W6" i="21"/>
  <c r="Z6" i="23"/>
  <c r="Y6" i="23"/>
  <c r="W57" i="24"/>
  <c r="V57" i="24"/>
  <c r="W56" i="24"/>
  <c r="V56" i="24"/>
  <c r="W55" i="24"/>
  <c r="V55" i="24"/>
  <c r="W54" i="24"/>
  <c r="V54" i="24"/>
  <c r="W53" i="24"/>
  <c r="V53" i="24"/>
  <c r="W52" i="24"/>
  <c r="V52" i="24"/>
  <c r="W51" i="24"/>
  <c r="V51" i="24"/>
  <c r="W50" i="24"/>
  <c r="V50" i="24"/>
  <c r="W49" i="24"/>
  <c r="V49" i="24"/>
  <c r="W48" i="24"/>
  <c r="V48" i="24"/>
  <c r="W47" i="24"/>
  <c r="V47" i="24"/>
  <c r="W46" i="24"/>
  <c r="V46" i="24"/>
  <c r="W45" i="24"/>
  <c r="V45" i="24"/>
  <c r="W44" i="24"/>
  <c r="V44" i="24"/>
  <c r="W43" i="24"/>
  <c r="V43" i="24"/>
  <c r="W42" i="24"/>
  <c r="V42" i="24"/>
  <c r="W41" i="24"/>
  <c r="V41" i="24"/>
  <c r="W40" i="24"/>
  <c r="V40" i="24"/>
  <c r="W39" i="24"/>
  <c r="V39" i="24"/>
  <c r="W38" i="24"/>
  <c r="V38" i="24"/>
  <c r="W34" i="24"/>
  <c r="V34" i="24"/>
  <c r="W33" i="24"/>
  <c r="W32" i="24"/>
  <c r="W31" i="24"/>
  <c r="W30" i="24"/>
  <c r="W29" i="24"/>
  <c r="W28" i="24"/>
  <c r="W27" i="24"/>
  <c r="W26" i="24"/>
  <c r="W25" i="24"/>
  <c r="W24" i="24"/>
  <c r="W23" i="24"/>
  <c r="W22" i="24"/>
  <c r="W21" i="24"/>
  <c r="W20" i="24"/>
  <c r="W19" i="24"/>
  <c r="W18" i="24"/>
  <c r="W17" i="24"/>
  <c r="W16" i="24"/>
  <c r="W15" i="24"/>
  <c r="W6" i="24"/>
  <c r="V6" i="24"/>
  <c r="W6" i="22"/>
  <c r="V6" i="22"/>
  <c r="B34" i="10"/>
  <c r="C34" i="10"/>
  <c r="D34" i="10"/>
  <c r="F34" i="10"/>
  <c r="G34" i="10"/>
  <c r="H34" i="10"/>
  <c r="I34" i="10"/>
  <c r="J34" i="10"/>
  <c r="L34" i="10"/>
  <c r="N34" i="10"/>
  <c r="B37" i="10"/>
  <c r="C37" i="10"/>
  <c r="D37" i="10"/>
  <c r="F37" i="10"/>
  <c r="G37" i="10"/>
  <c r="H37" i="10"/>
  <c r="I37" i="10"/>
  <c r="J37" i="10"/>
  <c r="L37" i="10"/>
  <c r="N37" i="10"/>
  <c r="B38" i="10"/>
  <c r="C38" i="10"/>
  <c r="D38" i="10"/>
  <c r="F38" i="10"/>
  <c r="G38" i="10"/>
  <c r="H38" i="10"/>
  <c r="I38" i="10"/>
  <c r="J38" i="10"/>
  <c r="L38" i="10"/>
  <c r="N38" i="10"/>
  <c r="B39" i="10"/>
  <c r="C39" i="10"/>
  <c r="D39" i="10"/>
  <c r="F39" i="10"/>
  <c r="G39" i="10"/>
  <c r="H39" i="10"/>
  <c r="I39" i="10"/>
  <c r="J39" i="10"/>
  <c r="L39" i="10"/>
  <c r="N39" i="10"/>
  <c r="B40" i="10"/>
  <c r="C40" i="10"/>
  <c r="D40" i="10"/>
  <c r="F40" i="10"/>
  <c r="G40" i="10"/>
  <c r="H40" i="10"/>
  <c r="I40" i="10"/>
  <c r="J40" i="10"/>
  <c r="L40" i="10"/>
  <c r="N40" i="10"/>
  <c r="B41" i="10"/>
  <c r="C41" i="10"/>
  <c r="D41" i="10"/>
  <c r="F41" i="10"/>
  <c r="G41" i="10"/>
  <c r="H41" i="10"/>
  <c r="I41" i="10"/>
  <c r="J41" i="10"/>
  <c r="L41" i="10"/>
  <c r="N41" i="10"/>
  <c r="C42" i="10"/>
  <c r="D42" i="10"/>
  <c r="F42" i="10"/>
  <c r="G42" i="10"/>
  <c r="H42" i="10"/>
  <c r="I42" i="10"/>
  <c r="J42" i="10"/>
  <c r="L42" i="10"/>
  <c r="H71" i="9"/>
  <c r="M42" i="10"/>
  <c r="N42" i="10"/>
  <c r="B43" i="10"/>
  <c r="C43" i="10"/>
  <c r="D43" i="10"/>
  <c r="F43" i="10"/>
  <c r="G43" i="10"/>
  <c r="H43" i="10"/>
  <c r="I43" i="10"/>
  <c r="J43" i="10"/>
  <c r="L43" i="10"/>
  <c r="N43" i="10"/>
  <c r="B44" i="10"/>
  <c r="C44" i="10"/>
  <c r="D44" i="10"/>
  <c r="F44" i="10"/>
  <c r="G44" i="10"/>
  <c r="H44" i="10"/>
  <c r="I44" i="10"/>
  <c r="J44" i="10"/>
  <c r="L44" i="10"/>
  <c r="N44" i="10"/>
  <c r="B45" i="10"/>
  <c r="C45" i="10"/>
  <c r="D45" i="10"/>
  <c r="F45" i="10"/>
  <c r="G45" i="10"/>
  <c r="H45" i="10"/>
  <c r="I45" i="10"/>
  <c r="J45" i="10"/>
  <c r="L45" i="10"/>
  <c r="N45" i="10"/>
  <c r="B46" i="10"/>
  <c r="C46" i="10"/>
  <c r="D46" i="10"/>
  <c r="F46" i="10"/>
  <c r="G46" i="10"/>
  <c r="H46" i="10"/>
  <c r="I46" i="10"/>
  <c r="J46" i="10"/>
  <c r="L46" i="10"/>
  <c r="N46" i="10"/>
  <c r="B47" i="10"/>
  <c r="C47" i="10"/>
  <c r="D47" i="10"/>
  <c r="F47" i="10"/>
  <c r="G47" i="10"/>
  <c r="H47" i="10"/>
  <c r="I47" i="10"/>
  <c r="J47" i="10"/>
  <c r="L47" i="10"/>
  <c r="N47" i="10"/>
  <c r="B48" i="10"/>
  <c r="C48" i="10"/>
  <c r="D48" i="10"/>
  <c r="F48" i="10"/>
  <c r="G48" i="10"/>
  <c r="H48" i="10"/>
  <c r="I48" i="10"/>
  <c r="J48" i="10"/>
  <c r="K48" i="10"/>
  <c r="L48" i="10"/>
  <c r="N48" i="10"/>
  <c r="B49" i="10"/>
  <c r="C49" i="10"/>
  <c r="D49" i="10"/>
  <c r="F49" i="10"/>
  <c r="G49" i="10"/>
  <c r="H49" i="10"/>
  <c r="I49" i="10"/>
  <c r="J49" i="10"/>
  <c r="K49" i="10"/>
  <c r="L49" i="10"/>
  <c r="N49" i="10"/>
  <c r="B50" i="10"/>
  <c r="C50" i="10"/>
  <c r="D50" i="10"/>
  <c r="F50" i="10"/>
  <c r="G50" i="10"/>
  <c r="H50" i="10"/>
  <c r="I50" i="10"/>
  <c r="J50" i="10"/>
  <c r="K50" i="10"/>
  <c r="L50" i="10"/>
  <c r="N50" i="10"/>
  <c r="N51" i="10"/>
  <c r="M7" i="10"/>
  <c r="N7" i="10"/>
  <c r="N52" i="10"/>
  <c r="M53" i="7"/>
  <c r="V6" i="20"/>
  <c r="V34" i="20"/>
  <c r="V56" i="20"/>
  <c r="V59" i="20"/>
  <c r="V57" i="20"/>
  <c r="W56" i="20"/>
  <c r="W55" i="20"/>
  <c r="V55" i="20"/>
  <c r="W54" i="20"/>
  <c r="V54" i="20"/>
  <c r="W53" i="20"/>
  <c r="V53" i="20"/>
  <c r="W52" i="20"/>
  <c r="V52" i="20"/>
  <c r="W51" i="20"/>
  <c r="V51" i="20"/>
  <c r="W50" i="20"/>
  <c r="V50" i="20"/>
  <c r="W49" i="20"/>
  <c r="V49" i="20"/>
  <c r="W48" i="20"/>
  <c r="V48" i="20"/>
  <c r="W47" i="20"/>
  <c r="V47" i="20"/>
  <c r="W46" i="20"/>
  <c r="V46" i="20"/>
  <c r="W45" i="20"/>
  <c r="V45" i="20"/>
  <c r="W44" i="20"/>
  <c r="V44" i="20"/>
  <c r="W43" i="20"/>
  <c r="V43" i="20"/>
  <c r="W42" i="20"/>
  <c r="V42" i="20"/>
  <c r="W41" i="20"/>
  <c r="V41" i="20"/>
  <c r="W40" i="20"/>
  <c r="V40" i="20"/>
  <c r="W39" i="20"/>
  <c r="V39" i="20"/>
  <c r="W38" i="20"/>
  <c r="V38" i="20"/>
  <c r="W34" i="20"/>
  <c r="W33" i="20"/>
  <c r="V33" i="20"/>
  <c r="W32" i="20"/>
  <c r="V32" i="20"/>
  <c r="W31" i="20"/>
  <c r="V31" i="20"/>
  <c r="W30" i="20"/>
  <c r="V30" i="20"/>
  <c r="W29" i="20"/>
  <c r="V29" i="20"/>
  <c r="W28" i="20"/>
  <c r="V28" i="20"/>
  <c r="W27" i="20"/>
  <c r="V27" i="20"/>
  <c r="W26" i="20"/>
  <c r="V26" i="20"/>
  <c r="W25" i="20"/>
  <c r="V25" i="20"/>
  <c r="W24" i="20"/>
  <c r="V24" i="20"/>
  <c r="W23" i="20"/>
  <c r="V23" i="20"/>
  <c r="W22" i="20"/>
  <c r="V22" i="20"/>
  <c r="W21" i="20"/>
  <c r="V21" i="20"/>
  <c r="W20" i="20"/>
  <c r="V20" i="20"/>
  <c r="W19" i="20"/>
  <c r="V19" i="20"/>
  <c r="W18" i="20"/>
  <c r="V18" i="20"/>
  <c r="W17" i="20"/>
  <c r="V17" i="20"/>
  <c r="W16" i="20"/>
  <c r="V16" i="20"/>
  <c r="W15" i="20"/>
  <c r="V15" i="20"/>
  <c r="W6" i="20"/>
  <c r="C57" i="20"/>
  <c r="C9" i="46"/>
  <c r="G232" i="51"/>
  <c r="G227" i="51"/>
  <c r="G226" i="51"/>
  <c r="G225" i="51"/>
  <c r="G223" i="51"/>
  <c r="G222" i="51"/>
  <c r="G221" i="51"/>
  <c r="G220" i="51"/>
  <c r="G219" i="51"/>
  <c r="G218" i="51"/>
  <c r="G217" i="51"/>
  <c r="G216" i="51"/>
  <c r="V2" i="22"/>
  <c r="Y2" i="23"/>
  <c r="V2" i="24"/>
  <c r="T59" i="21"/>
  <c r="K26" i="28"/>
  <c r="L62" i="8"/>
  <c r="H29" i="56"/>
  <c r="AD50" i="47"/>
  <c r="AD46" i="47"/>
  <c r="AD44" i="47"/>
  <c r="AD42" i="47"/>
  <c r="AD40" i="47"/>
  <c r="AD39" i="47"/>
  <c r="AD35" i="47"/>
  <c r="AD30" i="47"/>
  <c r="AD29" i="47"/>
  <c r="AD27" i="47"/>
  <c r="AD22" i="47"/>
  <c r="AD21" i="47"/>
  <c r="AD20" i="47"/>
  <c r="AD19" i="47"/>
  <c r="AD18" i="47"/>
  <c r="AD17" i="47"/>
  <c r="AD16" i="47"/>
  <c r="AD15" i="47"/>
  <c r="AD14" i="47"/>
  <c r="AD13" i="47"/>
  <c r="AF54" i="47"/>
  <c r="K82" i="3"/>
  <c r="L82" i="3"/>
  <c r="C55" i="3"/>
  <c r="C56" i="3"/>
  <c r="O36" i="47"/>
  <c r="O29" i="47"/>
  <c r="AB29" i="47"/>
  <c r="AH17" i="47"/>
  <c r="AH19" i="47"/>
  <c r="AH21" i="47"/>
  <c r="AH30" i="47"/>
  <c r="AH46" i="47"/>
  <c r="O27" i="47"/>
  <c r="AB27" i="47"/>
  <c r="L36" i="56"/>
  <c r="O52" i="47"/>
  <c r="O51" i="47"/>
  <c r="O50" i="47"/>
  <c r="AB50" i="47"/>
  <c r="O49" i="47"/>
  <c r="O48" i="47"/>
  <c r="O47" i="47"/>
  <c r="O46" i="47"/>
  <c r="AB46" i="47"/>
  <c r="O45" i="47"/>
  <c r="O44" i="47"/>
  <c r="AB44" i="47"/>
  <c r="O43" i="47"/>
  <c r="O42" i="47"/>
  <c r="AB42" i="47"/>
  <c r="O41" i="47"/>
  <c r="AA58" i="48"/>
  <c r="AA42" i="48"/>
  <c r="AA43" i="48"/>
  <c r="AA44" i="48"/>
  <c r="AA45" i="48"/>
  <c r="AA46" i="48"/>
  <c r="AA47" i="48"/>
  <c r="AA48" i="48"/>
  <c r="AA49" i="48"/>
  <c r="AA50" i="48"/>
  <c r="AA51" i="48"/>
  <c r="AA52" i="48"/>
  <c r="AA53" i="48"/>
  <c r="O40" i="47"/>
  <c r="AB40" i="47"/>
  <c r="O39" i="47"/>
  <c r="AB39" i="47"/>
  <c r="B234" i="51"/>
  <c r="F234" i="51"/>
  <c r="N33" i="55"/>
  <c r="H50" i="48"/>
  <c r="H25" i="48"/>
  <c r="C50" i="48"/>
  <c r="H55" i="48"/>
  <c r="H30" i="48"/>
  <c r="C55" i="48"/>
  <c r="H56" i="48"/>
  <c r="H31" i="48"/>
  <c r="C56" i="48"/>
  <c r="H59" i="48"/>
  <c r="H34" i="48"/>
  <c r="C59" i="48"/>
  <c r="C144" i="50"/>
  <c r="B144" i="50"/>
  <c r="C143" i="50"/>
  <c r="B143" i="50"/>
  <c r="C142" i="50"/>
  <c r="B142" i="50"/>
  <c r="C140" i="50"/>
  <c r="B140" i="50"/>
  <c r="C139" i="50"/>
  <c r="B139" i="50"/>
  <c r="C138" i="50"/>
  <c r="B138" i="50"/>
  <c r="C136" i="50"/>
  <c r="B136" i="50"/>
  <c r="C135" i="50"/>
  <c r="B135" i="50"/>
  <c r="C134" i="50"/>
  <c r="B134" i="50"/>
  <c r="C133" i="50"/>
  <c r="B133" i="50"/>
  <c r="O28" i="45"/>
  <c r="O51" i="45"/>
  <c r="M28" i="45"/>
  <c r="M51" i="45"/>
  <c r="K28" i="45"/>
  <c r="K51" i="45"/>
  <c r="N28" i="45"/>
  <c r="L28" i="45"/>
  <c r="F28" i="45"/>
  <c r="F51" i="45"/>
  <c r="D28" i="45"/>
  <c r="D51" i="45"/>
  <c r="B28" i="45"/>
  <c r="B51" i="45"/>
  <c r="E28" i="45"/>
  <c r="C28" i="45"/>
  <c r="L77" i="53"/>
  <c r="L54" i="53"/>
  <c r="L29" i="53"/>
  <c r="F10" i="34"/>
  <c r="G10" i="34"/>
  <c r="F11" i="34"/>
  <c r="G11" i="34"/>
  <c r="G224" i="51"/>
  <c r="G229" i="51"/>
  <c r="G230" i="51"/>
  <c r="G231" i="51"/>
  <c r="G233" i="51"/>
  <c r="G234" i="51"/>
  <c r="B245" i="51"/>
  <c r="C236" i="51"/>
  <c r="C237" i="51"/>
  <c r="B240" i="51"/>
  <c r="B243" i="51"/>
  <c r="B242" i="51"/>
  <c r="G239" i="51"/>
  <c r="G238" i="51"/>
  <c r="G236" i="51"/>
  <c r="G240" i="51"/>
  <c r="F240" i="51"/>
  <c r="Q233" i="51"/>
  <c r="Q228" i="51"/>
  <c r="Q227" i="51"/>
  <c r="Q226" i="51"/>
  <c r="Q225" i="51"/>
  <c r="Q224" i="51"/>
  <c r="Q223" i="51"/>
  <c r="Q222" i="51"/>
  <c r="Q221" i="51"/>
  <c r="Q220" i="51"/>
  <c r="Q219" i="51"/>
  <c r="Q218" i="51"/>
  <c r="Q217" i="51"/>
  <c r="Q236" i="51"/>
  <c r="Q242" i="51"/>
  <c r="P236" i="51"/>
  <c r="Q237" i="51"/>
  <c r="O236" i="51"/>
  <c r="P237" i="51"/>
  <c r="N236" i="51"/>
  <c r="O237" i="51"/>
  <c r="M236" i="51"/>
  <c r="N237" i="51"/>
  <c r="W66" i="51"/>
  <c r="W67" i="51"/>
  <c r="W68" i="51"/>
  <c r="W69" i="51"/>
  <c r="W70" i="51"/>
  <c r="W71" i="51"/>
  <c r="W72" i="51"/>
  <c r="W73" i="51"/>
  <c r="W74" i="51"/>
  <c r="W75" i="51"/>
  <c r="W76" i="51"/>
  <c r="W77" i="51"/>
  <c r="W80" i="51"/>
  <c r="W82" i="51"/>
  <c r="W83" i="51"/>
  <c r="W84" i="51"/>
  <c r="W91" i="51"/>
  <c r="W92" i="51"/>
  <c r="W93" i="51"/>
  <c r="W94" i="51"/>
  <c r="W95" i="51"/>
  <c r="W96" i="51"/>
  <c r="W97" i="51"/>
  <c r="W98" i="51"/>
  <c r="W99" i="51"/>
  <c r="W100" i="51"/>
  <c r="W101" i="51"/>
  <c r="W102" i="51"/>
  <c r="W105" i="51"/>
  <c r="W107" i="51"/>
  <c r="W108" i="51"/>
  <c r="W109" i="51"/>
  <c r="W114" i="51"/>
  <c r="W115" i="51"/>
  <c r="W116" i="51"/>
  <c r="W117" i="51"/>
  <c r="W118" i="51"/>
  <c r="W119" i="51"/>
  <c r="W120" i="51"/>
  <c r="W121" i="51"/>
  <c r="W122" i="51"/>
  <c r="W123" i="51"/>
  <c r="W124" i="51"/>
  <c r="W125" i="51"/>
  <c r="W128" i="51"/>
  <c r="W131" i="51"/>
  <c r="W132" i="51"/>
  <c r="W137" i="51"/>
  <c r="W138" i="51"/>
  <c r="W139" i="51"/>
  <c r="W140" i="51"/>
  <c r="W141" i="51"/>
  <c r="W142" i="51"/>
  <c r="W143" i="51"/>
  <c r="W144" i="51"/>
  <c r="W145" i="51"/>
  <c r="W146" i="51"/>
  <c r="W147" i="51"/>
  <c r="W148" i="51"/>
  <c r="W151" i="51"/>
  <c r="W154" i="51"/>
  <c r="W155" i="51"/>
  <c r="W159" i="51"/>
  <c r="W160" i="51"/>
  <c r="W161" i="51"/>
  <c r="W162" i="51"/>
  <c r="W163" i="51"/>
  <c r="W164" i="51"/>
  <c r="W165" i="51"/>
  <c r="W166" i="51"/>
  <c r="W167" i="51"/>
  <c r="W168" i="51"/>
  <c r="W169" i="51"/>
  <c r="W170" i="51"/>
  <c r="W173" i="51"/>
  <c r="W176" i="51"/>
  <c r="W177" i="51"/>
  <c r="W181" i="51"/>
  <c r="W182" i="51"/>
  <c r="W183" i="51"/>
  <c r="W184" i="51"/>
  <c r="W185" i="51"/>
  <c r="W186" i="51"/>
  <c r="W187" i="51"/>
  <c r="W188" i="51"/>
  <c r="W189" i="51"/>
  <c r="W190" i="51"/>
  <c r="W191" i="51"/>
  <c r="W192" i="51"/>
  <c r="W195" i="51"/>
  <c r="W199" i="51"/>
  <c r="W54" i="51"/>
  <c r="U84" i="51"/>
  <c r="U109" i="51"/>
  <c r="U132" i="51"/>
  <c r="U155" i="51"/>
  <c r="U177" i="51"/>
  <c r="U199" i="51"/>
  <c r="U54" i="51"/>
  <c r="W55" i="51"/>
  <c r="V54" i="51"/>
  <c r="T84" i="51"/>
  <c r="T109" i="51"/>
  <c r="T132" i="51"/>
  <c r="T155" i="51"/>
  <c r="T177" i="51"/>
  <c r="T199" i="51"/>
  <c r="T54" i="51"/>
  <c r="V55" i="51"/>
  <c r="U55" i="51"/>
  <c r="S54" i="51"/>
  <c r="T55" i="51"/>
  <c r="R54" i="51"/>
  <c r="S55" i="51"/>
  <c r="J159" i="51"/>
  <c r="J181" i="51"/>
  <c r="F91" i="51"/>
  <c r="J160" i="51"/>
  <c r="J182" i="51"/>
  <c r="F92" i="51"/>
  <c r="J161" i="51"/>
  <c r="J183" i="51"/>
  <c r="F93" i="51"/>
  <c r="J162" i="51"/>
  <c r="J184" i="51"/>
  <c r="F94" i="51"/>
  <c r="J163" i="51"/>
  <c r="J185" i="51"/>
  <c r="F95" i="51"/>
  <c r="J164" i="51"/>
  <c r="J186" i="51"/>
  <c r="F96" i="51"/>
  <c r="J165" i="51"/>
  <c r="J187" i="51"/>
  <c r="F97" i="51"/>
  <c r="J166" i="51"/>
  <c r="J188" i="51"/>
  <c r="F98" i="51"/>
  <c r="J167" i="51"/>
  <c r="J189" i="51"/>
  <c r="F99" i="51"/>
  <c r="J168" i="51"/>
  <c r="J190" i="51"/>
  <c r="F100" i="51"/>
  <c r="J169" i="51"/>
  <c r="J191" i="51"/>
  <c r="F101" i="51"/>
  <c r="J170" i="51"/>
  <c r="J192" i="51"/>
  <c r="F102" i="51"/>
  <c r="J172" i="51"/>
  <c r="J194" i="51"/>
  <c r="F104" i="51"/>
  <c r="J173" i="51"/>
  <c r="J195" i="51"/>
  <c r="F105" i="51"/>
  <c r="J174" i="51"/>
  <c r="J196" i="51"/>
  <c r="F106" i="51"/>
  <c r="J175" i="51"/>
  <c r="J197" i="51"/>
  <c r="F107" i="51"/>
  <c r="J176" i="51"/>
  <c r="J198" i="51"/>
  <c r="F108" i="51"/>
  <c r="F109" i="51"/>
  <c r="X54" i="47"/>
  <c r="W54" i="47"/>
  <c r="V54" i="47"/>
  <c r="U54" i="47"/>
  <c r="T54" i="47"/>
  <c r="R15" i="54"/>
  <c r="V83" i="53"/>
  <c r="U83" i="53"/>
  <c r="V60" i="53"/>
  <c r="U60" i="53"/>
  <c r="V35" i="53"/>
  <c r="U35" i="53"/>
  <c r="AF109" i="51"/>
  <c r="AF155" i="51"/>
  <c r="AF199" i="51"/>
  <c r="AG54" i="51"/>
  <c r="AD109" i="51"/>
  <c r="AD155" i="51"/>
  <c r="AD199" i="51"/>
  <c r="AE54" i="51"/>
  <c r="AG55" i="51"/>
  <c r="AD54" i="51"/>
  <c r="AE55" i="51"/>
  <c r="AC54" i="51"/>
  <c r="AD55" i="51"/>
  <c r="AB54" i="51"/>
  <c r="AC55" i="51"/>
  <c r="Z109" i="51"/>
  <c r="Z155" i="51"/>
  <c r="Z199" i="51"/>
  <c r="AA54" i="51"/>
  <c r="AB55" i="51"/>
  <c r="Q84" i="51"/>
  <c r="Q109" i="51"/>
  <c r="Q132" i="51"/>
  <c r="Q155" i="51"/>
  <c r="Q177" i="51"/>
  <c r="Q199" i="51"/>
  <c r="Q54" i="51"/>
  <c r="R55" i="51"/>
  <c r="AE109" i="51"/>
  <c r="AE155" i="51"/>
  <c r="AE199" i="51"/>
  <c r="AF54" i="51"/>
  <c r="V106" i="50"/>
  <c r="T106" i="50"/>
  <c r="R106" i="50"/>
  <c r="Q106" i="50"/>
  <c r="V83" i="50"/>
  <c r="V60" i="50"/>
  <c r="V35" i="50"/>
  <c r="AJ60" i="48"/>
  <c r="AI60" i="48"/>
  <c r="AH60" i="48"/>
  <c r="AG60" i="48"/>
  <c r="V60" i="48"/>
  <c r="V35" i="48"/>
  <c r="T35" i="48"/>
  <c r="W37" i="3"/>
  <c r="W59" i="3"/>
  <c r="W82" i="3"/>
  <c r="W103" i="3"/>
  <c r="W129" i="3"/>
  <c r="W152" i="3"/>
  <c r="W14" i="3"/>
  <c r="U37" i="3"/>
  <c r="U59" i="3"/>
  <c r="U82" i="3"/>
  <c r="U103" i="3"/>
  <c r="U129" i="3"/>
  <c r="U152" i="3"/>
  <c r="U14" i="3"/>
  <c r="V14" i="3"/>
  <c r="AE139" i="3"/>
  <c r="AD139" i="3"/>
  <c r="AB139" i="3"/>
  <c r="AA139" i="3"/>
  <c r="F26" i="30"/>
  <c r="E26" i="30"/>
  <c r="D26" i="30"/>
  <c r="C26" i="30"/>
  <c r="K11" i="38"/>
  <c r="L4" i="38"/>
  <c r="L5" i="38"/>
  <c r="L6" i="38"/>
  <c r="L7" i="38"/>
  <c r="L8" i="38"/>
  <c r="L9" i="38"/>
  <c r="L10" i="38"/>
  <c r="L11" i="38"/>
  <c r="E51" i="10"/>
  <c r="E29" i="10"/>
  <c r="Q51" i="10"/>
  <c r="Q29" i="10"/>
  <c r="Q52" i="10"/>
  <c r="P51" i="10"/>
  <c r="P29" i="10"/>
  <c r="P52" i="10"/>
  <c r="N60" i="6"/>
  <c r="L60" i="6"/>
  <c r="R49" i="8"/>
  <c r="I26" i="8"/>
  <c r="I39" i="8"/>
  <c r="I40" i="8"/>
  <c r="S60" i="51"/>
  <c r="J66" i="51"/>
  <c r="J91" i="51"/>
  <c r="J114" i="51"/>
  <c r="J137" i="51"/>
  <c r="F66" i="51"/>
  <c r="O35" i="47"/>
  <c r="AB35" i="47"/>
  <c r="M1" i="22"/>
  <c r="O37" i="47"/>
  <c r="O38" i="47"/>
  <c r="F32" i="3"/>
  <c r="E25" i="49"/>
  <c r="F33" i="3"/>
  <c r="E26" i="49"/>
  <c r="F35" i="3"/>
  <c r="E28" i="49"/>
  <c r="Z58" i="48"/>
  <c r="J58" i="48"/>
  <c r="Z42" i="48"/>
  <c r="J42" i="48"/>
  <c r="Z43" i="48"/>
  <c r="J43" i="48"/>
  <c r="Z44" i="48"/>
  <c r="J44" i="48"/>
  <c r="Z45" i="48"/>
  <c r="J45" i="48"/>
  <c r="Z46" i="48"/>
  <c r="J46" i="48"/>
  <c r="Z47" i="48"/>
  <c r="J47" i="48"/>
  <c r="Z48" i="48"/>
  <c r="J48" i="48"/>
  <c r="Z49" i="48"/>
  <c r="J49" i="48"/>
  <c r="Z50" i="48"/>
  <c r="J50" i="48"/>
  <c r="Z51" i="48"/>
  <c r="J51" i="48"/>
  <c r="Z52" i="48"/>
  <c r="J52" i="48"/>
  <c r="Z53" i="48"/>
  <c r="J53" i="48"/>
  <c r="J55" i="48"/>
  <c r="J56" i="48"/>
  <c r="J57" i="48"/>
  <c r="J59" i="48"/>
  <c r="J60" i="48"/>
  <c r="F58" i="48"/>
  <c r="J33" i="48"/>
  <c r="J17" i="48"/>
  <c r="J18" i="48"/>
  <c r="J19" i="48"/>
  <c r="J20" i="48"/>
  <c r="J21" i="48"/>
  <c r="J22" i="48"/>
  <c r="J23" i="48"/>
  <c r="J24" i="48"/>
  <c r="J25" i="48"/>
  <c r="J26" i="48"/>
  <c r="J27" i="48"/>
  <c r="J28" i="48"/>
  <c r="J30" i="48"/>
  <c r="J31" i="48"/>
  <c r="J32" i="48"/>
  <c r="J34" i="48"/>
  <c r="J35" i="48"/>
  <c r="F33" i="48"/>
  <c r="B58" i="48"/>
  <c r="I6" i="53"/>
  <c r="J30" i="53"/>
  <c r="J55" i="53"/>
  <c r="I4" i="53"/>
  <c r="J78" i="53"/>
  <c r="J101" i="53"/>
  <c r="J123" i="53"/>
  <c r="F30" i="53"/>
  <c r="J17" i="53"/>
  <c r="J42" i="53"/>
  <c r="J65" i="53"/>
  <c r="J88" i="53"/>
  <c r="J110" i="53"/>
  <c r="F17" i="53"/>
  <c r="J18" i="53"/>
  <c r="J43" i="53"/>
  <c r="J66" i="53"/>
  <c r="J89" i="53"/>
  <c r="J111" i="53"/>
  <c r="F18" i="53"/>
  <c r="J19" i="53"/>
  <c r="J44" i="53"/>
  <c r="J67" i="53"/>
  <c r="J90" i="53"/>
  <c r="J112" i="53"/>
  <c r="F19" i="53"/>
  <c r="J20" i="53"/>
  <c r="J45" i="53"/>
  <c r="J68" i="53"/>
  <c r="J91" i="53"/>
  <c r="J113" i="53"/>
  <c r="F20" i="53"/>
  <c r="J21" i="53"/>
  <c r="J46" i="53"/>
  <c r="J69" i="53"/>
  <c r="J92" i="53"/>
  <c r="J114" i="53"/>
  <c r="F21" i="53"/>
  <c r="J22" i="53"/>
  <c r="J47" i="53"/>
  <c r="J70" i="53"/>
  <c r="J93" i="53"/>
  <c r="J115" i="53"/>
  <c r="F22" i="53"/>
  <c r="J23" i="53"/>
  <c r="J48" i="53"/>
  <c r="J71" i="53"/>
  <c r="J94" i="53"/>
  <c r="J116" i="53"/>
  <c r="F23" i="53"/>
  <c r="J24" i="53"/>
  <c r="J49" i="53"/>
  <c r="J72" i="53"/>
  <c r="J95" i="53"/>
  <c r="J117" i="53"/>
  <c r="F24" i="53"/>
  <c r="J25" i="53"/>
  <c r="J50" i="53"/>
  <c r="J73" i="53"/>
  <c r="J96" i="53"/>
  <c r="J118" i="53"/>
  <c r="F25" i="53"/>
  <c r="J26" i="53"/>
  <c r="J51" i="53"/>
  <c r="J74" i="53"/>
  <c r="J97" i="53"/>
  <c r="J119" i="53"/>
  <c r="F26" i="53"/>
  <c r="J27" i="53"/>
  <c r="J52" i="53"/>
  <c r="J75" i="53"/>
  <c r="J98" i="53"/>
  <c r="J120" i="53"/>
  <c r="F27" i="53"/>
  <c r="J28" i="53"/>
  <c r="J53" i="53"/>
  <c r="J76" i="53"/>
  <c r="J99" i="53"/>
  <c r="J121" i="53"/>
  <c r="F28" i="53"/>
  <c r="J31" i="53"/>
  <c r="J56" i="53"/>
  <c r="J79" i="53"/>
  <c r="J102" i="53"/>
  <c r="J124" i="53"/>
  <c r="F31" i="53"/>
  <c r="J32" i="53"/>
  <c r="J57" i="53"/>
  <c r="J80" i="53"/>
  <c r="J103" i="53"/>
  <c r="J125" i="53"/>
  <c r="F32" i="53"/>
  <c r="J33" i="53"/>
  <c r="J58" i="53"/>
  <c r="J81" i="53"/>
  <c r="J104" i="53"/>
  <c r="J126" i="53"/>
  <c r="F33" i="53"/>
  <c r="J34" i="53"/>
  <c r="J59" i="53"/>
  <c r="J82" i="53"/>
  <c r="J105" i="53"/>
  <c r="J127" i="53"/>
  <c r="F34" i="53"/>
  <c r="F35" i="53"/>
  <c r="B55" i="53"/>
  <c r="K36" i="56"/>
  <c r="F30" i="56"/>
  <c r="B56" i="53"/>
  <c r="F31" i="56"/>
  <c r="B58" i="53"/>
  <c r="F33" i="56"/>
  <c r="J79" i="51"/>
  <c r="J104" i="51"/>
  <c r="J127" i="51"/>
  <c r="J150" i="51"/>
  <c r="F79" i="51"/>
  <c r="J67" i="51"/>
  <c r="J92" i="51"/>
  <c r="J115" i="51"/>
  <c r="J138" i="51"/>
  <c r="F67" i="51"/>
  <c r="J68" i="51"/>
  <c r="J93" i="51"/>
  <c r="J116" i="51"/>
  <c r="J139" i="51"/>
  <c r="F68" i="51"/>
  <c r="J69" i="51"/>
  <c r="J94" i="51"/>
  <c r="J117" i="51"/>
  <c r="J140" i="51"/>
  <c r="F69" i="51"/>
  <c r="J70" i="51"/>
  <c r="J95" i="51"/>
  <c r="J118" i="51"/>
  <c r="J141" i="51"/>
  <c r="F70" i="51"/>
  <c r="J71" i="51"/>
  <c r="J96" i="51"/>
  <c r="J119" i="51"/>
  <c r="J142" i="51"/>
  <c r="F71" i="51"/>
  <c r="J72" i="51"/>
  <c r="J97" i="51"/>
  <c r="J120" i="51"/>
  <c r="J143" i="51"/>
  <c r="F72" i="51"/>
  <c r="J73" i="51"/>
  <c r="J98" i="51"/>
  <c r="J121" i="51"/>
  <c r="J144" i="51"/>
  <c r="F73" i="51"/>
  <c r="J74" i="51"/>
  <c r="J99" i="51"/>
  <c r="J122" i="51"/>
  <c r="J145" i="51"/>
  <c r="F74" i="51"/>
  <c r="J75" i="51"/>
  <c r="J100" i="51"/>
  <c r="J123" i="51"/>
  <c r="J146" i="51"/>
  <c r="F75" i="51"/>
  <c r="J76" i="51"/>
  <c r="J101" i="51"/>
  <c r="J124" i="51"/>
  <c r="J147" i="51"/>
  <c r="F76" i="51"/>
  <c r="J77" i="51"/>
  <c r="J102" i="51"/>
  <c r="J125" i="51"/>
  <c r="J148" i="51"/>
  <c r="F77" i="51"/>
  <c r="J80" i="51"/>
  <c r="J105" i="51"/>
  <c r="J128" i="51"/>
  <c r="J151" i="51"/>
  <c r="F80" i="51"/>
  <c r="J81" i="51"/>
  <c r="J106" i="51"/>
  <c r="J129" i="51"/>
  <c r="J152" i="51"/>
  <c r="F81" i="51"/>
  <c r="J82" i="51"/>
  <c r="J107" i="51"/>
  <c r="J130" i="51"/>
  <c r="J153" i="51"/>
  <c r="F82" i="51"/>
  <c r="J83" i="51"/>
  <c r="J108" i="51"/>
  <c r="J131" i="51"/>
  <c r="J154" i="51"/>
  <c r="F83" i="51"/>
  <c r="F84" i="51"/>
  <c r="F42" i="48"/>
  <c r="F17" i="48"/>
  <c r="B42" i="48"/>
  <c r="R41" i="54"/>
  <c r="B12" i="54"/>
  <c r="J17" i="50"/>
  <c r="AD15" i="54"/>
  <c r="AD36" i="54"/>
  <c r="AD44" i="54"/>
  <c r="R40" i="54"/>
  <c r="B37" i="54"/>
  <c r="J42" i="50"/>
  <c r="J65" i="50"/>
  <c r="S41" i="54"/>
  <c r="B13" i="54"/>
  <c r="J18" i="50"/>
  <c r="T41" i="54"/>
  <c r="B14" i="54"/>
  <c r="J19" i="50"/>
  <c r="U41" i="54"/>
  <c r="B15" i="54"/>
  <c r="J20" i="50"/>
  <c r="W41" i="54"/>
  <c r="B17" i="54"/>
  <c r="J22" i="50"/>
  <c r="AD24" i="54"/>
  <c r="AD25" i="54"/>
  <c r="AD26" i="54"/>
  <c r="AD27" i="54"/>
  <c r="AD28" i="54"/>
  <c r="AD29" i="54"/>
  <c r="AD41" i="54"/>
  <c r="B18" i="54"/>
  <c r="J23" i="50"/>
  <c r="Y41" i="54"/>
  <c r="B19" i="54"/>
  <c r="J24" i="50"/>
  <c r="AA41" i="54"/>
  <c r="B21" i="54"/>
  <c r="J26" i="50"/>
  <c r="AB41" i="54"/>
  <c r="B22" i="54"/>
  <c r="J27" i="50"/>
  <c r="AC41" i="54"/>
  <c r="B23" i="54"/>
  <c r="J28" i="50"/>
  <c r="V41" i="54"/>
  <c r="B16" i="54"/>
  <c r="J21" i="50"/>
  <c r="Z41" i="54"/>
  <c r="B20" i="54"/>
  <c r="J25" i="50"/>
  <c r="J30" i="50"/>
  <c r="J31" i="50"/>
  <c r="J33" i="50"/>
  <c r="J34" i="50"/>
  <c r="J35" i="50"/>
  <c r="S40" i="54"/>
  <c r="B38" i="54"/>
  <c r="J43" i="50"/>
  <c r="T40" i="54"/>
  <c r="B39" i="54"/>
  <c r="J44" i="50"/>
  <c r="U40" i="54"/>
  <c r="B40" i="54"/>
  <c r="J45" i="50"/>
  <c r="V40" i="54"/>
  <c r="B41" i="54"/>
  <c r="J46" i="50"/>
  <c r="W40" i="54"/>
  <c r="B42" i="54"/>
  <c r="J47" i="50"/>
  <c r="AD12" i="54"/>
  <c r="AD16" i="54"/>
  <c r="AD17" i="54"/>
  <c r="AD18" i="54"/>
  <c r="AD19" i="54"/>
  <c r="AD20" i="54"/>
  <c r="AD21" i="54"/>
  <c r="AD31" i="54"/>
  <c r="AD32" i="54"/>
  <c r="AD40" i="54"/>
  <c r="B43" i="54"/>
  <c r="J48" i="50"/>
  <c r="Y40" i="54"/>
  <c r="B44" i="54"/>
  <c r="J49" i="50"/>
  <c r="Z40" i="54"/>
  <c r="B45" i="54"/>
  <c r="J50" i="50"/>
  <c r="AA40" i="54"/>
  <c r="B46" i="54"/>
  <c r="J51" i="50"/>
  <c r="AB40" i="54"/>
  <c r="B47" i="54"/>
  <c r="J52" i="50"/>
  <c r="AC40" i="54"/>
  <c r="B48" i="54"/>
  <c r="J53" i="50"/>
  <c r="J55" i="50"/>
  <c r="J56" i="50"/>
  <c r="J57" i="50"/>
  <c r="J58" i="50"/>
  <c r="J59" i="50"/>
  <c r="J60" i="50"/>
  <c r="J66" i="50"/>
  <c r="J67" i="50"/>
  <c r="J68" i="50"/>
  <c r="J69" i="50"/>
  <c r="J70" i="50"/>
  <c r="AD34" i="54"/>
  <c r="AD42" i="54"/>
  <c r="B66" i="54"/>
  <c r="J71" i="50"/>
  <c r="J72" i="50"/>
  <c r="J73" i="50"/>
  <c r="J74" i="50"/>
  <c r="J75" i="50"/>
  <c r="J76" i="50"/>
  <c r="J78" i="50"/>
  <c r="J79" i="50"/>
  <c r="J80" i="50"/>
  <c r="J81" i="50"/>
  <c r="J82" i="50"/>
  <c r="J83" i="50"/>
  <c r="F17" i="50"/>
  <c r="J88" i="50"/>
  <c r="J89" i="50"/>
  <c r="J90" i="50"/>
  <c r="J91" i="50"/>
  <c r="J92" i="50"/>
  <c r="J93" i="50"/>
  <c r="J94" i="50"/>
  <c r="J95" i="50"/>
  <c r="J96" i="50"/>
  <c r="J97" i="50"/>
  <c r="J98" i="50"/>
  <c r="J99" i="50"/>
  <c r="J101" i="50"/>
  <c r="J102" i="50"/>
  <c r="J103" i="50"/>
  <c r="J104" i="50"/>
  <c r="J105" i="50"/>
  <c r="J106" i="50"/>
  <c r="F42" i="50"/>
  <c r="B42" i="50"/>
  <c r="B42" i="53"/>
  <c r="F17" i="56"/>
  <c r="F19" i="3"/>
  <c r="E12" i="49"/>
  <c r="F43" i="48"/>
  <c r="F18" i="48"/>
  <c r="B43" i="48"/>
  <c r="F18" i="50"/>
  <c r="F43" i="50"/>
  <c r="B43" i="50"/>
  <c r="B43" i="53"/>
  <c r="F18" i="56"/>
  <c r="F20" i="3"/>
  <c r="E13" i="49"/>
  <c r="O13" i="47"/>
  <c r="AB13" i="47"/>
  <c r="F51" i="48"/>
  <c r="F26" i="48"/>
  <c r="B51" i="48"/>
  <c r="F26" i="50"/>
  <c r="F51" i="50"/>
  <c r="B51" i="50"/>
  <c r="B51" i="53"/>
  <c r="F26" i="56"/>
  <c r="F28" i="3"/>
  <c r="E21" i="49"/>
  <c r="O14" i="47"/>
  <c r="AB14" i="47"/>
  <c r="F45" i="48"/>
  <c r="F20" i="48"/>
  <c r="B45" i="48"/>
  <c r="F20" i="50"/>
  <c r="F45" i="50"/>
  <c r="B45" i="50"/>
  <c r="B45" i="53"/>
  <c r="F20" i="56"/>
  <c r="F22" i="3"/>
  <c r="E15" i="49"/>
  <c r="O15" i="47"/>
  <c r="AB15" i="47"/>
  <c r="F52" i="48"/>
  <c r="F27" i="48"/>
  <c r="B52" i="48"/>
  <c r="F27" i="50"/>
  <c r="F52" i="50"/>
  <c r="B52" i="50"/>
  <c r="B52" i="53"/>
  <c r="F27" i="56"/>
  <c r="E22" i="49"/>
  <c r="O16" i="47"/>
  <c r="AB16" i="47"/>
  <c r="F44" i="48"/>
  <c r="F19" i="48"/>
  <c r="B44" i="48"/>
  <c r="F19" i="50"/>
  <c r="F44" i="50"/>
  <c r="B44" i="50"/>
  <c r="B44" i="53"/>
  <c r="F19" i="56"/>
  <c r="F21" i="3"/>
  <c r="E14" i="49"/>
  <c r="O17" i="47"/>
  <c r="AB17" i="47"/>
  <c r="F49" i="48"/>
  <c r="F24" i="48"/>
  <c r="B49" i="48"/>
  <c r="F24" i="50"/>
  <c r="F49" i="50"/>
  <c r="B49" i="50"/>
  <c r="B49" i="53"/>
  <c r="F24" i="56"/>
  <c r="F26" i="3"/>
  <c r="E19" i="49"/>
  <c r="O18" i="47"/>
  <c r="AB18" i="47"/>
  <c r="F53" i="48"/>
  <c r="F28" i="48"/>
  <c r="B53" i="48"/>
  <c r="F28" i="50"/>
  <c r="F53" i="50"/>
  <c r="B53" i="50"/>
  <c r="B53" i="53"/>
  <c r="F28" i="56"/>
  <c r="F30" i="3"/>
  <c r="E23" i="49"/>
  <c r="O19" i="47"/>
  <c r="AB19" i="47"/>
  <c r="F46" i="48"/>
  <c r="F21" i="48"/>
  <c r="B46" i="48"/>
  <c r="F21" i="50"/>
  <c r="F46" i="50"/>
  <c r="B46" i="50"/>
  <c r="B46" i="53"/>
  <c r="F21" i="56"/>
  <c r="F23" i="3"/>
  <c r="E16" i="49"/>
  <c r="O20" i="47"/>
  <c r="AB20" i="47"/>
  <c r="F47" i="48"/>
  <c r="F22" i="48"/>
  <c r="B47" i="48"/>
  <c r="F22" i="50"/>
  <c r="F47" i="50"/>
  <c r="B47" i="50"/>
  <c r="B47" i="53"/>
  <c r="F22" i="56"/>
  <c r="F24" i="3"/>
  <c r="E17" i="49"/>
  <c r="O21" i="47"/>
  <c r="AB21" i="47"/>
  <c r="F25" i="50"/>
  <c r="F50" i="50"/>
  <c r="B50" i="50"/>
  <c r="B50" i="53"/>
  <c r="F25" i="56"/>
  <c r="F27" i="3"/>
  <c r="E20" i="49"/>
  <c r="O22" i="47"/>
  <c r="AB22" i="47"/>
  <c r="F57" i="48"/>
  <c r="F32" i="48"/>
  <c r="B57" i="48"/>
  <c r="F32" i="50"/>
  <c r="B57" i="53"/>
  <c r="F32" i="56"/>
  <c r="F34" i="3"/>
  <c r="E27" i="49"/>
  <c r="O24" i="47"/>
  <c r="F48" i="48"/>
  <c r="F23" i="48"/>
  <c r="B48" i="48"/>
  <c r="F23" i="50"/>
  <c r="F48" i="50"/>
  <c r="B48" i="50"/>
  <c r="B48" i="53"/>
  <c r="F23" i="56"/>
  <c r="F25" i="3"/>
  <c r="E18" i="49"/>
  <c r="O25" i="47"/>
  <c r="O30" i="47"/>
  <c r="AB30" i="47"/>
  <c r="B59" i="53"/>
  <c r="F34" i="56"/>
  <c r="F36" i="3"/>
  <c r="E29" i="49"/>
  <c r="T41" i="22"/>
  <c r="T40" i="22"/>
  <c r="T38" i="22"/>
  <c r="R61" i="19"/>
  <c r="B34" i="19"/>
  <c r="B56" i="19"/>
  <c r="B57" i="19"/>
  <c r="C34" i="19"/>
  <c r="C56" i="19"/>
  <c r="C57" i="19"/>
  <c r="D34" i="19"/>
  <c r="D56" i="19"/>
  <c r="D57" i="19"/>
  <c r="F34" i="19"/>
  <c r="F56" i="19"/>
  <c r="F57" i="19"/>
  <c r="G34" i="19"/>
  <c r="G56" i="19"/>
  <c r="G57" i="19"/>
  <c r="H34" i="19"/>
  <c r="H56" i="19"/>
  <c r="H57" i="19"/>
  <c r="I34" i="19"/>
  <c r="I56" i="19"/>
  <c r="I57" i="19"/>
  <c r="K34" i="19"/>
  <c r="K56" i="19"/>
  <c r="K57" i="19"/>
  <c r="M56" i="19"/>
  <c r="M34" i="19"/>
  <c r="M57" i="19"/>
  <c r="N56" i="19"/>
  <c r="N34" i="19"/>
  <c r="N57" i="19"/>
  <c r="O56" i="19"/>
  <c r="O34" i="19"/>
  <c r="O57" i="19"/>
  <c r="P56" i="19"/>
  <c r="P34" i="19"/>
  <c r="P57" i="19"/>
  <c r="Q56" i="19"/>
  <c r="Q34" i="19"/>
  <c r="Q57" i="19"/>
  <c r="R56" i="19"/>
  <c r="R34" i="19"/>
  <c r="R57" i="19"/>
  <c r="T59" i="19"/>
  <c r="T61" i="19"/>
  <c r="J84" i="51"/>
  <c r="J109" i="51"/>
  <c r="J57" i="51"/>
  <c r="B5" i="33"/>
  <c r="B6" i="33"/>
  <c r="B7" i="33"/>
  <c r="L13" i="33"/>
  <c r="L14" i="33"/>
  <c r="L15" i="33"/>
  <c r="L16" i="33"/>
  <c r="L17" i="33"/>
  <c r="L18" i="33"/>
  <c r="Q56" i="24"/>
  <c r="Q57" i="24"/>
  <c r="B34" i="24"/>
  <c r="B56" i="24"/>
  <c r="B57" i="24"/>
  <c r="C34" i="24"/>
  <c r="C56" i="24"/>
  <c r="C57" i="24"/>
  <c r="D34" i="24"/>
  <c r="D57" i="24"/>
  <c r="P56" i="24"/>
  <c r="P57" i="24"/>
  <c r="N56" i="24"/>
  <c r="S56" i="24"/>
  <c r="G34" i="24"/>
  <c r="G56" i="24"/>
  <c r="G57" i="24"/>
  <c r="M34" i="24"/>
  <c r="M56" i="24"/>
  <c r="M57" i="24"/>
  <c r="K19" i="22"/>
  <c r="F60" i="3"/>
  <c r="G60" i="3"/>
  <c r="H60" i="3"/>
  <c r="J35" i="53"/>
  <c r="J60" i="53"/>
  <c r="J83" i="53"/>
  <c r="J106" i="53"/>
  <c r="J128" i="53"/>
  <c r="S3" i="53"/>
  <c r="S4" i="53"/>
  <c r="B43" i="27"/>
  <c r="B44" i="27"/>
  <c r="B45" i="27"/>
  <c r="B48" i="27"/>
  <c r="D43" i="27"/>
  <c r="D44" i="27"/>
  <c r="D45" i="27"/>
  <c r="D47" i="27"/>
  <c r="B46" i="27"/>
  <c r="B47" i="27"/>
  <c r="C43" i="27"/>
  <c r="C44" i="27"/>
  <c r="C45" i="27"/>
  <c r="C46" i="27"/>
  <c r="C47" i="27"/>
  <c r="B37" i="27"/>
  <c r="D25" i="27"/>
  <c r="D26" i="27"/>
  <c r="D27" i="27"/>
  <c r="D28" i="27"/>
  <c r="D29" i="27"/>
  <c r="D30" i="27"/>
  <c r="D31" i="27"/>
  <c r="D32" i="27"/>
  <c r="D36" i="27"/>
  <c r="C25" i="27"/>
  <c r="C26" i="27"/>
  <c r="C27" i="27"/>
  <c r="C28" i="27"/>
  <c r="C29" i="27"/>
  <c r="C30" i="27"/>
  <c r="C31" i="27"/>
  <c r="C32" i="27"/>
  <c r="C33" i="27"/>
  <c r="C34" i="27"/>
  <c r="C35" i="27"/>
  <c r="C36" i="27"/>
  <c r="Q60" i="48"/>
  <c r="R60" i="48"/>
  <c r="Z60" i="48"/>
  <c r="AA60" i="48"/>
  <c r="Q35" i="50"/>
  <c r="R35" i="50"/>
  <c r="Q60" i="50"/>
  <c r="R60" i="50"/>
  <c r="Q83" i="50"/>
  <c r="R83" i="50"/>
  <c r="E19" i="27"/>
  <c r="E20" i="27"/>
  <c r="C19" i="27"/>
  <c r="C20" i="27"/>
  <c r="J132" i="51"/>
  <c r="J155" i="51"/>
  <c r="J177" i="51"/>
  <c r="J199" i="51"/>
  <c r="Q35" i="48"/>
  <c r="R35" i="48"/>
  <c r="D12" i="27"/>
  <c r="E16" i="27"/>
  <c r="B12" i="27"/>
  <c r="C16" i="27"/>
  <c r="E15" i="27"/>
  <c r="C15" i="27"/>
  <c r="E14" i="27"/>
  <c r="C14" i="27"/>
  <c r="E6" i="27"/>
  <c r="E7" i="27"/>
  <c r="E8" i="27"/>
  <c r="E9" i="27"/>
  <c r="E10" i="27"/>
  <c r="E11" i="27"/>
  <c r="E12" i="27"/>
  <c r="C6" i="27"/>
  <c r="C7" i="27"/>
  <c r="C8" i="27"/>
  <c r="C9" i="27"/>
  <c r="C10" i="27"/>
  <c r="C11" i="27"/>
  <c r="C12" i="27"/>
  <c r="H14" i="36"/>
  <c r="H13" i="36"/>
  <c r="H12" i="36"/>
  <c r="H11" i="36"/>
  <c r="G14" i="36"/>
  <c r="E14" i="36"/>
  <c r="G13" i="36"/>
  <c r="E13" i="36"/>
  <c r="G12" i="36"/>
  <c r="E12" i="36"/>
  <c r="G11" i="36"/>
  <c r="E11" i="36"/>
  <c r="E21" i="36"/>
  <c r="E20" i="36"/>
  <c r="E19" i="36"/>
  <c r="E17" i="36"/>
  <c r="I58" i="51"/>
  <c r="I59" i="51"/>
  <c r="J7" i="53"/>
  <c r="J4" i="53"/>
  <c r="J5" i="53"/>
  <c r="J6" i="53"/>
  <c r="J8" i="53"/>
  <c r="J9" i="53"/>
  <c r="K7" i="53"/>
  <c r="Q128" i="53"/>
  <c r="R128" i="53"/>
  <c r="S128" i="53"/>
  <c r="K8" i="53"/>
  <c r="Q106" i="53"/>
  <c r="R106" i="53"/>
  <c r="S106" i="53"/>
  <c r="K4" i="53"/>
  <c r="Q83" i="53"/>
  <c r="R83" i="53"/>
  <c r="S83" i="53"/>
  <c r="K6" i="53"/>
  <c r="Q35" i="53"/>
  <c r="R35" i="53"/>
  <c r="S35" i="53"/>
  <c r="K5" i="53"/>
  <c r="Q60" i="53"/>
  <c r="R60" i="53"/>
  <c r="S60" i="53"/>
  <c r="K9" i="53"/>
  <c r="F59" i="48"/>
  <c r="F34" i="48"/>
  <c r="B59" i="48"/>
  <c r="F56" i="48"/>
  <c r="F31" i="48"/>
  <c r="B56" i="48"/>
  <c r="F55" i="48"/>
  <c r="F30" i="48"/>
  <c r="B55" i="48"/>
  <c r="F50" i="48"/>
  <c r="F25" i="48"/>
  <c r="B50" i="48"/>
  <c r="H54" i="55"/>
  <c r="G32" i="55"/>
  <c r="G54" i="55"/>
  <c r="G55" i="55"/>
  <c r="P34" i="22"/>
  <c r="P56" i="22"/>
  <c r="P57" i="22"/>
  <c r="B35" i="34"/>
  <c r="B36" i="34"/>
  <c r="B31" i="34"/>
  <c r="B32" i="34"/>
  <c r="T8" i="22"/>
  <c r="Q108" i="50"/>
  <c r="AF60" i="48"/>
  <c r="T7" i="22"/>
  <c r="T6" i="22"/>
  <c r="T9" i="22"/>
  <c r="T10" i="22"/>
  <c r="T11" i="22"/>
  <c r="T12" i="22"/>
  <c r="T28" i="22"/>
  <c r="T19" i="22"/>
  <c r="T15" i="22"/>
  <c r="T16" i="22"/>
  <c r="T17" i="22"/>
  <c r="T18" i="22"/>
  <c r="T20" i="22"/>
  <c r="T21" i="22"/>
  <c r="T22" i="22"/>
  <c r="T23" i="22"/>
  <c r="T24" i="22"/>
  <c r="T25" i="22"/>
  <c r="T27" i="22"/>
  <c r="T29" i="22"/>
  <c r="T31" i="22"/>
  <c r="T33" i="22"/>
  <c r="B34" i="22"/>
  <c r="B56" i="22"/>
  <c r="B57" i="22"/>
  <c r="V59" i="24"/>
  <c r="Y59" i="23"/>
  <c r="V59" i="22"/>
  <c r="R34" i="22"/>
  <c r="R56" i="22"/>
  <c r="R57" i="22"/>
  <c r="Q34" i="22"/>
  <c r="Q56" i="22"/>
  <c r="Q57" i="22"/>
  <c r="O34" i="22"/>
  <c r="O56" i="22"/>
  <c r="O57" i="22"/>
  <c r="N34" i="22"/>
  <c r="N56" i="22"/>
  <c r="N57" i="22"/>
  <c r="M34" i="22"/>
  <c r="M56" i="22"/>
  <c r="M57" i="22"/>
  <c r="K34" i="22"/>
  <c r="K56" i="22"/>
  <c r="K57" i="22"/>
  <c r="D34" i="22"/>
  <c r="D56" i="22"/>
  <c r="D57" i="22"/>
  <c r="C34" i="22"/>
  <c r="C56" i="22"/>
  <c r="C57" i="22"/>
  <c r="T7" i="20"/>
  <c r="T9" i="20"/>
  <c r="T8" i="20"/>
  <c r="T6" i="20"/>
  <c r="T10" i="20"/>
  <c r="T11" i="20"/>
  <c r="T12" i="20"/>
  <c r="T41" i="20"/>
  <c r="T38" i="20"/>
  <c r="T39" i="20"/>
  <c r="T40" i="20"/>
  <c r="T42" i="20"/>
  <c r="T44" i="20"/>
  <c r="T45" i="20"/>
  <c r="T46" i="20"/>
  <c r="T47" i="20"/>
  <c r="T48" i="20"/>
  <c r="T49" i="20"/>
  <c r="T50" i="20"/>
  <c r="T51" i="20"/>
  <c r="T52" i="20"/>
  <c r="T55" i="20"/>
  <c r="T56" i="20"/>
  <c r="T15" i="20"/>
  <c r="T16" i="20"/>
  <c r="T17" i="20"/>
  <c r="T18" i="20"/>
  <c r="T19" i="20"/>
  <c r="T20" i="20"/>
  <c r="T21" i="20"/>
  <c r="T22" i="20"/>
  <c r="T23" i="20"/>
  <c r="T24" i="20"/>
  <c r="T25" i="20"/>
  <c r="T26" i="20"/>
  <c r="T27" i="20"/>
  <c r="T28" i="20"/>
  <c r="T29" i="20"/>
  <c r="T30" i="20"/>
  <c r="T31" i="20"/>
  <c r="T32" i="20"/>
  <c r="T33" i="20"/>
  <c r="T34" i="20"/>
  <c r="T57" i="20"/>
  <c r="R34" i="20"/>
  <c r="R56" i="20"/>
  <c r="R57" i="20"/>
  <c r="Q34" i="20"/>
  <c r="Q56" i="20"/>
  <c r="Q57" i="20"/>
  <c r="P34" i="20"/>
  <c r="P56" i="20"/>
  <c r="P57" i="20"/>
  <c r="O34" i="20"/>
  <c r="O56" i="20"/>
  <c r="O57" i="20"/>
  <c r="N34" i="20"/>
  <c r="N56" i="20"/>
  <c r="N57" i="20"/>
  <c r="M34" i="20"/>
  <c r="M56" i="20"/>
  <c r="M57" i="20"/>
  <c r="K34" i="20"/>
  <c r="K56" i="20"/>
  <c r="K57" i="20"/>
  <c r="I34" i="20"/>
  <c r="I56" i="20"/>
  <c r="I57" i="20"/>
  <c r="H34" i="20"/>
  <c r="H56" i="20"/>
  <c r="H57" i="20"/>
  <c r="G34" i="20"/>
  <c r="G56" i="20"/>
  <c r="G57" i="20"/>
  <c r="F34" i="20"/>
  <c r="F56" i="20"/>
  <c r="F57" i="20"/>
  <c r="D56" i="20"/>
  <c r="D34" i="20"/>
  <c r="D57" i="20"/>
  <c r="B34" i="20"/>
  <c r="B56" i="20"/>
  <c r="B57" i="20"/>
  <c r="T8" i="19"/>
  <c r="T9" i="19"/>
  <c r="T6" i="19"/>
  <c r="T7" i="19"/>
  <c r="T10" i="19"/>
  <c r="T11" i="19"/>
  <c r="T12" i="19"/>
  <c r="T15" i="19"/>
  <c r="T16" i="19"/>
  <c r="T17" i="19"/>
  <c r="T18" i="19"/>
  <c r="T19" i="19"/>
  <c r="T20" i="19"/>
  <c r="T21" i="19"/>
  <c r="T22" i="19"/>
  <c r="T23" i="19"/>
  <c r="T24" i="19"/>
  <c r="T25" i="19"/>
  <c r="T26" i="19"/>
  <c r="T27" i="19"/>
  <c r="T28" i="19"/>
  <c r="T29" i="19"/>
  <c r="T30" i="19"/>
  <c r="T31" i="19"/>
  <c r="T32" i="19"/>
  <c r="T33" i="19"/>
  <c r="T34" i="19"/>
  <c r="T38" i="19"/>
  <c r="T39" i="19"/>
  <c r="T40" i="19"/>
  <c r="T41" i="19"/>
  <c r="T42" i="19"/>
  <c r="T44" i="19"/>
  <c r="T45" i="19"/>
  <c r="T46" i="19"/>
  <c r="T48" i="19"/>
  <c r="T49" i="19"/>
  <c r="T50" i="19"/>
  <c r="T51" i="19"/>
  <c r="T52" i="19"/>
  <c r="T55" i="19"/>
  <c r="T56" i="19"/>
  <c r="T57" i="19"/>
  <c r="R81" i="9"/>
  <c r="Q81" i="9"/>
  <c r="Q82" i="9"/>
  <c r="R82" i="9"/>
  <c r="H59" i="50"/>
  <c r="H58" i="50"/>
  <c r="H57" i="50"/>
  <c r="H56" i="50"/>
  <c r="H55" i="50"/>
  <c r="F77" i="54"/>
  <c r="F76" i="54"/>
  <c r="F75" i="54"/>
  <c r="F74" i="54"/>
  <c r="F73" i="54"/>
  <c r="F71" i="54"/>
  <c r="F70" i="54"/>
  <c r="F69" i="54"/>
  <c r="F68" i="54"/>
  <c r="F67" i="54"/>
  <c r="F65" i="54"/>
  <c r="F64" i="54"/>
  <c r="F63" i="54"/>
  <c r="F62" i="54"/>
  <c r="F61" i="54"/>
  <c r="F60" i="54"/>
  <c r="C21" i="57"/>
  <c r="D21" i="57"/>
  <c r="C22" i="57"/>
  <c r="D22" i="57"/>
  <c r="C23" i="57"/>
  <c r="D23" i="57"/>
  <c r="C24" i="57"/>
  <c r="D24" i="57"/>
  <c r="C25" i="57"/>
  <c r="D25" i="57"/>
  <c r="C26" i="57"/>
  <c r="D26" i="57"/>
  <c r="C27" i="57"/>
  <c r="D27" i="57"/>
  <c r="C28" i="57"/>
  <c r="D28" i="57"/>
  <c r="C29" i="57"/>
  <c r="D29" i="57"/>
  <c r="C30" i="57"/>
  <c r="D30" i="57"/>
  <c r="C31" i="57"/>
  <c r="D31" i="57"/>
  <c r="C32" i="57"/>
  <c r="D32" i="57"/>
  <c r="C33" i="57"/>
  <c r="D33" i="57"/>
  <c r="C34" i="57"/>
  <c r="D34" i="57"/>
  <c r="D18" i="57"/>
  <c r="C18" i="57"/>
  <c r="D16" i="57"/>
  <c r="D15" i="57"/>
  <c r="D14" i="57"/>
  <c r="C16" i="57"/>
  <c r="C15" i="57"/>
  <c r="C14" i="57"/>
  <c r="AG11" i="57"/>
  <c r="AB57" i="57"/>
  <c r="AG9" i="57"/>
  <c r="AG10" i="57"/>
  <c r="AG7" i="57"/>
  <c r="AG6" i="57"/>
  <c r="AB55" i="57"/>
  <c r="E1" i="57"/>
  <c r="AH37" i="57"/>
  <c r="AC35" i="57"/>
  <c r="AH38" i="57"/>
  <c r="AC36" i="57"/>
  <c r="AH39" i="57"/>
  <c r="AC37" i="57"/>
  <c r="AH40" i="57"/>
  <c r="AC38" i="57"/>
  <c r="AH41" i="57"/>
  <c r="AC39" i="57"/>
  <c r="AH42" i="57"/>
  <c r="AC40" i="57"/>
  <c r="AH43" i="57"/>
  <c r="AC41" i="57"/>
  <c r="AH44" i="57"/>
  <c r="AC42" i="57"/>
  <c r="AH45" i="57"/>
  <c r="AC43" i="57"/>
  <c r="AH46" i="57"/>
  <c r="AC44" i="57"/>
  <c r="AH47" i="57"/>
  <c r="AC45" i="57"/>
  <c r="AH48" i="57"/>
  <c r="AC46" i="57"/>
  <c r="AH49" i="57"/>
  <c r="AC47" i="57"/>
  <c r="AH50" i="57"/>
  <c r="AC48" i="57"/>
  <c r="AH51" i="57"/>
  <c r="AC49" i="57"/>
  <c r="AH52" i="57"/>
  <c r="AC50" i="57"/>
  <c r="AH53" i="57"/>
  <c r="AC51" i="57"/>
  <c r="AH54" i="57"/>
  <c r="AC52" i="57"/>
  <c r="AH14" i="57"/>
  <c r="AC7" i="57"/>
  <c r="AH15" i="57"/>
  <c r="AC8" i="57"/>
  <c r="AH16" i="57"/>
  <c r="AC9" i="57"/>
  <c r="AH17" i="57"/>
  <c r="AC10" i="57"/>
  <c r="AH18" i="57"/>
  <c r="AC11" i="57"/>
  <c r="AH19" i="57"/>
  <c r="AC12" i="57"/>
  <c r="AH20" i="57"/>
  <c r="AC13" i="57"/>
  <c r="AH21" i="57"/>
  <c r="AC14" i="57"/>
  <c r="AH22" i="57"/>
  <c r="AC15" i="57"/>
  <c r="AH23" i="57"/>
  <c r="AC16" i="57"/>
  <c r="AH24" i="57"/>
  <c r="AC17" i="57"/>
  <c r="AH26" i="57"/>
  <c r="AC18" i="57"/>
  <c r="AH30" i="57"/>
  <c r="AC19" i="57"/>
  <c r="AH32" i="57"/>
  <c r="AC20" i="57"/>
  <c r="AH25" i="57"/>
  <c r="AC32" i="57"/>
  <c r="AH27" i="57"/>
  <c r="AC21" i="57"/>
  <c r="AH29" i="57"/>
  <c r="AC33" i="57"/>
  <c r="AH31" i="57"/>
  <c r="AC34" i="57"/>
  <c r="AH28" i="57"/>
  <c r="AC22" i="57"/>
  <c r="AD23" i="57"/>
  <c r="H68" i="51"/>
  <c r="H70" i="51"/>
  <c r="H72" i="51"/>
  <c r="H74" i="51"/>
  <c r="H79" i="51"/>
  <c r="H80" i="51"/>
  <c r="H81" i="51"/>
  <c r="H82" i="51"/>
  <c r="T60" i="21"/>
  <c r="T58" i="21"/>
  <c r="R41" i="58"/>
  <c r="R38" i="58"/>
  <c r="R35" i="58"/>
  <c r="R32" i="58"/>
  <c r="R29" i="58"/>
  <c r="R26" i="58"/>
  <c r="R23" i="58"/>
  <c r="R20" i="58"/>
  <c r="R17" i="58"/>
  <c r="R14" i="58"/>
  <c r="R11" i="58"/>
  <c r="R43" i="58"/>
  <c r="O11" i="58"/>
  <c r="P11" i="58"/>
  <c r="O14" i="58"/>
  <c r="P14" i="58"/>
  <c r="O17" i="58"/>
  <c r="P17" i="58"/>
  <c r="O20" i="58"/>
  <c r="P20" i="58"/>
  <c r="O23" i="58"/>
  <c r="P23" i="58"/>
  <c r="O26" i="58"/>
  <c r="P26" i="58"/>
  <c r="O29" i="58"/>
  <c r="P29" i="58"/>
  <c r="O32" i="58"/>
  <c r="P32" i="58"/>
  <c r="O35" i="58"/>
  <c r="P35" i="58"/>
  <c r="O38" i="58"/>
  <c r="P38" i="58"/>
  <c r="O41" i="58"/>
  <c r="P41" i="58"/>
  <c r="P43" i="58"/>
  <c r="O43" i="58"/>
  <c r="AH6" i="57"/>
  <c r="AH33" i="57"/>
  <c r="AH55" i="57"/>
  <c r="AH56" i="57"/>
  <c r="C7" i="3"/>
  <c r="C4" i="3"/>
  <c r="C5" i="36"/>
  <c r="R36" i="8"/>
  <c r="R38" i="8"/>
  <c r="R40" i="8"/>
  <c r="R51" i="8"/>
  <c r="R50" i="8"/>
  <c r="R53" i="8"/>
  <c r="R60" i="51"/>
  <c r="S57" i="51"/>
  <c r="Q60" i="51"/>
  <c r="R57" i="51"/>
  <c r="Q59" i="51"/>
  <c r="F30" i="50"/>
  <c r="F31" i="50"/>
  <c r="F33" i="50"/>
  <c r="F34" i="50"/>
  <c r="H35" i="56"/>
  <c r="F35" i="56"/>
  <c r="AQ54" i="47"/>
  <c r="AO54" i="47"/>
  <c r="AK53" i="47"/>
  <c r="AK54" i="47"/>
  <c r="AJ31" i="47"/>
  <c r="AJ53" i="47"/>
  <c r="AJ54" i="47"/>
  <c r="AI53" i="47"/>
  <c r="AI31" i="47"/>
  <c r="AI54" i="47"/>
  <c r="AH31" i="47"/>
  <c r="AH53" i="47"/>
  <c r="AH54" i="47"/>
  <c r="C60" i="53"/>
  <c r="B60" i="53"/>
  <c r="T128" i="53"/>
  <c r="T106" i="53"/>
  <c r="T83" i="53"/>
  <c r="T60" i="53"/>
  <c r="T35" i="53"/>
  <c r="G25" i="54"/>
  <c r="G26" i="54"/>
  <c r="G27" i="54"/>
  <c r="G28" i="54"/>
  <c r="G29" i="54"/>
  <c r="G54" i="54"/>
  <c r="G77" i="54"/>
  <c r="G53" i="54"/>
  <c r="G76" i="54"/>
  <c r="G52" i="54"/>
  <c r="G75" i="54"/>
  <c r="G51" i="54"/>
  <c r="G74" i="54"/>
  <c r="G50" i="54"/>
  <c r="G73" i="54"/>
  <c r="AC42" i="54"/>
  <c r="AB42" i="54"/>
  <c r="AA42" i="54"/>
  <c r="Z42" i="54"/>
  <c r="Y42" i="54"/>
  <c r="X42" i="54"/>
  <c r="W42" i="54"/>
  <c r="V42" i="54"/>
  <c r="U42" i="54"/>
  <c r="T42" i="54"/>
  <c r="S42" i="54"/>
  <c r="R42" i="54"/>
  <c r="X41" i="54"/>
  <c r="X40" i="54"/>
  <c r="K40" i="54"/>
  <c r="L40" i="54"/>
  <c r="M40" i="54"/>
  <c r="AE40" i="54"/>
  <c r="D78" i="54"/>
  <c r="B78" i="54"/>
  <c r="K41" i="54"/>
  <c r="L41" i="54"/>
  <c r="M41" i="54"/>
  <c r="K42" i="54"/>
  <c r="L42" i="54"/>
  <c r="M42" i="54"/>
  <c r="D55" i="54"/>
  <c r="B55" i="54"/>
  <c r="D30" i="54"/>
  <c r="B30" i="54"/>
  <c r="AR34" i="54"/>
  <c r="AR32" i="54"/>
  <c r="AR31" i="54"/>
  <c r="AR29" i="54"/>
  <c r="AR28" i="54"/>
  <c r="AR27" i="54"/>
  <c r="AR26" i="54"/>
  <c r="AR25" i="54"/>
  <c r="AR24" i="54"/>
  <c r="AR23" i="54"/>
  <c r="AR21" i="54"/>
  <c r="AR20" i="54"/>
  <c r="AR19" i="54"/>
  <c r="AR18" i="54"/>
  <c r="AR17" i="54"/>
  <c r="AR16" i="54"/>
  <c r="AR12" i="54"/>
  <c r="AD23" i="54"/>
  <c r="AE42" i="54"/>
  <c r="AE41" i="54"/>
  <c r="AE36" i="54"/>
  <c r="AE34" i="54"/>
  <c r="AE32" i="54"/>
  <c r="AE31" i="54"/>
  <c r="AE29" i="54"/>
  <c r="AE28" i="54"/>
  <c r="AE27" i="54"/>
  <c r="AE26" i="54"/>
  <c r="AE25" i="54"/>
  <c r="AE24" i="54"/>
  <c r="AE21" i="54"/>
  <c r="AE20" i="54"/>
  <c r="AE19" i="54"/>
  <c r="AE18" i="54"/>
  <c r="AE17" i="54"/>
  <c r="AE16" i="54"/>
  <c r="AE15" i="54"/>
  <c r="P42" i="54"/>
  <c r="AS42" i="54"/>
  <c r="P24" i="54"/>
  <c r="P25" i="54"/>
  <c r="P26" i="54"/>
  <c r="P27" i="54"/>
  <c r="P29" i="54"/>
  <c r="P41" i="54"/>
  <c r="AS41" i="54"/>
  <c r="P16" i="54"/>
  <c r="P17" i="54"/>
  <c r="P18" i="54"/>
  <c r="P20" i="54"/>
  <c r="P21" i="54"/>
  <c r="P31" i="54"/>
  <c r="P36" i="54"/>
  <c r="P40" i="54"/>
  <c r="AS40" i="54"/>
  <c r="AS36" i="54"/>
  <c r="AS34" i="54"/>
  <c r="AS32" i="54"/>
  <c r="AS31" i="54"/>
  <c r="AS29" i="54"/>
  <c r="AS28" i="54"/>
  <c r="AS27" i="54"/>
  <c r="AS26" i="54"/>
  <c r="AS25" i="54"/>
  <c r="AS24" i="54"/>
  <c r="AS21" i="54"/>
  <c r="AS20" i="54"/>
  <c r="AS19" i="54"/>
  <c r="AS18" i="54"/>
  <c r="AS17" i="54"/>
  <c r="AS16" i="54"/>
  <c r="AS15" i="54"/>
  <c r="AS12" i="54"/>
  <c r="AE12" i="54"/>
  <c r="N42" i="54"/>
  <c r="A6" i="54"/>
  <c r="A5" i="54"/>
  <c r="A4" i="54"/>
  <c r="A3" i="54"/>
  <c r="N41" i="54"/>
  <c r="N40" i="54"/>
  <c r="L128" i="53"/>
  <c r="L106" i="53"/>
  <c r="L83" i="53"/>
  <c r="L60" i="53"/>
  <c r="L35" i="53"/>
  <c r="D4" i="53"/>
  <c r="I54" i="51"/>
  <c r="J54" i="51"/>
  <c r="D53" i="51"/>
  <c r="F59" i="50"/>
  <c r="B59" i="50"/>
  <c r="F58" i="50"/>
  <c r="B58" i="50"/>
  <c r="F57" i="50"/>
  <c r="B57" i="50"/>
  <c r="F56" i="50"/>
  <c r="B56" i="50"/>
  <c r="F55" i="50"/>
  <c r="B55" i="50"/>
  <c r="H60" i="50"/>
  <c r="F60" i="50"/>
  <c r="K106" i="50"/>
  <c r="T83" i="50"/>
  <c r="T60" i="50"/>
  <c r="F35" i="50"/>
  <c r="B60" i="48"/>
  <c r="F60" i="48"/>
  <c r="H35" i="48"/>
  <c r="E24" i="49"/>
  <c r="E30" i="49"/>
  <c r="K60" i="48"/>
  <c r="F35" i="48"/>
  <c r="AD54" i="47"/>
  <c r="AB54" i="47"/>
  <c r="Q54" i="47"/>
  <c r="O54" i="47"/>
  <c r="B4" i="29"/>
  <c r="B47" i="44"/>
  <c r="B25" i="44"/>
  <c r="T59" i="20"/>
  <c r="T58" i="20"/>
  <c r="T61" i="20"/>
  <c r="R61" i="20"/>
  <c r="V3" i="19"/>
  <c r="T58" i="19"/>
  <c r="M51" i="10"/>
  <c r="M29" i="10"/>
  <c r="M52" i="10"/>
  <c r="L51" i="10"/>
  <c r="L29" i="10"/>
  <c r="L52" i="10"/>
  <c r="K51" i="10"/>
  <c r="K29" i="10"/>
  <c r="K52" i="10"/>
  <c r="J51" i="10"/>
  <c r="J29" i="10"/>
  <c r="J52" i="10"/>
  <c r="I51" i="10"/>
  <c r="I29" i="10"/>
  <c r="I52" i="10"/>
  <c r="H51" i="10"/>
  <c r="H29" i="10"/>
  <c r="H52" i="10"/>
  <c r="G51" i="10"/>
  <c r="G29" i="10"/>
  <c r="G52" i="10"/>
  <c r="F51" i="10"/>
  <c r="F29" i="10"/>
  <c r="F52" i="10"/>
  <c r="E52" i="10"/>
  <c r="D51" i="10"/>
  <c r="D29" i="10"/>
  <c r="D52" i="10"/>
  <c r="C51" i="10"/>
  <c r="C29" i="10"/>
  <c r="C52" i="10"/>
  <c r="B51" i="10"/>
  <c r="B29" i="10"/>
  <c r="B52" i="10"/>
  <c r="G80" i="9"/>
  <c r="G58" i="9"/>
  <c r="G37" i="9"/>
  <c r="G81" i="9"/>
  <c r="H62" i="9"/>
  <c r="H75" i="9"/>
  <c r="H63" i="9"/>
  <c r="H64" i="9"/>
  <c r="H65" i="9"/>
  <c r="H66" i="9"/>
  <c r="H67" i="9"/>
  <c r="H68" i="9"/>
  <c r="H69" i="9"/>
  <c r="H70" i="9"/>
  <c r="H72" i="9"/>
  <c r="H73" i="9"/>
  <c r="H74" i="9"/>
  <c r="H76" i="9"/>
  <c r="H77" i="9"/>
  <c r="H78" i="9"/>
  <c r="H79" i="9"/>
  <c r="H80" i="9"/>
  <c r="H40" i="9"/>
  <c r="H41" i="9"/>
  <c r="H43" i="9"/>
  <c r="H44" i="9"/>
  <c r="H45" i="9"/>
  <c r="H46" i="9"/>
  <c r="H47" i="9"/>
  <c r="H48" i="9"/>
  <c r="H49" i="9"/>
  <c r="H50" i="9"/>
  <c r="H51" i="9"/>
  <c r="H52" i="9"/>
  <c r="H53" i="9"/>
  <c r="H54" i="9"/>
  <c r="H55" i="9"/>
  <c r="H56" i="9"/>
  <c r="H58" i="9"/>
  <c r="H37" i="9"/>
  <c r="H81" i="9"/>
  <c r="K26" i="8"/>
  <c r="K39" i="8"/>
  <c r="K40" i="8"/>
  <c r="K45" i="8"/>
  <c r="K51" i="8"/>
  <c r="K58" i="8"/>
  <c r="K60" i="8"/>
  <c r="I45" i="8"/>
  <c r="I51" i="8"/>
  <c r="I58" i="8"/>
  <c r="I60" i="8"/>
  <c r="J51" i="8"/>
  <c r="R44" i="8"/>
  <c r="J26" i="8"/>
  <c r="J40" i="8"/>
  <c r="G67" i="38"/>
  <c r="B3" i="29"/>
  <c r="B60" i="50"/>
  <c r="F37" i="3"/>
  <c r="J37" i="3"/>
  <c r="H60" i="48"/>
  <c r="C60" i="48"/>
  <c r="T60" i="48"/>
  <c r="H34" i="50"/>
  <c r="C59" i="50"/>
  <c r="H33" i="50"/>
  <c r="C58" i="50"/>
  <c r="H32" i="50"/>
  <c r="C57" i="50"/>
  <c r="H31" i="50"/>
  <c r="C56" i="50"/>
  <c r="H30" i="50"/>
  <c r="C55" i="50"/>
  <c r="T35" i="50"/>
  <c r="H35" i="50"/>
  <c r="C60" i="50"/>
  <c r="H83" i="51"/>
  <c r="C52" i="36"/>
  <c r="T60" i="51"/>
  <c r="T57" i="51"/>
  <c r="R58" i="51"/>
  <c r="H66" i="51"/>
  <c r="H67" i="51"/>
  <c r="H69" i="51"/>
  <c r="H71" i="51"/>
  <c r="H73" i="51"/>
  <c r="H75" i="51"/>
  <c r="H76" i="51"/>
  <c r="H77" i="51"/>
  <c r="H84" i="51"/>
  <c r="V3" i="20"/>
  <c r="J34" i="24"/>
  <c r="J56" i="24"/>
  <c r="J57" i="24"/>
  <c r="D32" i="55"/>
  <c r="D54" i="55"/>
  <c r="D55" i="55"/>
  <c r="B61" i="27"/>
  <c r="B62" i="27"/>
  <c r="L25" i="33"/>
  <c r="C58" i="51"/>
  <c r="B66" i="51"/>
  <c r="B67" i="51"/>
  <c r="B68" i="51"/>
  <c r="B69" i="51"/>
  <c r="B70" i="51"/>
  <c r="B71" i="51"/>
  <c r="B72" i="51"/>
  <c r="B73" i="51"/>
  <c r="B74" i="51"/>
  <c r="B75" i="51"/>
  <c r="B76" i="51"/>
  <c r="B77" i="51"/>
  <c r="B78" i="51"/>
  <c r="B79" i="51"/>
  <c r="B80" i="51"/>
  <c r="B81" i="51"/>
  <c r="B82" i="51"/>
  <c r="B83" i="51"/>
  <c r="B84" i="51"/>
  <c r="C67" i="51"/>
  <c r="C68" i="51"/>
  <c r="C69" i="51"/>
  <c r="C70" i="51"/>
  <c r="C71" i="51"/>
  <c r="C72" i="51"/>
  <c r="C73" i="51"/>
  <c r="C74" i="51"/>
  <c r="C75" i="51"/>
  <c r="C76" i="51"/>
  <c r="C77" i="51"/>
  <c r="C78" i="51"/>
  <c r="C79" i="51"/>
  <c r="C80" i="51"/>
  <c r="C81" i="51"/>
  <c r="C82" i="51"/>
  <c r="C83" i="51"/>
  <c r="C84" i="51"/>
  <c r="D57" i="55"/>
  <c r="B91" i="51"/>
  <c r="B92" i="51"/>
  <c r="B93" i="51"/>
  <c r="B94" i="51"/>
  <c r="B95" i="51"/>
  <c r="B96" i="51"/>
  <c r="B97" i="51"/>
  <c r="B98" i="51"/>
  <c r="B99" i="51"/>
  <c r="B100" i="51"/>
  <c r="B101" i="51"/>
  <c r="B102" i="51"/>
  <c r="B104" i="51"/>
  <c r="B105" i="51"/>
  <c r="B106" i="51"/>
  <c r="B107" i="51"/>
  <c r="B108" i="51"/>
  <c r="B109" i="51"/>
  <c r="C91" i="51"/>
  <c r="C92" i="51"/>
  <c r="C93" i="51"/>
  <c r="C94" i="51"/>
  <c r="C95" i="51"/>
  <c r="C96" i="51"/>
  <c r="C97" i="51"/>
  <c r="C98" i="51"/>
  <c r="C99" i="51"/>
  <c r="C100" i="51"/>
  <c r="C101" i="51"/>
  <c r="C102" i="51"/>
  <c r="C104" i="51"/>
  <c r="C105" i="51"/>
  <c r="C106" i="51"/>
  <c r="C107" i="51"/>
  <c r="C108" i="51"/>
  <c r="C109" i="51"/>
  <c r="C234" i="51"/>
  <c r="C240" i="51"/>
  <c r="C242" i="51"/>
  <c r="C243" i="51"/>
  <c r="C245" i="51"/>
  <c r="S34" i="23"/>
  <c r="S57" i="23"/>
  <c r="S34" i="24"/>
  <c r="S57" i="24"/>
  <c r="AG8" i="57"/>
  <c r="AB56" i="57"/>
  <c r="AI6" i="57"/>
  <c r="Y6" i="24"/>
  <c r="J53" i="28"/>
  <c r="K53" i="28"/>
  <c r="J52" i="28"/>
  <c r="K52" i="28"/>
  <c r="J51" i="28"/>
  <c r="K51" i="28"/>
  <c r="J50" i="28"/>
  <c r="K50" i="28"/>
  <c r="J49" i="28"/>
  <c r="K49" i="28"/>
  <c r="J48" i="28"/>
  <c r="K48" i="28"/>
  <c r="J47" i="28"/>
  <c r="K47" i="28"/>
  <c r="J46" i="28"/>
  <c r="K46" i="28"/>
  <c r="J45" i="28"/>
  <c r="K45" i="28"/>
  <c r="J44" i="28"/>
  <c r="K44" i="28"/>
  <c r="J43" i="28"/>
  <c r="K43" i="28"/>
  <c r="J42" i="28"/>
  <c r="K42" i="28"/>
  <c r="J41" i="28"/>
  <c r="K41" i="28"/>
  <c r="J40" i="28"/>
  <c r="K40" i="28"/>
  <c r="J37" i="28"/>
  <c r="K37" i="28"/>
  <c r="J30" i="28"/>
  <c r="K30" i="28"/>
  <c r="J28" i="28"/>
  <c r="K28" i="28"/>
  <c r="C13" i="47"/>
  <c r="C14" i="47"/>
  <c r="C15" i="47"/>
  <c r="C16" i="47"/>
  <c r="C17" i="47"/>
  <c r="C18" i="47"/>
  <c r="C19" i="47"/>
  <c r="C20" i="47"/>
  <c r="C21" i="47"/>
  <c r="C22" i="47"/>
  <c r="C23" i="47"/>
  <c r="C24" i="47"/>
  <c r="C25" i="47"/>
  <c r="C26" i="47"/>
  <c r="C27" i="47"/>
  <c r="C28" i="47"/>
  <c r="C29" i="47"/>
  <c r="C30" i="47"/>
  <c r="C35" i="47"/>
  <c r="C36" i="47"/>
  <c r="C37" i="47"/>
  <c r="C38" i="47"/>
  <c r="C39" i="47"/>
  <c r="C40" i="47"/>
  <c r="C41" i="47"/>
  <c r="C42" i="47"/>
  <c r="C43" i="47"/>
  <c r="C44" i="47"/>
  <c r="C45" i="47"/>
  <c r="C46" i="47"/>
  <c r="C47" i="47"/>
  <c r="C48" i="47"/>
  <c r="C49" i="47"/>
  <c r="C50" i="47"/>
  <c r="C51" i="47"/>
  <c r="C52" i="47"/>
  <c r="C54" i="47"/>
  <c r="C41" i="3"/>
  <c r="C42" i="3"/>
  <c r="C45" i="3"/>
  <c r="C46" i="3"/>
  <c r="B32" i="55"/>
  <c r="B54" i="55"/>
  <c r="B55" i="55"/>
  <c r="C32" i="55"/>
  <c r="C54" i="55"/>
  <c r="C55" i="55"/>
  <c r="F32" i="55"/>
  <c r="F54" i="55"/>
  <c r="F55" i="55"/>
  <c r="H32" i="55"/>
  <c r="H55" i="55"/>
  <c r="L33" i="55"/>
  <c r="C25" i="48"/>
  <c r="C30" i="48"/>
  <c r="C31" i="48"/>
  <c r="C34" i="48"/>
  <c r="C35" i="48"/>
  <c r="M33" i="55"/>
  <c r="C35" i="53"/>
  <c r="C35" i="56"/>
  <c r="P33" i="55"/>
  <c r="C30" i="50"/>
  <c r="C31" i="50"/>
  <c r="C33" i="50"/>
  <c r="C34" i="50"/>
  <c r="C35" i="50"/>
  <c r="Q33" i="55"/>
  <c r="B17" i="48"/>
  <c r="B18" i="48"/>
  <c r="B19" i="48"/>
  <c r="B20" i="48"/>
  <c r="B21" i="48"/>
  <c r="B22" i="48"/>
  <c r="B23" i="48"/>
  <c r="B24" i="48"/>
  <c r="B25" i="48"/>
  <c r="B26" i="48"/>
  <c r="B27" i="48"/>
  <c r="B28" i="48"/>
  <c r="B30" i="48"/>
  <c r="B31" i="48"/>
  <c r="B32" i="48"/>
  <c r="B33" i="48"/>
  <c r="B34" i="48"/>
  <c r="B35" i="48"/>
  <c r="AG37" i="57"/>
  <c r="AB35" i="57"/>
  <c r="AD35" i="57"/>
  <c r="AG38" i="57"/>
  <c r="AB36" i="57"/>
  <c r="AD36" i="57"/>
  <c r="AG39" i="57"/>
  <c r="AB37" i="57"/>
  <c r="AD37" i="57"/>
  <c r="AG40" i="57"/>
  <c r="AB38" i="57"/>
  <c r="AD38" i="57"/>
  <c r="AG41" i="57"/>
  <c r="AB39" i="57"/>
  <c r="AD39" i="57"/>
  <c r="AG43" i="57"/>
  <c r="AB41" i="57"/>
  <c r="AD41" i="57"/>
  <c r="AG44" i="57"/>
  <c r="AB42" i="57"/>
  <c r="AD42" i="57"/>
  <c r="AG45" i="57"/>
  <c r="AB43" i="57"/>
  <c r="AD43" i="57"/>
  <c r="AG46" i="57"/>
  <c r="AB44" i="57"/>
  <c r="AD44" i="57"/>
  <c r="AG47" i="57"/>
  <c r="AB45" i="57"/>
  <c r="AD45" i="57"/>
  <c r="AG48" i="57"/>
  <c r="AB46" i="57"/>
  <c r="AD46" i="57"/>
  <c r="AG49" i="57"/>
  <c r="AB47" i="57"/>
  <c r="AD47" i="57"/>
  <c r="AG50" i="57"/>
  <c r="AB48" i="57"/>
  <c r="AD48" i="57"/>
  <c r="AG51" i="57"/>
  <c r="AB49" i="57"/>
  <c r="AD49" i="57"/>
  <c r="AG52" i="57"/>
  <c r="AB50" i="57"/>
  <c r="AD50" i="57"/>
  <c r="AG53" i="57"/>
  <c r="AB51" i="57"/>
  <c r="AD51" i="57"/>
  <c r="AG54" i="57"/>
  <c r="AB52" i="57"/>
  <c r="AD52" i="57"/>
  <c r="AG32" i="57"/>
  <c r="AB20" i="57"/>
  <c r="AD20" i="57"/>
  <c r="AG27" i="57"/>
  <c r="AB21" i="57"/>
  <c r="AD21" i="57"/>
  <c r="AG31" i="57"/>
  <c r="AB34" i="57"/>
  <c r="AD34" i="57"/>
  <c r="H57" i="55"/>
  <c r="M21" i="55"/>
  <c r="M26" i="55"/>
  <c r="M27" i="55"/>
  <c r="M30" i="55"/>
  <c r="M32" i="55"/>
  <c r="C57" i="55"/>
  <c r="L32" i="55"/>
  <c r="B57" i="55"/>
  <c r="Q26" i="55"/>
  <c r="Q27" i="55"/>
  <c r="Q29" i="55"/>
  <c r="Q30" i="55"/>
  <c r="Q32" i="55"/>
  <c r="B17" i="56"/>
  <c r="B18" i="56"/>
  <c r="B19" i="56"/>
  <c r="B20" i="56"/>
  <c r="B21" i="56"/>
  <c r="B22" i="56"/>
  <c r="B23" i="56"/>
  <c r="B24" i="56"/>
  <c r="B25" i="56"/>
  <c r="B26" i="56"/>
  <c r="B27" i="56"/>
  <c r="B28" i="56"/>
  <c r="B30" i="56"/>
  <c r="B31" i="56"/>
  <c r="B32" i="56"/>
  <c r="B33" i="56"/>
  <c r="B34" i="56"/>
  <c r="B35" i="56"/>
  <c r="B13" i="47"/>
  <c r="B14" i="47"/>
  <c r="B15" i="47"/>
  <c r="B16" i="47"/>
  <c r="B17" i="47"/>
  <c r="B18" i="47"/>
  <c r="B19" i="47"/>
  <c r="B20" i="47"/>
  <c r="B21" i="47"/>
  <c r="B22" i="47"/>
  <c r="B23" i="47"/>
  <c r="B24" i="47"/>
  <c r="B25" i="47"/>
  <c r="B26" i="47"/>
  <c r="B27" i="47"/>
  <c r="B28" i="47"/>
  <c r="B29" i="47"/>
  <c r="B30" i="47"/>
  <c r="B35" i="47"/>
  <c r="B36" i="47"/>
  <c r="B37" i="47"/>
  <c r="B38" i="47"/>
  <c r="B39" i="47"/>
  <c r="B40" i="47"/>
  <c r="B41" i="47"/>
  <c r="B42" i="47"/>
  <c r="B43" i="47"/>
  <c r="B44" i="47"/>
  <c r="B45" i="47"/>
  <c r="B46" i="47"/>
  <c r="B47" i="47"/>
  <c r="B48" i="47"/>
  <c r="B49" i="47"/>
  <c r="B50" i="47"/>
  <c r="B51" i="47"/>
  <c r="B52" i="47"/>
  <c r="B54" i="47"/>
  <c r="B12" i="49"/>
  <c r="B13" i="49"/>
  <c r="B14" i="49"/>
  <c r="B15" i="49"/>
  <c r="B16" i="49"/>
  <c r="B17" i="49"/>
  <c r="B18" i="49"/>
  <c r="B19" i="49"/>
  <c r="B20" i="49"/>
  <c r="B21" i="49"/>
  <c r="B22" i="49"/>
  <c r="B23" i="49"/>
  <c r="B25" i="49"/>
  <c r="B26" i="49"/>
  <c r="B27" i="49"/>
  <c r="B28" i="49"/>
  <c r="B29" i="49"/>
  <c r="B30" i="49"/>
  <c r="D54" i="47"/>
  <c r="B17" i="50"/>
  <c r="B18" i="50"/>
  <c r="B19" i="50"/>
  <c r="B20" i="50"/>
  <c r="B21" i="50"/>
  <c r="B22" i="50"/>
  <c r="B23" i="50"/>
  <c r="B24" i="50"/>
  <c r="B25" i="50"/>
  <c r="B26" i="50"/>
  <c r="B27" i="50"/>
  <c r="B28" i="50"/>
  <c r="B30" i="50"/>
  <c r="B31" i="50"/>
  <c r="B32" i="50"/>
  <c r="B33" i="50"/>
  <c r="B34" i="50"/>
  <c r="B35" i="50"/>
  <c r="B19" i="3"/>
  <c r="B20" i="3"/>
  <c r="B21" i="3"/>
  <c r="B22" i="3"/>
  <c r="B23" i="3"/>
  <c r="B24" i="3"/>
  <c r="B25" i="3"/>
  <c r="B26" i="3"/>
  <c r="B27" i="3"/>
  <c r="B28" i="3"/>
  <c r="B29" i="3"/>
  <c r="B30" i="3"/>
  <c r="B32" i="3"/>
  <c r="B33" i="3"/>
  <c r="B34" i="3"/>
  <c r="B35" i="3"/>
  <c r="B36" i="3"/>
  <c r="B37" i="3"/>
  <c r="L22" i="33"/>
  <c r="L23" i="33"/>
  <c r="L24" i="33"/>
  <c r="L26" i="33"/>
  <c r="L27" i="33"/>
  <c r="L29" i="33"/>
  <c r="L35" i="33"/>
  <c r="B36" i="33"/>
  <c r="C36" i="33"/>
  <c r="D36" i="33"/>
  <c r="E36" i="33"/>
  <c r="F36" i="33"/>
  <c r="G36" i="33"/>
  <c r="H36" i="33"/>
  <c r="I36" i="33"/>
  <c r="J36" i="33"/>
  <c r="K36" i="33"/>
  <c r="F34" i="24"/>
  <c r="F56" i="24"/>
  <c r="F57" i="24"/>
  <c r="H34" i="24"/>
  <c r="H56" i="24"/>
  <c r="H57" i="24"/>
  <c r="I34" i="24"/>
  <c r="I56" i="24"/>
  <c r="I57" i="24"/>
  <c r="K34" i="24"/>
  <c r="K56" i="24"/>
  <c r="K57" i="24"/>
  <c r="L34" i="24"/>
  <c r="L56" i="24"/>
  <c r="L57" i="24"/>
  <c r="N34" i="24"/>
  <c r="N57" i="24"/>
  <c r="T59" i="24"/>
  <c r="T58" i="24"/>
  <c r="B55" i="27"/>
  <c r="B56" i="27"/>
  <c r="B57" i="27"/>
  <c r="B58" i="27"/>
  <c r="B59" i="27"/>
  <c r="B60" i="27"/>
  <c r="B63" i="27"/>
  <c r="B64" i="27"/>
  <c r="B65" i="27"/>
  <c r="B66" i="27"/>
  <c r="C55" i="27"/>
  <c r="C56" i="27"/>
  <c r="C57" i="27"/>
  <c r="C58" i="27"/>
  <c r="C59" i="27"/>
  <c r="C60" i="27"/>
  <c r="C61" i="27"/>
  <c r="C62" i="27"/>
  <c r="C63" i="27"/>
  <c r="C64" i="27"/>
  <c r="C65" i="27"/>
  <c r="C66" i="27"/>
  <c r="C72" i="27"/>
  <c r="G21" i="36"/>
  <c r="C71" i="27"/>
  <c r="G20" i="36"/>
  <c r="C70" i="27"/>
  <c r="G19" i="36"/>
  <c r="C68" i="27"/>
  <c r="G17" i="36"/>
  <c r="L7" i="53"/>
  <c r="M7" i="53"/>
  <c r="L8" i="53"/>
  <c r="M8" i="53"/>
  <c r="L4" i="53"/>
  <c r="M4" i="53"/>
  <c r="L6" i="53"/>
  <c r="M6" i="53"/>
  <c r="L5" i="53"/>
  <c r="M5" i="53"/>
  <c r="L9" i="53"/>
  <c r="E32" i="55"/>
  <c r="E54" i="55"/>
  <c r="E55" i="55"/>
  <c r="H59" i="55"/>
  <c r="Y15" i="24"/>
  <c r="Y16" i="24"/>
  <c r="Y17" i="24"/>
  <c r="Y18" i="24"/>
  <c r="Y19" i="24"/>
  <c r="Y20" i="24"/>
  <c r="Y21" i="24"/>
  <c r="Y22" i="24"/>
  <c r="Y23" i="24"/>
  <c r="Y24" i="24"/>
  <c r="Y25" i="24"/>
  <c r="Y26" i="24"/>
  <c r="Y27" i="24"/>
  <c r="Y28" i="24"/>
  <c r="Y29" i="24"/>
  <c r="Y30" i="24"/>
  <c r="Y31" i="24"/>
  <c r="Y32" i="24"/>
  <c r="Y33" i="24"/>
  <c r="Y34" i="24"/>
  <c r="Y38" i="24"/>
  <c r="Y39" i="24"/>
  <c r="Y40" i="24"/>
  <c r="Y41" i="24"/>
  <c r="Y42" i="24"/>
  <c r="Y43" i="24"/>
  <c r="Y44" i="24"/>
  <c r="Y45" i="24"/>
  <c r="Y46" i="24"/>
  <c r="Y47" i="24"/>
  <c r="Y48" i="24"/>
  <c r="Y49" i="24"/>
  <c r="Y50" i="24"/>
  <c r="Y51" i="24"/>
  <c r="Y52" i="24"/>
  <c r="Y53" i="24"/>
  <c r="Y54" i="24"/>
  <c r="Y55" i="24"/>
  <c r="Y56" i="24"/>
  <c r="Y57" i="24"/>
  <c r="AG14" i="57"/>
  <c r="AB7" i="57"/>
  <c r="AG15" i="57"/>
  <c r="AB8" i="57"/>
  <c r="AG16" i="57"/>
  <c r="AB9" i="57"/>
  <c r="AG17" i="57"/>
  <c r="AB10" i="57"/>
  <c r="AG18" i="57"/>
  <c r="AB11" i="57"/>
  <c r="AG19" i="57"/>
  <c r="AB12" i="57"/>
  <c r="AG20" i="57"/>
  <c r="AB13" i="57"/>
  <c r="AG21" i="57"/>
  <c r="AB14" i="57"/>
  <c r="AG22" i="57"/>
  <c r="AB15" i="57"/>
  <c r="AG23" i="57"/>
  <c r="AB16" i="57"/>
  <c r="AG24" i="57"/>
  <c r="AB17" i="57"/>
  <c r="AG26" i="57"/>
  <c r="AB18" i="57"/>
  <c r="AG30" i="57"/>
  <c r="AB19" i="57"/>
  <c r="AG28" i="57"/>
  <c r="AB22" i="57"/>
  <c r="AG25" i="57"/>
  <c r="AB32" i="57"/>
  <c r="AG29" i="57"/>
  <c r="AB33" i="57"/>
  <c r="AG42" i="57"/>
  <c r="AB40" i="57"/>
  <c r="AB59" i="57"/>
  <c r="AD40" i="57"/>
  <c r="AD7" i="57"/>
  <c r="AD8" i="57"/>
  <c r="AD9" i="57"/>
  <c r="AD10" i="57"/>
  <c r="AD11" i="57"/>
  <c r="AD12" i="57"/>
  <c r="AD13" i="57"/>
  <c r="AD14" i="57"/>
  <c r="AD15" i="57"/>
  <c r="AD16" i="57"/>
  <c r="AD17" i="57"/>
  <c r="AD18" i="57"/>
  <c r="AD19" i="57"/>
  <c r="AD33" i="57"/>
  <c r="AI37" i="57"/>
  <c r="AI38" i="57"/>
  <c r="AI39" i="57"/>
  <c r="AI40" i="57"/>
  <c r="AI41" i="57"/>
  <c r="AI42" i="57"/>
  <c r="AI43" i="57"/>
  <c r="AI44" i="57"/>
  <c r="AI45" i="57"/>
  <c r="AI46" i="57"/>
  <c r="AI47" i="57"/>
  <c r="AI48" i="57"/>
  <c r="AI49" i="57"/>
  <c r="AI50" i="57"/>
  <c r="AI51" i="57"/>
  <c r="AI52" i="57"/>
  <c r="AI53" i="57"/>
  <c r="AI54" i="57"/>
  <c r="AI55" i="57"/>
  <c r="AI14" i="57"/>
  <c r="AI15" i="57"/>
  <c r="AI16" i="57"/>
  <c r="AI17" i="57"/>
  <c r="AI18" i="57"/>
  <c r="AI19" i="57"/>
  <c r="AI20" i="57"/>
  <c r="AI21" i="57"/>
  <c r="AI22" i="57"/>
  <c r="AI23" i="57"/>
  <c r="AI24" i="57"/>
  <c r="AI25" i="57"/>
  <c r="AI26" i="57"/>
  <c r="AI27" i="57"/>
  <c r="AI28" i="57"/>
  <c r="AI29" i="57"/>
  <c r="AI30" i="57"/>
  <c r="AI31" i="57"/>
  <c r="AI32" i="57"/>
  <c r="AI33" i="57"/>
  <c r="AG33" i="57"/>
  <c r="AG55" i="57"/>
  <c r="AG56" i="57"/>
  <c r="AG58" i="57"/>
  <c r="C6" i="36"/>
  <c r="M59" i="24"/>
  <c r="N60" i="24"/>
  <c r="N61" i="24"/>
  <c r="V3" i="24"/>
  <c r="P32" i="55"/>
  <c r="B17" i="53"/>
  <c r="B18" i="53"/>
  <c r="B19" i="53"/>
  <c r="B20" i="53"/>
  <c r="B21" i="53"/>
  <c r="B22" i="53"/>
  <c r="B23" i="53"/>
  <c r="B24" i="53"/>
  <c r="B25" i="53"/>
  <c r="B26" i="53"/>
  <c r="B27" i="53"/>
  <c r="B28" i="53"/>
  <c r="B30" i="53"/>
  <c r="B31" i="53"/>
  <c r="B32" i="53"/>
  <c r="B33" i="53"/>
  <c r="B34" i="53"/>
  <c r="B35" i="53"/>
  <c r="M59" i="23"/>
  <c r="N60" i="23"/>
  <c r="N61" i="23"/>
  <c r="D41" i="36"/>
  <c r="D52" i="36"/>
  <c r="E2" i="36"/>
  <c r="F1" i="36"/>
  <c r="Y3" i="23"/>
  <c r="W58" i="23"/>
  <c r="W61" i="23"/>
  <c r="T58" i="22"/>
  <c r="T59" i="22"/>
  <c r="T26" i="22"/>
  <c r="T30" i="22"/>
  <c r="T32" i="22"/>
  <c r="T34" i="22"/>
  <c r="T39" i="22"/>
  <c r="T42" i="22"/>
  <c r="T43" i="22"/>
  <c r="T44" i="22"/>
  <c r="T45" i="22"/>
  <c r="T46" i="22"/>
  <c r="T47" i="22"/>
  <c r="T48" i="22"/>
  <c r="T49" i="22"/>
  <c r="T50" i="22"/>
  <c r="T51" i="22"/>
  <c r="T52" i="22"/>
  <c r="T53" i="22"/>
  <c r="T54" i="22"/>
  <c r="T55" i="22"/>
  <c r="T56" i="22"/>
  <c r="T57" i="22"/>
  <c r="V3" i="22"/>
  <c r="E2" i="57"/>
  <c r="C10" i="57"/>
  <c r="AD32" i="57"/>
  <c r="C9" i="57"/>
  <c r="AD22" i="57"/>
  <c r="J24" i="28"/>
  <c r="K24" i="28"/>
  <c r="Z15" i="24"/>
  <c r="Z16" i="24"/>
  <c r="Z17" i="24"/>
  <c r="Z18" i="24"/>
  <c r="Z19" i="24"/>
  <c r="Z20" i="24"/>
  <c r="Z21" i="24"/>
  <c r="Z22" i="24"/>
  <c r="Z23" i="24"/>
  <c r="Z24" i="24"/>
  <c r="Z25" i="24"/>
  <c r="Z26" i="24"/>
  <c r="Z27" i="24"/>
  <c r="Z28" i="24"/>
  <c r="Z29" i="24"/>
  <c r="Z30" i="24"/>
  <c r="Z31" i="24"/>
  <c r="Z32" i="24"/>
  <c r="Z33" i="24"/>
  <c r="T34" i="23"/>
  <c r="T57" i="23"/>
  <c r="U34" i="23"/>
  <c r="U56" i="23"/>
  <c r="U57" i="23"/>
  <c r="C26" i="28"/>
  <c r="C56" i="28"/>
  <c r="I56" i="28"/>
  <c r="C51" i="3"/>
  <c r="C52" i="3"/>
</calcChain>
</file>

<file path=xl/comments1.xml><?xml version="1.0" encoding="utf-8"?>
<comments xmlns="http://schemas.openxmlformats.org/spreadsheetml/2006/main">
  <authors>
    <author>Support</author>
  </authors>
  <commentList>
    <comment ref="I47" authorId="0" shapeId="0">
      <text>
        <r>
          <rPr>
            <b/>
            <sz val="9"/>
            <color indexed="81"/>
            <rFont val="Tahoma"/>
            <family val="2"/>
          </rPr>
          <t>Support:</t>
        </r>
        <r>
          <rPr>
            <sz val="9"/>
            <color indexed="81"/>
            <rFont val="Tahoma"/>
            <family val="2"/>
          </rPr>
          <t xml:space="preserve">
</t>
        </r>
        <r>
          <rPr>
            <sz val="11"/>
            <color indexed="81"/>
            <rFont val="Tahoma"/>
            <family val="2"/>
          </rPr>
          <t>-1,695,414 - change in fee waivers
+144,500 - move Grad School fee
                   waivers to fee remissions
                   category
600,000 - Ecampus &amp; Summer
53,679 - Vet Med</t>
        </r>
      </text>
    </comment>
  </commentList>
</comments>
</file>

<file path=xl/comments10.xml><?xml version="1.0" encoding="utf-8"?>
<comments xmlns="http://schemas.openxmlformats.org/spreadsheetml/2006/main">
  <authors>
    <author>Support</author>
  </authors>
  <commentList>
    <comment ref="F7" authorId="0" shapeId="0">
      <text>
        <r>
          <rPr>
            <b/>
            <sz val="9"/>
            <color indexed="81"/>
            <rFont val="Tahoma"/>
            <family val="2"/>
          </rPr>
          <t>Support:</t>
        </r>
        <r>
          <rPr>
            <sz val="9"/>
            <color indexed="81"/>
            <rFont val="Tahoma"/>
            <family val="2"/>
          </rPr>
          <t xml:space="preserve">
64,001 - increase in differential settleup-see FY18 SS Rev Est.xlsx
758,777 - increase in tui distrib - 80%  see FY18 SS Rev Est.xlsx
Changes in unit estimates for FY18:
    Research C&amp;I + 21,000
    Grad School   -10,000
    CLA  +155,003 (reducing estimate)
    Honors   +37 
    Ag Sci  -140,000
    Education  +72,308 (reducing estimate)
    Science  +300,000 (reducing estimate)
    CEOAS   -11,313
    PHHS   +57,627  (reducing estimate)
    Pharmacy  -5,000
    Engineering  -500,000
    Business  -43,718
</t>
        </r>
      </text>
    </comment>
    <comment ref="F11" authorId="0" shapeId="0">
      <text>
        <r>
          <rPr>
            <b/>
            <sz val="9"/>
            <color indexed="81"/>
            <rFont val="Tahoma"/>
            <family val="2"/>
          </rPr>
          <t>Support:</t>
        </r>
        <r>
          <rPr>
            <sz val="9"/>
            <color indexed="81"/>
            <rFont val="Tahoma"/>
            <family val="2"/>
          </rPr>
          <t xml:space="preserve">
-1,424,000 - reverse FY17 F&amp;A Recovery (OUS Allocation)
+1,488,415 - FY18 F&amp;A Recovery (OUS Allocation)</t>
        </r>
      </text>
    </comment>
    <comment ref="F12" authorId="0" shapeId="0">
      <text>
        <r>
          <rPr>
            <b/>
            <sz val="9"/>
            <color indexed="81"/>
            <rFont val="Tahoma"/>
            <family val="2"/>
          </rPr>
          <t>Support:</t>
        </r>
        <r>
          <rPr>
            <sz val="9"/>
            <color indexed="81"/>
            <rFont val="Tahoma"/>
            <family val="2"/>
          </rPr>
          <t xml:space="preserve">
Moved to Assessments line</t>
        </r>
      </text>
    </comment>
    <comment ref="F13" authorId="0" shapeId="0">
      <text>
        <r>
          <rPr>
            <b/>
            <sz val="9"/>
            <color indexed="81"/>
            <rFont val="Tahoma"/>
            <family val="2"/>
          </rPr>
          <t>Support:</t>
        </r>
        <r>
          <rPr>
            <sz val="9"/>
            <color indexed="81"/>
            <rFont val="Tahoma"/>
            <family val="2"/>
          </rPr>
          <t xml:space="preserve">
Moved to Assessments line</t>
        </r>
      </text>
    </comment>
    <comment ref="F14" authorId="0" shapeId="0">
      <text>
        <r>
          <rPr>
            <b/>
            <sz val="9"/>
            <color indexed="81"/>
            <rFont val="Tahoma"/>
            <family val="2"/>
          </rPr>
          <t>Support:</t>
        </r>
        <r>
          <rPr>
            <sz val="9"/>
            <color indexed="81"/>
            <rFont val="Tahoma"/>
            <family val="2"/>
          </rPr>
          <t xml:space="preserve">
$800k increase to Foundation
    $1.2 mill increase in FY19
    $1.0 mill increase in FY20
    $1.0 mill increase in FY21
    $500k increase in FY22
</t>
        </r>
      </text>
    </comment>
    <comment ref="F15" authorId="0" shapeId="0">
      <text>
        <r>
          <rPr>
            <b/>
            <sz val="9"/>
            <color indexed="81"/>
            <rFont val="Tahoma"/>
            <family val="2"/>
          </rPr>
          <t>Support:</t>
        </r>
        <r>
          <rPr>
            <sz val="9"/>
            <color indexed="81"/>
            <rFont val="Tahoma"/>
            <family val="2"/>
          </rPr>
          <t xml:space="preserve">
$200k - increase to Alumni Assoc
    $200k increase to Alumni Assoc
        every year through FY22 ($1  
         million total)
$1,008,543 - Base Budg for Alumni    
                  Assoc
+39 - Adj to classified rollover calc
</t>
        </r>
      </text>
    </comment>
    <comment ref="F42" authorId="0" shapeId="0">
      <text>
        <r>
          <rPr>
            <b/>
            <sz val="9"/>
            <color indexed="81"/>
            <rFont val="Tahoma"/>
            <family val="2"/>
          </rPr>
          <t>Support:</t>
        </r>
        <r>
          <rPr>
            <sz val="9"/>
            <color indexed="81"/>
            <rFont val="Tahoma"/>
            <family val="2"/>
          </rPr>
          <t xml:space="preserve">
1.5% rate increase</t>
        </r>
      </text>
    </comment>
    <comment ref="F45" authorId="0" shapeId="0">
      <text>
        <r>
          <rPr>
            <b/>
            <sz val="9"/>
            <color indexed="81"/>
            <rFont val="Tahoma"/>
            <family val="2"/>
          </rPr>
          <t>Support:</t>
        </r>
        <r>
          <rPr>
            <sz val="9"/>
            <color indexed="81"/>
            <rFont val="Tahoma"/>
            <family val="2"/>
          </rPr>
          <t xml:space="preserve">
60,621 - PHHS Dual career funding
21,534 - 30% Pharm 2nd BIG Pos
50,245 - 70% SCI 2nd BIG Pos</t>
        </r>
      </text>
    </comment>
    <comment ref="F57" authorId="0" shapeId="0">
      <text>
        <r>
          <rPr>
            <b/>
            <sz val="9"/>
            <color indexed="81"/>
            <rFont val="Tahoma"/>
            <family val="2"/>
          </rPr>
          <t>Support:</t>
        </r>
        <r>
          <rPr>
            <sz val="9"/>
            <color indexed="81"/>
            <rFont val="Tahoma"/>
            <family val="2"/>
          </rPr>
          <t xml:space="preserve">
+26,982 - DHE Settle-down
-125,874 - UG Bus Settle-up
+45,281 - MBA Settle-down
-69,647 - ENG GRAD Settle-up
-194,708 - ENG UG Settle-up
-51,481 - HONORS UG Settle-up
-166,133 - VET MED Settle-up</t>
        </r>
      </text>
    </comment>
    <comment ref="F60" authorId="0" shapeId="0">
      <text>
        <r>
          <rPr>
            <b/>
            <sz val="9"/>
            <color indexed="81"/>
            <rFont val="Tahoma"/>
            <family val="2"/>
          </rPr>
          <t>Support:</t>
        </r>
        <r>
          <rPr>
            <sz val="9"/>
            <color indexed="81"/>
            <rFont val="Tahoma"/>
            <family val="2"/>
          </rPr>
          <t xml:space="preserve">
Moved $200k to contingency - $50k still budgeted for Financial Advisor - QFA008</t>
        </r>
      </text>
    </comment>
    <comment ref="F62" authorId="0" shapeId="0">
      <text>
        <r>
          <rPr>
            <b/>
            <sz val="9"/>
            <color indexed="81"/>
            <rFont val="Tahoma"/>
            <family val="2"/>
          </rPr>
          <t>Support:</t>
        </r>
        <r>
          <rPr>
            <sz val="9"/>
            <color indexed="81"/>
            <rFont val="Tahoma"/>
            <family val="2"/>
          </rPr>
          <t xml:space="preserve">
Moved to Contingency</t>
        </r>
      </text>
    </comment>
  </commentList>
</comments>
</file>

<file path=xl/comments11.xml><?xml version="1.0" encoding="utf-8"?>
<comments xmlns="http://schemas.openxmlformats.org/spreadsheetml/2006/main">
  <authors>
    <author>Katz, Patty</author>
  </authors>
  <commentList>
    <comment ref="C11" authorId="0" shapeId="0">
      <text>
        <r>
          <rPr>
            <b/>
            <sz val="8"/>
            <color indexed="81"/>
            <rFont val="Tahoma"/>
            <family val="2"/>
          </rPr>
          <t>Katz, Patty:</t>
        </r>
        <r>
          <rPr>
            <sz val="8"/>
            <color indexed="81"/>
            <rFont val="Tahoma"/>
            <family val="2"/>
          </rPr>
          <t xml:space="preserve">
Excludes Greenhouse Operations</t>
        </r>
      </text>
    </comment>
    <comment ref="F11" authorId="0" shapeId="0">
      <text>
        <r>
          <rPr>
            <b/>
            <sz val="8"/>
            <color indexed="81"/>
            <rFont val="Tahoma"/>
            <family val="2"/>
          </rPr>
          <t>Katz, Patty:</t>
        </r>
        <r>
          <rPr>
            <sz val="8"/>
            <color indexed="81"/>
            <rFont val="Tahoma"/>
            <family val="2"/>
          </rPr>
          <t xml:space="preserve">
Excludes Greenhouse Operations</t>
        </r>
      </text>
    </comment>
    <comment ref="L11" authorId="0" shapeId="0">
      <text>
        <r>
          <rPr>
            <b/>
            <sz val="8"/>
            <color indexed="81"/>
            <rFont val="Tahoma"/>
            <family val="2"/>
          </rPr>
          <t>Katz, Patty:</t>
        </r>
        <r>
          <rPr>
            <sz val="8"/>
            <color indexed="81"/>
            <rFont val="Tahoma"/>
            <family val="2"/>
          </rPr>
          <t xml:space="preserve">
Excludes Greenhouse Operations</t>
        </r>
      </text>
    </comment>
  </commentList>
</comments>
</file>

<file path=xl/comments12.xml><?xml version="1.0" encoding="utf-8"?>
<comments xmlns="http://schemas.openxmlformats.org/spreadsheetml/2006/main">
  <authors>
    <author>Support</author>
  </authors>
  <commentList>
    <comment ref="B29" authorId="0" shapeId="0">
      <text>
        <r>
          <rPr>
            <b/>
            <sz val="9"/>
            <color indexed="81"/>
            <rFont val="Tahoma"/>
            <family val="2"/>
          </rPr>
          <t>Support:</t>
        </r>
        <r>
          <rPr>
            <sz val="9"/>
            <color indexed="81"/>
            <rFont val="Tahoma"/>
            <family val="2"/>
          </rPr>
          <t xml:space="preserve">
Keeping $1.2 million centrally
+500k - Moving funding from BUC</t>
        </r>
      </text>
    </comment>
    <comment ref="B48" authorId="0" shapeId="0">
      <text>
        <r>
          <rPr>
            <b/>
            <sz val="9"/>
            <color indexed="81"/>
            <rFont val="Tahoma"/>
            <family val="2"/>
          </rPr>
          <t>Support:</t>
        </r>
        <r>
          <rPr>
            <sz val="9"/>
            <color indexed="81"/>
            <rFont val="Tahoma"/>
            <family val="2"/>
          </rPr>
          <t xml:space="preserve">
637,000 - Research Office (Gen Adm)
700,000 - Research Adm (Sponsored Proj)
1,190,000 - (OPAA)</t>
        </r>
      </text>
    </comment>
    <comment ref="B51" authorId="0" shapeId="0">
      <text>
        <r>
          <rPr>
            <b/>
            <sz val="9"/>
            <color indexed="81"/>
            <rFont val="Tahoma"/>
            <family val="2"/>
          </rPr>
          <t>Support:</t>
        </r>
        <r>
          <rPr>
            <sz val="9"/>
            <color indexed="81"/>
            <rFont val="Tahoma"/>
            <family val="2"/>
          </rPr>
          <t xml:space="preserve">
924,000 - Bus Aff
1,190,000 - OPAA</t>
        </r>
      </text>
    </comment>
    <comment ref="B52" authorId="0" shapeId="0">
      <text>
        <r>
          <rPr>
            <b/>
            <sz val="9"/>
            <color indexed="81"/>
            <rFont val="Tahoma"/>
            <family val="2"/>
          </rPr>
          <t>Support:</t>
        </r>
        <r>
          <rPr>
            <sz val="9"/>
            <color indexed="81"/>
            <rFont val="Tahoma"/>
            <family val="2"/>
          </rPr>
          <t xml:space="preserve">
3,825,000 - O&amp;M
   900,000 - Bldg Allow
-600,000 - Move to Cap
                Planning
</t>
        </r>
      </text>
    </comment>
  </commentList>
</comments>
</file>

<file path=xl/comments2.xml><?xml version="1.0" encoding="utf-8"?>
<comments xmlns="http://schemas.openxmlformats.org/spreadsheetml/2006/main">
  <authors>
    <author>Support</author>
    <author>Terri Cook</author>
  </authors>
  <commentList>
    <comment ref="G6" authorId="0" shapeId="0">
      <text>
        <r>
          <rPr>
            <b/>
            <sz val="9"/>
            <color indexed="81"/>
            <rFont val="Tahoma"/>
            <family val="2"/>
          </rPr>
          <t xml:space="preserve">Suppor
</t>
        </r>
        <r>
          <rPr>
            <sz val="9"/>
            <color indexed="81"/>
            <rFont val="Tahoma"/>
            <family val="2"/>
          </rPr>
          <t>Academic units</t>
        </r>
        <r>
          <rPr>
            <b/>
            <sz val="9"/>
            <color indexed="81"/>
            <rFont val="Tahoma"/>
            <family val="2"/>
          </rPr>
          <t xml:space="preserve"> </t>
        </r>
        <r>
          <rPr>
            <sz val="9"/>
            <color indexed="81"/>
            <rFont val="Tahoma"/>
            <family val="2"/>
          </rPr>
          <t>provide their estimates for this. Request sent out around the first of May</t>
        </r>
      </text>
    </comment>
    <comment ref="B7" authorId="1"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G6, G7, G8 on
           the IM page
-503,041 - Moving Ecampus negative base to IM
-12,211 - Moving Summer Session negative base to IM
</t>
        </r>
      </text>
    </comment>
    <comment ref="E7" authorId="1" shapeId="0">
      <text>
        <r>
          <rPr>
            <b/>
            <sz val="8"/>
            <color indexed="81"/>
            <rFont val="Tahoma"/>
            <family val="2"/>
          </rPr>
          <t>Terri Cook:</t>
        </r>
        <r>
          <rPr>
            <sz val="8"/>
            <color indexed="81"/>
            <rFont val="Tahoma"/>
            <family val="2"/>
          </rPr>
          <t xml:space="preserve">
</t>
        </r>
      </text>
    </comment>
    <comment ref="G7" authorId="1" shapeId="0">
      <text>
        <r>
          <rPr>
            <b/>
            <sz val="9"/>
            <color indexed="81"/>
            <rFont val="Tahoma"/>
            <family val="2"/>
          </rPr>
          <t>Terri Cook:</t>
        </r>
        <r>
          <rPr>
            <sz val="9"/>
            <color indexed="81"/>
            <rFont val="Tahoma"/>
            <family val="2"/>
          </rPr>
          <t xml:space="preserve">
</t>
        </r>
        <r>
          <rPr>
            <u/>
            <sz val="9"/>
            <color indexed="81"/>
            <rFont val="Tahoma"/>
            <family val="2"/>
          </rPr>
          <t>FY15</t>
        </r>
        <r>
          <rPr>
            <sz val="9"/>
            <color indexed="81"/>
            <rFont val="Tahoma"/>
            <family val="2"/>
          </rPr>
          <t xml:space="preserve">
5% of Tuition for Fin Aid   1,842,003 (off the top)
10% of Remaining Tui         123,062 (incremental)
10% of D.E. Fee              </t>
        </r>
        <r>
          <rPr>
            <u/>
            <sz val="9"/>
            <color indexed="81"/>
            <rFont val="Tahoma"/>
            <family val="2"/>
          </rPr>
          <t xml:space="preserve">1,442,024
</t>
        </r>
        <r>
          <rPr>
            <sz val="9"/>
            <color indexed="81"/>
            <rFont val="Tahoma"/>
            <family val="2"/>
          </rPr>
          <t xml:space="preserve">                                     3,407,089
</t>
        </r>
        <r>
          <rPr>
            <u/>
            <sz val="9"/>
            <color indexed="81"/>
            <rFont val="Tahoma"/>
            <family val="2"/>
          </rPr>
          <t xml:space="preserve">FY16
</t>
        </r>
        <r>
          <rPr>
            <sz val="9"/>
            <color indexed="81"/>
            <rFont val="Tahoma"/>
            <family val="2"/>
          </rPr>
          <t xml:space="preserve">10% of TUI for Fin Aid       4,946,444
Less FY15 amt                </t>
        </r>
        <r>
          <rPr>
            <u/>
            <sz val="9"/>
            <color indexed="81"/>
            <rFont val="Tahoma"/>
            <family val="2"/>
          </rPr>
          <t xml:space="preserve"> (1,842,003)</t>
        </r>
        <r>
          <rPr>
            <sz val="9"/>
            <color indexed="81"/>
            <rFont val="Tahoma"/>
            <family val="2"/>
          </rPr>
          <t xml:space="preserve">
   Increment Fin Aid Supp   3,104,441
20% Net TUI                    7,967,599
Less FY15 - at 10% level    </t>
        </r>
        <r>
          <rPr>
            <u/>
            <sz val="9"/>
            <color indexed="81"/>
            <rFont val="Tahoma"/>
            <family val="2"/>
          </rPr>
          <t xml:space="preserve">3,499,806
</t>
        </r>
        <r>
          <rPr>
            <sz val="9"/>
            <color indexed="81"/>
            <rFont val="Tahoma"/>
            <family val="2"/>
          </rPr>
          <t xml:space="preserve">    Increment Net TUI        4,467,793
Reserve for TUI settleup     5,054,114
Delete prev 10% on Ecampus fee - (1,442,025)
  Ecampus keeps 100% of the fee
</t>
        </r>
        <r>
          <rPr>
            <u/>
            <sz val="9"/>
            <color indexed="81"/>
            <rFont val="Tahoma"/>
            <family val="2"/>
          </rPr>
          <t xml:space="preserve">FY17 (Cindy Alexis)
</t>
        </r>
        <r>
          <rPr>
            <sz val="9"/>
            <color indexed="81"/>
            <rFont val="Tahoma"/>
            <family val="2"/>
          </rPr>
          <t xml:space="preserve">10% Incremental Gross Tuition 813,807
20% Incremental Net Tuition   865,245
Less incremental settle-up       -625,407
</t>
        </r>
        <r>
          <rPr>
            <u/>
            <sz val="9"/>
            <color indexed="81"/>
            <rFont val="Tahoma"/>
            <family val="2"/>
          </rPr>
          <t xml:space="preserve">FY18 (Terri Cook)
</t>
        </r>
        <r>
          <rPr>
            <sz val="9"/>
            <color indexed="81"/>
            <rFont val="Tahoma"/>
            <family val="2"/>
          </rPr>
          <t>10% Incremental Gross Tuition          1,559,116
20% Incremental Net Tuition             2,570,501
Incremental settle-up held centrally   11,461,539
Unrestricted central reserve               3,437,899</t>
        </r>
      </text>
    </comment>
    <comment ref="H7" authorId="1" shapeId="0">
      <text>
        <r>
          <rPr>
            <b/>
            <sz val="9"/>
            <color indexed="81"/>
            <rFont val="Tahoma"/>
            <family val="2"/>
          </rPr>
          <t>Terri Cook:</t>
        </r>
        <r>
          <rPr>
            <sz val="9"/>
            <color indexed="81"/>
            <rFont val="Tahoma"/>
            <family val="2"/>
          </rPr>
          <t xml:space="preserve">
1,426,248 - FY15 Balance
</t>
        </r>
        <r>
          <rPr>
            <u/>
            <sz val="9"/>
            <color indexed="81"/>
            <rFont val="Tahoma"/>
            <family val="2"/>
          </rPr>
          <t>FY16 Totals - See Summer Session worksheet</t>
        </r>
        <r>
          <rPr>
            <sz val="9"/>
            <color indexed="81"/>
            <rFont val="Tahoma"/>
            <family val="2"/>
          </rPr>
          <t xml:space="preserve">
1,036,785 - 10% of revenue off the top
</t>
        </r>
        <r>
          <rPr>
            <u/>
            <sz val="9"/>
            <color indexed="81"/>
            <rFont val="Tahoma"/>
            <family val="2"/>
          </rPr>
          <t xml:space="preserve">   847,853 -</t>
        </r>
        <r>
          <rPr>
            <sz val="9"/>
            <color indexed="81"/>
            <rFont val="Tahoma"/>
            <family val="2"/>
          </rPr>
          <t xml:space="preserve"> 10% of distributable revenue to central
1,884,639   Total to Central
</t>
        </r>
        <r>
          <rPr>
            <u/>
            <sz val="9"/>
            <color indexed="81"/>
            <rFont val="Tahoma"/>
            <family val="2"/>
          </rPr>
          <t>-1,426,248</t>
        </r>
        <r>
          <rPr>
            <sz val="9"/>
            <color indexed="81"/>
            <rFont val="Tahoma"/>
            <family val="2"/>
          </rPr>
          <t xml:space="preserve"> - in Budget as of FY15
    458,391 - incremental increase for FY16
14330448
</t>
        </r>
      </text>
    </comment>
    <comment ref="E10" authorId="1" shapeId="0">
      <text>
        <r>
          <rPr>
            <b/>
            <sz val="9"/>
            <color indexed="81"/>
            <rFont val="Tahoma"/>
            <family val="2"/>
          </rPr>
          <t>Terri Cook:</t>
        </r>
        <r>
          <rPr>
            <sz val="9"/>
            <color indexed="81"/>
            <rFont val="Tahoma"/>
            <family val="2"/>
          </rPr>
          <t xml:space="preserve">
47,500 - 5th year of 5 - Provost Faculty Match 
             Program - Phase 2
-47,500 - End of Prov Fac Match Phase 2
</t>
        </r>
      </text>
    </comment>
    <comment ref="C11" authorId="0" shapeId="0">
      <text>
        <r>
          <rPr>
            <b/>
            <sz val="9"/>
            <color indexed="81"/>
            <rFont val="Tahoma"/>
            <family val="2"/>
          </rPr>
          <t>Support:</t>
        </r>
        <r>
          <rPr>
            <sz val="9"/>
            <color indexed="81"/>
            <rFont val="Tahoma"/>
            <family val="2"/>
          </rPr>
          <t xml:space="preserve">
1,291,194 - BUS UG thru FY16
349,913 - MBA thru FY16
222,444 - DHE thru FY16</t>
        </r>
      </text>
    </comment>
    <comment ref="E11" authorId="1" shapeId="0">
      <text>
        <r>
          <rPr>
            <b/>
            <sz val="8"/>
            <color indexed="81"/>
            <rFont val="Tahoma"/>
            <family val="2"/>
          </rPr>
          <t>Terri Cook:</t>
        </r>
        <r>
          <rPr>
            <sz val="8"/>
            <color indexed="81"/>
            <rFont val="Tahoma"/>
            <family val="2"/>
          </rPr>
          <t xml:space="preserve">
-0-- FY17 est UG diff 
-0-  FY17 est for MBA - no change from FY14
-0- FY17 DHE diff tuition estimate 
</t>
        </r>
      </text>
    </comment>
    <comment ref="C12" authorId="0" shapeId="0">
      <text>
        <r>
          <rPr>
            <b/>
            <sz val="9"/>
            <color indexed="81"/>
            <rFont val="Tahoma"/>
            <family val="2"/>
          </rPr>
          <t xml:space="preserve">Support:
</t>
        </r>
        <r>
          <rPr>
            <sz val="9"/>
            <color indexed="81"/>
            <rFont val="Tahoma"/>
            <family val="2"/>
          </rPr>
          <t>7,124,843 - UG through FY16
   775,566 - GRAD through FY16</t>
        </r>
      </text>
    </comment>
    <comment ref="E12" authorId="1" shapeId="0">
      <text>
        <r>
          <rPr>
            <b/>
            <sz val="8"/>
            <color indexed="81"/>
            <rFont val="Tahoma"/>
            <family val="2"/>
          </rPr>
          <t>Terri Cook:</t>
        </r>
        <r>
          <rPr>
            <sz val="8"/>
            <color indexed="81"/>
            <rFont val="Tahoma"/>
            <family val="2"/>
          </rPr>
          <t xml:space="preserve">
115,000 - 5th Year of 5 Prov Fac Match, Phase 2
-115,000 - End of Prov Fac Match, Phase 2
22,000 - DOE Best proposal, B-11 - Year 3 of 3
-22,000-End of DOE Best proposal, B-11
0 - FY17 UG estimated increase in differential tui
0 - FY17 GRAD estimated increase in differential tui
</t>
        </r>
      </text>
    </comment>
    <comment ref="F12" authorId="0" shapeId="0">
      <text>
        <r>
          <rPr>
            <b/>
            <sz val="9"/>
            <color indexed="81"/>
            <rFont val="Tahoma"/>
            <family val="2"/>
          </rPr>
          <t>Support:</t>
        </r>
        <r>
          <rPr>
            <sz val="9"/>
            <color indexed="81"/>
            <rFont val="Tahoma"/>
            <family val="2"/>
          </rPr>
          <t xml:space="preserve">
2,482,197 - FY15 amt
  200,000 -  for Pro School Expansion - 
                  one-time, eliminate in FY17</t>
        </r>
      </text>
    </comment>
    <comment ref="G12" authorId="0" shapeId="0">
      <text>
        <r>
          <rPr>
            <b/>
            <sz val="9"/>
            <color indexed="81"/>
            <rFont val="Tahoma"/>
            <family val="2"/>
          </rPr>
          <t>Support:</t>
        </r>
        <r>
          <rPr>
            <sz val="9"/>
            <color indexed="81"/>
            <rFont val="Tahoma"/>
            <family val="2"/>
          </rPr>
          <t xml:space="preserve">
3,322,100 - Ecampus CS diff
1,455,400 - Ecampus COE diff
5,222,500 - Ecampus TUI</t>
        </r>
      </text>
    </comment>
    <comment ref="C13" authorId="0" shapeId="0">
      <text>
        <r>
          <rPr>
            <b/>
            <sz val="9"/>
            <color indexed="81"/>
            <rFont val="Tahoma"/>
            <family val="2"/>
          </rPr>
          <t>Support:</t>
        </r>
        <r>
          <rPr>
            <sz val="9"/>
            <color indexed="81"/>
            <rFont val="Tahoma"/>
            <family val="2"/>
          </rPr>
          <t xml:space="preserve">
Through FY16 settle-up</t>
        </r>
      </text>
    </comment>
    <comment ref="E13" authorId="1" shapeId="0">
      <text>
        <r>
          <rPr>
            <b/>
            <sz val="8"/>
            <color indexed="81"/>
            <rFont val="Tahoma"/>
            <family val="2"/>
          </rPr>
          <t>Terri Cook:</t>
        </r>
        <r>
          <rPr>
            <sz val="8"/>
            <color indexed="81"/>
            <rFont val="Tahoma"/>
            <family val="2"/>
          </rPr>
          <t xml:space="preserve">
0 - Est of differential for FY16
135,000 - 5th year of 5 - Provost Faculty
                 Match Program Phase 1
-135,000 - End of Prov Fac Match - Phase1
300,000 - Support for FRL-ongoing
-300,000 - moved to base
</t>
        </r>
      </text>
    </comment>
    <comment ref="C14" authorId="0" shapeId="0">
      <text>
        <r>
          <rPr>
            <b/>
            <sz val="9"/>
            <color indexed="81"/>
            <rFont val="Tahoma"/>
            <family val="2"/>
          </rPr>
          <t>Support:</t>
        </r>
        <r>
          <rPr>
            <sz val="9"/>
            <color indexed="81"/>
            <rFont val="Tahoma"/>
            <family val="2"/>
          </rPr>
          <t xml:space="preserve">
MPH Incremental Rev
$753,858 settle-up through FY13
     6,772 FY14 settle-up
   75,796 FY15 settle-up
-149,530 FY16 settle-down</t>
        </r>
      </text>
    </comment>
    <comment ref="E14" authorId="1" shapeId="0">
      <text>
        <r>
          <rPr>
            <b/>
            <sz val="8"/>
            <color indexed="81"/>
            <rFont val="Tahoma"/>
            <family val="2"/>
          </rPr>
          <t>Terri Cook:</t>
        </r>
        <r>
          <rPr>
            <sz val="8"/>
            <color indexed="81"/>
            <rFont val="Tahoma"/>
            <family val="2"/>
          </rPr>
          <t xml:space="preserve">
0 - FY16 incremental revenue for MPH program 
$102,500 - 5th year of 5 - Provost Faculty Match
                  Program Phase 2
-102,500 - End of Prov Fac Match Phase 2
$500,000  FY17 incremental tuition differential (Cindy Alexis)</t>
        </r>
      </text>
    </comment>
    <comment ref="E15" authorId="1" shapeId="0">
      <text>
        <r>
          <rPr>
            <b/>
            <sz val="9"/>
            <color indexed="81"/>
            <rFont val="Tahoma"/>
            <family val="2"/>
          </rPr>
          <t>Terri Cook:</t>
        </r>
        <r>
          <rPr>
            <sz val="9"/>
            <color indexed="81"/>
            <rFont val="Tahoma"/>
            <family val="2"/>
          </rPr>
          <t xml:space="preserve">
$20k - Eastern Promise Replication Grant
+$45k - FY15 - 3rd Year of 3 year commitment
-$45k - FY16 - end of commitment
-$20k - Eastern Promise Replication Grant - moving to President</t>
        </r>
      </text>
    </comment>
    <comment ref="E16" authorId="1" shapeId="0">
      <text>
        <r>
          <rPr>
            <b/>
            <sz val="9"/>
            <color indexed="81"/>
            <rFont val="Tahoma"/>
            <family val="2"/>
          </rPr>
          <t>Terri Cook:</t>
        </r>
        <r>
          <rPr>
            <sz val="9"/>
            <color indexed="81"/>
            <rFont val="Tahoma"/>
            <family val="2"/>
          </rPr>
          <t xml:space="preserve">
$135,000 - 5th year of 5, Provost Faculty
                Match Program - Phase 2
-135,000 - End of Prov Fac Match - Phase 2
75,000 - support for Environmental Humanities - Yr 2 of 3 -
   check on this in year 3 - (FY19 will be 3rd year)
</t>
        </r>
      </text>
    </comment>
    <comment ref="F16" authorId="0" shapeId="0">
      <text>
        <r>
          <rPr>
            <b/>
            <sz val="9"/>
            <color indexed="81"/>
            <rFont val="Tahoma"/>
            <family val="2"/>
          </rPr>
          <t xml:space="preserve">Support:
</t>
        </r>
        <r>
          <rPr>
            <sz val="9"/>
            <color indexed="81"/>
            <rFont val="Tahoma"/>
            <family val="2"/>
          </rPr>
          <t>1,240,127 - FY15 amt
100,000    - making up for lost 
                  ERAM allocation</t>
        </r>
      </text>
    </comment>
    <comment ref="K16" authorId="0" shapeId="0">
      <text>
        <r>
          <rPr>
            <b/>
            <sz val="9"/>
            <color indexed="81"/>
            <rFont val="Tahoma"/>
            <family val="2"/>
          </rPr>
          <t>Support:</t>
        </r>
        <r>
          <rPr>
            <sz val="9"/>
            <color indexed="81"/>
            <rFont val="Tahoma"/>
            <family val="2"/>
          </rPr>
          <t xml:space="preserve">
1.5% increase over FY17plus new remissions in Women's Studies</t>
        </r>
      </text>
    </comment>
    <comment ref="E17" authorId="0" shapeId="0">
      <text>
        <r>
          <rPr>
            <b/>
            <sz val="9"/>
            <color indexed="81"/>
            <rFont val="Tahoma"/>
            <family val="2"/>
          </rPr>
          <t>Support:</t>
        </r>
        <r>
          <rPr>
            <sz val="9"/>
            <color indexed="81"/>
            <rFont val="Tahoma"/>
            <family val="2"/>
          </rPr>
          <t xml:space="preserve">
Support for EVM position</t>
        </r>
      </text>
    </comment>
    <comment ref="C18" authorId="0" shapeId="0">
      <text>
        <r>
          <rPr>
            <b/>
            <sz val="9"/>
            <color indexed="81"/>
            <rFont val="Tahoma"/>
            <family val="2"/>
          </rPr>
          <t>Support:</t>
        </r>
        <r>
          <rPr>
            <sz val="9"/>
            <color indexed="81"/>
            <rFont val="Tahoma"/>
            <family val="2"/>
          </rPr>
          <t xml:space="preserve">
Through FY16 Settle-up</t>
        </r>
      </text>
    </comment>
    <comment ref="E18" authorId="1" shapeId="0">
      <text>
        <r>
          <rPr>
            <b/>
            <sz val="8"/>
            <color indexed="81"/>
            <rFont val="Tahoma"/>
            <family val="2"/>
          </rPr>
          <t xml:space="preserve">Terri Cook:
</t>
        </r>
        <r>
          <rPr>
            <sz val="8"/>
            <color indexed="81"/>
            <rFont val="Tahoma"/>
            <family val="2"/>
          </rPr>
          <t>37,740 - OHSU rent
175,000 - CLSB O&amp;M costs
Moving these costs to base</t>
        </r>
      </text>
    </comment>
    <comment ref="C19" authorId="0" shapeId="0">
      <text>
        <r>
          <rPr>
            <b/>
            <sz val="9"/>
            <color indexed="81"/>
            <rFont val="Tahoma"/>
            <family val="2"/>
          </rPr>
          <t>Support:</t>
        </r>
        <r>
          <rPr>
            <sz val="9"/>
            <color indexed="81"/>
            <rFont val="Tahoma"/>
            <family val="2"/>
          </rPr>
          <t xml:space="preserve">
Prof Sci Grad -  Diff</t>
        </r>
      </text>
    </comment>
    <comment ref="C20" authorId="0" shapeId="0">
      <text>
        <r>
          <rPr>
            <b/>
            <sz val="9"/>
            <color indexed="81"/>
            <rFont val="Tahoma"/>
            <family val="2"/>
          </rPr>
          <t>Support:</t>
        </r>
        <r>
          <rPr>
            <sz val="9"/>
            <color indexed="81"/>
            <rFont val="Tahoma"/>
            <family val="2"/>
          </rPr>
          <t xml:space="preserve">
Through FY16 Settle-up</t>
        </r>
      </text>
    </comment>
    <comment ref="E20" authorId="1" shapeId="0">
      <text>
        <r>
          <rPr>
            <sz val="8"/>
            <color indexed="81"/>
            <rFont val="Tahoma"/>
            <family val="2"/>
          </rPr>
          <t>-48,085 - Estimated fee waivers
12,500 - 5th year of 5 Provost''s Faculty
              Match Program Phase 2
-12,500 - End of Prov Fac Match Phase 2
100,000   FY17 incremental tuition differential (Cindy Alexis)</t>
        </r>
      </text>
    </comment>
    <comment ref="H21" authorId="1" shapeId="0">
      <text>
        <r>
          <rPr>
            <b/>
            <sz val="9"/>
            <color indexed="81"/>
            <rFont val="Tahoma"/>
            <family val="2"/>
          </rPr>
          <t>Terri Cook:</t>
        </r>
        <r>
          <rPr>
            <sz val="9"/>
            <color indexed="81"/>
            <rFont val="Tahoma"/>
            <family val="2"/>
          </rPr>
          <t xml:space="preserve">
600k - Summer Session budg
-100k - fee waivers
6,124 - FY16 salary raise
35,000 - For support that summer session gives to other units</t>
        </r>
      </text>
    </comment>
    <comment ref="C22" authorId="0" shapeId="0">
      <text>
        <r>
          <rPr>
            <b/>
            <sz val="9"/>
            <color indexed="81"/>
            <rFont val="Tahoma"/>
            <family val="2"/>
          </rPr>
          <t xml:space="preserve">Support
</t>
        </r>
        <r>
          <rPr>
            <sz val="9"/>
            <color indexed="81"/>
            <rFont val="Tahoma"/>
            <family val="2"/>
          </rPr>
          <t>Through FY16 settle-up</t>
        </r>
      </text>
    </comment>
    <comment ref="E22" authorId="1" shapeId="0">
      <text>
        <r>
          <rPr>
            <b/>
            <sz val="8"/>
            <color indexed="81"/>
            <rFont val="Tahoma"/>
            <family val="2"/>
          </rPr>
          <t>Terri Cook:</t>
        </r>
        <r>
          <rPr>
            <sz val="8"/>
            <color indexed="81"/>
            <rFont val="Tahoma"/>
            <family val="2"/>
          </rPr>
          <t xml:space="preserve">
  230,245  FY17 incremental tuition differential (Cindy Alexis)</t>
        </r>
      </text>
    </comment>
    <comment ref="K22" authorId="0" shapeId="0">
      <text>
        <r>
          <rPr>
            <b/>
            <sz val="9"/>
            <color indexed="81"/>
            <rFont val="Tahoma"/>
            <family val="2"/>
          </rPr>
          <t>Support:</t>
        </r>
        <r>
          <rPr>
            <sz val="9"/>
            <color indexed="81"/>
            <rFont val="Tahoma"/>
            <family val="2"/>
          </rPr>
          <t xml:space="preserve">
12,250 - FY17 additiona - extra fee remission for one stdt </t>
        </r>
      </text>
    </comment>
    <comment ref="B23" authorId="1" shapeId="0">
      <text>
        <r>
          <rPr>
            <b/>
            <sz val="9"/>
            <color indexed="81"/>
            <rFont val="Tahoma"/>
            <family val="2"/>
          </rPr>
          <t>Terri Cook:</t>
        </r>
        <r>
          <rPr>
            <sz val="9"/>
            <color indexed="81"/>
            <rFont val="Tahoma"/>
            <family val="2"/>
          </rPr>
          <t xml:space="preserve">
Adjust to zero - rebasing ajdustments showing in IM
</t>
        </r>
      </text>
    </comment>
    <comment ref="G23" authorId="0" shapeId="0">
      <text>
        <r>
          <rPr>
            <b/>
            <sz val="9"/>
            <color indexed="81"/>
            <rFont val="Tahoma"/>
            <family val="2"/>
          </rPr>
          <t>Support:</t>
        </r>
        <r>
          <rPr>
            <sz val="9"/>
            <color indexed="81"/>
            <rFont val="Tahoma"/>
            <family val="2"/>
          </rPr>
          <t xml:space="preserve">
Represents gross student fees, no percentage off the top plus workshop income and reduced $500,000 for waivers
</t>
        </r>
      </text>
    </comment>
    <comment ref="L24" authorId="0" shapeId="0">
      <text>
        <r>
          <rPr>
            <b/>
            <sz val="9"/>
            <color indexed="81"/>
            <rFont val="Tahoma"/>
            <family val="2"/>
          </rPr>
          <t>Support:</t>
        </r>
        <r>
          <rPr>
            <sz val="9"/>
            <color indexed="81"/>
            <rFont val="Tahoma"/>
            <family val="2"/>
          </rPr>
          <t xml:space="preserve">
Keeping $1.2 million centrally
+500k - Moving funding from BUC</t>
        </r>
      </text>
    </comment>
    <comment ref="E27" authorId="1" shapeId="0">
      <text>
        <r>
          <rPr>
            <b/>
            <sz val="9"/>
            <color indexed="81"/>
            <rFont val="Tahoma"/>
            <family val="2"/>
          </rPr>
          <t>Terri Cook:</t>
        </r>
        <r>
          <rPr>
            <sz val="9"/>
            <color indexed="81"/>
            <rFont val="Tahoma"/>
            <family val="2"/>
          </rPr>
          <t xml:space="preserve">
650,000 For HMSC in lieu of facilities services
-650,000 - move to base
$35,000 - 5th year of 5 - Provost Faculty
               Match Program Phse 2
               for Linus Pauling Inst
-35,000 - End of Prov Fac Match Phase 2
</t>
        </r>
      </text>
    </comment>
    <comment ref="L27" authorId="1" shapeId="0">
      <text>
        <r>
          <rPr>
            <b/>
            <sz val="8"/>
            <color indexed="81"/>
            <rFont val="Tahoma"/>
            <family val="2"/>
          </rPr>
          <t>Cindy Alexis:</t>
        </r>
        <r>
          <rPr>
            <sz val="8"/>
            <color indexed="81"/>
            <rFont val="Tahoma"/>
            <family val="2"/>
          </rPr>
          <t xml:space="preserve">
3,125,000 - F&amp;A Recovery
780,800 - ROH</t>
        </r>
      </text>
    </comment>
    <comment ref="E32" authorId="1" shapeId="0">
      <text>
        <r>
          <rPr>
            <b/>
            <sz val="9"/>
            <color indexed="81"/>
            <rFont val="Tahoma"/>
            <family val="2"/>
          </rPr>
          <t>Terri Cook:</t>
        </r>
        <r>
          <rPr>
            <sz val="9"/>
            <color indexed="81"/>
            <rFont val="Tahoma"/>
            <family val="2"/>
          </rPr>
          <t xml:space="preserve">
$300,000 -5th year of 5 years - Equity &amp; Inclusion - ADA 
   Assessment - FY18 is last year
$20,000 - Eastern Promise Replication Grant
</t>
        </r>
      </text>
    </comment>
    <comment ref="E33" authorId="1" shapeId="0">
      <text>
        <r>
          <rPr>
            <b/>
            <sz val="9"/>
            <color indexed="81"/>
            <rFont val="Tahoma"/>
            <family val="2"/>
          </rPr>
          <t>Terri Cook:</t>
        </r>
        <r>
          <rPr>
            <sz val="9"/>
            <color indexed="81"/>
            <rFont val="Tahoma"/>
            <family val="2"/>
          </rPr>
          <t xml:space="preserve">
232,983 - special Asst for  Community Diversity -
              one time funding
-232,983 - FY18 reversal
400,000 - grant to city of Corvallis</t>
        </r>
      </text>
    </comment>
    <comment ref="E35" authorId="1" shapeId="0">
      <text>
        <r>
          <rPr>
            <b/>
            <sz val="8"/>
            <color indexed="81"/>
            <rFont val="Tahoma"/>
            <family val="2"/>
          </rPr>
          <t>Terri Cook:</t>
        </r>
        <r>
          <rPr>
            <sz val="8"/>
            <color indexed="81"/>
            <rFont val="Tahoma"/>
            <family val="2"/>
          </rPr>
          <t xml:space="preserve">
$300,000 - Diversity
$55,000 - Promise Prog
+20,000 - University Days funding (from Univ Adv)
4,000,000 - Athletics 
   500,000- Athletics - From IM
</t>
        </r>
      </text>
    </comment>
    <comment ref="E39" authorId="0" shapeId="0">
      <text>
        <r>
          <rPr>
            <b/>
            <sz val="9"/>
            <color indexed="81"/>
            <rFont val="Tahoma"/>
            <family val="2"/>
          </rPr>
          <t>Support:</t>
        </r>
        <r>
          <rPr>
            <sz val="9"/>
            <color indexed="81"/>
            <rFont val="Tahoma"/>
            <family val="2"/>
          </rPr>
          <t xml:space="preserve">
</t>
        </r>
        <r>
          <rPr>
            <b/>
            <sz val="9"/>
            <color indexed="81"/>
            <rFont val="Tahoma"/>
            <family val="2"/>
          </rPr>
          <t xml:space="preserve">Cindy Alexis:
</t>
        </r>
        <r>
          <rPr>
            <sz val="9"/>
            <color indexed="81"/>
            <rFont val="Tahoma"/>
            <family val="2"/>
          </rPr>
          <t>$308,982 - One-time license charges and system upgrades
-</t>
        </r>
      </text>
    </comment>
    <comment ref="E40" authorId="1" shapeId="0">
      <text>
        <r>
          <rPr>
            <b/>
            <sz val="8"/>
            <color indexed="81"/>
            <rFont val="Tahoma"/>
            <family val="2"/>
          </rPr>
          <t>Terri Cook:</t>
        </r>
        <r>
          <rPr>
            <sz val="8"/>
            <color indexed="81"/>
            <rFont val="Tahoma"/>
            <family val="2"/>
          </rPr>
          <t xml:space="preserve">
$80k - Diversity
950,000 - new Graduate Fellowship &amp; Scholarship program
</t>
        </r>
      </text>
    </comment>
    <comment ref="K40" authorId="0" shapeId="0">
      <text>
        <r>
          <rPr>
            <b/>
            <sz val="9"/>
            <color indexed="81"/>
            <rFont val="Tahoma"/>
            <family val="2"/>
          </rPr>
          <t xml:space="preserve">Support:
</t>
        </r>
        <r>
          <rPr>
            <sz val="9"/>
            <color indexed="81"/>
            <rFont val="Tahoma"/>
            <family val="2"/>
          </rPr>
          <t>314,638 - FY16 balance
-114,500 - reverse add'l remission funding given 
               in FY16
+90,990 - add'l remission funding for FY17
291,128 - Total remission budget
Division between Grad Sch Admin and Interdisc Prgms from Fran Saveriano. See worksheet in FY17 Budget Development folder / Graduate School Grad Fee Remissions folder</t>
        </r>
      </text>
    </comment>
    <comment ref="E42" authorId="0" shapeId="0">
      <text>
        <r>
          <rPr>
            <b/>
            <sz val="9"/>
            <color indexed="81"/>
            <rFont val="Tahoma"/>
            <family val="2"/>
          </rPr>
          <t>Support:</t>
        </r>
        <r>
          <rPr>
            <sz val="9"/>
            <color indexed="81"/>
            <rFont val="Tahoma"/>
            <family val="2"/>
          </rPr>
          <t xml:space="preserve">
100,000 - SMI contract (or other DC representation
327,000 - Wheat Commission
</t>
        </r>
      </text>
    </comment>
    <comment ref="L42" authorId="0" shapeId="0">
      <text>
        <r>
          <rPr>
            <b/>
            <sz val="9"/>
            <color indexed="81"/>
            <rFont val="Tahoma"/>
            <family val="2"/>
          </rPr>
          <t>Support:</t>
        </r>
        <r>
          <rPr>
            <sz val="9"/>
            <color indexed="81"/>
            <rFont val="Tahoma"/>
            <family val="2"/>
          </rPr>
          <t xml:space="preserve">
637,000 - Research Office (Gen Adm)
1,890,000 - Sponsored Research Admin
125,800 - new position funded from F&amp;A Rate Alloc</t>
        </r>
      </text>
    </comment>
    <comment ref="E45" authorId="1" shapeId="0">
      <text>
        <r>
          <rPr>
            <b/>
            <sz val="9"/>
            <color indexed="81"/>
            <rFont val="Tahoma"/>
            <family val="2"/>
          </rPr>
          <t>Terri Cook:</t>
        </r>
        <r>
          <rPr>
            <sz val="9"/>
            <color indexed="81"/>
            <rFont val="Tahoma"/>
            <family val="2"/>
          </rPr>
          <t xml:space="preserve">
40,000 - Future Perfect contract (Budg Offc index)
26,585- P&amp;M (QBS010) - DAS shuttle
172,820 - Corvallis Transit pmt (Kavinda's)
108,500 - Albany Transit pmt (Kavinda's)
7,000 - incremental increase for Albany transit contract</t>
        </r>
      </text>
    </comment>
    <comment ref="L45" authorId="0" shapeId="0">
      <text>
        <r>
          <rPr>
            <b/>
            <sz val="9"/>
            <color indexed="81"/>
            <rFont val="Tahoma"/>
            <family val="2"/>
          </rPr>
          <t>Support:</t>
        </r>
        <r>
          <rPr>
            <sz val="9"/>
            <color indexed="81"/>
            <rFont val="Tahoma"/>
            <family val="2"/>
          </rPr>
          <t xml:space="preserve">
924,000 - Bus Aff
1,190,000 - OPAA</t>
        </r>
      </text>
    </comment>
    <comment ref="L46" authorId="0" shapeId="0">
      <text>
        <r>
          <rPr>
            <b/>
            <sz val="9"/>
            <color indexed="81"/>
            <rFont val="Tahoma"/>
            <family val="2"/>
          </rPr>
          <t>Support:</t>
        </r>
        <r>
          <rPr>
            <sz val="9"/>
            <color indexed="81"/>
            <rFont val="Tahoma"/>
            <family val="2"/>
          </rPr>
          <t xml:space="preserve">
4,225,000 - O&amp;M
   900,000 - Bldg Allow
-600,000 - Move to Cap
                Planning
</t>
        </r>
      </text>
    </comment>
  </commentList>
</comments>
</file>

<file path=xl/comments3.xml><?xml version="1.0" encoding="utf-8"?>
<comments xmlns="http://schemas.openxmlformats.org/spreadsheetml/2006/main">
  <authors>
    <author>Terri Cook</author>
    <author>Support</author>
  </authors>
  <commentList>
    <comment ref="O37" authorId="0" shapeId="0">
      <text>
        <r>
          <rPr>
            <b/>
            <sz val="8"/>
            <color indexed="81"/>
            <rFont val="Tahoma"/>
            <family val="2"/>
          </rPr>
          <t>Terri Cook:</t>
        </r>
        <r>
          <rPr>
            <sz val="8"/>
            <color indexed="81"/>
            <rFont val="Tahoma"/>
            <family val="2"/>
          </rPr>
          <t xml:space="preserve">
</t>
        </r>
      </text>
    </comment>
    <comment ref="O39" authorId="0" shapeId="0">
      <text>
        <r>
          <rPr>
            <b/>
            <sz val="9"/>
            <color indexed="81"/>
            <rFont val="Tahoma"/>
            <family val="2"/>
          </rPr>
          <t>Terri Cook:</t>
        </r>
        <r>
          <rPr>
            <sz val="9"/>
            <color indexed="81"/>
            <rFont val="Tahoma"/>
            <family val="2"/>
          </rPr>
          <t xml:space="preserve">
47,500 - 5th year of 5 - Provost Faculty Match 
             Program - Phase 2
-47,500 - End of Prov Fac Match Phase 2
843,760 - Commitment for AES for FY12 Salary 
              increases, moved from IM
1,598,265 - Commitment for AES for Grad Fee Rem</t>
        </r>
      </text>
    </comment>
    <comment ref="O40" authorId="0" shapeId="0">
      <text>
        <r>
          <rPr>
            <b/>
            <sz val="8"/>
            <color indexed="81"/>
            <rFont val="Tahoma"/>
            <family val="2"/>
          </rPr>
          <t>Terri Cook:</t>
        </r>
        <r>
          <rPr>
            <sz val="8"/>
            <color indexed="81"/>
            <rFont val="Tahoma"/>
            <family val="2"/>
          </rPr>
          <t xml:space="preserve">
-0-- FY17 est UG diff 
-0-  FY17 est for MBA - no change from FY14
-0- FY17 DHE diff tuition estimate 
</t>
        </r>
      </text>
    </comment>
    <comment ref="O41" authorId="0" shapeId="0">
      <text>
        <r>
          <rPr>
            <b/>
            <sz val="8"/>
            <color indexed="81"/>
            <rFont val="Tahoma"/>
            <family val="2"/>
          </rPr>
          <t>Terri Cook:</t>
        </r>
        <r>
          <rPr>
            <sz val="8"/>
            <color indexed="81"/>
            <rFont val="Tahoma"/>
            <family val="2"/>
          </rPr>
          <t xml:space="preserve">
115,000 - 5th Year of 5 Prov Fac Match, Phase 2
-115,000 - End of Prov Fac Match, Phase 2
22,000 - DOE Best proposal, B-11 - Year 3 of 3
-22,000-End of DOE Best proposal, B-11
0 - FY17 UG estimated increase in differential tui
0 - FY17 GRAD estimated increase in differential tui
</t>
        </r>
      </text>
    </comment>
    <comment ref="O42" authorId="0" shapeId="0">
      <text>
        <r>
          <rPr>
            <b/>
            <sz val="8"/>
            <color indexed="81"/>
            <rFont val="Tahoma"/>
            <family val="2"/>
          </rPr>
          <t>Terri Cook:</t>
        </r>
        <r>
          <rPr>
            <sz val="8"/>
            <color indexed="81"/>
            <rFont val="Tahoma"/>
            <family val="2"/>
          </rPr>
          <t xml:space="preserve">
0 - Est of differential for FY16
135,000 - 5th year of 5 - Provost Faculty
                 Match Program Phase 1
-135,000 - End of Prov Fac Match - Phase1
300,000 - Support for FRL-ongoing
-300,000 - moved to base
95,520 - commitment for FRL FY12 salary 
              increases,  moved from IM
619,180 - commitment for FRL Grad Fee Rem
</t>
        </r>
      </text>
    </comment>
    <comment ref="O43" authorId="0" shapeId="0">
      <text>
        <r>
          <rPr>
            <b/>
            <sz val="8"/>
            <color indexed="81"/>
            <rFont val="Tahoma"/>
            <family val="2"/>
          </rPr>
          <t>Terri Cook:</t>
        </r>
        <r>
          <rPr>
            <sz val="8"/>
            <color indexed="81"/>
            <rFont val="Tahoma"/>
            <family val="2"/>
          </rPr>
          <t xml:space="preserve">
0 - FY16 incremental revenue for MPH program 
$102,500 - 5th year of 5 - Provost Faculty Match
                  Program Phase 2
-102,500 - End of Prov Fac Match Phase 2
$500,000  FY17 incremental tuition differential (Cindy Alexis)</t>
        </r>
      </text>
    </comment>
    <comment ref="O44" authorId="0" shapeId="0">
      <text>
        <r>
          <rPr>
            <b/>
            <sz val="9"/>
            <color indexed="81"/>
            <rFont val="Tahoma"/>
            <family val="2"/>
          </rPr>
          <t>Terri Cook:</t>
        </r>
        <r>
          <rPr>
            <sz val="9"/>
            <color indexed="81"/>
            <rFont val="Tahoma"/>
            <family val="2"/>
          </rPr>
          <t xml:space="preserve">
$20k - Eastern Promise Replication Grant
+$45k - FY15 - 3rd Year of 3 year commitment
-$45k - FY16 - end of commitment
-$20k - Eastern Promise Replication Grant - moving to President</t>
        </r>
      </text>
    </comment>
    <comment ref="O45" authorId="0" shapeId="0">
      <text>
        <r>
          <rPr>
            <b/>
            <sz val="9"/>
            <color indexed="81"/>
            <rFont val="Tahoma"/>
            <family val="2"/>
          </rPr>
          <t>Terri Cook:</t>
        </r>
        <r>
          <rPr>
            <sz val="9"/>
            <color indexed="81"/>
            <rFont val="Tahoma"/>
            <family val="2"/>
          </rPr>
          <t xml:space="preserve">
$135,000 - 5th year of 5, Provost Faculty
                Match Program - Phase 2
-135,000 - End of Prov Fac Match - Phase 2
75,000 - support for Environmental Humanities - Yr 2 of 3 -
   check on this in year 3 - (FY19 will be 3rd year)
</t>
        </r>
      </text>
    </comment>
    <comment ref="O46" authorId="1" shapeId="0">
      <text>
        <r>
          <rPr>
            <b/>
            <sz val="9"/>
            <color indexed="81"/>
            <rFont val="Tahoma"/>
            <family val="2"/>
          </rPr>
          <t>Support:</t>
        </r>
        <r>
          <rPr>
            <sz val="9"/>
            <color indexed="81"/>
            <rFont val="Tahoma"/>
            <family val="2"/>
          </rPr>
          <t xml:space="preserve">
Support for EVM position</t>
        </r>
      </text>
    </comment>
    <comment ref="O47" authorId="0" shapeId="0">
      <text>
        <r>
          <rPr>
            <b/>
            <sz val="8"/>
            <color indexed="81"/>
            <rFont val="Tahoma"/>
            <family val="2"/>
          </rPr>
          <t xml:space="preserve">Terri Cook:
</t>
        </r>
        <r>
          <rPr>
            <sz val="8"/>
            <color indexed="81"/>
            <rFont val="Tahoma"/>
            <family val="2"/>
          </rPr>
          <t>37,740 - OHSU rent
175,000 - CLSB O&amp;M costs
Moving these costs to base</t>
        </r>
      </text>
    </comment>
    <comment ref="O49" authorId="0" shapeId="0">
      <text>
        <r>
          <rPr>
            <sz val="8"/>
            <color indexed="81"/>
            <rFont val="Tahoma"/>
            <family val="2"/>
          </rPr>
          <t>-48,085 - Estimated fee waivers
12,500 - 5th year of 5 Provost''s Faculty
              Match Program Phase 2
-12,500 - End of Prov Fac Match Phase 2
100,000   FY17 incremental tuition differential (Cindy Alexis)</t>
        </r>
      </text>
    </comment>
    <comment ref="O51" authorId="0" shapeId="0">
      <text>
        <r>
          <rPr>
            <b/>
            <sz val="8"/>
            <color indexed="81"/>
            <rFont val="Tahoma"/>
            <family val="2"/>
          </rPr>
          <t>Terri Cook:</t>
        </r>
        <r>
          <rPr>
            <sz val="8"/>
            <color indexed="81"/>
            <rFont val="Tahoma"/>
            <family val="2"/>
          </rPr>
          <t xml:space="preserve">
  230,245  FY17 incremental tuition differential (Cindy Alexis)
-230,245   move to base</t>
        </r>
      </text>
    </comment>
    <comment ref="B52" authorId="0" shapeId="0">
      <text>
        <r>
          <rPr>
            <b/>
            <sz val="9"/>
            <color indexed="81"/>
            <rFont val="Tahoma"/>
            <family val="2"/>
          </rPr>
          <t>Terri Cook:</t>
        </r>
        <r>
          <rPr>
            <sz val="9"/>
            <color indexed="81"/>
            <rFont val="Tahoma"/>
            <family val="2"/>
          </rPr>
          <t xml:space="preserve">
Adjust to zero - rebasing ajdustments showing in IM
</t>
        </r>
      </text>
    </comment>
    <comment ref="C52" authorId="0" shapeId="0">
      <text>
        <r>
          <rPr>
            <b/>
            <sz val="9"/>
            <color indexed="81"/>
            <rFont val="Tahoma"/>
            <family val="2"/>
          </rPr>
          <t>Terri Cook:</t>
        </r>
        <r>
          <rPr>
            <sz val="9"/>
            <color indexed="81"/>
            <rFont val="Tahoma"/>
            <family val="2"/>
          </rPr>
          <t xml:space="preserve">
Adjust to zero - rebasing ajdustments showing in IM
</t>
        </r>
      </text>
    </comment>
    <comment ref="D52" authorId="0" shapeId="0">
      <text>
        <r>
          <rPr>
            <b/>
            <sz val="9"/>
            <color indexed="81"/>
            <rFont val="Tahoma"/>
            <family val="2"/>
          </rPr>
          <t>Terri Cook:</t>
        </r>
        <r>
          <rPr>
            <sz val="9"/>
            <color indexed="81"/>
            <rFont val="Tahoma"/>
            <family val="2"/>
          </rPr>
          <t xml:space="preserve">
Adjust to zero - rebasing ajdustments showing in IM
</t>
        </r>
      </text>
    </comment>
    <comment ref="E52" authorId="0" shapeId="0">
      <text>
        <r>
          <rPr>
            <b/>
            <sz val="9"/>
            <color indexed="81"/>
            <rFont val="Tahoma"/>
            <family val="2"/>
          </rPr>
          <t>Terri Cook:</t>
        </r>
        <r>
          <rPr>
            <sz val="9"/>
            <color indexed="81"/>
            <rFont val="Tahoma"/>
            <family val="2"/>
          </rPr>
          <t xml:space="preserve">
Adjust to zero - rebasing ajdustments showing in IM
</t>
        </r>
      </text>
    </comment>
    <comment ref="F52" authorId="0" shapeId="0">
      <text>
        <r>
          <rPr>
            <b/>
            <sz val="9"/>
            <color indexed="81"/>
            <rFont val="Tahoma"/>
            <family val="2"/>
          </rPr>
          <t>Terri Cook:</t>
        </r>
        <r>
          <rPr>
            <sz val="9"/>
            <color indexed="81"/>
            <rFont val="Tahoma"/>
            <family val="2"/>
          </rPr>
          <t xml:space="preserve">
Adjust to zero - rebasing ajdustments showing in IM
</t>
        </r>
      </text>
    </comment>
    <comment ref="G52" authorId="0" shapeId="0">
      <text>
        <r>
          <rPr>
            <b/>
            <sz val="9"/>
            <color indexed="81"/>
            <rFont val="Tahoma"/>
            <family val="2"/>
          </rPr>
          <t>Terri Cook:</t>
        </r>
        <r>
          <rPr>
            <sz val="9"/>
            <color indexed="81"/>
            <rFont val="Tahoma"/>
            <family val="2"/>
          </rPr>
          <t xml:space="preserve">
Adjust to zero - rebasing ajdustments showing in IM
</t>
        </r>
      </text>
    </comment>
    <comment ref="O56" authorId="0" shapeId="0">
      <text>
        <r>
          <rPr>
            <b/>
            <sz val="9"/>
            <color indexed="81"/>
            <rFont val="Tahoma"/>
            <family val="2"/>
          </rPr>
          <t>Terri Cook:</t>
        </r>
        <r>
          <rPr>
            <sz val="9"/>
            <color indexed="81"/>
            <rFont val="Tahoma"/>
            <family val="2"/>
          </rPr>
          <t xml:space="preserve">
650,000 For HMSC in lieu of facilities services
-650,000 - move to base
$35,000 - 5th year of 5 - Provost Faculty
               Match Program Phse 2
               for Linus Pauling Inst
-35,000 - End of Prov Fac Match Phase 2
</t>
        </r>
      </text>
    </comment>
    <comment ref="O62" authorId="0" shapeId="0">
      <text>
        <r>
          <rPr>
            <b/>
            <sz val="9"/>
            <color indexed="81"/>
            <rFont val="Tahoma"/>
            <family val="2"/>
          </rPr>
          <t>Terri Cook:</t>
        </r>
        <r>
          <rPr>
            <sz val="9"/>
            <color indexed="81"/>
            <rFont val="Tahoma"/>
            <family val="2"/>
          </rPr>
          <t xml:space="preserve">
$300,000 -5th year of 5 years - Equity &amp; Inclusion - ADA 
   Assessment - FY18 is last year
-300,000 - Deferring FY18 amount to FY19
$20,000 - Eastern Promise Replication Grant
</t>
        </r>
      </text>
    </comment>
    <comment ref="O63" authorId="0" shapeId="0">
      <text>
        <r>
          <rPr>
            <b/>
            <sz val="9"/>
            <color indexed="81"/>
            <rFont val="Tahoma"/>
            <family val="2"/>
          </rPr>
          <t>Terri Cook:</t>
        </r>
        <r>
          <rPr>
            <sz val="9"/>
            <color indexed="81"/>
            <rFont val="Tahoma"/>
            <family val="2"/>
          </rPr>
          <t xml:space="preserve">
232,983 - special Asst for  Community Diversity -
              one time funding
-232,983 - Moved to President (OID) base
26,585 - DAS Shuttle</t>
        </r>
      </text>
    </comment>
    <comment ref="O65" authorId="0" shapeId="0">
      <text>
        <r>
          <rPr>
            <b/>
            <sz val="8"/>
            <color indexed="81"/>
            <rFont val="Tahoma"/>
            <family val="2"/>
          </rPr>
          <t>Terri Cook:</t>
        </r>
        <r>
          <rPr>
            <sz val="8"/>
            <color indexed="81"/>
            <rFont val="Tahoma"/>
            <family val="2"/>
          </rPr>
          <t xml:space="preserve">
$300,000 - Diversity
$55,000 - Promise Prog
+20,000 - University Days funding (from Univ Adv)
4,000,000 - Athletics 
1,500,000- Athletics - ($500K From IM commitment)
25,000 - Phi Beta Kappa funding (targeted for this    
     year, can move to base later</t>
        </r>
      </text>
    </comment>
    <comment ref="O69" authorId="1" shapeId="0">
      <text>
        <r>
          <rPr>
            <b/>
            <sz val="9"/>
            <color indexed="81"/>
            <rFont val="Tahoma"/>
            <family val="2"/>
          </rPr>
          <t>Support:</t>
        </r>
        <r>
          <rPr>
            <sz val="9"/>
            <color indexed="81"/>
            <rFont val="Tahoma"/>
            <family val="2"/>
          </rPr>
          <t xml:space="preserve">
FY18 one-time licensing
-</t>
        </r>
      </text>
    </comment>
    <comment ref="O70" authorId="0" shapeId="0">
      <text>
        <r>
          <rPr>
            <b/>
            <sz val="8"/>
            <color indexed="81"/>
            <rFont val="Tahoma"/>
            <family val="2"/>
          </rPr>
          <t>Terri Cook:</t>
        </r>
        <r>
          <rPr>
            <sz val="8"/>
            <color indexed="81"/>
            <rFont val="Tahoma"/>
            <family val="2"/>
          </rPr>
          <t xml:space="preserve">
$80k - Diversity
950,000 - new Graduate Fellowship &amp; Scholarship program
</t>
        </r>
      </text>
    </comment>
    <comment ref="O71" authorId="1" shapeId="0">
      <text>
        <r>
          <rPr>
            <b/>
            <sz val="9"/>
            <color indexed="81"/>
            <rFont val="Tahoma"/>
            <family val="2"/>
          </rPr>
          <t>Support:</t>
        </r>
        <r>
          <rPr>
            <sz val="9"/>
            <color indexed="81"/>
            <rFont val="Tahoma"/>
            <family val="2"/>
          </rPr>
          <t xml:space="preserve">
722,370 - commitment for FY12
               EXT Salary increases 
               moved from IM 
72,357 - commitment for EXT Grad Fee Rem</t>
        </r>
      </text>
    </comment>
    <comment ref="O72" authorId="1" shapeId="0">
      <text>
        <r>
          <rPr>
            <b/>
            <sz val="9"/>
            <color indexed="81"/>
            <rFont val="Tahoma"/>
            <family val="2"/>
          </rPr>
          <t>Support:</t>
        </r>
        <r>
          <rPr>
            <sz val="9"/>
            <color indexed="81"/>
            <rFont val="Tahoma"/>
            <family val="2"/>
          </rPr>
          <t xml:space="preserve">
100,000 - SMI contract (or other DC representation
327,000 - Wheat Commission
</t>
        </r>
      </text>
    </comment>
    <comment ref="O75" authorId="0" shapeId="0">
      <text>
        <r>
          <rPr>
            <b/>
            <sz val="9"/>
            <color indexed="81"/>
            <rFont val="Tahoma"/>
            <family val="2"/>
          </rPr>
          <t>Terri Cook:</t>
        </r>
        <r>
          <rPr>
            <sz val="9"/>
            <color indexed="81"/>
            <rFont val="Tahoma"/>
            <family val="2"/>
          </rPr>
          <t xml:space="preserve">
116,900 - Albany Transit
172,820 - Corvallis Transit
26,585 - DAS Shuttle
40,000 - Future Perfect Contract
-116,900 - Move Albany Transit to UIO-CPD (Cap Planning &amp; Develop)
-172,820 - Move Corvallis Transit to UIO-CPD (Cap Planning &amp; Develop)
-26,585 - Move DAS Shuttle to Unv Relations &amp; Marketing
</t>
        </r>
      </text>
    </comment>
    <comment ref="O78" authorId="1" shapeId="0">
      <text>
        <r>
          <rPr>
            <b/>
            <sz val="9"/>
            <color indexed="81"/>
            <rFont val="Tahoma"/>
            <family val="2"/>
          </rPr>
          <t>Support:</t>
        </r>
        <r>
          <rPr>
            <sz val="9"/>
            <color indexed="81"/>
            <rFont val="Tahoma"/>
            <family val="2"/>
          </rPr>
          <t xml:space="preserve">
116,900 - Albany Transit
172,820 - Corvallis Transit</t>
        </r>
      </text>
    </comment>
  </commentList>
</comments>
</file>

<file path=xl/comments4.xml><?xml version="1.0" encoding="utf-8"?>
<comments xmlns="http://schemas.openxmlformats.org/spreadsheetml/2006/main">
  <authors>
    <author>Terri Cook</author>
    <author>Support</author>
  </authors>
  <commentList>
    <comment ref="B7"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G6, G7, G8 on
           the IM page
-503,041 - Moving Ecampus negative base to IM
-12,211 - Moving Summer Session negative base to IM
</t>
        </r>
      </text>
    </comment>
    <comment ref="E7" authorId="0" shapeId="0">
      <text>
        <r>
          <rPr>
            <b/>
            <sz val="8"/>
            <color indexed="81"/>
            <rFont val="Tahoma"/>
            <family val="2"/>
          </rPr>
          <t>Terri Cook:</t>
        </r>
        <r>
          <rPr>
            <sz val="8"/>
            <color indexed="81"/>
            <rFont val="Tahoma"/>
            <family val="2"/>
          </rPr>
          <t xml:space="preserve">
</t>
        </r>
      </text>
    </comment>
    <comment ref="G7" authorId="0" shapeId="0">
      <text>
        <r>
          <rPr>
            <b/>
            <sz val="9"/>
            <color indexed="81"/>
            <rFont val="Tahoma"/>
            <family val="2"/>
          </rPr>
          <t>Terri Cook:</t>
        </r>
        <r>
          <rPr>
            <sz val="9"/>
            <color indexed="81"/>
            <rFont val="Tahoma"/>
            <family val="2"/>
          </rPr>
          <t xml:space="preserve">
</t>
        </r>
        <r>
          <rPr>
            <u/>
            <sz val="9"/>
            <color indexed="81"/>
            <rFont val="Tahoma"/>
            <family val="2"/>
          </rPr>
          <t>FY15</t>
        </r>
        <r>
          <rPr>
            <sz val="9"/>
            <color indexed="81"/>
            <rFont val="Tahoma"/>
            <family val="2"/>
          </rPr>
          <t xml:space="preserve">
5% of Tuition for Fin Aid   1,842,003 (off the top)
10% of Remaining Tui         123,062 (incremental)
10% of D.E. Fee              </t>
        </r>
        <r>
          <rPr>
            <u/>
            <sz val="9"/>
            <color indexed="81"/>
            <rFont val="Tahoma"/>
            <family val="2"/>
          </rPr>
          <t xml:space="preserve">1,442,024
</t>
        </r>
        <r>
          <rPr>
            <sz val="9"/>
            <color indexed="81"/>
            <rFont val="Tahoma"/>
            <family val="2"/>
          </rPr>
          <t xml:space="preserve">                                     3,407,089
</t>
        </r>
        <r>
          <rPr>
            <u/>
            <sz val="9"/>
            <color indexed="81"/>
            <rFont val="Tahoma"/>
            <family val="2"/>
          </rPr>
          <t xml:space="preserve">FY16
</t>
        </r>
        <r>
          <rPr>
            <sz val="9"/>
            <color indexed="81"/>
            <rFont val="Tahoma"/>
            <family val="2"/>
          </rPr>
          <t xml:space="preserve">10% of TUI for Fin Aid       4,946,444
Less FY15 amt                </t>
        </r>
        <r>
          <rPr>
            <u/>
            <sz val="9"/>
            <color indexed="81"/>
            <rFont val="Tahoma"/>
            <family val="2"/>
          </rPr>
          <t xml:space="preserve"> (1,842,003)</t>
        </r>
        <r>
          <rPr>
            <sz val="9"/>
            <color indexed="81"/>
            <rFont val="Tahoma"/>
            <family val="2"/>
          </rPr>
          <t xml:space="preserve">
   Increment Fin Aid Supp   3,104,441
20% Net TUI                    7,967,599
Less FY15 - at 10% level    </t>
        </r>
        <r>
          <rPr>
            <u/>
            <sz val="9"/>
            <color indexed="81"/>
            <rFont val="Tahoma"/>
            <family val="2"/>
          </rPr>
          <t xml:space="preserve">3,499,806
</t>
        </r>
        <r>
          <rPr>
            <sz val="9"/>
            <color indexed="81"/>
            <rFont val="Tahoma"/>
            <family val="2"/>
          </rPr>
          <t xml:space="preserve">    Increment Net TUI        4,467,793
Reserve for TUI settleup     5,054,114
Delete prev 10% on Ecampus fee - (1,442,025)
  Ecampus keeps 100% of the fee
</t>
        </r>
        <r>
          <rPr>
            <u/>
            <sz val="9"/>
            <color indexed="81"/>
            <rFont val="Tahoma"/>
            <family val="2"/>
          </rPr>
          <t xml:space="preserve">FY17 (Cindy Alexis)
</t>
        </r>
        <r>
          <rPr>
            <sz val="9"/>
            <color indexed="81"/>
            <rFont val="Tahoma"/>
            <family val="2"/>
          </rPr>
          <t>10% Incremental Gross Tuition 813,807
20% Incremental Net Tuition   865,245
Less incremental settle-up       -625,407</t>
        </r>
      </text>
    </comment>
    <comment ref="H7" authorId="0" shapeId="0">
      <text>
        <r>
          <rPr>
            <b/>
            <sz val="9"/>
            <color indexed="81"/>
            <rFont val="Tahoma"/>
            <family val="2"/>
          </rPr>
          <t>Terri Cook:</t>
        </r>
        <r>
          <rPr>
            <sz val="9"/>
            <color indexed="81"/>
            <rFont val="Tahoma"/>
            <family val="2"/>
          </rPr>
          <t xml:space="preserve">
1,426,248 - FY15 Balance
</t>
        </r>
        <r>
          <rPr>
            <u/>
            <sz val="9"/>
            <color indexed="81"/>
            <rFont val="Tahoma"/>
            <family val="2"/>
          </rPr>
          <t>FY16 Totals - See Summer Session worksheet</t>
        </r>
        <r>
          <rPr>
            <sz val="9"/>
            <color indexed="81"/>
            <rFont val="Tahoma"/>
            <family val="2"/>
          </rPr>
          <t xml:space="preserve">
1,036,785 - 10% of revenue off the top
</t>
        </r>
        <r>
          <rPr>
            <u/>
            <sz val="9"/>
            <color indexed="81"/>
            <rFont val="Tahoma"/>
            <family val="2"/>
          </rPr>
          <t xml:space="preserve">   847,853 -</t>
        </r>
        <r>
          <rPr>
            <sz val="9"/>
            <color indexed="81"/>
            <rFont val="Tahoma"/>
            <family val="2"/>
          </rPr>
          <t xml:space="preserve"> 10% of distributable revenue to central
1,884,639   Total to Central
</t>
        </r>
        <r>
          <rPr>
            <u/>
            <sz val="9"/>
            <color indexed="81"/>
            <rFont val="Tahoma"/>
            <family val="2"/>
          </rPr>
          <t>-1,426,248</t>
        </r>
        <r>
          <rPr>
            <sz val="9"/>
            <color indexed="81"/>
            <rFont val="Tahoma"/>
            <family val="2"/>
          </rPr>
          <t xml:space="preserve"> - in Budget as of FY15
    458,391 - incremental increase for FY16
14330448
</t>
        </r>
      </text>
    </comment>
    <comment ref="E10" authorId="0" shapeId="0">
      <text>
        <r>
          <rPr>
            <b/>
            <sz val="9"/>
            <color indexed="81"/>
            <rFont val="Tahoma"/>
            <family val="2"/>
          </rPr>
          <t>Terri Cook:</t>
        </r>
        <r>
          <rPr>
            <sz val="9"/>
            <color indexed="81"/>
            <rFont val="Tahoma"/>
            <family val="2"/>
          </rPr>
          <t xml:space="preserve">
147,500 - 5th year of 5 - Provost Faculty Match
              Program - Phase 1
-147,500 -End of Prov Fac Match - Phase 1
47,500 - 5th year of 5 - Provost Faculty Match 
             Program - Phase 2
1,000,000 - For AES positions moved to E&amp;G
-1,000,000 - moved to base
</t>
        </r>
      </text>
    </comment>
    <comment ref="C11" authorId="1" shapeId="0">
      <text>
        <r>
          <rPr>
            <b/>
            <sz val="9"/>
            <color indexed="81"/>
            <rFont val="Tahoma"/>
            <family val="2"/>
          </rPr>
          <t>Support:</t>
        </r>
        <r>
          <rPr>
            <sz val="9"/>
            <color indexed="81"/>
            <rFont val="Tahoma"/>
            <family val="2"/>
          </rPr>
          <t xml:space="preserve">
1,291,194 - BUS UG thru FY16
349,913 - MBA thru FY16
222,444 - DHE thru FY16</t>
        </r>
      </text>
    </comment>
    <comment ref="E11" authorId="0" shapeId="0">
      <text>
        <r>
          <rPr>
            <b/>
            <sz val="8"/>
            <color indexed="81"/>
            <rFont val="Tahoma"/>
            <family val="2"/>
          </rPr>
          <t>Terri Cook:</t>
        </r>
        <r>
          <rPr>
            <sz val="8"/>
            <color indexed="81"/>
            <rFont val="Tahoma"/>
            <family val="2"/>
          </rPr>
          <t xml:space="preserve">
-0-- FY15 est UG diff 
-0-  FY15 est for MBA - no change from FY14
-0- FY15 DHE diff tuition estimate 
$45,000 - 5th year of 5 - Provost Faculty Match Prog-Phase 1
-45,000 - End of Prov Faculty Match Prog - Phase 1
60,000 - FY14 est UG diff
-60,000 - move FY14 UG diff to base
</t>
        </r>
      </text>
    </comment>
    <comment ref="C12" authorId="1" shapeId="0">
      <text>
        <r>
          <rPr>
            <b/>
            <sz val="9"/>
            <color indexed="81"/>
            <rFont val="Tahoma"/>
            <family val="2"/>
          </rPr>
          <t xml:space="preserve">Support:
</t>
        </r>
        <r>
          <rPr>
            <sz val="9"/>
            <color indexed="81"/>
            <rFont val="Tahoma"/>
            <family val="2"/>
          </rPr>
          <t>7,124,843 - UG through FY16
   775,566 - GRAD through FY16</t>
        </r>
      </text>
    </comment>
    <comment ref="E12" authorId="0" shapeId="0">
      <text>
        <r>
          <rPr>
            <b/>
            <sz val="8"/>
            <color indexed="81"/>
            <rFont val="Tahoma"/>
            <family val="2"/>
          </rPr>
          <t>Terri Cook:</t>
        </r>
        <r>
          <rPr>
            <sz val="8"/>
            <color indexed="81"/>
            <rFont val="Tahoma"/>
            <family val="2"/>
          </rPr>
          <t xml:space="preserve">
$217,500 - 5th year of 5, Provost Faculty Match
                  Program - Phase 1
-217,500 - End of Provost Faculty Match Program - Phase 1
$115,000 -5th year of 5, Provost Faculty Match
                  Program - Phase 2
330,000 - 3rd year of 3 - set ups costs for 10 positions funded
                 in FY12
-330,000 - End of funding for set up costs for 10 positions
                 in FY12
22,000 - DOE Best proposal, B-11 - Year 3 of 3
300,000 - Expand Pro School  - FY16
-300,000 - Move to Base in FY17
12,500 - Turkey Exchange program - FY16
-12,500 - eliminate in FY17
198,700 - FY16 UG estimated increase in differential tui
30,600 - FY16 GRAD estimated increase in differential tui
-229,300 - Move to base in FY17 (Cindy Alexis)</t>
        </r>
      </text>
    </comment>
    <comment ref="F12" authorId="1" shapeId="0">
      <text>
        <r>
          <rPr>
            <b/>
            <sz val="9"/>
            <color indexed="81"/>
            <rFont val="Tahoma"/>
            <family val="2"/>
          </rPr>
          <t>Support:</t>
        </r>
        <r>
          <rPr>
            <sz val="9"/>
            <color indexed="81"/>
            <rFont val="Tahoma"/>
            <family val="2"/>
          </rPr>
          <t xml:space="preserve">
2,482,197 - FY15 amt
  200,000 -  for Pro School Expansion - 
                  one-time, eliminate in FY17</t>
        </r>
      </text>
    </comment>
    <comment ref="G12" authorId="1" shapeId="0">
      <text>
        <r>
          <rPr>
            <b/>
            <sz val="9"/>
            <color indexed="81"/>
            <rFont val="Tahoma"/>
            <family val="2"/>
          </rPr>
          <t>Support:</t>
        </r>
        <r>
          <rPr>
            <sz val="9"/>
            <color indexed="81"/>
            <rFont val="Tahoma"/>
            <family val="2"/>
          </rPr>
          <t xml:space="preserve">
3,322,100 - Ecampus CS diff
1,455,400 - Ecampus COE diff
5,222,500 - Ecampus TUI</t>
        </r>
      </text>
    </comment>
    <comment ref="C13" authorId="1" shapeId="0">
      <text>
        <r>
          <rPr>
            <b/>
            <sz val="9"/>
            <color indexed="81"/>
            <rFont val="Tahoma"/>
            <family val="2"/>
          </rPr>
          <t>Support:</t>
        </r>
        <r>
          <rPr>
            <sz val="9"/>
            <color indexed="81"/>
            <rFont val="Tahoma"/>
            <family val="2"/>
          </rPr>
          <t xml:space="preserve">
Through FY16 settle-up</t>
        </r>
      </text>
    </comment>
    <comment ref="E13" authorId="0" shapeId="0">
      <text>
        <r>
          <rPr>
            <b/>
            <sz val="8"/>
            <color indexed="81"/>
            <rFont val="Tahoma"/>
            <family val="2"/>
          </rPr>
          <t>Terri Cook:</t>
        </r>
        <r>
          <rPr>
            <sz val="8"/>
            <color indexed="81"/>
            <rFont val="Tahoma"/>
            <family val="2"/>
          </rPr>
          <t xml:space="preserve">
0 - Est of differential for FY16
135,000 - 5th year of 5 - Provost Faculty
                 Match Program Phase 1
-135,000 - End of Prov Fac Match - Phase1
300,000 - Support for FRL-ongoing
-300,000 - moved to base
</t>
        </r>
      </text>
    </comment>
    <comment ref="C14" authorId="1" shapeId="0">
      <text>
        <r>
          <rPr>
            <b/>
            <sz val="9"/>
            <color indexed="81"/>
            <rFont val="Tahoma"/>
            <family val="2"/>
          </rPr>
          <t>Support:</t>
        </r>
        <r>
          <rPr>
            <sz val="9"/>
            <color indexed="81"/>
            <rFont val="Tahoma"/>
            <family val="2"/>
          </rPr>
          <t xml:space="preserve">
MPH Incremental Rev
$753,858 settle-up through FY13
     6,772 FY14 settle-up
   75,796 FY15 settle-up
-149,530 FY16 settle-down</t>
        </r>
      </text>
    </comment>
    <comment ref="E14" authorId="0" shapeId="0">
      <text>
        <r>
          <rPr>
            <b/>
            <sz val="8"/>
            <color indexed="81"/>
            <rFont val="Tahoma"/>
            <family val="2"/>
          </rPr>
          <t>Terri Cook:</t>
        </r>
        <r>
          <rPr>
            <sz val="8"/>
            <color indexed="81"/>
            <rFont val="Tahoma"/>
            <family val="2"/>
          </rPr>
          <t xml:space="preserve">
0 - FY16 incremental revenue for MPH program 
$225,000 - 5th year of 5 - Provost Faculty Match
                  Program Phase 1
-225,000 - End of Prov Fac Match Prog - Phase 1
$102,500 - 5th year of 5 - Provost Faculty Match
                  Program Phase 2
$500,000  FY17 incremental tuition differential (Cindy Alexis)</t>
        </r>
      </text>
    </comment>
    <comment ref="E15" authorId="0" shapeId="0">
      <text>
        <r>
          <rPr>
            <b/>
            <sz val="9"/>
            <color indexed="81"/>
            <rFont val="Tahoma"/>
            <family val="2"/>
          </rPr>
          <t>Terri Cook:</t>
        </r>
        <r>
          <rPr>
            <sz val="9"/>
            <color indexed="81"/>
            <rFont val="Tahoma"/>
            <family val="2"/>
          </rPr>
          <t xml:space="preserve">
$20k - Eastern Promise Replication Grant
+$45k - FY15 - 3rd Year of 3 year commitment
-$45k - FY16 - end of commitment
-$20k - Eastern Promise Replication Grant - moving to President</t>
        </r>
      </text>
    </comment>
    <comment ref="E16" authorId="0" shapeId="0">
      <text>
        <r>
          <rPr>
            <b/>
            <sz val="9"/>
            <color indexed="81"/>
            <rFont val="Tahoma"/>
            <family val="2"/>
          </rPr>
          <t>Terri Cook:</t>
        </r>
        <r>
          <rPr>
            <sz val="9"/>
            <color indexed="81"/>
            <rFont val="Tahoma"/>
            <family val="2"/>
          </rPr>
          <t xml:space="preserve">
$135,000 - 5th year of 5, Provost Faculty
                Match Program - Phase 2
75,000 - support for Environmental Humanities - Yr 1 of 3 - check on this in year 3
</t>
        </r>
      </text>
    </comment>
    <comment ref="F16" authorId="1" shapeId="0">
      <text>
        <r>
          <rPr>
            <b/>
            <sz val="9"/>
            <color indexed="81"/>
            <rFont val="Tahoma"/>
            <family val="2"/>
          </rPr>
          <t xml:space="preserve">Support:
</t>
        </r>
        <r>
          <rPr>
            <sz val="9"/>
            <color indexed="81"/>
            <rFont val="Tahoma"/>
            <family val="2"/>
          </rPr>
          <t>1,240,127 - FY15 amt
100,000    - making up for lost 
                  ERAM allocation</t>
        </r>
      </text>
    </comment>
    <comment ref="K16" authorId="1" shapeId="0">
      <text>
        <r>
          <rPr>
            <b/>
            <sz val="9"/>
            <color indexed="81"/>
            <rFont val="Tahoma"/>
            <family val="2"/>
          </rPr>
          <t>Support:</t>
        </r>
        <r>
          <rPr>
            <sz val="9"/>
            <color indexed="81"/>
            <rFont val="Tahoma"/>
            <family val="2"/>
          </rPr>
          <t xml:space="preserve">
24,000 - extra budget in FY17</t>
        </r>
      </text>
    </comment>
    <comment ref="E17" authorId="1" shapeId="0">
      <text>
        <r>
          <rPr>
            <b/>
            <sz val="9"/>
            <color indexed="81"/>
            <rFont val="Tahoma"/>
            <family val="2"/>
          </rPr>
          <t>Support:</t>
        </r>
        <r>
          <rPr>
            <sz val="9"/>
            <color indexed="81"/>
            <rFont val="Tahoma"/>
            <family val="2"/>
          </rPr>
          <t xml:space="preserve">
Support for EVM position</t>
        </r>
      </text>
    </comment>
    <comment ref="C18" authorId="1" shapeId="0">
      <text>
        <r>
          <rPr>
            <b/>
            <sz val="9"/>
            <color indexed="81"/>
            <rFont val="Tahoma"/>
            <family val="2"/>
          </rPr>
          <t>Support:</t>
        </r>
        <r>
          <rPr>
            <sz val="9"/>
            <color indexed="81"/>
            <rFont val="Tahoma"/>
            <family val="2"/>
          </rPr>
          <t xml:space="preserve">
Through FY16 Settle-up</t>
        </r>
      </text>
    </comment>
    <comment ref="E18" authorId="0" shapeId="0">
      <text>
        <r>
          <rPr>
            <b/>
            <sz val="8"/>
            <color indexed="81"/>
            <rFont val="Tahoma"/>
            <family val="2"/>
          </rPr>
          <t xml:space="preserve">Terri Cook:
</t>
        </r>
        <r>
          <rPr>
            <sz val="8"/>
            <color indexed="81"/>
            <rFont val="Tahoma"/>
            <family val="2"/>
          </rPr>
          <t>37,740 - OHSU rent
200,000 - FY16 est incremental tuition
-200,000 - move to base in FY17 (Cindy Alexis)
175,000 - CLSB O&amp;M costs</t>
        </r>
      </text>
    </comment>
    <comment ref="C19" authorId="1" shapeId="0">
      <text>
        <r>
          <rPr>
            <b/>
            <sz val="9"/>
            <color indexed="81"/>
            <rFont val="Tahoma"/>
            <family val="2"/>
          </rPr>
          <t>Support:</t>
        </r>
        <r>
          <rPr>
            <sz val="9"/>
            <color indexed="81"/>
            <rFont val="Tahoma"/>
            <family val="2"/>
          </rPr>
          <t xml:space="preserve">
Prof Sci Grad -  Diff</t>
        </r>
      </text>
    </comment>
    <comment ref="E19" authorId="0" shapeId="0">
      <text>
        <r>
          <rPr>
            <b/>
            <sz val="9"/>
            <color indexed="81"/>
            <rFont val="Tahoma"/>
            <family val="2"/>
          </rPr>
          <t>Terri Cook:</t>
        </r>
        <r>
          <rPr>
            <sz val="9"/>
            <color indexed="81"/>
            <rFont val="Tahoma"/>
            <family val="2"/>
          </rPr>
          <t xml:space="preserve">
$57,500 - 5th year of 5 -Provost Faculty Match
               Program - Phase 1
$12,500 - Add'l Prov Faculty Match  Phase 1-5th
               Year of 5
-70,000 - End of Provost  Fac Match Phase 1
              </t>
        </r>
      </text>
    </comment>
    <comment ref="C20" authorId="1" shapeId="0">
      <text>
        <r>
          <rPr>
            <b/>
            <sz val="9"/>
            <color indexed="81"/>
            <rFont val="Tahoma"/>
            <family val="2"/>
          </rPr>
          <t>Support:</t>
        </r>
        <r>
          <rPr>
            <sz val="9"/>
            <color indexed="81"/>
            <rFont val="Tahoma"/>
            <family val="2"/>
          </rPr>
          <t xml:space="preserve">
Through FY16 Settle-up</t>
        </r>
      </text>
    </comment>
    <comment ref="E20" authorId="0" shapeId="0">
      <text>
        <r>
          <rPr>
            <b/>
            <sz val="8"/>
            <color indexed="81"/>
            <rFont val="Tahoma"/>
            <family val="2"/>
          </rPr>
          <t>Terri Cook:</t>
        </r>
        <r>
          <rPr>
            <sz val="8"/>
            <color indexed="81"/>
            <rFont val="Tahoma"/>
            <family val="2"/>
          </rPr>
          <t xml:space="preserve">
$45k - 5th year of 5 Provost's Faculty Match
           Program Phase 1
-45k - End of Prov Fac Match Program Phase 1
 -53,679 - Estimated fee waivers
12,500 - 5th year of 5 Provost''s Faculty
              Match Program Phase 2
300,000 - FY16 incremental revenue estimate
-300,000 - Move to base in FY17 (Cindy Alexis)
100,000   FY17 incremental tuition differential (Cindy Alexis)</t>
        </r>
      </text>
    </comment>
    <comment ref="H21" authorId="0" shapeId="0">
      <text>
        <r>
          <rPr>
            <b/>
            <sz val="9"/>
            <color indexed="81"/>
            <rFont val="Tahoma"/>
            <family val="2"/>
          </rPr>
          <t>Terri Cook:</t>
        </r>
        <r>
          <rPr>
            <sz val="9"/>
            <color indexed="81"/>
            <rFont val="Tahoma"/>
            <family val="2"/>
          </rPr>
          <t xml:space="preserve">
600k - Summer Session budg
-100k - fee waivers
6,124 - FY16 salary raise
35,000 - For support that summer session gives to other units</t>
        </r>
      </text>
    </comment>
    <comment ref="C22" authorId="1" shapeId="0">
      <text>
        <r>
          <rPr>
            <b/>
            <sz val="9"/>
            <color indexed="81"/>
            <rFont val="Tahoma"/>
            <family val="2"/>
          </rPr>
          <t xml:space="preserve">Support
</t>
        </r>
        <r>
          <rPr>
            <sz val="9"/>
            <color indexed="81"/>
            <rFont val="Tahoma"/>
            <family val="2"/>
          </rPr>
          <t>Through FY16 settle-up</t>
        </r>
      </text>
    </comment>
    <comment ref="E22" authorId="0" shapeId="0">
      <text>
        <r>
          <rPr>
            <b/>
            <sz val="8"/>
            <color indexed="81"/>
            <rFont val="Tahoma"/>
            <family val="2"/>
          </rPr>
          <t>Terri Cook:</t>
        </r>
        <r>
          <rPr>
            <sz val="8"/>
            <color indexed="81"/>
            <rFont val="Tahoma"/>
            <family val="2"/>
          </rPr>
          <t xml:space="preserve">
  30,000  FY15 est differential
 -30,000  Move FY15 est diff to base
  30,000  FY16 est differential
 -30,000  Move to base in FY17
230,245  FY17 incremental tuition differential (Cindy Alexis)</t>
        </r>
      </text>
    </comment>
    <comment ref="K22" authorId="1" shapeId="0">
      <text>
        <r>
          <rPr>
            <b/>
            <sz val="9"/>
            <color indexed="81"/>
            <rFont val="Tahoma"/>
            <family val="2"/>
          </rPr>
          <t>Support:</t>
        </r>
        <r>
          <rPr>
            <sz val="9"/>
            <color indexed="81"/>
            <rFont val="Tahoma"/>
            <family val="2"/>
          </rPr>
          <t xml:space="preserve">
12,250 - FY17 additiona - extra fee remission for one stdt </t>
        </r>
      </text>
    </comment>
    <comment ref="B23" authorId="0" shapeId="0">
      <text>
        <r>
          <rPr>
            <b/>
            <sz val="9"/>
            <color indexed="81"/>
            <rFont val="Tahoma"/>
            <family val="2"/>
          </rPr>
          <t>Terri Cook:</t>
        </r>
        <r>
          <rPr>
            <sz val="9"/>
            <color indexed="81"/>
            <rFont val="Tahoma"/>
            <family val="2"/>
          </rPr>
          <t xml:space="preserve">
Adjust to zero - rebasing ajdustments showing in IM
</t>
        </r>
      </text>
    </comment>
    <comment ref="G23" authorId="1" shapeId="0">
      <text>
        <r>
          <rPr>
            <b/>
            <sz val="9"/>
            <color indexed="81"/>
            <rFont val="Tahoma"/>
            <family val="2"/>
          </rPr>
          <t>Support:</t>
        </r>
        <r>
          <rPr>
            <sz val="9"/>
            <color indexed="81"/>
            <rFont val="Tahoma"/>
            <family val="2"/>
          </rPr>
          <t xml:space="preserve">
Represents gross student fees, no percentage off the top plus workshop income and reduced $500,000 for waivers
</t>
        </r>
      </text>
    </comment>
    <comment ref="L24" authorId="1" shapeId="0">
      <text>
        <r>
          <rPr>
            <b/>
            <sz val="9"/>
            <color indexed="81"/>
            <rFont val="Tahoma"/>
            <family val="2"/>
          </rPr>
          <t>Support:</t>
        </r>
        <r>
          <rPr>
            <sz val="9"/>
            <color indexed="81"/>
            <rFont val="Tahoma"/>
            <family val="2"/>
          </rPr>
          <t xml:space="preserve">
Keeping $1.2 million centrally
+500k - Moving funding from BUC</t>
        </r>
      </text>
    </comment>
    <comment ref="E28" authorId="0" shapeId="0">
      <text>
        <r>
          <rPr>
            <b/>
            <sz val="9"/>
            <color indexed="81"/>
            <rFont val="Tahoma"/>
            <family val="2"/>
          </rPr>
          <t>Terri Cook:</t>
        </r>
        <r>
          <rPr>
            <sz val="9"/>
            <color indexed="81"/>
            <rFont val="Tahoma"/>
            <family val="2"/>
          </rPr>
          <t xml:space="preserve">
400k For HMSC in lieu of facilities services
$90,000 - 5th year of 5 - Provost Faculty
               Match Program Phase 1
               for Linus Pauling Inst
$35,000 - 4th year of 5 - Provost Faculty
               Match Program Phse 2
               for Linus Pauling Inst
$250,000 - increase in HMSC O&amp;M</t>
        </r>
      </text>
    </comment>
    <comment ref="L28" authorId="0" shapeId="0">
      <text>
        <r>
          <rPr>
            <b/>
            <sz val="8"/>
            <color indexed="81"/>
            <rFont val="Tahoma"/>
            <family val="2"/>
          </rPr>
          <t>Terri Cook:</t>
        </r>
        <r>
          <rPr>
            <sz val="8"/>
            <color indexed="81"/>
            <rFont val="Tahoma"/>
            <family val="2"/>
          </rPr>
          <t xml:space="preserve">
3,125,000 - F&amp;A Recovery
901,905 - ROH</t>
        </r>
      </text>
    </comment>
    <comment ref="E33" authorId="0" shapeId="0">
      <text>
        <r>
          <rPr>
            <b/>
            <sz val="9"/>
            <color indexed="81"/>
            <rFont val="Tahoma"/>
            <family val="2"/>
          </rPr>
          <t>Terri Cook:</t>
        </r>
        <r>
          <rPr>
            <sz val="9"/>
            <color indexed="81"/>
            <rFont val="Tahoma"/>
            <family val="2"/>
          </rPr>
          <t xml:space="preserve">
$300,000 - 3rd year of 5 years - Equity &amp; 
                Inclusion - ADA Assessment
$20,000 - Eastern Promise Replication Grant
$64,000 - OEI - Advocacy Center set up - one-time funding</t>
        </r>
      </text>
    </comment>
    <comment ref="E34" authorId="0" shapeId="0">
      <text>
        <r>
          <rPr>
            <b/>
            <sz val="9"/>
            <color indexed="81"/>
            <rFont val="Tahoma"/>
            <family val="2"/>
          </rPr>
          <t>Terri Cook:</t>
        </r>
        <r>
          <rPr>
            <sz val="9"/>
            <color indexed="81"/>
            <rFont val="Tahoma"/>
            <family val="2"/>
          </rPr>
          <t xml:space="preserve">
70,173 - one time funding for Folklife Festival expenses (FY13)
-70,173 - reverse one time funding given in FY13
</t>
        </r>
      </text>
    </comment>
    <comment ref="E36" authorId="0" shapeId="0">
      <text>
        <r>
          <rPr>
            <b/>
            <sz val="8"/>
            <color indexed="81"/>
            <rFont val="Tahoma"/>
            <family val="2"/>
          </rPr>
          <t>Terri Cook:</t>
        </r>
        <r>
          <rPr>
            <sz val="8"/>
            <color indexed="81"/>
            <rFont val="Tahoma"/>
            <family val="2"/>
          </rPr>
          <t xml:space="preserve">
$300,000 - Diversity
$55,000 - Promise Prog
+20,000 - University Days funding (from Univ Adv)
4,500,000 - Athletics
</t>
        </r>
      </text>
    </comment>
    <comment ref="E37" authorId="1" shapeId="0">
      <text>
        <r>
          <rPr>
            <b/>
            <sz val="9"/>
            <color indexed="81"/>
            <rFont val="Tahoma"/>
            <family val="2"/>
          </rPr>
          <t>Support:</t>
        </r>
        <r>
          <rPr>
            <sz val="9"/>
            <color indexed="81"/>
            <rFont val="Tahoma"/>
            <family val="2"/>
          </rPr>
          <t xml:space="preserve">
Bend marketing for recruitment</t>
        </r>
      </text>
    </comment>
    <comment ref="E40" authorId="1" shapeId="0">
      <text>
        <r>
          <rPr>
            <b/>
            <sz val="9"/>
            <color indexed="81"/>
            <rFont val="Tahoma"/>
            <family val="2"/>
          </rPr>
          <t>Support:</t>
        </r>
        <r>
          <rPr>
            <sz val="9"/>
            <color indexed="81"/>
            <rFont val="Tahoma"/>
            <family val="2"/>
          </rPr>
          <t xml:space="preserve">
150,249 - One time license cost fee for growth</t>
        </r>
      </text>
    </comment>
    <comment ref="E41" authorId="0" shapeId="0">
      <text>
        <r>
          <rPr>
            <b/>
            <sz val="8"/>
            <color indexed="81"/>
            <rFont val="Tahoma"/>
            <family val="2"/>
          </rPr>
          <t>Terri Cook:</t>
        </r>
        <r>
          <rPr>
            <sz val="8"/>
            <color indexed="81"/>
            <rFont val="Tahoma"/>
            <family val="2"/>
          </rPr>
          <t xml:space="preserve">
$80k - Diversity
950,000 - new Graduate Fellowship &amp; Scholarship program
85,000 - for IT support - Year 2 of 2
114,500 - increase in remissions - their fee waiver
                budget was reduced by this amount - 
                plan is to transfer $114k to depts
</t>
        </r>
      </text>
    </comment>
    <comment ref="K41" authorId="1" shapeId="0">
      <text>
        <r>
          <rPr>
            <b/>
            <sz val="9"/>
            <color indexed="81"/>
            <rFont val="Tahoma"/>
            <family val="2"/>
          </rPr>
          <t xml:space="preserve">Support:
</t>
        </r>
        <r>
          <rPr>
            <sz val="9"/>
            <color indexed="81"/>
            <rFont val="Tahoma"/>
            <family val="2"/>
          </rPr>
          <t>196,214 - FY15 budget
   3,924 - 2% increase
114,500 - add'l fee rem budget to be passed out to depts mid-year. Fee Waiver budget was reduced by this amt</t>
        </r>
      </text>
    </comment>
    <comment ref="E42" authorId="0" shapeId="0">
      <text>
        <r>
          <rPr>
            <b/>
            <sz val="9"/>
            <color indexed="81"/>
            <rFont val="Tahoma"/>
            <family val="2"/>
          </rPr>
          <t>Terri Cook:</t>
        </r>
        <r>
          <rPr>
            <sz val="9"/>
            <color indexed="81"/>
            <rFont val="Tahoma"/>
            <family val="2"/>
          </rPr>
          <t xml:space="preserve">
Support for Extension - ongoing</t>
        </r>
      </text>
    </comment>
    <comment ref="G42" authorId="0" shapeId="0">
      <text>
        <r>
          <rPr>
            <b/>
            <sz val="8"/>
            <color indexed="81"/>
            <rFont val="Tahoma"/>
            <family val="2"/>
          </rPr>
          <t>Terri Cook:</t>
        </r>
        <r>
          <rPr>
            <sz val="8"/>
            <color indexed="81"/>
            <rFont val="Tahoma"/>
            <family val="2"/>
          </rPr>
          <t xml:space="preserve">
$80/fee               14,420,236
Math Revenue          169,769
Fee Waivers            -500,000
10% to Central     1,442,024</t>
        </r>
      </text>
    </comment>
    <comment ref="E43" authorId="1" shapeId="0">
      <text>
        <r>
          <rPr>
            <b/>
            <sz val="9"/>
            <color indexed="81"/>
            <rFont val="Tahoma"/>
            <family val="2"/>
          </rPr>
          <t>Support:</t>
        </r>
        <r>
          <rPr>
            <sz val="9"/>
            <color indexed="81"/>
            <rFont val="Tahoma"/>
            <family val="2"/>
          </rPr>
          <t xml:space="preserve">
100,000 - SMI contract (or other DC representation
327,000 - Wheat Commission
</t>
        </r>
      </text>
    </comment>
    <comment ref="L43" authorId="1" shapeId="0">
      <text>
        <r>
          <rPr>
            <b/>
            <sz val="9"/>
            <color indexed="81"/>
            <rFont val="Tahoma"/>
            <family val="2"/>
          </rPr>
          <t>Support:</t>
        </r>
        <r>
          <rPr>
            <sz val="9"/>
            <color indexed="81"/>
            <rFont val="Tahoma"/>
            <family val="2"/>
          </rPr>
          <t xml:space="preserve">
637,000 - Research Office (Gen Adm)
700,000 - Research Adm (Sponsored Proj)
1,190,000 - (OPAA)</t>
        </r>
      </text>
    </comment>
    <comment ref="E44" authorId="0" shapeId="0">
      <text>
        <r>
          <rPr>
            <b/>
            <sz val="8"/>
            <color indexed="81"/>
            <rFont val="Tahoma"/>
            <family val="2"/>
          </rPr>
          <t>Terri Cook:</t>
        </r>
        <r>
          <rPr>
            <sz val="8"/>
            <color indexed="81"/>
            <rFont val="Tahoma"/>
            <family val="2"/>
          </rPr>
          <t xml:space="preserve">
80,000 - one-time additional service costs-FY14
-80,000 0 removal of one-time service costs</t>
        </r>
      </text>
    </comment>
    <comment ref="E45" authorId="1" shapeId="0">
      <text>
        <r>
          <rPr>
            <b/>
            <sz val="9"/>
            <color indexed="81"/>
            <rFont val="Tahoma"/>
            <family val="2"/>
          </rPr>
          <t>Support:</t>
        </r>
        <r>
          <rPr>
            <sz val="9"/>
            <color indexed="81"/>
            <rFont val="Tahoma"/>
            <family val="2"/>
          </rPr>
          <t xml:space="preserve">
$23,000 - FY15 one time costs for survey
-$23,000 - FY16 end of commitment</t>
        </r>
      </text>
    </comment>
    <comment ref="E46" authorId="0" shapeId="0">
      <text>
        <r>
          <rPr>
            <b/>
            <sz val="9"/>
            <color indexed="81"/>
            <rFont val="Tahoma"/>
            <family val="2"/>
          </rPr>
          <t>Terri Cook:</t>
        </r>
        <r>
          <rPr>
            <sz val="9"/>
            <color indexed="81"/>
            <rFont val="Tahoma"/>
            <family val="2"/>
          </rPr>
          <t xml:space="preserve">
270,000 - Budg Office - CORE Initiative - 3rd year of 3
40,000 - Future Perfect contract (Budg Offc index)
26,585- P&amp;M (QBS010) - DAS shuttle
172,820 - Corvallis Transit pmt (Kavinda's)
108,500 - Albany Transit pmt (Kavinda's)
18,000 - CORE Director stipend - FY15 and 16 only at this point
33,000 - HR People admin upgrade - one-time cost
15,000 - Prof Fac compensation survey - one-time cost
91,000 - Campus transportation
-91,000 - move to base
52,500 - Bus Aff - Monitoring position - 2nd year of two
-52,500 - FY16 - end of commitment 
50,000 - Public Safety - Cleary audit 
-50,000 - Public Safety - end of Cleary audit commitment
30,000 - FY15 one time cost in transition of credit card processes
-30,000 - FY16 - end of commitment</t>
        </r>
      </text>
    </comment>
    <comment ref="L46" authorId="1" shapeId="0">
      <text>
        <r>
          <rPr>
            <b/>
            <sz val="9"/>
            <color indexed="81"/>
            <rFont val="Tahoma"/>
            <family val="2"/>
          </rPr>
          <t>Support:</t>
        </r>
        <r>
          <rPr>
            <sz val="9"/>
            <color indexed="81"/>
            <rFont val="Tahoma"/>
            <family val="2"/>
          </rPr>
          <t xml:space="preserve">
924,000 - Bus Aff
1,190,000 - OPAA</t>
        </r>
      </text>
    </comment>
    <comment ref="L47" authorId="1" shapeId="0">
      <text>
        <r>
          <rPr>
            <b/>
            <sz val="9"/>
            <color indexed="81"/>
            <rFont val="Tahoma"/>
            <family val="2"/>
          </rPr>
          <t>Support:</t>
        </r>
        <r>
          <rPr>
            <sz val="9"/>
            <color indexed="81"/>
            <rFont val="Tahoma"/>
            <family val="2"/>
          </rPr>
          <t xml:space="preserve">
3,825,000 - O&amp;M
   900,000 - Bldg Allow
-600,000 - Move to Cap
                Planning
</t>
        </r>
      </text>
    </comment>
    <comment ref="E55" authorId="0" shapeId="0">
      <text>
        <r>
          <rPr>
            <b/>
            <sz val="9"/>
            <color indexed="81"/>
            <rFont val="Tahoma"/>
            <family val="2"/>
          </rPr>
          <t>Terri Cook:</t>
        </r>
        <r>
          <rPr>
            <sz val="9"/>
            <color indexed="81"/>
            <rFont val="Tahoma"/>
            <family val="2"/>
          </rPr>
          <t xml:space="preserve">
400k For HMSC in lieu of facilities services
$90,000 - 5th year of 5 - Provost Faculty
               Match Program Phase 1
               for Linus Pauling Inst
$35,000 - 4th year of 5 - Provost Faculty
               Match Program Phse 2
               for Linus Pauling Inst
$250,000 - increase in HMSC O&amp;M</t>
        </r>
      </text>
    </comment>
    <comment ref="L55" authorId="0" shapeId="0">
      <text>
        <r>
          <rPr>
            <b/>
            <sz val="8"/>
            <color indexed="81"/>
            <rFont val="Tahoma"/>
            <family val="2"/>
          </rPr>
          <t>Terri Cook:</t>
        </r>
        <r>
          <rPr>
            <sz val="8"/>
            <color indexed="81"/>
            <rFont val="Tahoma"/>
            <family val="2"/>
          </rPr>
          <t xml:space="preserve">
3,125,000 - F&amp;A Recovery
901,905 - ROH</t>
        </r>
      </text>
    </comment>
  </commentList>
</comments>
</file>

<file path=xl/comments5.xml><?xml version="1.0" encoding="utf-8"?>
<comments xmlns="http://schemas.openxmlformats.org/spreadsheetml/2006/main">
  <authors>
    <author>Terri Cook</author>
    <author>Support</author>
  </authors>
  <commentList>
    <comment ref="C15" authorId="0" shapeId="0">
      <text>
        <r>
          <rPr>
            <b/>
            <sz val="9"/>
            <color indexed="81"/>
            <rFont val="Tahoma"/>
            <family val="2"/>
          </rPr>
          <t>Terri Cook:</t>
        </r>
        <r>
          <rPr>
            <sz val="9"/>
            <color indexed="81"/>
            <rFont val="Tahoma"/>
            <family val="2"/>
          </rPr>
          <t xml:space="preserve">
147,500 - 5th year of 5 - Provost Faculty Match
              Program - Phase 1
47,500 - 4th year of 5 - Provost Faculty Match 
             Program - Phase 2
1,000,000 - For AES positions moved to E&amp;G
</t>
        </r>
      </text>
    </comment>
    <comment ref="C16" authorId="0" shapeId="0">
      <text>
        <r>
          <rPr>
            <b/>
            <sz val="8"/>
            <color indexed="81"/>
            <rFont val="Tahoma"/>
            <family val="2"/>
          </rPr>
          <t>Terri Cook:</t>
        </r>
        <r>
          <rPr>
            <sz val="8"/>
            <color indexed="81"/>
            <rFont val="Tahoma"/>
            <family val="2"/>
          </rPr>
          <t xml:space="preserve">
-0-- FY15 est UG diff 
-0-  FY15 est for MBA - no change from FY14
-0- FY15 DHE diff tuition estimate 
$45,000 - 5th year of 5 - Provost Faculty Match Prog-Phase 1
60,000 - FY14 est UG diff
-60,000 - move FY14 UG diff to base
</t>
        </r>
      </text>
    </comment>
    <comment ref="C17" authorId="0" shapeId="0">
      <text>
        <r>
          <rPr>
            <b/>
            <sz val="8"/>
            <color indexed="81"/>
            <rFont val="Tahoma"/>
            <family val="2"/>
          </rPr>
          <t>Terri Cook:</t>
        </r>
        <r>
          <rPr>
            <sz val="8"/>
            <color indexed="81"/>
            <rFont val="Tahoma"/>
            <family val="2"/>
          </rPr>
          <t xml:space="preserve">
$200,000-  FY15 est UG diff-incremental
-200,000- move FY15 targed UG diff to base
$217,500 - 5th year of 5, Provost Faculty Match
                  Program - Phase 1
$115,000 - 4th year of 5, Provost Faculty Match
                  Program - Phase 2
330,000 - 3rd year of 3 - set ups costs for 10 positions funded
                 in FY12
22,000 - DOE Best proposal, B-11 - Year 2 of 3
-35,000 - Med Physics incremental change (negative)
+35,000 - No longer settling up on this tuition
300,000 - Expand Pro School - one-time funds - eliminate in FY17
12,500 - Turkey Exchange program
198,700 - FY16 UG estimated increase in differential tui
30,600 - FY16 GRAD estimated increase in differential tui</t>
        </r>
      </text>
    </comment>
    <comment ref="C18" authorId="0" shapeId="0">
      <text>
        <r>
          <rPr>
            <b/>
            <sz val="8"/>
            <color indexed="81"/>
            <rFont val="Tahoma"/>
            <family val="2"/>
          </rPr>
          <t>Terri Cook:</t>
        </r>
        <r>
          <rPr>
            <sz val="8"/>
            <color indexed="81"/>
            <rFont val="Tahoma"/>
            <family val="2"/>
          </rPr>
          <t xml:space="preserve">
0 - Est of differential for FY16
135,000 - 5th year of 5 - Provost Faculty
                 Match Program Phase 1
300,000 - Support for FRL-ongoing
</t>
        </r>
      </text>
    </comment>
    <comment ref="C19" authorId="0" shapeId="0">
      <text>
        <r>
          <rPr>
            <b/>
            <sz val="8"/>
            <color indexed="81"/>
            <rFont val="Tahoma"/>
            <family val="2"/>
          </rPr>
          <t>Terri Cook:</t>
        </r>
        <r>
          <rPr>
            <sz val="8"/>
            <color indexed="81"/>
            <rFont val="Tahoma"/>
            <family val="2"/>
          </rPr>
          <t xml:space="preserve">
0 - FY16 incremental revenue for MPH program 
$225,000 - 5th year of 5 - Provost Faculty Match
                  Program Phase 1
$102,500 - 4th year of 5 - Provost Faculty Match
                  Program Phase 2</t>
        </r>
      </text>
    </comment>
    <comment ref="C20" authorId="0" shapeId="0">
      <text>
        <r>
          <rPr>
            <b/>
            <sz val="9"/>
            <color indexed="81"/>
            <rFont val="Tahoma"/>
            <family val="2"/>
          </rPr>
          <t>Terri Cook:</t>
        </r>
        <r>
          <rPr>
            <sz val="9"/>
            <color indexed="81"/>
            <rFont val="Tahoma"/>
            <family val="2"/>
          </rPr>
          <t xml:space="preserve">
$20k - Eastern Promise Replication Grant
+$45k - FY15 - 3rd Year of 3 year commitment
-$45k - FY16 - end of commitment
-$20k - Eastern Promise Replication Grant - moving to President</t>
        </r>
      </text>
    </comment>
    <comment ref="C21" authorId="0" shapeId="0">
      <text>
        <r>
          <rPr>
            <b/>
            <sz val="9"/>
            <color indexed="81"/>
            <rFont val="Tahoma"/>
            <family val="2"/>
          </rPr>
          <t>Terri Cook:</t>
        </r>
        <r>
          <rPr>
            <sz val="9"/>
            <color indexed="81"/>
            <rFont val="Tahoma"/>
            <family val="2"/>
          </rPr>
          <t xml:space="preserve">
$135,000 - 4th year of 5, Provost Faculty
                Match Program - Phase 2
+17,153 - FY15 - Roper one-time funding
-17,153 - FY16 - end of Roper commitment</t>
        </r>
      </text>
    </comment>
    <comment ref="C22" authorId="1" shapeId="0">
      <text>
        <r>
          <rPr>
            <b/>
            <sz val="9"/>
            <color indexed="81"/>
            <rFont val="Tahoma"/>
            <family val="2"/>
          </rPr>
          <t>Support:</t>
        </r>
        <r>
          <rPr>
            <sz val="9"/>
            <color indexed="81"/>
            <rFont val="Tahoma"/>
            <family val="2"/>
          </rPr>
          <t xml:space="preserve">
Support for EVM position</t>
        </r>
      </text>
    </comment>
    <comment ref="C23" authorId="0" shapeId="0">
      <text>
        <r>
          <rPr>
            <b/>
            <sz val="8"/>
            <color indexed="81"/>
            <rFont val="Tahoma"/>
            <family val="2"/>
          </rPr>
          <t xml:space="preserve">Terri Cook:
</t>
        </r>
        <r>
          <rPr>
            <sz val="8"/>
            <color indexed="81"/>
            <rFont val="Tahoma"/>
            <family val="2"/>
          </rPr>
          <t>37,740 - OHSU rent
200,000 - FY16 est incremental tuition
175,000 - CLSB O&amp;M costs</t>
        </r>
      </text>
    </comment>
    <comment ref="C24" authorId="0" shapeId="0">
      <text>
        <r>
          <rPr>
            <b/>
            <sz val="9"/>
            <color indexed="81"/>
            <rFont val="Tahoma"/>
            <family val="2"/>
          </rPr>
          <t>Terri Cook:</t>
        </r>
        <r>
          <rPr>
            <sz val="9"/>
            <color indexed="81"/>
            <rFont val="Tahoma"/>
            <family val="2"/>
          </rPr>
          <t xml:space="preserve">
$57,500 - 5th year of 5 -Provost Faculty Match
               Program - Phase 1
$40,000 - Transition for Remcho - 2nd year of 2
               ($40k in FY15)
-40,000 - FY16 end of commitment
$12,500 - Add'l Prov Faculty Match  Phase 1-5th
               Year of 5
              </t>
        </r>
      </text>
    </comment>
    <comment ref="C25" authorId="0" shapeId="0">
      <text>
        <r>
          <rPr>
            <b/>
            <sz val="8"/>
            <color indexed="81"/>
            <rFont val="Tahoma"/>
            <family val="2"/>
          </rPr>
          <t>Terri Cook:</t>
        </r>
        <r>
          <rPr>
            <sz val="8"/>
            <color indexed="81"/>
            <rFont val="Tahoma"/>
            <family val="2"/>
          </rPr>
          <t xml:space="preserve">
200,000 - FY15 incremental revenue estimate
-200,000 - Move FY15 estimate to base
$45k - 5th year of 5 Provost's Faculty Match
           Program Phase 1
 -53,679 - Estimated fee waivers
12,500 - 4th year of 5 Provost''s Faculty
              Match Program Phase 2
300,000 - FY16 incremental revenue estimate</t>
        </r>
      </text>
    </comment>
    <comment ref="C27" authorId="0" shapeId="0">
      <text>
        <r>
          <rPr>
            <b/>
            <sz val="8"/>
            <color indexed="81"/>
            <rFont val="Tahoma"/>
            <family val="2"/>
          </rPr>
          <t>Terri Cook:</t>
        </r>
        <r>
          <rPr>
            <sz val="8"/>
            <color indexed="81"/>
            <rFont val="Tahoma"/>
            <family val="2"/>
          </rPr>
          <t xml:space="preserve">
30,000 - FY15 est differential
-30,000 - Move FY15 est diff to base
30,000 - FY16 est differential
</t>
        </r>
      </text>
    </comment>
    <comment ref="C38" authorId="0" shapeId="0">
      <text>
        <r>
          <rPr>
            <b/>
            <sz val="9"/>
            <color indexed="81"/>
            <rFont val="Tahoma"/>
            <family val="2"/>
          </rPr>
          <t>Terri Cook:</t>
        </r>
        <r>
          <rPr>
            <sz val="9"/>
            <color indexed="81"/>
            <rFont val="Tahoma"/>
            <family val="2"/>
          </rPr>
          <t xml:space="preserve">
$300,000 -5th year of 5 years - Equity &amp; Inclusion - ADA 
   Assessment - FY18 is last year
$20,000 - Eastern Promise Replication Grant
</t>
        </r>
      </text>
    </comment>
    <comment ref="C39" authorId="0" shapeId="0">
      <text>
        <r>
          <rPr>
            <b/>
            <sz val="9"/>
            <color indexed="81"/>
            <rFont val="Tahoma"/>
            <family val="2"/>
          </rPr>
          <t>Terri Cook:</t>
        </r>
        <r>
          <rPr>
            <sz val="9"/>
            <color indexed="81"/>
            <rFont val="Tahoma"/>
            <family val="2"/>
          </rPr>
          <t xml:space="preserve">
232,983 - special Asst for  Community Diversity -
              one time funding
-232,983 - FY18 reversal
</t>
        </r>
      </text>
    </comment>
    <comment ref="C41" authorId="0" shapeId="0">
      <text>
        <r>
          <rPr>
            <b/>
            <sz val="8"/>
            <color indexed="81"/>
            <rFont val="Tahoma"/>
            <family val="2"/>
          </rPr>
          <t>Terri Cook:</t>
        </r>
        <r>
          <rPr>
            <sz val="8"/>
            <color indexed="81"/>
            <rFont val="Tahoma"/>
            <family val="2"/>
          </rPr>
          <t xml:space="preserve">
$300,000 - Diversity
$55,000 - Promise Prog
+20,000 - University Days funding (from Univ Adv)
4,000,000 - Athletics 
   500,000- Athletics - From IM
</t>
        </r>
      </text>
    </comment>
    <comment ref="C45" authorId="1" shapeId="0">
      <text>
        <r>
          <rPr>
            <b/>
            <sz val="9"/>
            <color indexed="81"/>
            <rFont val="Tahoma"/>
            <family val="2"/>
          </rPr>
          <t>Support:</t>
        </r>
        <r>
          <rPr>
            <sz val="9"/>
            <color indexed="81"/>
            <rFont val="Tahoma"/>
            <family val="2"/>
          </rPr>
          <t xml:space="preserve">
</t>
        </r>
        <r>
          <rPr>
            <b/>
            <sz val="9"/>
            <color indexed="81"/>
            <rFont val="Tahoma"/>
            <family val="2"/>
          </rPr>
          <t xml:space="preserve">Cindy Alexis:
</t>
        </r>
        <r>
          <rPr>
            <sz val="9"/>
            <color indexed="81"/>
            <rFont val="Tahoma"/>
            <family val="2"/>
          </rPr>
          <t>$308,982 - One-time license charges and system upgrades
-</t>
        </r>
      </text>
    </comment>
    <comment ref="C46" authorId="0" shapeId="0">
      <text>
        <r>
          <rPr>
            <b/>
            <sz val="8"/>
            <color indexed="81"/>
            <rFont val="Tahoma"/>
            <family val="2"/>
          </rPr>
          <t>Terri Cook:</t>
        </r>
        <r>
          <rPr>
            <sz val="8"/>
            <color indexed="81"/>
            <rFont val="Tahoma"/>
            <family val="2"/>
          </rPr>
          <t xml:space="preserve">
$80k - Diversity
950,000 - new Graduate Fellowship &amp; Scholarship program
</t>
        </r>
      </text>
    </comment>
    <comment ref="C48" authorId="1" shapeId="0">
      <text>
        <r>
          <rPr>
            <b/>
            <sz val="9"/>
            <color indexed="81"/>
            <rFont val="Tahoma"/>
            <family val="2"/>
          </rPr>
          <t>Support:</t>
        </r>
        <r>
          <rPr>
            <sz val="9"/>
            <color indexed="81"/>
            <rFont val="Tahoma"/>
            <family val="2"/>
          </rPr>
          <t xml:space="preserve">
100,000 - SMI contract (or other DC representation
327,000 - Wheat Commission
</t>
        </r>
      </text>
    </comment>
    <comment ref="C51" authorId="0" shapeId="0">
      <text>
        <r>
          <rPr>
            <b/>
            <sz val="9"/>
            <color indexed="81"/>
            <rFont val="Tahoma"/>
            <family val="2"/>
          </rPr>
          <t>Terri Cook:</t>
        </r>
        <r>
          <rPr>
            <sz val="9"/>
            <color indexed="81"/>
            <rFont val="Tahoma"/>
            <family val="2"/>
          </rPr>
          <t xml:space="preserve">
40,000 - Future Perfect contract (Budg Offc index)
26,585- P&amp;M (QBS010) - DAS shuttle
172,820 - Corvallis Transit pmt (Kavinda's)
108,500 - Albany Transit pmt (Kavinda's)
7,000 - incremental increase for Albany transit contract</t>
        </r>
      </text>
    </comment>
  </commentList>
</comments>
</file>

<file path=xl/comments6.xml><?xml version="1.0" encoding="utf-8"?>
<comments xmlns="http://schemas.openxmlformats.org/spreadsheetml/2006/main">
  <authors>
    <author>Support</author>
  </authors>
  <commentList>
    <comment ref="R29" authorId="0" shapeId="0">
      <text>
        <r>
          <rPr>
            <b/>
            <sz val="9"/>
            <color indexed="81"/>
            <rFont val="Tahoma"/>
            <family val="2"/>
          </rPr>
          <t>Support:</t>
        </r>
        <r>
          <rPr>
            <sz val="9"/>
            <color indexed="81"/>
            <rFont val="Tahoma"/>
            <family val="2"/>
          </rPr>
          <t xml:space="preserve">
Keeping $1.2 million centrally
+500k - Moving funding from BUC</t>
        </r>
      </text>
    </comment>
    <comment ref="R48" authorId="0" shapeId="0">
      <text>
        <r>
          <rPr>
            <b/>
            <sz val="9"/>
            <color indexed="81"/>
            <rFont val="Tahoma"/>
            <family val="2"/>
          </rPr>
          <t>Support:</t>
        </r>
        <r>
          <rPr>
            <sz val="9"/>
            <color indexed="81"/>
            <rFont val="Tahoma"/>
            <family val="2"/>
          </rPr>
          <t xml:space="preserve">
637,000 - Research Office (Gen Adm)
700,000 - Research Adm (Sponsored Proj)
1,190,000 - (OPAA)</t>
        </r>
      </text>
    </comment>
    <comment ref="R51" authorId="0" shapeId="0">
      <text>
        <r>
          <rPr>
            <b/>
            <sz val="9"/>
            <color indexed="81"/>
            <rFont val="Tahoma"/>
            <family val="2"/>
          </rPr>
          <t>Support:</t>
        </r>
        <r>
          <rPr>
            <sz val="9"/>
            <color indexed="81"/>
            <rFont val="Tahoma"/>
            <family val="2"/>
          </rPr>
          <t xml:space="preserve">
924,000 - Bus Aff
1,190,000 - OPAA</t>
        </r>
      </text>
    </comment>
    <comment ref="R52" authorId="0" shapeId="0">
      <text>
        <r>
          <rPr>
            <b/>
            <sz val="9"/>
            <color indexed="81"/>
            <rFont val="Tahoma"/>
            <family val="2"/>
          </rPr>
          <t>Support:</t>
        </r>
        <r>
          <rPr>
            <sz val="9"/>
            <color indexed="81"/>
            <rFont val="Tahoma"/>
            <family val="2"/>
          </rPr>
          <t xml:space="preserve">
3,825,000 - O&amp;M
   900,000 - Bldg Allow
-600,000 - Move to Cap
                Planning
</t>
        </r>
      </text>
    </comment>
  </commentList>
</comments>
</file>

<file path=xl/comments7.xml><?xml version="1.0" encoding="utf-8"?>
<comments xmlns="http://schemas.openxmlformats.org/spreadsheetml/2006/main">
  <authors>
    <author>Support</author>
    <author>Terri Cook</author>
  </authors>
  <commentList>
    <comment ref="R29" authorId="0" shapeId="0">
      <text>
        <r>
          <rPr>
            <b/>
            <sz val="9"/>
            <color indexed="81"/>
            <rFont val="Tahoma"/>
            <family val="2"/>
          </rPr>
          <t>Support:</t>
        </r>
        <r>
          <rPr>
            <sz val="9"/>
            <color indexed="81"/>
            <rFont val="Tahoma"/>
            <family val="2"/>
          </rPr>
          <t xml:space="preserve">
Keeping $1.2 million centrally
+500k - Moving funding from BUC</t>
        </r>
      </text>
    </comment>
    <comment ref="R33" authorId="1" shapeId="0">
      <text>
        <r>
          <rPr>
            <b/>
            <sz val="8"/>
            <color indexed="81"/>
            <rFont val="Tahoma"/>
            <family val="2"/>
          </rPr>
          <t>Terri Cook:</t>
        </r>
        <r>
          <rPr>
            <sz val="8"/>
            <color indexed="81"/>
            <rFont val="Tahoma"/>
            <family val="2"/>
          </rPr>
          <t xml:space="preserve">
3,125,000 - F&amp;A Recovery
901,905 - ROH</t>
        </r>
      </text>
    </comment>
    <comment ref="R48" authorId="0" shapeId="0">
      <text>
        <r>
          <rPr>
            <b/>
            <sz val="9"/>
            <color indexed="81"/>
            <rFont val="Tahoma"/>
            <family val="2"/>
          </rPr>
          <t>Support:</t>
        </r>
        <r>
          <rPr>
            <sz val="9"/>
            <color indexed="81"/>
            <rFont val="Tahoma"/>
            <family val="2"/>
          </rPr>
          <t xml:space="preserve">
637,000 - Research Office (Gen Adm)
700,000 - Research Adm (Sponsored Proj)
1,190,000 - (OPAA)</t>
        </r>
      </text>
    </comment>
    <comment ref="R51" authorId="0" shapeId="0">
      <text>
        <r>
          <rPr>
            <b/>
            <sz val="9"/>
            <color indexed="81"/>
            <rFont val="Tahoma"/>
            <family val="2"/>
          </rPr>
          <t>Support:</t>
        </r>
        <r>
          <rPr>
            <sz val="9"/>
            <color indexed="81"/>
            <rFont val="Tahoma"/>
            <family val="2"/>
          </rPr>
          <t xml:space="preserve">
924,000 - Bus Aff
1,190,000 - OPAA</t>
        </r>
      </text>
    </comment>
    <comment ref="R52" authorId="0" shapeId="0">
      <text>
        <r>
          <rPr>
            <b/>
            <sz val="9"/>
            <color indexed="81"/>
            <rFont val="Tahoma"/>
            <family val="2"/>
          </rPr>
          <t>Support:</t>
        </r>
        <r>
          <rPr>
            <sz val="9"/>
            <color indexed="81"/>
            <rFont val="Tahoma"/>
            <family val="2"/>
          </rPr>
          <t xml:space="preserve">
3,825,000 - O&amp;M
   900,000 - Bldg Allow
-600,000 - Move to Cap
                Planning
</t>
        </r>
      </text>
    </comment>
  </commentList>
</comments>
</file>

<file path=xl/comments8.xml><?xml version="1.0" encoding="utf-8"?>
<comments xmlns="http://schemas.openxmlformats.org/spreadsheetml/2006/main">
  <authors>
    <author>Terri Cook</author>
  </authors>
  <commentList>
    <comment ref="M6"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G33 + G34 on
           the IM page
</t>
        </r>
      </text>
    </comment>
  </commentList>
</comments>
</file>

<file path=xl/comments9.xml><?xml version="1.0" encoding="utf-8"?>
<comments xmlns="http://schemas.openxmlformats.org/spreadsheetml/2006/main">
  <authors>
    <author>Terri Cook</author>
  </authors>
  <commentList>
    <comment ref="F6"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G33 + G34 on
           the IM page
</t>
        </r>
      </text>
    </comment>
  </commentList>
</comments>
</file>

<file path=xl/sharedStrings.xml><?xml version="1.0" encoding="utf-8"?>
<sst xmlns="http://schemas.openxmlformats.org/spreadsheetml/2006/main" count="4687" uniqueCount="1493">
  <si>
    <t>2012-13</t>
  </si>
  <si>
    <t>Vet Med</t>
  </si>
  <si>
    <t>Forestry</t>
  </si>
  <si>
    <t>CLA</t>
  </si>
  <si>
    <t>Science</t>
  </si>
  <si>
    <t>CEOAS</t>
  </si>
  <si>
    <t>Business</t>
  </si>
  <si>
    <t>Engineering</t>
  </si>
  <si>
    <t>Education</t>
  </si>
  <si>
    <t>PHHS</t>
  </si>
  <si>
    <t>Pharmacy</t>
  </si>
  <si>
    <t>Total:</t>
  </si>
  <si>
    <t>2013-14</t>
  </si>
  <si>
    <t>Total</t>
  </si>
  <si>
    <t>Graduate School</t>
  </si>
  <si>
    <t>Totals:</t>
  </si>
  <si>
    <t>Grad Degrees</t>
  </si>
  <si>
    <t>Liberal Arts</t>
  </si>
  <si>
    <t>Oregon State University</t>
  </si>
  <si>
    <t>Unit</t>
  </si>
  <si>
    <t>Description</t>
  </si>
  <si>
    <t>Index</t>
  </si>
  <si>
    <t>Inst Mgmt</t>
  </si>
  <si>
    <t>Budget Reserve</t>
  </si>
  <si>
    <t>ZARR91</t>
  </si>
  <si>
    <t>Assessments</t>
  </si>
  <si>
    <t>ZARA10</t>
  </si>
  <si>
    <t>Foundation Obligation</t>
  </si>
  <si>
    <t>Oregon-wide Leases</t>
  </si>
  <si>
    <t>ZARB10</t>
  </si>
  <si>
    <t>OSU Portland Center</t>
  </si>
  <si>
    <t>Debt Service - Various</t>
  </si>
  <si>
    <t>ZARIOU</t>
  </si>
  <si>
    <t>Debt Service - SELP Loan Repayment (Facilities)</t>
  </si>
  <si>
    <t>Assessments to be received from Aux, SWPS, INTO</t>
  </si>
  <si>
    <t>ZARC99</t>
  </si>
  <si>
    <t>ZARR11</t>
  </si>
  <si>
    <t>Bad Debt Expense</t>
  </si>
  <si>
    <t>ZARN10</t>
  </si>
  <si>
    <t>TouchNet Costs</t>
  </si>
  <si>
    <t>Compensated Absence Liability</t>
  </si>
  <si>
    <t>ZARN11</t>
  </si>
  <si>
    <t>Graduate Reserve</t>
  </si>
  <si>
    <t>ZARP10</t>
  </si>
  <si>
    <t>Insurance subsidy for classified employees</t>
  </si>
  <si>
    <t>INTO Fees - Matriculants from Pathway Program</t>
  </si>
  <si>
    <t>ZARR30</t>
  </si>
  <si>
    <t>INTO Fees - Direct Source</t>
  </si>
  <si>
    <t>International  Admissions</t>
  </si>
  <si>
    <t>Statewide FY12 salary increases</t>
  </si>
  <si>
    <t>Space Renovation &amp; Remodeling</t>
  </si>
  <si>
    <t>ZARR40</t>
  </si>
  <si>
    <t>Research Audit Disallowance Reserve (1% of Recovery)</t>
  </si>
  <si>
    <t>ZARR50</t>
  </si>
  <si>
    <t>Grad Tui &amp; Fee Remission Reserve for Statewides</t>
  </si>
  <si>
    <t>Contingency Fund</t>
  </si>
  <si>
    <t>Access Funding</t>
  </si>
  <si>
    <t>TRF Expenditure Authority-Corvallis Campus</t>
  </si>
  <si>
    <t>ZARS12</t>
  </si>
  <si>
    <t xml:space="preserve">    Subtotal Reserves &amp; Assessments</t>
  </si>
  <si>
    <t>ZARR71 Detail:</t>
  </si>
  <si>
    <t>ZARR71</t>
  </si>
  <si>
    <t>INTO</t>
  </si>
  <si>
    <t>MOU w/H&amp;D for use of space in Int'l LL Center</t>
  </si>
  <si>
    <t>Academic Units</t>
  </si>
  <si>
    <t>Reserve for differential/incremental revenue settle-ups</t>
  </si>
  <si>
    <t>Information Svcs</t>
  </si>
  <si>
    <t>Emp Center</t>
  </si>
  <si>
    <t>Student Affairs</t>
  </si>
  <si>
    <t>Finance &amp; Admin</t>
  </si>
  <si>
    <t>Madison Avenue Gateway Project</t>
  </si>
  <si>
    <t>Financial Advisor Consulting</t>
  </si>
  <si>
    <t>Facilities</t>
  </si>
  <si>
    <t>Increased Energy Costs</t>
  </si>
  <si>
    <t xml:space="preserve">    Subtotal ZARR71</t>
  </si>
  <si>
    <t>Total Institutional Management Allocation (BAM Col. N, Row 1)</t>
  </si>
  <si>
    <t>Moved to base</t>
  </si>
  <si>
    <t>OREGON STATE UNIVERSITY</t>
  </si>
  <si>
    <t>FY15</t>
  </si>
  <si>
    <t>FY14</t>
  </si>
  <si>
    <t>Base Budget</t>
  </si>
  <si>
    <t>State-Targeted</t>
  </si>
  <si>
    <t>OSU-Targeted</t>
  </si>
  <si>
    <t>Ecampus</t>
  </si>
  <si>
    <t>Summer</t>
  </si>
  <si>
    <t>Student Fees</t>
  </si>
  <si>
    <t>Endowment</t>
  </si>
  <si>
    <t>Grad Tui &amp; Fee</t>
  </si>
  <si>
    <t>F&amp;A Recovery</t>
  </si>
  <si>
    <t>Initial</t>
  </si>
  <si>
    <t>Budget Unit</t>
  </si>
  <si>
    <t>Base wo Tui</t>
  </si>
  <si>
    <t>Diff/Rev Agree</t>
  </si>
  <si>
    <t>Programs</t>
  </si>
  <si>
    <t>Allocation</t>
  </si>
  <si>
    <t>Session</t>
  </si>
  <si>
    <t>Sales &amp; Service</t>
  </si>
  <si>
    <t>Match</t>
  </si>
  <si>
    <t>Remissions</t>
  </si>
  <si>
    <t>Budget</t>
  </si>
  <si>
    <t>Institutional Management:</t>
  </si>
  <si>
    <t>Instruction &amp;  Research</t>
  </si>
  <si>
    <t xml:space="preserve">    Agricultural Sciences</t>
  </si>
  <si>
    <t xml:space="preserve">    Business</t>
  </si>
  <si>
    <t xml:space="preserve">    Engineering</t>
  </si>
  <si>
    <t xml:space="preserve">    Forestry</t>
  </si>
  <si>
    <t xml:space="preserve">    Public Health &amp; Human Sciences</t>
  </si>
  <si>
    <t xml:space="preserve">    Education</t>
  </si>
  <si>
    <t xml:space="preserve">    Liberal Arts</t>
  </si>
  <si>
    <t xml:space="preserve">    Earth, Oceanic &amp; Atmospheric Sciences</t>
  </si>
  <si>
    <t xml:space="preserve">    Pharmacy</t>
  </si>
  <si>
    <t xml:space="preserve">    Science</t>
  </si>
  <si>
    <t xml:space="preserve">    Veterinary Medicine</t>
  </si>
  <si>
    <t xml:space="preserve">    Summer Session</t>
  </si>
  <si>
    <t xml:space="preserve">    University Honors College</t>
  </si>
  <si>
    <t xml:space="preserve">    Outreach &amp; Engagement</t>
  </si>
  <si>
    <t xml:space="preserve">    Extended Campus</t>
  </si>
  <si>
    <t xml:space="preserve">    Research Equipment Reserve</t>
  </si>
  <si>
    <t xml:space="preserve">    University Libraries</t>
  </si>
  <si>
    <t xml:space="preserve">    Research (Centers / Institutes / Programs)</t>
  </si>
  <si>
    <t xml:space="preserve">   Instruction &amp; Research Total</t>
  </si>
  <si>
    <t>Service, Support, and Management:</t>
  </si>
  <si>
    <t xml:space="preserve">    Office of the President</t>
  </si>
  <si>
    <t xml:space="preserve">    University Relations &amp; Marketing</t>
  </si>
  <si>
    <t xml:space="preserve">    Provost</t>
  </si>
  <si>
    <t xml:space="preserve">    Provost - Pass-through</t>
  </si>
  <si>
    <t xml:space="preserve">    Enrollment Management</t>
  </si>
  <si>
    <t xml:space="preserve">    Academic Affairs</t>
  </si>
  <si>
    <t xml:space="preserve">    Information Services </t>
  </si>
  <si>
    <t xml:space="preserve">    Research Administration</t>
  </si>
  <si>
    <t xml:space="preserve">    Student Affairs</t>
  </si>
  <si>
    <t xml:space="preserve">    University Business Centers</t>
  </si>
  <si>
    <t xml:space="preserve">    Finance and Administration</t>
  </si>
  <si>
    <t xml:space="preserve">    Facilities Services</t>
  </si>
  <si>
    <t xml:space="preserve">    Energy Operations</t>
  </si>
  <si>
    <t>Service, Support, and Management Total</t>
  </si>
  <si>
    <t xml:space="preserve">      Total Educational and General  Budget</t>
  </si>
  <si>
    <t xml:space="preserve">Multi-Year Revenue Detail </t>
  </si>
  <si>
    <t>Distributed</t>
  </si>
  <si>
    <t>Departmental</t>
  </si>
  <si>
    <t>Resources</t>
  </si>
  <si>
    <t>Undergraduate</t>
  </si>
  <si>
    <t>Graduate</t>
  </si>
  <si>
    <t>Tuition Buydown Phase #1</t>
  </si>
  <si>
    <t>Tuition Buydown Phase #2</t>
  </si>
  <si>
    <t>Vet Diagnostic Lab</t>
  </si>
  <si>
    <t>Natural Resource Institute</t>
  </si>
  <si>
    <t>Ocean Vessels Research</t>
  </si>
  <si>
    <t xml:space="preserve">        Endowment Match</t>
  </si>
  <si>
    <t xml:space="preserve">        Orbis</t>
  </si>
  <si>
    <t xml:space="preserve">        Oregon Joint Schools of Professional Business</t>
  </si>
  <si>
    <t xml:space="preserve">        Faculty Diversity</t>
  </si>
  <si>
    <t xml:space="preserve">        Services to Students with Disabilities</t>
  </si>
  <si>
    <t>Oregon Climate Change Research Institute</t>
  </si>
  <si>
    <t>Fermentation Science</t>
  </si>
  <si>
    <t>Subtotal -  State Appropriation</t>
  </si>
  <si>
    <t>Tuition:</t>
  </si>
  <si>
    <t xml:space="preserve">  OSU - Corvallis </t>
  </si>
  <si>
    <t xml:space="preserve">  Extended Campus</t>
  </si>
  <si>
    <t xml:space="preserve">  Summer Term</t>
  </si>
  <si>
    <t>Subtotal -  Tuition</t>
  </si>
  <si>
    <t>Tuition Waivers</t>
  </si>
  <si>
    <t>Student Fees:</t>
  </si>
  <si>
    <t xml:space="preserve">  Resource Fees </t>
  </si>
  <si>
    <t xml:space="preserve">Other Student Fees </t>
  </si>
  <si>
    <t>Subtotal -  Student Fees</t>
  </si>
  <si>
    <t>Other Resources:</t>
  </si>
  <si>
    <t>BUC Portion of Indirect cost Recovery</t>
  </si>
  <si>
    <t xml:space="preserve">  Sales &amp; Services / misc income</t>
  </si>
  <si>
    <t>Interest Revenue</t>
  </si>
  <si>
    <t>Debt Service Support on SELP Loans</t>
  </si>
  <si>
    <t>Subtotal -  Other Resources</t>
  </si>
  <si>
    <t xml:space="preserve">Total  Revenue </t>
  </si>
  <si>
    <t>Debt/Lease</t>
  </si>
  <si>
    <t>Foundation</t>
  </si>
  <si>
    <t>INTO/International</t>
  </si>
  <si>
    <t>Health insurance</t>
  </si>
  <si>
    <t>Net assessments/USSE</t>
  </si>
  <si>
    <t>Bad debt increase</t>
  </si>
  <si>
    <t>Vacation liability increase</t>
  </si>
  <si>
    <t>Institution wide costs</t>
  </si>
  <si>
    <t>Information Services</t>
  </si>
  <si>
    <t>General Counsel</t>
  </si>
  <si>
    <t>To Units</t>
  </si>
  <si>
    <t>Access</t>
  </si>
  <si>
    <t>TOTALS</t>
  </si>
  <si>
    <t>Distributions</t>
  </si>
  <si>
    <t>Ph.D. Degrees</t>
  </si>
  <si>
    <t>New Grant Awards</t>
  </si>
  <si>
    <t>Central Pools by Type:</t>
  </si>
  <si>
    <t>Hold out Tuition Reserve:</t>
  </si>
  <si>
    <t>Net contingency funds</t>
  </si>
  <si>
    <t>Research audit disallowance reserve</t>
  </si>
  <si>
    <t>Dedicated Purpose Funds</t>
  </si>
  <si>
    <t>Base tuition and other funds</t>
  </si>
  <si>
    <t>Targeted state funding</t>
  </si>
  <si>
    <t>Fees, sales, and services</t>
  </si>
  <si>
    <t>Endowment Match</t>
  </si>
  <si>
    <t>Academic Support Operations</t>
  </si>
  <si>
    <t>Student and Faculty Support</t>
  </si>
  <si>
    <t>Plant and Facilities Operations</t>
  </si>
  <si>
    <t>Institutional Operations</t>
  </si>
  <si>
    <t>Graduate SCH</t>
  </si>
  <si>
    <t>Combined Research Metric</t>
  </si>
  <si>
    <t>% Overhead on Dedicated Funds:</t>
  </si>
  <si>
    <t>Academic Support, Plant, Institutional Operations</t>
  </si>
  <si>
    <t>Overhead on dedicated funds, except F&amp;A</t>
  </si>
  <si>
    <t>Central Pools and Reserves and Executive</t>
  </si>
  <si>
    <t>Management and Support Operations</t>
  </si>
  <si>
    <t>Academic Ops</t>
  </si>
  <si>
    <t>Total Dedicated Purpose Funds</t>
  </si>
  <si>
    <t>SWPS Remissions</t>
  </si>
  <si>
    <t>Used to build up pieces of various allocations to units by building blocks</t>
  </si>
  <si>
    <t>Shows how distribution amounts were arrived at</t>
  </si>
  <si>
    <t xml:space="preserve"> </t>
  </si>
  <si>
    <t>Central pools and reserves</t>
  </si>
  <si>
    <t>Differential and prof. tuition over base</t>
  </si>
  <si>
    <t>F&amp;A recovery allocation</t>
  </si>
  <si>
    <t>Initial Budget:</t>
  </si>
  <si>
    <t>Remaining:</t>
  </si>
  <si>
    <t>yes</t>
  </si>
  <si>
    <t>Total Pool:</t>
  </si>
  <si>
    <t>UG Degrees</t>
  </si>
  <si>
    <t>Distributed to Academic Units:</t>
  </si>
  <si>
    <t>Subtotal</t>
  </si>
  <si>
    <t>Total Institutional Management</t>
  </si>
  <si>
    <t>Class and Lab Buildings:</t>
  </si>
  <si>
    <t>Crop Science</t>
  </si>
  <si>
    <t>Radiation Center</t>
  </si>
  <si>
    <t xml:space="preserve">Peavey </t>
  </si>
  <si>
    <t>Wiegand</t>
  </si>
  <si>
    <t>Richardson</t>
  </si>
  <si>
    <t>Dryden</t>
  </si>
  <si>
    <t xml:space="preserve">APPERSON HALL </t>
  </si>
  <si>
    <t xml:space="preserve">MERRYFIELD HALL </t>
  </si>
  <si>
    <t xml:space="preserve">KELLEY ENGINEERING CENTER </t>
  </si>
  <si>
    <t xml:space="preserve">GRAF HALL </t>
  </si>
  <si>
    <t xml:space="preserve">COVELL HALL </t>
  </si>
  <si>
    <t xml:space="preserve">BATCHELLER HALL </t>
  </si>
  <si>
    <t xml:space="preserve">DEARBORN HALL </t>
  </si>
  <si>
    <t xml:space="preserve">GILBERT HALL ADDITION </t>
  </si>
  <si>
    <t xml:space="preserve">SHEPARD HALL </t>
  </si>
  <si>
    <t xml:space="preserve">GILBERT HALL </t>
  </si>
  <si>
    <t xml:space="preserve">GLEESON HALL (Chem Engr) </t>
  </si>
  <si>
    <t xml:space="preserve">WENIGER HALL </t>
  </si>
  <si>
    <t xml:space="preserve">BEXELL HALL </t>
  </si>
  <si>
    <t xml:space="preserve">ROGERS HALL </t>
  </si>
  <si>
    <t xml:space="preserve">MILNE COMPUTER CENTER </t>
  </si>
  <si>
    <t xml:space="preserve">NASH HALL </t>
  </si>
  <si>
    <t xml:space="preserve">OWEN HALL </t>
  </si>
  <si>
    <t xml:space="preserve">BENTON HALL </t>
  </si>
  <si>
    <t xml:space="preserve">EDUCATION HALL </t>
  </si>
  <si>
    <t xml:space="preserve">PHARMACY </t>
  </si>
  <si>
    <t xml:space="preserve">KIDDER HALL </t>
  </si>
  <si>
    <t xml:space="preserve">THE VALLEY LIBRARY </t>
  </si>
  <si>
    <t xml:space="preserve">GILKEY HALL </t>
  </si>
  <si>
    <t xml:space="preserve">STRAND AGRICULTURE HALL </t>
  </si>
  <si>
    <t xml:space="preserve">KERR ADMINISTRATION BLDG </t>
  </si>
  <si>
    <t xml:space="preserve">BALLARD EXTENSION HALL </t>
  </si>
  <si>
    <t xml:space="preserve">BURT HALL </t>
  </si>
  <si>
    <t xml:space="preserve">BATES HALL (FAMILY STUDY CENTER) </t>
  </si>
  <si>
    <t xml:space="preserve">WILKINSON HALL/GILFILLAN AUD </t>
  </si>
  <si>
    <t xml:space="preserve">CORDLEY HALL </t>
  </si>
  <si>
    <t xml:space="preserve">WITHYCOMBE HALL </t>
  </si>
  <si>
    <t xml:space="preserve">AG LIFE SCIENCES </t>
  </si>
  <si>
    <t xml:space="preserve">MILAM HALL </t>
  </si>
  <si>
    <t xml:space="preserve">FAIRBANKS ANNEX </t>
  </si>
  <si>
    <t xml:space="preserve">GILMORE HALL </t>
  </si>
  <si>
    <t xml:space="preserve">WOMENS BUILDING </t>
  </si>
  <si>
    <t xml:space="preserve">FAIRBANKS HALL </t>
  </si>
  <si>
    <t xml:space="preserve">GILMORE ANNEX </t>
  </si>
  <si>
    <t xml:space="preserve">HOVLAND HALL </t>
  </si>
  <si>
    <t xml:space="preserve">SNELL HALL/MU EAST </t>
  </si>
  <si>
    <t xml:space="preserve">WALDO HALL </t>
  </si>
  <si>
    <t xml:space="preserve">LANGTON HALL </t>
  </si>
  <si>
    <t xml:space="preserve">MORELAND HALL </t>
  </si>
  <si>
    <t xml:space="preserve">HECKERT LODGE </t>
  </si>
  <si>
    <t xml:space="preserve">REED LODGE </t>
  </si>
  <si>
    <t xml:space="preserve">OCEAN ADMINISTRATION BLDG </t>
  </si>
  <si>
    <t xml:space="preserve">DAWES HOUSE </t>
  </si>
  <si>
    <t xml:space="preserve">MAGRUDER HALL </t>
  </si>
  <si>
    <t xml:space="preserve">CASCADE HALL </t>
  </si>
  <si>
    <t>Buildings that are class, laboratory, and office spaces</t>
  </si>
  <si>
    <t>Total count:</t>
  </si>
  <si>
    <t>Total sq. ft.:</t>
  </si>
  <si>
    <t>Austin Hall</t>
  </si>
  <si>
    <t>LPSC</t>
  </si>
  <si>
    <t>Bates Hall</t>
  </si>
  <si>
    <t>Students+Employees</t>
  </si>
  <si>
    <t>Grad students</t>
  </si>
  <si>
    <t>LD Weights</t>
  </si>
  <si>
    <t>UD Weights</t>
  </si>
  <si>
    <t>Unclassified Staff</t>
  </si>
  <si>
    <t>Study Abroad</t>
  </si>
  <si>
    <t>Int. Faculty</t>
  </si>
  <si>
    <t>Int Degrees</t>
  </si>
  <si>
    <t>Measure</t>
  </si>
  <si>
    <t>Intl Participants</t>
  </si>
  <si>
    <t>Summer SCH</t>
  </si>
  <si>
    <t>Degree Foundations</t>
  </si>
  <si>
    <t>UD SCH</t>
  </si>
  <si>
    <t>Honors SCH</t>
  </si>
  <si>
    <t>Graduate Completions</t>
  </si>
  <si>
    <t>Off-site/other delivery SCH?</t>
  </si>
  <si>
    <t>Weighting factors for cost of degree or credit hour if used</t>
  </si>
  <si>
    <t>Contractual costs</t>
  </si>
  <si>
    <t>$ Per Measure</t>
  </si>
  <si>
    <t>Base E&amp;G Allocations</t>
  </si>
  <si>
    <t>International participants</t>
  </si>
  <si>
    <t>$1000s of 3-yr avg awards</t>
  </si>
  <si>
    <t>Oregon State University Shared Responsibility Budget Model</t>
  </si>
  <si>
    <t>Corvallis Campus Education and General Funding</t>
  </si>
  <si>
    <t>DRAFT for discussion by campus community</t>
  </si>
  <si>
    <t>Fiscal Year:</t>
  </si>
  <si>
    <t>Institutional Tuition Waivers</t>
  </si>
  <si>
    <t>Estimated Net E&amp;G Revenue</t>
  </si>
  <si>
    <t>Estimated Gross E&amp;G Revenues</t>
  </si>
  <si>
    <t>Support, Service, &amp; Management</t>
  </si>
  <si>
    <t>Dedicated purpose funds</t>
  </si>
  <si>
    <t>Dedicated, contractual, strategic and governance funding</t>
  </si>
  <si>
    <t>% of Budget</t>
  </si>
  <si>
    <t>Academic Program Delivery</t>
  </si>
  <si>
    <t>Estimate Net E&amp;G Revenue:</t>
  </si>
  <si>
    <t>Gross E&amp;G Revenues</t>
  </si>
  <si>
    <t>Less Institutional Tuition Waivers</t>
  </si>
  <si>
    <t>Net Estimated E&amp;G Revenues to Distribute</t>
  </si>
  <si>
    <t>Distribution of dedicated funding:</t>
  </si>
  <si>
    <t>% of Distributable Pool to Academic Delivery:</t>
  </si>
  <si>
    <t>Academic Delivery Pool</t>
  </si>
  <si>
    <t>Service, Support, Management Pool</t>
  </si>
  <si>
    <t>Percent of Total</t>
  </si>
  <si>
    <t>Support, Service,&amp; Management</t>
  </si>
  <si>
    <t>Undergraduate degree foundations</t>
  </si>
  <si>
    <t>Undergraduate degree and credential completions</t>
  </si>
  <si>
    <t>Graduate degree and credential completions</t>
  </si>
  <si>
    <t>Alternate delivery and new participants</t>
  </si>
  <si>
    <t>Externally funded research</t>
  </si>
  <si>
    <t>Strategic growth areas</t>
  </si>
  <si>
    <t>Strategic Funding Distribution</t>
  </si>
  <si>
    <t>University Program Adjustments</t>
  </si>
  <si>
    <t>Academic and service delivery measures-based funding</t>
  </si>
  <si>
    <t xml:space="preserve">  </t>
  </si>
  <si>
    <t xml:space="preserve">   </t>
  </si>
  <si>
    <t>Held Centrally</t>
  </si>
  <si>
    <t>Degrees to URM Students</t>
  </si>
  <si>
    <t>This data lines up with the distribution on the Step 1a IM Summary page</t>
  </si>
  <si>
    <t>1.  Set switches on model choices</t>
  </si>
  <si>
    <t>Undergraduate completions</t>
  </si>
  <si>
    <t>Strategic Area</t>
  </si>
  <si>
    <t>% of Academic Pool</t>
  </si>
  <si>
    <t>Total Allocation</t>
  </si>
  <si>
    <t>Allocated:</t>
  </si>
  <si>
    <t xml:space="preserve">LD SCH </t>
  </si>
  <si>
    <t>CHECK SUM</t>
  </si>
  <si>
    <t>IS it OK?</t>
  </si>
  <si>
    <t>Less 10% Institutional Aid</t>
  </si>
  <si>
    <t>Net Undergraduate per SCH</t>
  </si>
  <si>
    <t>Ecampus Undergraduate per SCH</t>
  </si>
  <si>
    <t>Net Ecampus Undergraduate per SCH</t>
  </si>
  <si>
    <t>Net Graduate per SCH</t>
  </si>
  <si>
    <t>Ecampus Graduate per SCH</t>
  </si>
  <si>
    <t>2.  Distribution of remaining fund pool across different mission metrics?</t>
  </si>
  <si>
    <t>Total allocated by Service, Support, and Management Measures:</t>
  </si>
  <si>
    <t>Balance left from pool (redistributed to academic pool):</t>
  </si>
  <si>
    <t>Alternate Delivery and new participants</t>
  </si>
  <si>
    <t>Proportions of Academic Pool Allocation by Metric:</t>
  </si>
  <si>
    <t>Contractual, Executive, Strategic Pools</t>
  </si>
  <si>
    <t>3.  Set service and support measures (these map to the "Serv Support Measures" Tab)</t>
  </si>
  <si>
    <t>These are currently simply set to yield current budget, pending discussions about costs and investments</t>
  </si>
  <si>
    <r>
      <t>Academic Support Operations</t>
    </r>
    <r>
      <rPr>
        <b/>
        <vertAlign val="superscript"/>
        <sz val="10"/>
        <rFont val="Arial"/>
      </rPr>
      <t>1</t>
    </r>
  </si>
  <si>
    <r>
      <t>Student and Faculty Support</t>
    </r>
    <r>
      <rPr>
        <b/>
        <vertAlign val="superscript"/>
        <sz val="10"/>
        <rFont val="Arial"/>
      </rPr>
      <t>2</t>
    </r>
  </si>
  <si>
    <r>
      <t>Plant and Facilities Operations</t>
    </r>
    <r>
      <rPr>
        <b/>
        <vertAlign val="superscript"/>
        <sz val="10"/>
        <rFont val="Arial"/>
      </rPr>
      <t>3</t>
    </r>
  </si>
  <si>
    <r>
      <t>Institutional Operations</t>
    </r>
    <r>
      <rPr>
        <b/>
        <vertAlign val="superscript"/>
        <sz val="10"/>
        <rFont val="Arial"/>
      </rPr>
      <t>4</t>
    </r>
  </si>
  <si>
    <r>
      <t>Executive and Governance Functions</t>
    </r>
    <r>
      <rPr>
        <b/>
        <vertAlign val="superscript"/>
        <sz val="10"/>
        <rFont val="Arial"/>
      </rPr>
      <t>5</t>
    </r>
  </si>
  <si>
    <t>Library, Graduate School, Research Administration, International Programs, Information Services, Summer Session</t>
  </si>
  <si>
    <t>Business Centers, Finance &amp; Administration, University Relations and Marketing</t>
  </si>
  <si>
    <t>Veterinary Medicine</t>
  </si>
  <si>
    <t>Estimates of appropriate overhead rates and allocations for functions and fund sources:</t>
  </si>
  <si>
    <t>OSU</t>
  </si>
  <si>
    <t>Averge rates for major administrative support pools:</t>
  </si>
  <si>
    <t>Administrative Support Pools</t>
  </si>
  <si>
    <t>Functional Unit</t>
  </si>
  <si>
    <t>Base Pool</t>
  </si>
  <si>
    <t>Avg %</t>
  </si>
  <si>
    <t>Academic and Executive Leadership</t>
  </si>
  <si>
    <t>President's Office</t>
  </si>
  <si>
    <t>President</t>
  </si>
  <si>
    <t>All funds</t>
  </si>
  <si>
    <t>Govt Relations</t>
  </si>
  <si>
    <t>Univ. Relations</t>
  </si>
  <si>
    <t>Equity &amp; Inclusion</t>
  </si>
  <si>
    <t>Provost's Office</t>
  </si>
  <si>
    <t>Provost</t>
  </si>
  <si>
    <t>E&amp;G, SWPS, Roy., DesOps, Grant, Gift</t>
  </si>
  <si>
    <t>Provost Passthrough</t>
  </si>
  <si>
    <t>E&amp;G</t>
  </si>
  <si>
    <t>Athletics</t>
  </si>
  <si>
    <t>Academic Affairs</t>
  </si>
  <si>
    <t>Academic Success</t>
  </si>
  <si>
    <t>Faculty Development</t>
  </si>
  <si>
    <t>Academic Programs</t>
  </si>
  <si>
    <t>ROTC</t>
  </si>
  <si>
    <t>Inst. Research</t>
  </si>
  <si>
    <t>E&amp;G, SWPS</t>
  </si>
  <si>
    <t>Enterprise Computing</t>
  </si>
  <si>
    <t>Network Svcs</t>
  </si>
  <si>
    <t>Open Source Lab</t>
  </si>
  <si>
    <t>Outreach and Media</t>
  </si>
  <si>
    <t>Tech. Support Svcs</t>
  </si>
  <si>
    <t>Library</t>
  </si>
  <si>
    <t>E&amp;G, SWPS, Grant, Roy.</t>
  </si>
  <si>
    <t>Graduate Program Support</t>
  </si>
  <si>
    <t>E&amp;G, SWPS, Grant</t>
  </si>
  <si>
    <t>Outreach &amp; Engagement</t>
  </si>
  <si>
    <t>E-Campus</t>
  </si>
  <si>
    <t>Extension Service</t>
  </si>
  <si>
    <t>Prof &amp; Continuing Ed</t>
  </si>
  <si>
    <t>Summer Session</t>
  </si>
  <si>
    <t xml:space="preserve">Research </t>
  </si>
  <si>
    <t>Research Office</t>
  </si>
  <si>
    <t>Research Admin</t>
  </si>
  <si>
    <t>E&amp;G, SWPS, Grant, Gift, Roy.</t>
  </si>
  <si>
    <t>Student Services</t>
  </si>
  <si>
    <t>Enrollment Mgmt.</t>
  </si>
  <si>
    <t>Student Life</t>
  </si>
  <si>
    <t>Student Auxiliaries</t>
  </si>
  <si>
    <t>International Programs</t>
  </si>
  <si>
    <t>Int'l Programs</t>
  </si>
  <si>
    <t>Int'l Degree&amp;Ed Abroad</t>
  </si>
  <si>
    <t>Int'l Stud Advising &amp; Svcs</t>
  </si>
  <si>
    <t>Int'l Scholar&amp;Faculty Svcs</t>
  </si>
  <si>
    <t>Business Operations</t>
  </si>
  <si>
    <t>Admin Services</t>
  </si>
  <si>
    <t>Business Centers</t>
  </si>
  <si>
    <t>Business Affairs</t>
  </si>
  <si>
    <t>Cashier</t>
  </si>
  <si>
    <t>ID Center</t>
  </si>
  <si>
    <t>Payroll</t>
  </si>
  <si>
    <t>Accounting</t>
  </si>
  <si>
    <t>Student Finance</t>
  </si>
  <si>
    <t>OPAA</t>
  </si>
  <si>
    <t>Budget and Fiscal</t>
  </si>
  <si>
    <t>Human Resources</t>
  </si>
  <si>
    <t>Conference Svcs</t>
  </si>
  <si>
    <t>Public Safety</t>
  </si>
  <si>
    <t>Campus Operations</t>
  </si>
  <si>
    <t>Business Services</t>
  </si>
  <si>
    <t>E&amp;G, SWPS, Desi Ops, Grant, Gift, Roy.</t>
  </si>
  <si>
    <t>Energy Operations</t>
  </si>
  <si>
    <t>Energy</t>
  </si>
  <si>
    <t>Institutional Mgmt</t>
  </si>
  <si>
    <t>Pools, Reserves, etc.</t>
  </si>
  <si>
    <t>BUC</t>
  </si>
  <si>
    <t>Grant funds</t>
  </si>
  <si>
    <t>RERF</t>
  </si>
  <si>
    <t>Centers&amp;Institutes</t>
  </si>
  <si>
    <t>BUC and RERF taken off the top of F&amp;A Recovery</t>
  </si>
  <si>
    <t>Applied to Targeted Funds</t>
  </si>
  <si>
    <t>Research</t>
  </si>
  <si>
    <t>Business Affairs, F&amp;A</t>
  </si>
  <si>
    <t>All service credits to Foundation?</t>
  </si>
  <si>
    <t>Ecampus SCH</t>
  </si>
  <si>
    <t>Total SCH:</t>
  </si>
  <si>
    <t>UD Service SCH</t>
  </si>
  <si>
    <t>Grad Service SCH</t>
  </si>
  <si>
    <t>TOTAL</t>
  </si>
  <si>
    <t>Contractual Costs</t>
  </si>
  <si>
    <t>Reserve for Ecampus Tuition Settle-up</t>
  </si>
  <si>
    <t>ZARN18</t>
  </si>
  <si>
    <t>Reserve for Summer Tuition Settle-up</t>
  </si>
  <si>
    <t>ZARN13</t>
  </si>
  <si>
    <t>F&amp;A Recovery contrib (formerly to OUS)</t>
  </si>
  <si>
    <t>Contingency/Uncommitted funds</t>
  </si>
  <si>
    <t>Risk premiums increase</t>
  </si>
  <si>
    <t>Pools to distribute to Academic Units</t>
  </si>
  <si>
    <t>ROH Settleup</t>
  </si>
  <si>
    <t>Faculty positions to distribute</t>
  </si>
  <si>
    <t>Graduate Cost Reserves</t>
  </si>
  <si>
    <t>Salary and benefit pools to distribute</t>
  </si>
  <si>
    <t xml:space="preserve">Salary Raise  Reserve Pools </t>
  </si>
  <si>
    <t xml:space="preserve">Grad Tui &amp; Fee Remission Reserve </t>
  </si>
  <si>
    <t>Classified insurance subsidy</t>
  </si>
  <si>
    <t>Strategic Allocations</t>
  </si>
  <si>
    <t>Faculty Tenure/Tenure Track positions - FY16</t>
  </si>
  <si>
    <t>Additional support</t>
  </si>
  <si>
    <t>Total IM</t>
  </si>
  <si>
    <t>FY16</t>
  </si>
  <si>
    <t>Draft - v1</t>
  </si>
  <si>
    <t>Public University Support Fund</t>
  </si>
  <si>
    <t>Cell Funding Graduate &amp; Undergraduate</t>
  </si>
  <si>
    <t>Outcomes Funding Allocation</t>
  </si>
  <si>
    <t>SCH Funding Allocation</t>
  </si>
  <si>
    <t>Stop Loss/Stop gain</t>
  </si>
  <si>
    <t>Mission  Differentiation Funds</t>
  </si>
  <si>
    <t>Research Support</t>
  </si>
  <si>
    <t>Mission Support</t>
  </si>
  <si>
    <t>Pharmacy Differential</t>
  </si>
  <si>
    <t>Vet Med Differential</t>
  </si>
  <si>
    <t>SWPS Bldg Maintenance</t>
  </si>
  <si>
    <t>Engineering Graduate Support</t>
  </si>
  <si>
    <t>Systemwide Expenses/Programs:</t>
  </si>
  <si>
    <t>Subtotal Public University Support Fund</t>
  </si>
  <si>
    <t>State Programs Funding</t>
  </si>
  <si>
    <t>Engineering - ETIC</t>
  </si>
  <si>
    <t>Signature Research Centers</t>
  </si>
  <si>
    <t>Subtotal Res Undergraduate</t>
  </si>
  <si>
    <t>Subtotal NR Undergraduate</t>
  </si>
  <si>
    <t>Subtotal Res Graduate</t>
  </si>
  <si>
    <t>Subtotal NR Graduate</t>
  </si>
  <si>
    <t>OSU-UO Center for Advanced Wood Products</t>
  </si>
  <si>
    <t>Subtotal VetMed</t>
  </si>
  <si>
    <t>Subtotal Pharmacy</t>
  </si>
  <si>
    <t>Subtotal Miscellaneous</t>
  </si>
  <si>
    <t>Ecampus tuition</t>
  </si>
  <si>
    <t>Subtotal State Program &amp; Other Funding</t>
  </si>
  <si>
    <t>Ecampus fee (approx)</t>
  </si>
  <si>
    <t>Waivers*</t>
  </si>
  <si>
    <t>Total Net Tuition</t>
  </si>
  <si>
    <t>F&amp;A Rate Recovery/Returned Overhead</t>
  </si>
  <si>
    <t xml:space="preserve">    Undergraduate Studies</t>
  </si>
  <si>
    <t xml:space="preserve">    Facilities Services O&amp;M</t>
  </si>
  <si>
    <t xml:space="preserve">    Risk Management</t>
  </si>
  <si>
    <t xml:space="preserve">    Capital Planning &amp; Development</t>
  </si>
  <si>
    <t xml:space="preserve">    International Programs </t>
  </si>
  <si>
    <t>Interdisciplinary Graduate Programs</t>
  </si>
  <si>
    <t xml:space="preserve">    Graduate School Administration</t>
  </si>
  <si>
    <t>Tuition settleups (Ecampus, Summer,differential, INTO)</t>
  </si>
  <si>
    <t>Salary and Benefit Pools</t>
  </si>
  <si>
    <t>Initital redistributions to units</t>
  </si>
  <si>
    <t>Contingency and strategic funds</t>
  </si>
  <si>
    <t>TRF-to IS to manage</t>
  </si>
  <si>
    <t>SWPS Salaries</t>
  </si>
  <si>
    <t>Central Pools</t>
  </si>
  <si>
    <t>Unit Increments</t>
  </si>
  <si>
    <t>Contingency and reserve funds</t>
  </si>
  <si>
    <t>Contractual, debt, other costs</t>
  </si>
  <si>
    <t>1.5% of undergraduate &amp; Ecampus  tuition revenue</t>
  </si>
  <si>
    <t>Strategic/Policy Distributions (reserves for non-recurring commitments):</t>
  </si>
  <si>
    <t>Strategic allocations</t>
  </si>
  <si>
    <t>Total Institutional Management Pools and Reserves:</t>
  </si>
  <si>
    <t>Reserves to be distributed to Academic Units</t>
  </si>
  <si>
    <t>Academic reserve funds (tuition, ROH, etc.)</t>
  </si>
  <si>
    <t>Salary and Benefit Pools to be distributed</t>
  </si>
  <si>
    <t>Distributed to Units from Original IM:</t>
  </si>
  <si>
    <t>Total Original IM :</t>
  </si>
  <si>
    <t>Adjusted Initial</t>
  </si>
  <si>
    <t>Initial IM</t>
  </si>
  <si>
    <t>Contingency and Reserve Funds</t>
  </si>
  <si>
    <t xml:space="preserve">Enrollment Projection Reserve Pool </t>
  </si>
  <si>
    <t>Pools For Academic Unit Distribution</t>
  </si>
  <si>
    <t>Pools for Salary and Benefit Increases</t>
  </si>
  <si>
    <t>Contractual obligations</t>
  </si>
  <si>
    <t>Undergraduate Studies</t>
  </si>
  <si>
    <t xml:space="preserve">    Graduate SchoolAdministration</t>
  </si>
  <si>
    <t>Capital Planning and Development</t>
  </si>
  <si>
    <t>Contingency Funds or Strategic Funds</t>
  </si>
  <si>
    <t>Amount</t>
  </si>
  <si>
    <t>Eastern Promise Replication Grant</t>
  </si>
  <si>
    <t>Diversity</t>
  </si>
  <si>
    <t>Wheat Commission</t>
  </si>
  <si>
    <t>Promise Program</t>
  </si>
  <si>
    <t>University Days</t>
  </si>
  <si>
    <t>Incremental commitments</t>
  </si>
  <si>
    <t>Budget Change</t>
  </si>
  <si>
    <t xml:space="preserve">    Provost - Pass-through*</t>
  </si>
  <si>
    <t>FY08 Salary and S&amp;S Increase, technical adjustment</t>
  </si>
  <si>
    <t>FY09 Budget for Commencement</t>
  </si>
  <si>
    <t>FY07 base, Faculty Senate, Provost's Awards, Others</t>
  </si>
  <si>
    <t>FY10 Budget Reduction</t>
  </si>
  <si>
    <t>FY11 Faculty Athletics Representative</t>
  </si>
  <si>
    <t>FY12 Budget Adjustment to Provost Base</t>
  </si>
  <si>
    <t>FY13 Salary adjustment of 26,600, Dual career support of $300,000, $500,000 for various commitments</t>
  </si>
  <si>
    <t>FY14 1% Holdback</t>
  </si>
  <si>
    <t>FY15 Compliance Office $180,000, 2477 classified salary, Provost Faculty Development Funding $50,000</t>
  </si>
  <si>
    <t>FY16 Increased support for Commencement</t>
  </si>
  <si>
    <t>Ocean Vessels Research, OCCRI, 37% of Shellfish/Mollusca Funding</t>
  </si>
  <si>
    <t>Pharmacy tuition support (former high RAM addition)</t>
  </si>
  <si>
    <t>Vet Med tuition support (former high RAM addition),Vet Diagnostic Lab</t>
  </si>
  <si>
    <t>Support for ORBIS participation</t>
  </si>
  <si>
    <t>The detailed calculations on differential tuition are available in a separate worksheet</t>
  </si>
  <si>
    <t>Remaining pooled tuition and public university support fund dollars after Steps 1 through 3:</t>
  </si>
  <si>
    <t>Portion of funds to Academic Productivity:</t>
  </si>
  <si>
    <t>Portions of funds to Service and Support Allocations:</t>
  </si>
  <si>
    <t>E&amp;G Assignable Sq. Ft.</t>
  </si>
  <si>
    <t>Graduate student headcount</t>
  </si>
  <si>
    <t>Student headcount</t>
  </si>
  <si>
    <t>Employee headcount</t>
  </si>
  <si>
    <t>Undergraduate student headcount</t>
  </si>
  <si>
    <t>Total expenditures</t>
  </si>
  <si>
    <t>From buildings tab needs data validation</t>
  </si>
  <si>
    <t>CORE ENM0301 4th week final counts</t>
  </si>
  <si>
    <t>Grant Expenditures</t>
  </si>
  <si>
    <t>Cascades</t>
  </si>
  <si>
    <t>99 - Unknown</t>
  </si>
  <si>
    <t xml:space="preserve">CORE HRS1258 November </t>
  </si>
  <si>
    <t>Total tenure and tenure track headcount</t>
  </si>
  <si>
    <t>Annual report budget office</t>
  </si>
  <si>
    <t>E&amp;G expenditures (1000s)</t>
  </si>
  <si>
    <t>Total expenditures (1000s)</t>
  </si>
  <si>
    <t>SWPS expenditures (1000s)</t>
  </si>
  <si>
    <t>Research expenditures (1000s)</t>
  </si>
  <si>
    <t>Intl Students (include INTO)</t>
  </si>
  <si>
    <t>International programs annual report</t>
  </si>
  <si>
    <t>Students+10*Tenure rank</t>
  </si>
  <si>
    <t>Undergraduate students</t>
  </si>
  <si>
    <t>Balance</t>
  </si>
  <si>
    <t>FY16 Allocation</t>
  </si>
  <si>
    <t>Ecampus Credit Hours</t>
  </si>
  <si>
    <t>Actual Model  funds to Service and Support Allocations:</t>
  </si>
  <si>
    <t>Total F&amp;A Recovery</t>
  </si>
  <si>
    <t>Research Activity Allocation:</t>
  </si>
  <si>
    <t>Pool:</t>
  </si>
  <si>
    <t>13-14-15</t>
  </si>
  <si>
    <t>Grant Expenditure Weight:</t>
  </si>
  <si>
    <t>Total F&amp;A Recovery Weight:</t>
  </si>
  <si>
    <t>DATA</t>
  </si>
  <si>
    <t>Service Credit Hour summaries for Academic Units:</t>
  </si>
  <si>
    <t>YES</t>
  </si>
  <si>
    <t>Include PAC SCH?</t>
  </si>
  <si>
    <t>LD Weight</t>
  </si>
  <si>
    <t>UD Weight</t>
  </si>
  <si>
    <t>Grad Weight</t>
  </si>
  <si>
    <t>2013</t>
  </si>
  <si>
    <t>2014</t>
  </si>
  <si>
    <t>2015</t>
  </si>
  <si>
    <t>2016</t>
  </si>
  <si>
    <t>PAC Hours</t>
  </si>
  <si>
    <t>Academic Year,all sites except Ecampus,  Lower Division, taught to majors</t>
  </si>
  <si>
    <t>Agricultural Sciences</t>
  </si>
  <si>
    <t>Public Health and Human Sciences</t>
  </si>
  <si>
    <t>Earth, Ocean, and Atmospheric Sciences</t>
  </si>
  <si>
    <t>Defense Education</t>
  </si>
  <si>
    <t>Interdisciplinary Programs (or international)</t>
  </si>
  <si>
    <t>Honors College</t>
  </si>
  <si>
    <t>Academic Learning Services (UESP)</t>
  </si>
  <si>
    <t>Overseas Study</t>
  </si>
  <si>
    <t>Academic Year,all sites except Ecampus,  Lower Division, taught to non-majors</t>
  </si>
  <si>
    <t>Academic Year,all sites except Ecampus,  Upper Division, taught to majors</t>
  </si>
  <si>
    <t>Academic Year,all sites except Ecampus,  Upper Division, taught to non-majors</t>
  </si>
  <si>
    <t>Upper division total</t>
  </si>
  <si>
    <t>Checksum</t>
  </si>
  <si>
    <t>Academic Year,all sites except Ecampus,  Honors College SCH level 04</t>
  </si>
  <si>
    <t>Academic Year,all sites except Ecampus,  Graduate and Professional, taught to majors</t>
  </si>
  <si>
    <t>Academic Year,all sites except Ecampus,  Graduate and Professional, taught to non-majors</t>
  </si>
  <si>
    <t>Grad division total</t>
  </si>
  <si>
    <t>Projected 2016</t>
  </si>
  <si>
    <t>Total Attempted</t>
  </si>
  <si>
    <t>FY16 LD Foundation</t>
  </si>
  <si>
    <t>FY16 UD Foundation</t>
  </si>
  <si>
    <t>FY16 Grad Foundation</t>
  </si>
  <si>
    <t>Three-year total SCH</t>
  </si>
  <si>
    <t>RAW SCH DATA:</t>
  </si>
  <si>
    <t>Weighted Three-year Aggregate SCH</t>
  </si>
  <si>
    <t xml:space="preserve">PAC </t>
  </si>
  <si>
    <t>Share of Foundation Credit Hour Support Pool</t>
  </si>
  <si>
    <t>FY16  Foundations</t>
  </si>
  <si>
    <t>ALS</t>
  </si>
  <si>
    <t>ID Programs</t>
  </si>
  <si>
    <t>Dollars in Degree Foundation Pool:</t>
  </si>
  <si>
    <t>Honors College Academic Year Credit Hours by Course Designator Home College</t>
  </si>
  <si>
    <t>2016 Projected</t>
  </si>
  <si>
    <t>avg</t>
  </si>
  <si>
    <t>For trend analysis</t>
  </si>
  <si>
    <t>Honors College Credit Hour summaries for Academic Units:</t>
  </si>
  <si>
    <t>Dollars in Undergraduate Completions Pool:</t>
  </si>
  <si>
    <t>% to Degrees</t>
  </si>
  <si>
    <t>% to UD SCH</t>
  </si>
  <si>
    <t>Degrees Awarded Total Summer, Fall, Winter, Spring</t>
  </si>
  <si>
    <t>Projection</t>
  </si>
  <si>
    <t>2014-15</t>
  </si>
  <si>
    <t>2015-16</t>
  </si>
  <si>
    <t>Bachelors</t>
  </si>
  <si>
    <t>Equivalent degrees from minors (divided by 5 for years, divided by 5 for effort)</t>
  </si>
  <si>
    <t>College Average Discipline Weights</t>
  </si>
  <si>
    <t>Weights  used within pools for:</t>
  </si>
  <si>
    <t>Capped Undergrad Degrees &amp; SCH</t>
  </si>
  <si>
    <t>FY16 Weighted UD SCH</t>
  </si>
  <si>
    <t>Share of Undergraduate Completion Degree Pool</t>
  </si>
  <si>
    <t>Share of Undergraduate Degree Completion Credit Hour Support Pool</t>
  </si>
  <si>
    <t>Degree Share</t>
  </si>
  <si>
    <t>SCH Share</t>
  </si>
  <si>
    <t>Dollar Allocation</t>
  </si>
  <si>
    <t>Share weight by Degree/SCH Split</t>
  </si>
  <si>
    <t>Undergraduate Degree Completion Allocation summaries for Academic Units:</t>
  </si>
  <si>
    <t>Graduate Degree Completion Allocation summaries for Academic Units:</t>
  </si>
  <si>
    <t>% to Grad SCH</t>
  </si>
  <si>
    <t>Certificates and credentials awarded --use a factor of 5 to convert to degrees</t>
  </si>
  <si>
    <t>GRAD 1 Weights</t>
  </si>
  <si>
    <t>GRAD 2 Weights</t>
  </si>
  <si>
    <t>Doctorate Degrees</t>
  </si>
  <si>
    <t>Masters and Professional Degrees</t>
  </si>
  <si>
    <t>Weighted Doctorate Degrees</t>
  </si>
  <si>
    <t>Weighted MS/Professional Degrees</t>
  </si>
  <si>
    <t>Certificates/credentials awarded</t>
  </si>
  <si>
    <t>Graduate/Professional Credit Hours</t>
  </si>
  <si>
    <t>FY15 Weighted Degrees</t>
  </si>
  <si>
    <t>Share of Weighted Degrees with certificates</t>
  </si>
  <si>
    <t>Share of Weighted Graduate/Professional Credit Hours</t>
  </si>
  <si>
    <t>Summer, LowerDivision, All sites except Ecampus</t>
  </si>
  <si>
    <t>Summer, Upper Division, All sites except Ecampus</t>
  </si>
  <si>
    <t>Summer, Graduate and Professional, All sites except Ecampus</t>
  </si>
  <si>
    <t>PAC Summer Hours</t>
  </si>
  <si>
    <t xml:space="preserve"> Weights</t>
  </si>
  <si>
    <t>Gross</t>
  </si>
  <si>
    <t>Net</t>
  </si>
  <si>
    <t>Ecampus  credit hour allocation (summer and academic year)</t>
  </si>
  <si>
    <t>Ecampus undergraduate tuition per credit:</t>
  </si>
  <si>
    <t>Ecampus  Graduate tuition per credit:</t>
  </si>
  <si>
    <t>Ecampus, Academic and Summer, Lower Division, taught to distance, Cascades, EOU students</t>
  </si>
  <si>
    <t>Ecampus, Academic and Summer, Upper Division, taught to Corvallis students</t>
  </si>
  <si>
    <t>Ecampus, Academic and Summer, Upper division, taught to distance, Cascades, EOU students</t>
  </si>
  <si>
    <t>Ecampus, Academic and Summer, Graduate and Professional, taught to Corvallis students</t>
  </si>
  <si>
    <t>Ecampus, Academic and Summer, Graduate and Professional, taught to distance, Cascades, EOU students</t>
  </si>
  <si>
    <t>Ecampus to on campus students included in Foundations?</t>
  </si>
  <si>
    <t>% toSCH</t>
  </si>
  <si>
    <t>PAC Ecampus Hours</t>
  </si>
  <si>
    <t>Ecampus, Academic and Summer, Lower Division, taught to  Corvallis students</t>
  </si>
  <si>
    <t>Strategic Populations Allocation Pool</t>
  </si>
  <si>
    <t>Degrees Awarded</t>
  </si>
  <si>
    <t>Degrees to International Students</t>
  </si>
  <si>
    <t>Degrees to Underrepresented Minority Students</t>
  </si>
  <si>
    <t>Degrees to Pell Recipients</t>
  </si>
  <si>
    <t xml:space="preserve">BS Degrees to High Achieving Students (as defined by freshman entrance) </t>
  </si>
  <si>
    <t>Degrees  2012-13</t>
  </si>
  <si>
    <t>Degrees  2013-14</t>
  </si>
  <si>
    <t>Degrees  2014-15</t>
  </si>
  <si>
    <t>Degrees  2015-16</t>
  </si>
  <si>
    <t>MAIS</t>
  </si>
  <si>
    <t>MS</t>
  </si>
  <si>
    <t>Applied Economics</t>
  </si>
  <si>
    <t>MCB</t>
  </si>
  <si>
    <t>Water Resource Engineering</t>
  </si>
  <si>
    <t>Environmental Sciences</t>
  </si>
  <si>
    <t>Water Resource Policy &amp; Mgt</t>
  </si>
  <si>
    <t>Water Resources Science</t>
  </si>
  <si>
    <t>Ph.D.</t>
  </si>
  <si>
    <t>Economics</t>
  </si>
  <si>
    <t>PSM</t>
  </si>
  <si>
    <t>Applied Biotechnology</t>
  </si>
  <si>
    <t>Certificate</t>
  </si>
  <si>
    <t>College and Univ Teaching</t>
  </si>
  <si>
    <t>MA</t>
  </si>
  <si>
    <t>Total Masters</t>
  </si>
  <si>
    <t>Total Doctorate</t>
  </si>
  <si>
    <t>Interdisciplinary Graduate Degrees:</t>
  </si>
  <si>
    <t>Additional Weighting:</t>
  </si>
  <si>
    <t>Proportion to college of major professor:</t>
  </si>
  <si>
    <t>Proportion to interdisciplinary program:</t>
  </si>
  <si>
    <t>Grad Schl</t>
  </si>
  <si>
    <t>Agriculture</t>
  </si>
  <si>
    <t>Total Certificate</t>
  </si>
  <si>
    <t>move to CAS</t>
  </si>
  <si>
    <t>Degrees by Program</t>
  </si>
  <si>
    <t>Degree Weights</t>
  </si>
  <si>
    <t>Degrees by Home of Major Professor---FY13, FY14, FY15</t>
  </si>
  <si>
    <t>Interdisciplinary Weight to College</t>
  </si>
  <si>
    <t>FY16 Weighted Degrees</t>
  </si>
  <si>
    <t>Total MastersApplied Economics</t>
  </si>
  <si>
    <t>Total Doctorate Applied Economics</t>
  </si>
  <si>
    <t>The distribution of degrees to colleges by major professor is AN ESTIMATE AND NOT THE FINAL DISTRIBUTION, PENDING DATA FROM THE GRADUATE SCHOOL</t>
  </si>
  <si>
    <t>Dollars in Strategic Populations  Pool:</t>
  </si>
  <si>
    <t>Weights for Strategic Populations:</t>
  </si>
  <si>
    <t>Degrees to High-Achieving Students</t>
  </si>
  <si>
    <t>For TREND function</t>
  </si>
  <si>
    <t>Total Weighted Degrees to Strategic Populations</t>
  </si>
  <si>
    <t>Share of Weighted Degrees</t>
  </si>
  <si>
    <t>FY2016 Education &amp; General Initial Budget ---  FY2015 Education &amp; General Initial Budget ---Hybrid Model Development</t>
  </si>
  <si>
    <t>Degree Foundations plus Honors</t>
  </si>
  <si>
    <t xml:space="preserve">Undergrad Completions </t>
  </si>
  <si>
    <t>Alternative Delivery (Ecampus plus Summer)</t>
  </si>
  <si>
    <t>Strategic Populations and Cascades</t>
  </si>
  <si>
    <t>New Grant Awards by Index</t>
  </si>
  <si>
    <t>Total New Grant Awards:</t>
  </si>
  <si>
    <t>the Research Allocation is copied directly to the table at the left;</t>
  </si>
  <si>
    <t>Cascades Incentive Allocation (credit hours taught at Cascades campus)</t>
  </si>
  <si>
    <t>Dollars in Cascades Pool:</t>
  </si>
  <si>
    <t>Academic Year Credit hours, all levels, taught at Cascades</t>
  </si>
  <si>
    <t>2015-16 Projected</t>
  </si>
  <si>
    <t>Share of Cascades Pool</t>
  </si>
  <si>
    <t>Academic Delivery</t>
  </si>
  <si>
    <t>Graduate Completions (remission piece)</t>
  </si>
  <si>
    <t>Graduate Completions (Balance after remissions)</t>
  </si>
  <si>
    <t>Extended Campus</t>
  </si>
  <si>
    <t>Total SCH</t>
  </si>
  <si>
    <t>Average 13-14-15</t>
  </si>
  <si>
    <t>Average 14-15-16</t>
  </si>
  <si>
    <t>Ecampus and Summer</t>
  </si>
  <si>
    <t>Undergraduate Resident</t>
  </si>
  <si>
    <t>Undergraduate Non-resident</t>
  </si>
  <si>
    <t>Percentage</t>
  </si>
  <si>
    <t>Retention fund</t>
  </si>
  <si>
    <t xml:space="preserve">Contractual obligations </t>
  </si>
  <si>
    <t>Net Dedicated Purpose Funds</t>
  </si>
  <si>
    <t>Remaining E&amp;G for Distribution</t>
  </si>
  <si>
    <t>Raise Pools for Distribution to Units</t>
  </si>
  <si>
    <t xml:space="preserve">Settle-up Pools to Distribute to Academic Units </t>
  </si>
  <si>
    <t>Executive Funding</t>
  </si>
  <si>
    <t>FY16 Model</t>
  </si>
  <si>
    <t>FY16 Adjusted Actual</t>
  </si>
  <si>
    <t xml:space="preserve">Graphing: </t>
  </si>
  <si>
    <t>Ecampus academic support operations</t>
  </si>
  <si>
    <t>(weight for strategic areas:)</t>
  </si>
  <si>
    <t>Degrees to International Students.</t>
  </si>
  <si>
    <t>Degrees to High Achieving Students</t>
  </si>
  <si>
    <t>Degrees to URM Students:</t>
  </si>
  <si>
    <t>Cascades Participation by SCH</t>
  </si>
  <si>
    <t>LD Biology SCH Taught byOther Units</t>
  </si>
  <si>
    <t>Total F&amp;A Recovery Dollars</t>
  </si>
  <si>
    <t>Difference: Model minus Actual</t>
  </si>
  <si>
    <t>Does this equal the right total?</t>
  </si>
  <si>
    <t>Oregon Resident Students</t>
  </si>
  <si>
    <t>Resident OR students</t>
  </si>
  <si>
    <r>
      <t xml:space="preserve">NOTE:  This is for </t>
    </r>
    <r>
      <rPr>
        <b/>
        <sz val="24"/>
        <rFont val="Calibri"/>
        <scheme val="minor"/>
      </rPr>
      <t>ILLUSTRATION ONLY</t>
    </r>
    <r>
      <rPr>
        <sz val="24"/>
        <rFont val="Calibri"/>
        <scheme val="minor"/>
      </rPr>
      <t xml:space="preserve"> at this point.  The data is</t>
    </r>
    <r>
      <rPr>
        <b/>
        <sz val="24"/>
        <rFont val="Calibri"/>
        <scheme val="minor"/>
      </rPr>
      <t xml:space="preserve"> NOT THE ACTUAL</t>
    </r>
    <r>
      <rPr>
        <sz val="24"/>
        <rFont val="Calibri"/>
        <scheme val="minor"/>
      </rPr>
      <t xml:space="preserve"> data.</t>
    </r>
  </si>
  <si>
    <t>Per square foot delta assessment:</t>
  </si>
  <si>
    <t>This is included so there can be discussion on how to build a space management incentive into the budget model</t>
  </si>
  <si>
    <t>OFFICE/RELATED</t>
  </si>
  <si>
    <t>CLASSLB/RELATED</t>
  </si>
  <si>
    <t>RESLAB/RELATED</t>
  </si>
  <si>
    <t>ACTUAL</t>
  </si>
  <si>
    <t>ALLOW</t>
  </si>
  <si>
    <t>% (+/-)</t>
  </si>
  <si>
    <t>Other Space</t>
  </si>
  <si>
    <t>GRAND Total</t>
  </si>
  <si>
    <t>Space Delta (sq. ft.)</t>
  </si>
  <si>
    <t>Assessment</t>
  </si>
  <si>
    <t>School /Department</t>
  </si>
  <si>
    <t xml:space="preserve">  Actual</t>
  </si>
  <si>
    <t xml:space="preserve">  Allow</t>
  </si>
  <si>
    <t xml:space="preserve"> Actual</t>
  </si>
  <si>
    <t>Allow(1)</t>
  </si>
  <si>
    <t>Actual</t>
  </si>
  <si>
    <t>Allow</t>
  </si>
  <si>
    <t>Storage</t>
  </si>
  <si>
    <t xml:space="preserve">COLLEGE OF AGRICULTURAL SCIENCES </t>
  </si>
  <si>
    <t>TOTAL CAS</t>
  </si>
  <si>
    <t xml:space="preserve">COLLEGE OF BUSINESS </t>
  </si>
  <si>
    <t>TOTAL COB</t>
  </si>
  <si>
    <t>COLLEGE OF EDUCATION (SPACE AUDIT PENDING - HC NOT VERIFIED- TO BE UPDATED WITH NEW BUILDING)</t>
  </si>
  <si>
    <t>COLLEGE OF COED</t>
  </si>
  <si>
    <t>COLLEGE OF ENGINEERING (SPACE AUDIT IN PROCESS )</t>
  </si>
  <si>
    <t>TOTAL COE</t>
  </si>
  <si>
    <t>COLLEGE OF FORESTRY (SPACE AUDIT PENDING)</t>
  </si>
  <si>
    <t>TOTAL COF</t>
  </si>
  <si>
    <t>COLLEGE OF PUBLIC HEALTH &amp; HUMAN SCIENCES (EXCLUDING TEAM OREGON)</t>
  </si>
  <si>
    <t>TOTAL CPHHS</t>
  </si>
  <si>
    <t xml:space="preserve">COLLEGE OF LIBERAL ARTS </t>
  </si>
  <si>
    <t>TOTAL CLA</t>
  </si>
  <si>
    <t>COLLEGE OF OCEANIC &amp; ATMOSPHERIC SCIENCES (SPACE AUDIT PENDING )</t>
  </si>
  <si>
    <t>TOTAL CEOAS</t>
  </si>
  <si>
    <t xml:space="preserve">COLLEGE OF PHARMACY </t>
  </si>
  <si>
    <t>TOTAL COP</t>
  </si>
  <si>
    <t xml:space="preserve">COLLEGE OF SCIENCE (COS) </t>
  </si>
  <si>
    <t>TOTAL COS</t>
  </si>
  <si>
    <t>COLLEGE OF VETERINARY MEDICINE (SPACE AUDIT PENDING )</t>
  </si>
  <si>
    <t>TOTAL CVM</t>
  </si>
  <si>
    <t>GRAND TOTAL ALL ACADEMIC SPACE</t>
  </si>
  <si>
    <t>Notes:</t>
  </si>
  <si>
    <t>The specific assigned vs. allowable space reports above were compared with current space standards as approved by USC.</t>
  </si>
  <si>
    <t>This is a working draft and status of verifications are included in each unit's heading.</t>
  </si>
  <si>
    <t>Space Assessment Calculation</t>
  </si>
  <si>
    <t>OFF</t>
  </si>
  <si>
    <t>FY16 Assessment</t>
  </si>
  <si>
    <t>Pools to Distribute to Units</t>
  </si>
  <si>
    <t>Reserves, Contingency, Strategic</t>
  </si>
  <si>
    <t>Community Support Fund</t>
  </si>
  <si>
    <t>Strategic Funds:</t>
  </si>
  <si>
    <t>Community Support:</t>
  </si>
  <si>
    <t>Executive and Community Support FundingFunding</t>
  </si>
  <si>
    <t>OSU strategic  funding</t>
  </si>
  <si>
    <t>Executive and Community Support Funding</t>
  </si>
  <si>
    <t>Overhead Rate:</t>
  </si>
  <si>
    <t>Strategic Investment Funds</t>
  </si>
  <si>
    <t>Community Support Funds</t>
  </si>
  <si>
    <t>On Campus Program Differentials:</t>
  </si>
  <si>
    <t>Ecampus Differentials:</t>
  </si>
  <si>
    <t>Alternate Delivery Graduate Pool:</t>
  </si>
  <si>
    <t>Total Weighted Alternate Delivery Undergraduate Credit Hours</t>
  </si>
  <si>
    <t>Total Weighted Alternate Delivery Graduate Credit Hours</t>
  </si>
  <si>
    <t>Ecampus and Summer Undergraduate</t>
  </si>
  <si>
    <t>Ecampus and Summer Graduate</t>
  </si>
  <si>
    <t>Dollar Allocation Undergraduate</t>
  </si>
  <si>
    <t>Dollar Allocation Graduate</t>
  </si>
  <si>
    <t xml:space="preserve">    University Business Centers    </t>
  </si>
  <si>
    <t>Budgeted in Executive and Strategic</t>
  </si>
  <si>
    <t>International Participants</t>
  </si>
  <si>
    <t>Metric Number</t>
  </si>
  <si>
    <t>Additional weight for PH.D over Masters:</t>
  </si>
  <si>
    <t>DVM PharmD</t>
  </si>
  <si>
    <t>Discipline weights for degrees and credit hours ratioed to upper division social science</t>
  </si>
  <si>
    <t>All</t>
  </si>
  <si>
    <t>All Ratioed to Lower Division</t>
  </si>
  <si>
    <t>100% Degree Share</t>
  </si>
  <si>
    <t>To Base</t>
  </si>
  <si>
    <t>Annual to</t>
  </si>
  <si>
    <t>OSU Strategic</t>
  </si>
  <si>
    <t>Recurring</t>
  </si>
  <si>
    <t xml:space="preserve">Differential </t>
  </si>
  <si>
    <t>Column</t>
  </si>
  <si>
    <t>OSU Targeted Distribution</t>
  </si>
  <si>
    <t>Capital Renewal and Depreciation Funds</t>
  </si>
  <si>
    <t>Overhead Rate</t>
  </si>
  <si>
    <t>Weighted</t>
  </si>
  <si>
    <t>Raw</t>
  </si>
  <si>
    <t>LD Foundation SCH</t>
  </si>
  <si>
    <t>UD Foundation SCH</t>
  </si>
  <si>
    <t>Grad Foundation SCH</t>
  </si>
  <si>
    <t>Undergraduate Degrees</t>
  </si>
  <si>
    <t>Graduate Degrees</t>
  </si>
  <si>
    <t>Undergraduate Ecampus tuition and fee</t>
  </si>
  <si>
    <t>Graduate Ecampus tuition and fee</t>
  </si>
  <si>
    <t>State graduate</t>
  </si>
  <si>
    <t>State undergraduate</t>
  </si>
  <si>
    <t>Other</t>
  </si>
  <si>
    <t>Ecampus about 90% undergraduate or postbacc</t>
  </si>
  <si>
    <t>BA/BS - Non-Transfers</t>
  </si>
  <si>
    <t>BA/BS - Transfers</t>
  </si>
  <si>
    <t>Masters</t>
  </si>
  <si>
    <t>PhD</t>
  </si>
  <si>
    <t>Professional</t>
  </si>
  <si>
    <t>Grad. Certificate</t>
  </si>
  <si>
    <t>Area of Study</t>
  </si>
  <si>
    <t>Student Populations</t>
  </si>
  <si>
    <t>1_fr_so</t>
  </si>
  <si>
    <t>2_jr_sr</t>
  </si>
  <si>
    <t>3_ma</t>
  </si>
  <si>
    <t>4_phd</t>
  </si>
  <si>
    <t>State funding assumed as 77% for undergraduate outcomes</t>
  </si>
  <si>
    <t>Undergraduate tuition and fees</t>
  </si>
  <si>
    <t>Graduate tuition and fees</t>
  </si>
  <si>
    <t>Fees distributed 83% undergraduate, 15% graduate</t>
  </si>
  <si>
    <t>Research &amp; Public Service General</t>
  </si>
  <si>
    <t>State Targeted Research Funds</t>
  </si>
  <si>
    <t>% All</t>
  </si>
  <si>
    <t>% General</t>
  </si>
  <si>
    <t>Distributable:</t>
  </si>
  <si>
    <t>Undergraduate revenues:</t>
  </si>
  <si>
    <t>Graduate revenues:</t>
  </si>
  <si>
    <t>General research revenues:</t>
  </si>
  <si>
    <t>Earmarked revenues:</t>
  </si>
  <si>
    <t>Average Academic Year SCH</t>
  </si>
  <si>
    <t>Foundation Credit hours of total</t>
  </si>
  <si>
    <t>Undergraduate Credit hours of total</t>
  </si>
  <si>
    <t>Graduate Credit Hours of total</t>
  </si>
  <si>
    <t>Proportions of Credit Hours and Degrees:</t>
  </si>
  <si>
    <t>Proportions of Initial Revenues by General Sources</t>
  </si>
  <si>
    <t>Proportions of Academic Distributions by Category</t>
  </si>
  <si>
    <t>Foundation Credit Hours:</t>
  </si>
  <si>
    <t>Lower division</t>
  </si>
  <si>
    <t>Upper Division</t>
  </si>
  <si>
    <t>Undergraduate Completions</t>
  </si>
  <si>
    <t>Undergraduate Ecampus</t>
  </si>
  <si>
    <t>Graduate Ecampus</t>
  </si>
  <si>
    <t>Honors and Cascades Undergraduate</t>
  </si>
  <si>
    <t>Strategic Populations-Undergraduate</t>
  </si>
  <si>
    <t>Strategic Populations-Graduate</t>
  </si>
  <si>
    <t>Undergraduate proportion:</t>
  </si>
  <si>
    <t>Graduate proportion:</t>
  </si>
  <si>
    <t>Foundation Credit Hour Measures</t>
  </si>
  <si>
    <t>Undergraduate Allocations</t>
  </si>
  <si>
    <t>Graduate Allocations</t>
  </si>
  <si>
    <t>Research Allocations</t>
  </si>
  <si>
    <t>Original</t>
  </si>
  <si>
    <t>Redistribute?</t>
  </si>
  <si>
    <t>Adjustments</t>
  </si>
  <si>
    <t>Model Relative to FY16 Adjusted Actual</t>
  </si>
  <si>
    <t>No Weighting</t>
  </si>
  <si>
    <t>Switched Weights</t>
  </si>
  <si>
    <t>Use Discpline Weights?</t>
  </si>
  <si>
    <t>Use Disciplinary Weights?</t>
  </si>
  <si>
    <t>Ecampus and Summer Pools</t>
  </si>
  <si>
    <t>3-Year Average:</t>
  </si>
  <si>
    <t>Projection Current Year</t>
  </si>
  <si>
    <t>Pool</t>
  </si>
  <si>
    <t>Summer Undergraduate per SCH</t>
  </si>
  <si>
    <t>Summer Graduate per SCH</t>
  </si>
  <si>
    <t>Total Weighted Degrees</t>
  </si>
  <si>
    <t>Proportion Undergraduate of Weighted:</t>
  </si>
  <si>
    <t>Proportion Graduate of Weighted:</t>
  </si>
  <si>
    <t>Revenue Sources for Comparison:</t>
  </si>
  <si>
    <t>Distribution of Pool by Category)</t>
  </si>
  <si>
    <t>3.  Set service and support measures</t>
  </si>
  <si>
    <t>Academic Delivery Units*</t>
  </si>
  <si>
    <t>*</t>
  </si>
  <si>
    <t>Other Distribution pools or allocations</t>
  </si>
  <si>
    <t>Academic Affairs, Student Affairs, Enrollment Management, Undergraduate Studies</t>
  </si>
  <si>
    <t>Strategic populations</t>
  </si>
  <si>
    <t>Contractual Obligations</t>
  </si>
  <si>
    <t>Pools to distribute to units</t>
  </si>
  <si>
    <t>Health Professions</t>
  </si>
  <si>
    <t xml:space="preserve"> Colleges, Ecampus, Centers and Institutes, Interdisciplinary Graduate programs, including academic distribution pools, Outreach and Engagement</t>
  </si>
  <si>
    <t>Facilities Operations, Energy Operations, Risk Management, Capital Planning</t>
  </si>
  <si>
    <t>Contractual or contingency</t>
  </si>
  <si>
    <t xml:space="preserve"> Executive funding</t>
  </si>
  <si>
    <t>Strategic or Community Funds</t>
  </si>
  <si>
    <t>Detail of Estimated Distributions to Units:</t>
  </si>
  <si>
    <t>This identifies recurring targeted allocations to be distributed to base or differential column</t>
  </si>
  <si>
    <t>Share of Pool Dollars</t>
  </si>
  <si>
    <t xml:space="preserve"> SCH ADJUSTMENTS (BIOLOGY AND ECAMPUS TO CORVALLIS IF USED):</t>
  </si>
  <si>
    <t>UD Biology SCH Taught by Other Units</t>
  </si>
  <si>
    <t>Data from data summary workbook.  Original data from CORE report BUD500</t>
  </si>
  <si>
    <t>Projected credit hours from projection worksheet</t>
  </si>
  <si>
    <t>Share of pool</t>
  </si>
  <si>
    <t>How projected?</t>
  </si>
  <si>
    <t xml:space="preserve">Pharmacy and Vet. Med. Ph.D. Weight is </t>
  </si>
  <si>
    <t>FY16 Budget</t>
  </si>
  <si>
    <t>FY17 Budget</t>
  </si>
  <si>
    <t>Data from data summary workbook.  Original data from CORE report BUD500 and BUD502</t>
  </si>
  <si>
    <t>Projected credit hours and degrees from projection worksheet</t>
  </si>
  <si>
    <t>Alternate Delivery Undergraduate Pool:</t>
  </si>
  <si>
    <t>FY16 Foundations</t>
  </si>
  <si>
    <t>FY16 Budget Share</t>
  </si>
  <si>
    <t xml:space="preserve">FY16 Allocation </t>
  </si>
  <si>
    <t>FY17  Allocation</t>
  </si>
  <si>
    <t>FY16 Weighted UG Degrees</t>
  </si>
  <si>
    <t xml:space="preserve">                                                             </t>
  </si>
  <si>
    <t>FY16 Graduate Allocation</t>
  </si>
  <si>
    <t>FY16 Gradute Share</t>
  </si>
  <si>
    <t>FY16 Graduate Degrees</t>
  </si>
  <si>
    <t>FY16 Budget SCH</t>
  </si>
  <si>
    <t>FY16 Share</t>
  </si>
  <si>
    <t>FY17 Share</t>
  </si>
  <si>
    <t>Lower Division to Corvallis</t>
  </si>
  <si>
    <t>Lower Division to Distance</t>
  </si>
  <si>
    <t>Graduate to Distance</t>
  </si>
  <si>
    <t>Graduate to Corvallis</t>
  </si>
  <si>
    <t>Upper division to Distance</t>
  </si>
  <si>
    <t>Upper Division to Corvallis</t>
  </si>
  <si>
    <t>Strategic Populations</t>
  </si>
  <si>
    <t>FY17 Allocation</t>
  </si>
  <si>
    <t>FY16 Degrees</t>
  </si>
  <si>
    <t>FY17 Degrees</t>
  </si>
  <si>
    <t>Docotrate degrees</t>
  </si>
  <si>
    <t>High achieving degrees</t>
  </si>
  <si>
    <t>Pell recipients</t>
  </si>
  <si>
    <t>URM Students</t>
  </si>
  <si>
    <t>International Students</t>
  </si>
  <si>
    <t>for reference elsewhere:</t>
  </si>
  <si>
    <t>Dollars in Graduate Completions Pool:</t>
  </si>
  <si>
    <t>Ratios to Upper Division Social Science (1.00), capped for differential tuition contribution</t>
  </si>
  <si>
    <t>Lower Division</t>
  </si>
  <si>
    <t>Master's</t>
  </si>
  <si>
    <t xml:space="preserve">Doctoral </t>
  </si>
  <si>
    <t>Ratios to Upper Division Social Science: Before Adjustment for Differential Tuition</t>
  </si>
  <si>
    <t>Data for weights is available on another workbook</t>
  </si>
  <si>
    <t>FY17</t>
  </si>
  <si>
    <t>FY17- FY16 Incremental Difference</t>
  </si>
  <si>
    <t>Returned Overhead Rsv (Dept Admin on $39.5 million base)</t>
  </si>
  <si>
    <t>F&amp;A Recovery kept centrally</t>
  </si>
  <si>
    <t>Shared Service Costs</t>
  </si>
  <si>
    <t xml:space="preserve">Capital Campaign Support </t>
  </si>
  <si>
    <t>FY17 Unclassified Mid-Year Raise</t>
  </si>
  <si>
    <t>FY17 Classified Step &amp; COLA</t>
  </si>
  <si>
    <t>Grad Fee Remission for new PhD program</t>
  </si>
  <si>
    <t>Int'l Assistant Visa fees (distr as Grad Rem)</t>
  </si>
  <si>
    <t>SSCM adjustment for biennium</t>
  </si>
  <si>
    <t>URM</t>
  </si>
  <si>
    <t>Benton County Historical Society</t>
  </si>
  <si>
    <t>EOU</t>
  </si>
  <si>
    <t>Eastern Oregon University Settle-up</t>
  </si>
  <si>
    <t>General Sales and Service Revenues</t>
  </si>
  <si>
    <t>Tuition settleups (Ecampus, Summer, INTO. EOU, differential)</t>
  </si>
  <si>
    <t>(distributed on Ecampus page)</t>
  </si>
  <si>
    <t>FY17 $ per measure</t>
  </si>
  <si>
    <t>IR 4th Week report</t>
  </si>
  <si>
    <t>All by CIP Level</t>
  </si>
  <si>
    <t>Actual 2016</t>
  </si>
  <si>
    <t>2017 Projected</t>
  </si>
  <si>
    <t>GRAD Biology SCH Taught by Other Units</t>
  </si>
  <si>
    <t>2016 actual</t>
  </si>
  <si>
    <t>All without Engineering</t>
  </si>
  <si>
    <t>2016 Actual</t>
  </si>
  <si>
    <t>Projected</t>
  </si>
  <si>
    <t>2016-17</t>
  </si>
  <si>
    <t>Minor (declared, not awarded, there are data issues)  Count corrected Spring 2017</t>
  </si>
  <si>
    <t>Projected 2017</t>
  </si>
  <si>
    <t>2016-17 projected</t>
  </si>
  <si>
    <t>Projected 2017-18</t>
  </si>
  <si>
    <t>2017 Proj</t>
  </si>
  <si>
    <t>Average academic year UG SCH to Fall SCH is 2.829</t>
  </si>
  <si>
    <t xml:space="preserve">2015-16 </t>
  </si>
  <si>
    <t>AY Differential and prof. tuition over base</t>
  </si>
  <si>
    <t>Central and Settleup</t>
  </si>
  <si>
    <t>TREND</t>
  </si>
  <si>
    <t>Projected FY18</t>
  </si>
  <si>
    <t>COLLEGE</t>
  </si>
  <si>
    <t>Earth,Ocean &amp;Atmos Sci</t>
  </si>
  <si>
    <t xml:space="preserve">Forestry </t>
  </si>
  <si>
    <t>Public Health &amp; Human Sci</t>
  </si>
  <si>
    <t xml:space="preserve">Graduate School                     </t>
  </si>
  <si>
    <t xml:space="preserve"> Research Office </t>
  </si>
  <si>
    <t xml:space="preserve">  Outreach &amp; Engagement</t>
  </si>
  <si>
    <t xml:space="preserve"> Library</t>
  </si>
  <si>
    <t xml:space="preserve"> Student Affairs</t>
  </si>
  <si>
    <t xml:space="preserve">   Cascades </t>
  </si>
  <si>
    <t>Central Admin</t>
  </si>
  <si>
    <t>FY17 Est</t>
  </si>
  <si>
    <t>FY18</t>
  </si>
  <si>
    <t>Financial aid</t>
  </si>
  <si>
    <t>10% net to central</t>
  </si>
  <si>
    <t>Fee</t>
  </si>
  <si>
    <t>Total Tuition Revenue</t>
  </si>
  <si>
    <t xml:space="preserve">Differential is </t>
  </si>
  <si>
    <t>13.45% of tuition</t>
  </si>
  <si>
    <t>Fee is</t>
  </si>
  <si>
    <t>23.94% of total revenue</t>
  </si>
  <si>
    <t>Ecampus Actual Dollar Allocation Total</t>
  </si>
  <si>
    <t>Summer Actual Dollar Allocation Total</t>
  </si>
  <si>
    <t>FY17 Initial</t>
  </si>
  <si>
    <t>FY18 Initial</t>
  </si>
  <si>
    <t>Ecampus Fee</t>
  </si>
  <si>
    <t>Total Revenue</t>
  </si>
  <si>
    <t>Research centers</t>
  </si>
  <si>
    <t>Fee percent</t>
  </si>
  <si>
    <t>Central percent</t>
  </si>
  <si>
    <t>Total Ecampus and Sumer to Distribute</t>
  </si>
  <si>
    <t>Undergraduate Differential Tuition</t>
  </si>
  <si>
    <t>Graduate Differential Tuition</t>
  </si>
  <si>
    <t>Less 10% Undergraduate, 4.0% Graduate Financial Aid</t>
  </si>
  <si>
    <t>Less 7% Undergrad, 6% Grad overhead (capped)</t>
  </si>
  <si>
    <t>Net Allocation</t>
  </si>
  <si>
    <t>Graduate Credit hours to majors</t>
  </si>
  <si>
    <t>14-15-16</t>
  </si>
  <si>
    <t>College specific upper division and graduate weights?</t>
  </si>
  <si>
    <t>LD specific weights</t>
  </si>
  <si>
    <t>UD College specific weights</t>
  </si>
  <si>
    <t>Grad College specific weights</t>
  </si>
  <si>
    <t>The academic allocation for Ecampus is based on actual projected total SCH, the same way as currently</t>
  </si>
  <si>
    <t>FY17 Model</t>
  </si>
  <si>
    <t>FY17 Adjusted Actual</t>
  </si>
  <si>
    <t>$/weighted SCH</t>
  </si>
  <si>
    <t>$/SCH</t>
  </si>
  <si>
    <t>PAC fee $</t>
  </si>
  <si>
    <t>Weighted SCH</t>
  </si>
  <si>
    <t>Discount</t>
  </si>
  <si>
    <t>Capped Allocation</t>
  </si>
  <si>
    <t>Adjustment</t>
  </si>
  <si>
    <t>Use Health Sciences weight for Pharm and Vet Med (no = professional school weights)</t>
  </si>
  <si>
    <t>Use health science weights?  (no =professional wt)</t>
  </si>
  <si>
    <t>Revenue summary for Professional Schools</t>
  </si>
  <si>
    <t>Professional tuition (total)</t>
  </si>
  <si>
    <t>F&amp;A Recovery (Total)</t>
  </si>
  <si>
    <t>Sales and Service, Fees,</t>
  </si>
  <si>
    <t>State Targeted Funds</t>
  </si>
  <si>
    <t>State Outcomes Targeted</t>
  </si>
  <si>
    <t>State Outcomes General</t>
  </si>
  <si>
    <t>Ecampus, Summer</t>
  </si>
  <si>
    <t>FY18  Foundations</t>
  </si>
  <si>
    <t>FY18 Budget  Share</t>
  </si>
  <si>
    <t>FY18  Allocation</t>
  </si>
  <si>
    <t>15-16-17</t>
  </si>
  <si>
    <t>FY18 Share</t>
  </si>
  <si>
    <t>FY18 Allocation</t>
  </si>
  <si>
    <t>FY18 Degrees</t>
  </si>
  <si>
    <t>FY18 Budget</t>
  </si>
  <si>
    <t>FY18 Estimated IM and OSU Targeted Funding Distribution</t>
  </si>
  <si>
    <t>FY18 Estimated Central Institutional management by model distribution category</t>
  </si>
  <si>
    <t>FY18 Initial Institutional management by estimated distribution</t>
  </si>
  <si>
    <t>Capital Renewal and Repair</t>
  </si>
  <si>
    <t>Grad remission reserves, PhD subsidy, Visa fees</t>
  </si>
  <si>
    <t>Budget Reserve Balance</t>
  </si>
  <si>
    <t xml:space="preserve">FY2018 Education &amp; General Initial Budget </t>
  </si>
  <si>
    <t xml:space="preserve">    International Programs</t>
  </si>
  <si>
    <t xml:space="preserve">    Graduate School Interdisciplinary Programs</t>
  </si>
  <si>
    <t>Service, Support, &amp; Management</t>
  </si>
  <si>
    <t xml:space="preserve">    Enterprise Risk Services</t>
  </si>
  <si>
    <t>FY18 Total</t>
  </si>
  <si>
    <t>ORIGINAL</t>
  </si>
  <si>
    <t>OSU Shared Responsibility Budget Model FY18 Version</t>
  </si>
  <si>
    <t>Using FY17 Initial Budget</t>
  </si>
  <si>
    <t>General tuition</t>
  </si>
  <si>
    <t>Shows revised FY18 with estimates of distribution of IM amounts and recurring targeted amounts known to go out to specific units</t>
  </si>
  <si>
    <t>FY2018 Education &amp; General Initial Budget---Hybrid Model Development</t>
  </si>
  <si>
    <t>FY2018 Education &amp; General Initial Budget ---Hybrid Model Development</t>
  </si>
  <si>
    <t>FY2018 Education &amp; General Initial Budget  ---Hybrid Model Development</t>
  </si>
  <si>
    <t>FY18 Budget Year Distributions</t>
  </si>
  <si>
    <t>FY17 Estimate</t>
  </si>
  <si>
    <t>Professional Schools to 100% of Gross Revenue</t>
  </si>
  <si>
    <t>Community Adjustment to Balance</t>
  </si>
  <si>
    <t>FY18 Estimate</t>
  </si>
  <si>
    <t>This is being reviewed and recalculated</t>
  </si>
  <si>
    <t>FY15 Original Budget</t>
  </si>
  <si>
    <t>FY15 Adjusted Budget</t>
  </si>
  <si>
    <t>FY15 Targeted and Dedicated</t>
  </si>
  <si>
    <t>FY15 Floor Base Budget</t>
  </si>
  <si>
    <t>Switched floor calculation</t>
  </si>
  <si>
    <t>Potato Research</t>
  </si>
  <si>
    <t>AES North Willamette</t>
  </si>
  <si>
    <t>Molluskan Brood Stock</t>
  </si>
  <si>
    <t>Ocean Acidification</t>
  </si>
  <si>
    <t xml:space="preserve">    University Infrastructure &amp; Ops</t>
  </si>
  <si>
    <t>OSU Targeted Funding</t>
  </si>
  <si>
    <t>Fiscal Year 2018</t>
  </si>
  <si>
    <t>Explanation</t>
  </si>
  <si>
    <t>For AES FY12 Salary increases</t>
  </si>
  <si>
    <t>For AES Grad Fee Remissions</t>
  </si>
  <si>
    <t>For FRL FY12 Salary increases</t>
  </si>
  <si>
    <t>For FRL Grad Fee Remissions</t>
  </si>
  <si>
    <t>Environmental Humanities - Year 1 of 3</t>
  </si>
  <si>
    <t xml:space="preserve">    CEOAS</t>
  </si>
  <si>
    <t>Support for EVM position</t>
  </si>
  <si>
    <t>Fee Waivers</t>
  </si>
  <si>
    <t xml:space="preserve">    President's Office</t>
  </si>
  <si>
    <t>DAS Shuttle</t>
  </si>
  <si>
    <t xml:space="preserve">    Provost Pass-through</t>
  </si>
  <si>
    <t>Phi Beta Kappa funding</t>
  </si>
  <si>
    <t xml:space="preserve">    Information Services</t>
  </si>
  <si>
    <t>One-time license charges &amp; system upgrades</t>
  </si>
  <si>
    <t xml:space="preserve">    Graduate School</t>
  </si>
  <si>
    <t>Graduate Fellowship &amp; Scholarship program</t>
  </si>
  <si>
    <t xml:space="preserve">    Research Admin</t>
  </si>
  <si>
    <t>SMI contract (or other DC representation)</t>
  </si>
  <si>
    <t>FY12 salary increase for EXT</t>
  </si>
  <si>
    <t>For EXT Grad Fee Remissions</t>
  </si>
  <si>
    <t xml:space="preserve">    Finance &amp; Administration</t>
  </si>
  <si>
    <t>Budget Office - Future Perfect contract</t>
  </si>
  <si>
    <t xml:space="preserve">   UIO - Cap Dev &amp; Planning</t>
  </si>
  <si>
    <t>Corvallis Transit Pmt</t>
  </si>
  <si>
    <t>Albany Transit Pmt</t>
  </si>
  <si>
    <t xml:space="preserve">          Total</t>
  </si>
  <si>
    <t>FY18 Institutional Management Expenditure and Reserve Budget (w/ FY17, as Posted)</t>
  </si>
  <si>
    <t>FY17 Centrally Managed Funds</t>
  </si>
  <si>
    <t xml:space="preserve">FY18 Centrally Managed Funds </t>
  </si>
  <si>
    <t>Foundation Obligation (Alumni Assoc)</t>
  </si>
  <si>
    <t>Assessments to be received for Busines Centers</t>
  </si>
  <si>
    <t>FY18 Unclassified Mid-Year Raise</t>
  </si>
  <si>
    <t>FY18 Classified Mid-year Step &amp; COLA</t>
  </si>
  <si>
    <t>Capital &amp; Repair Fund</t>
  </si>
  <si>
    <t>Corvallis</t>
  </si>
  <si>
    <t>Grant to City (URM)</t>
  </si>
  <si>
    <t>Prov</t>
  </si>
  <si>
    <t>Programmatic invest - Marine Studies Initiative</t>
  </si>
  <si>
    <t>Various</t>
  </si>
  <si>
    <t>Boli Fees</t>
  </si>
  <si>
    <t>Sales &amp; Service Revenue</t>
  </si>
  <si>
    <t>Moved to targeted</t>
  </si>
  <si>
    <t>Bad debt expense</t>
  </si>
  <si>
    <t>Capital Renewal and Depreciation</t>
  </si>
  <si>
    <t>Graduate Remissions various</t>
  </si>
  <si>
    <t>Insurance premium increases</t>
  </si>
  <si>
    <t>Sales and service revnues (put elsewhere)</t>
  </si>
  <si>
    <t>Net Contingency/Uncommitted funds</t>
  </si>
  <si>
    <t>Capital renewal and repair</t>
  </si>
  <si>
    <t>Strategic allocations (MSI and Student Success)</t>
  </si>
  <si>
    <t>Sales and Service Revenue Shown Elsewhere</t>
  </si>
  <si>
    <t>C&amp;I Corrected</t>
  </si>
  <si>
    <t xml:space="preserve">FY18 Proposed </t>
  </si>
  <si>
    <t>Building Use Credits (moved to plant fund)</t>
  </si>
  <si>
    <t>FY18 Dollars</t>
  </si>
  <si>
    <t>FY18 Scaled</t>
  </si>
  <si>
    <t>(Distributable reserve noted here so it all sums)</t>
  </si>
  <si>
    <t>Proposed service support allocation:</t>
  </si>
  <si>
    <t>Available dollars:</t>
  </si>
  <si>
    <t>Modified</t>
  </si>
  <si>
    <t>Share</t>
  </si>
  <si>
    <t>NO</t>
  </si>
  <si>
    <t>FY18 Targeted plus Productivity</t>
  </si>
  <si>
    <t>This is the allocation by actual amounts, in the exact way it has been done previously.</t>
  </si>
  <si>
    <t>These allocations include the differential tuition component</t>
  </si>
  <si>
    <t>For Trend Projection:</t>
  </si>
  <si>
    <t>Actual allocations after settle ups</t>
  </si>
  <si>
    <t>FY17 Final</t>
  </si>
  <si>
    <t>Correction for PAC fee allocation</t>
  </si>
  <si>
    <t>PHHS Original</t>
  </si>
  <si>
    <t>PHHS Corrected</t>
  </si>
  <si>
    <t>FY15 Based Floor Calculations</t>
  </si>
  <si>
    <t>FY16 Base vs. Targeted Allocations</t>
  </si>
  <si>
    <t>FY16 Adjusted total budget</t>
  </si>
  <si>
    <t>Net dedicated and targeted funds allocation</t>
  </si>
  <si>
    <t>FY16 Floor Base Budget</t>
  </si>
  <si>
    <t>Set Floor as FY15 or FY16</t>
  </si>
  <si>
    <t>Budget Floor</t>
  </si>
  <si>
    <t>Floor is set as:</t>
  </si>
  <si>
    <t>Distribute Community Fund, Adjust to Floor</t>
  </si>
  <si>
    <t>Floor FY15 or FY16?</t>
  </si>
  <si>
    <t>FY17 Targeted and Dedicated*</t>
  </si>
  <si>
    <t>*FY18 targeted adds $685K that in previous years had been a part of targeted funding</t>
  </si>
  <si>
    <t>but was moved to base in FY18;  it would artifically reduce the floor if not included</t>
  </si>
  <si>
    <t>Adjust to Floor</t>
  </si>
  <si>
    <t>Provost's Adjustments</t>
  </si>
  <si>
    <t>Community Support Fund Reserve:</t>
  </si>
  <si>
    <t>Strategic Investment Reserves:</t>
  </si>
  <si>
    <t>Weighted Degrees</t>
  </si>
  <si>
    <t>FY18 Model Adjusted Initial Budget</t>
  </si>
  <si>
    <t>FY18  Adjusted Initial Budget</t>
  </si>
  <si>
    <t>FY18  Original Initial Budget</t>
  </si>
  <si>
    <t>FY18 Metric</t>
  </si>
  <si>
    <t>[NOTE:  THIS NEEDS CLEANING UP BUT BASICALLY SETS BUDGET TO ACTUAL INCREMENTAL COMMITMENTS]</t>
  </si>
  <si>
    <t>FY18 State Allocation from SSCM Model</t>
  </si>
  <si>
    <t>Pharmacy Mission:</t>
  </si>
  <si>
    <t>Vet Med Mission:</t>
  </si>
  <si>
    <t>Vet Med Diag Lab:</t>
  </si>
  <si>
    <t>Outcomes</t>
  </si>
  <si>
    <t>SCH</t>
  </si>
  <si>
    <t>Mission 
Differentiation</t>
  </si>
  <si>
    <t>MD - Regional Support</t>
  </si>
  <si>
    <t>MD - Mission</t>
  </si>
  <si>
    <t>MD - Research</t>
  </si>
  <si>
    <t>Dual Credit</t>
  </si>
  <si>
    <t>MD - Total</t>
  </si>
  <si>
    <t>Final Allocation</t>
  </si>
  <si>
    <t>Stop Loss Share</t>
  </si>
  <si>
    <t>Net to Corvallis</t>
  </si>
  <si>
    <t>Pharm Off</t>
  </si>
  <si>
    <t>Vet Med Off</t>
  </si>
  <si>
    <t>Pharmacy Outcomes, SCH</t>
  </si>
  <si>
    <t>Vet Med Outcomes, SCH</t>
  </si>
  <si>
    <t>Less 5% Overhead</t>
  </si>
  <si>
    <t>Initial Budget</t>
  </si>
  <si>
    <t>2017 Actual</t>
  </si>
  <si>
    <t>Actual 2017</t>
  </si>
  <si>
    <t>Revised weights used in FY17 and FY18 versions</t>
  </si>
  <si>
    <t>Weights used in FY16 version</t>
  </si>
  <si>
    <t>Ratios to Eight Upper Division CIPs (1.00), capped for differential tuition contribution</t>
  </si>
  <si>
    <t>2016P</t>
  </si>
  <si>
    <t>2016A</t>
  </si>
  <si>
    <t>2017P</t>
  </si>
  <si>
    <t>2017A</t>
  </si>
  <si>
    <t>Service and Support Allocation before Scaling to 35%</t>
  </si>
  <si>
    <t>Reductions to Service and Support Allocations</t>
  </si>
  <si>
    <t>Dollar allocation per credit hour</t>
  </si>
  <si>
    <t>Dollar allocation per category</t>
  </si>
  <si>
    <t>$ per SCH</t>
  </si>
  <si>
    <t>$ per F&amp;A</t>
  </si>
  <si>
    <t>$ per Intl</t>
  </si>
  <si>
    <t>$ per URM</t>
  </si>
  <si>
    <t>$ per Pell</t>
  </si>
  <si>
    <t>Dollars from and per Degree</t>
  </si>
  <si>
    <t>Dollars from and per SCH</t>
  </si>
  <si>
    <t>FY18 per Degree</t>
  </si>
  <si>
    <t>FY18 per SCH</t>
  </si>
  <si>
    <t>FY18 PhD $</t>
  </si>
  <si>
    <t>FY18 MS $</t>
  </si>
  <si>
    <t>Per Phd $</t>
  </si>
  <si>
    <t>Per MS $</t>
  </si>
  <si>
    <t>Ecampus and Summer SCH:</t>
  </si>
  <si>
    <t>FY18 Distribution Pools and Net Tuition Rates for Reference</t>
  </si>
  <si>
    <t>FY18 Tuition Rates:</t>
  </si>
  <si>
    <t>Resident Undergraduate per SCH</t>
  </si>
  <si>
    <t>Resident Graduate per SCH</t>
  </si>
  <si>
    <t>FY18 LD Foundation</t>
  </si>
  <si>
    <t>FY18 UD Foundation</t>
  </si>
  <si>
    <t>FY18 Grad Foundation</t>
  </si>
  <si>
    <t>FY18 Weighted UD SCH</t>
  </si>
  <si>
    <t>FY18 Weighted UG Degrees</t>
  </si>
  <si>
    <t>FY18 Graduate Degrees</t>
  </si>
  <si>
    <t>FY18 Graduate Allocation</t>
  </si>
  <si>
    <t>FY18 Graduate Share</t>
  </si>
  <si>
    <t>FY18 Budget SCH</t>
  </si>
  <si>
    <t>CORE  RES0008</t>
  </si>
  <si>
    <t>Research Office Reports</t>
  </si>
  <si>
    <t>Budget Office Report</t>
  </si>
  <si>
    <t>FY17 Unit Share</t>
  </si>
  <si>
    <t>FY18 Unit Share</t>
  </si>
  <si>
    <t>FY16 Unit Share</t>
  </si>
  <si>
    <t>This maps the current distribution to the proposed distribution for FY19, to clearly show the strategic allocation to Centers and Institutes.</t>
  </si>
  <si>
    <t>FY18 Base Budget</t>
  </si>
  <si>
    <t>Alumni Association move to Foundation</t>
  </si>
  <si>
    <t>Charitable Fund drive to Audit</t>
  </si>
  <si>
    <t>Salary increases all units</t>
  </si>
  <si>
    <t>Benefit Increases all units</t>
  </si>
  <si>
    <t>FY18 Budget Reduction</t>
  </si>
  <si>
    <t>Community Diversity position to Inst. Diversity</t>
  </si>
  <si>
    <t>Ombuds office balance of positions</t>
  </si>
  <si>
    <t>Salary increment</t>
  </si>
  <si>
    <t>Salary adjustments</t>
  </si>
  <si>
    <t>FY18 Provost Passthrough includes:</t>
  </si>
  <si>
    <t>FY17 Support for MSI Director Position</t>
  </si>
  <si>
    <t>FY17 Univ. Compliance Office to Provost's Office</t>
  </si>
  <si>
    <t>FY17 net raises and budget reduction</t>
  </si>
  <si>
    <t>FY17 addition for MSI ($250K from FY16 IM line)</t>
  </si>
  <si>
    <t>FY18 salary increment</t>
  </si>
  <si>
    <t xml:space="preserve">Summary of Annual Changes to Executive Support Allocations </t>
  </si>
  <si>
    <t>Targeted funding is noted on the OSU Targeted Fund Detail Tab</t>
  </si>
  <si>
    <t xml:space="preserve">ETIC Sustaining  Funding </t>
  </si>
  <si>
    <t>Services for Students with Disabilities</t>
  </si>
  <si>
    <t>Signature Research Centers, Institute for Natural Resources, Ocean Acidification</t>
  </si>
  <si>
    <t>Fermentation Science and 63% of Shellfish/Mollusca Funding, Potato Research, North Willamette funding</t>
  </si>
  <si>
    <t>Distribution for Adjusted FY18 Initial Budget</t>
  </si>
  <si>
    <t>This data is not used at the moment.</t>
  </si>
  <si>
    <t>This is a placeholder if there is a decision to add a space allocation component.</t>
  </si>
  <si>
    <t>Ratios to UD 8-field average--With Delaware, Ohio State Avg</t>
  </si>
  <si>
    <t>Illinois</t>
  </si>
  <si>
    <t>SHEOO 2002, 2007</t>
  </si>
  <si>
    <t>CIP Levels</t>
  </si>
  <si>
    <t>LOWER</t>
  </si>
  <si>
    <t>UPPER</t>
  </si>
  <si>
    <t>GRAD I</t>
  </si>
  <si>
    <t>GRAD II</t>
  </si>
  <si>
    <t>Average Across All Disciplines if Given</t>
  </si>
  <si>
    <t>01</t>
  </si>
  <si>
    <t>Agricultural Business</t>
  </si>
  <si>
    <t>02</t>
  </si>
  <si>
    <t>03</t>
  </si>
  <si>
    <t>Conservation</t>
  </si>
  <si>
    <t>04</t>
  </si>
  <si>
    <t>Architecture</t>
  </si>
  <si>
    <t>05</t>
  </si>
  <si>
    <t>Area, Ethnic, Cultural Studies</t>
  </si>
  <si>
    <t>09</t>
  </si>
  <si>
    <t>Communications</t>
  </si>
  <si>
    <t>10</t>
  </si>
  <si>
    <t>Communications Technologies</t>
  </si>
  <si>
    <t>11</t>
  </si>
  <si>
    <t>Computer and Information Science</t>
  </si>
  <si>
    <t>13</t>
  </si>
  <si>
    <t>14</t>
  </si>
  <si>
    <t>15</t>
  </si>
  <si>
    <t>Engineering-related Technology</t>
  </si>
  <si>
    <t>16</t>
  </si>
  <si>
    <t>Foreign Languages and Literature</t>
  </si>
  <si>
    <t>19</t>
  </si>
  <si>
    <t>Home Economics</t>
  </si>
  <si>
    <t>22</t>
  </si>
  <si>
    <t>Law and Legal Studies</t>
  </si>
  <si>
    <t>23</t>
  </si>
  <si>
    <t>English Language and Literature</t>
  </si>
  <si>
    <t>24</t>
  </si>
  <si>
    <t>Liberal Arts and Sciences, Humanities</t>
  </si>
  <si>
    <t>25</t>
  </si>
  <si>
    <t>Library Science</t>
  </si>
  <si>
    <t>26</t>
  </si>
  <si>
    <t>Biological Sciences, Life Sciences</t>
  </si>
  <si>
    <t>27</t>
  </si>
  <si>
    <t>Mathematics</t>
  </si>
  <si>
    <t>28</t>
  </si>
  <si>
    <t>Reserve Officers Training Corps</t>
  </si>
  <si>
    <t>29</t>
  </si>
  <si>
    <t>Military Technologies</t>
  </si>
  <si>
    <t>30</t>
  </si>
  <si>
    <t>Multi/Interdisciplinary Studies</t>
  </si>
  <si>
    <t>31</t>
  </si>
  <si>
    <t>Parks, Rec, Leisure, Fitness Studies</t>
  </si>
  <si>
    <t>32</t>
  </si>
  <si>
    <t>Basic Skills</t>
  </si>
  <si>
    <t>34</t>
  </si>
  <si>
    <t>Health Related Knowledge/Skill</t>
  </si>
  <si>
    <t>38</t>
  </si>
  <si>
    <t>Philosophy and Religion</t>
  </si>
  <si>
    <t>40</t>
  </si>
  <si>
    <t>Physical Sciences</t>
  </si>
  <si>
    <t>41</t>
  </si>
  <si>
    <t>Science Technologies</t>
  </si>
  <si>
    <t>42</t>
  </si>
  <si>
    <t>Psychology</t>
  </si>
  <si>
    <t>43</t>
  </si>
  <si>
    <t>Protective Services</t>
  </si>
  <si>
    <t>44</t>
  </si>
  <si>
    <t>Public Administration and Services</t>
  </si>
  <si>
    <t>45</t>
  </si>
  <si>
    <t>Social Sciences and History</t>
  </si>
  <si>
    <t>50</t>
  </si>
  <si>
    <t>Visual and Performing Arts</t>
  </si>
  <si>
    <t>51</t>
  </si>
  <si>
    <t>Health Professions, Related Sciences</t>
  </si>
  <si>
    <t>51.20</t>
  </si>
  <si>
    <t>51.24</t>
  </si>
  <si>
    <t>Veterinary Medicine (DVM)</t>
  </si>
  <si>
    <t>52</t>
  </si>
  <si>
    <t>Business Mgmt, Administrative Services</t>
  </si>
  <si>
    <t>54</t>
  </si>
  <si>
    <t>History</t>
  </si>
  <si>
    <t>9999</t>
  </si>
  <si>
    <t>Unknown</t>
  </si>
  <si>
    <t>Average</t>
  </si>
  <si>
    <t>Median</t>
  </si>
  <si>
    <t>Stddev</t>
  </si>
  <si>
    <t>+2 STDEV</t>
  </si>
  <si>
    <t>Weights by CIP code, binned as at right</t>
  </si>
  <si>
    <t>Tier 1</t>
  </si>
  <si>
    <t>Tier 2</t>
  </si>
  <si>
    <t>Tier 3</t>
  </si>
  <si>
    <t>Tier 4</t>
  </si>
  <si>
    <t>Tier 5</t>
  </si>
  <si>
    <t>Tier 6</t>
  </si>
  <si>
    <t>Tier 7</t>
  </si>
  <si>
    <t>Tier 8</t>
  </si>
  <si>
    <t>Pharmacy*</t>
  </si>
  <si>
    <t>Veterinary Medicine*</t>
  </si>
  <si>
    <t>*these are estimates from RAM and Texas system data; they are not well constrained</t>
  </si>
  <si>
    <t>President's Offices, Provost's Offices, Provost's passthrough account</t>
  </si>
  <si>
    <t>This table is then mapped to the appropriate cell in the table to the left.</t>
  </si>
  <si>
    <t>OSU-Cascades</t>
  </si>
  <si>
    <t>FY13</t>
  </si>
  <si>
    <t>Unclassified employee count</t>
  </si>
  <si>
    <t>Percentages in green can be adjusted; values in brown are calculated or set, please do not change them.   Cells in blue can be changed in theory but are set to values based on discussions with the Provost's Council.    Changes in the model values are shown in the graphs and tables to the right.</t>
  </si>
  <si>
    <t>Professional tuition fees</t>
  </si>
  <si>
    <t>These data are pulled from each sheet that calculates the allocations;</t>
  </si>
  <si>
    <t>Total Ecampus and Summer to Distribute</t>
  </si>
  <si>
    <t>DO NOT USE INFORMATION BELOW                                                                 DO NOT USE INFORMATION BELOW                                                         DO NOT USE INFORMATION BELOW                                    DO NOT USE INFORMATION BELOW                                       DO NOT USE INFORMATION BELOW                                                      DO NOT USE INFORMATION BELOW                                                                            DO NOT USE INFORMATION BELOW</t>
  </si>
  <si>
    <t>FY17 Weighted Degrees</t>
  </si>
  <si>
    <t>Strategic Increment</t>
  </si>
  <si>
    <t>Actual FY18 E&amp;G Budget:</t>
  </si>
  <si>
    <t>Model FY18 E&amp;G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</si>
</sst>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0000_);_(* \(#,##0.0000\);_(* &quot;-&quot;??_);_(@_)"/>
    <numFmt numFmtId="168" formatCode="0.0000"/>
    <numFmt numFmtId="169" formatCode="_(&quot;$&quot;* #,##0.0000_);_(&quot;$&quot;* \(#,##0.0000\);_(&quot;$&quot;* &quot;-&quot;??_);_(@_)"/>
    <numFmt numFmtId="170" formatCode="0.0"/>
    <numFmt numFmtId="171" formatCode="0.000"/>
    <numFmt numFmtId="172" formatCode="[$-10409]#,##0;\(#,##0\)"/>
    <numFmt numFmtId="173" formatCode="[$-10409]#,##0.00;\(#,##0.00\)"/>
    <numFmt numFmtId="174" formatCode="0.00000000000000%"/>
    <numFmt numFmtId="175" formatCode="0.00000%"/>
    <numFmt numFmtId="176" formatCode="[$-10409]#,##0.000;\(#,##0.000\)"/>
    <numFmt numFmtId="177" formatCode="_(* #,##0.00000_);_(* \(#,##0.00000\);_(* &quot;-&quot;??_);_(@_)"/>
    <numFmt numFmtId="178" formatCode="_(* #,##0.000_);_(* \(#,##0.000\);_(* &quot;-&quot;??_);_(@_)"/>
    <numFmt numFmtId="179" formatCode="#,##0.000_);\(#,##0.000\)"/>
    <numFmt numFmtId="180" formatCode="_(&quot;$&quot;* #,##0.000_);_(&quot;$&quot;* \(#,##0.000\);_(&quot;$&quot;* &quot;-&quot;??_);_(@_)"/>
    <numFmt numFmtId="181" formatCode="[$-10409]#,##0.0;\(#,##0.0\)"/>
  </numFmts>
  <fonts count="12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238"/>
      <scheme val="minor"/>
    </font>
    <font>
      <b/>
      <sz val="12"/>
      <color theme="1"/>
      <name val="Calibri"/>
      <family val="2"/>
      <charset val="238"/>
      <scheme val="minor"/>
    </font>
    <font>
      <b/>
      <sz val="11"/>
      <color theme="1"/>
      <name val="Calibri"/>
      <scheme val="minor"/>
    </font>
    <font>
      <sz val="11"/>
      <color theme="1"/>
      <name val="Calibri"/>
      <family val="2"/>
      <scheme val="minor"/>
    </font>
    <font>
      <sz val="11"/>
      <color indexed="8"/>
      <name val="Calibri"/>
      <scheme val="minor"/>
    </font>
    <font>
      <b/>
      <i/>
      <sz val="11"/>
      <color rgb="FFFF0000"/>
      <name val="Calibri"/>
      <scheme val="minor"/>
    </font>
    <font>
      <sz val="11"/>
      <color rgb="FFFF0000"/>
      <name val="Calibri"/>
      <scheme val="minor"/>
    </font>
    <font>
      <b/>
      <sz val="12"/>
      <name val="Calibri"/>
      <scheme val="minor"/>
    </font>
    <font>
      <b/>
      <sz val="11"/>
      <name val="Calibri"/>
      <scheme val="minor"/>
    </font>
    <font>
      <sz val="11"/>
      <name val="Calibri"/>
      <family val="2"/>
      <scheme val="minor"/>
    </font>
    <font>
      <b/>
      <i/>
      <sz val="11"/>
      <color theme="1"/>
      <name val="Calibri"/>
      <scheme val="minor"/>
    </font>
    <font>
      <u/>
      <sz val="12"/>
      <color theme="10"/>
      <name val="Calibri"/>
      <family val="2"/>
      <charset val="238"/>
      <scheme val="minor"/>
    </font>
    <font>
      <u/>
      <sz val="12"/>
      <color theme="11"/>
      <name val="Calibri"/>
      <family val="2"/>
      <charset val="238"/>
      <scheme val="minor"/>
    </font>
    <font>
      <i/>
      <sz val="12"/>
      <color theme="1"/>
      <name val="Calibri"/>
      <scheme val="minor"/>
    </font>
    <font>
      <sz val="9"/>
      <name val="Geneva"/>
    </font>
    <font>
      <b/>
      <sz val="14"/>
      <name val="Trebuchet MS"/>
      <family val="2"/>
    </font>
    <font>
      <sz val="9"/>
      <name val="Trebuchet MS"/>
      <family val="2"/>
    </font>
    <font>
      <b/>
      <sz val="12"/>
      <name val="Trebuchet MS"/>
      <family val="2"/>
    </font>
    <font>
      <b/>
      <sz val="12"/>
      <color rgb="FFFF0000"/>
      <name val="Trebuchet MS"/>
      <family val="2"/>
    </font>
    <font>
      <b/>
      <sz val="10"/>
      <color indexed="8"/>
      <name val="Trebuchet MS"/>
      <family val="2"/>
    </font>
    <font>
      <b/>
      <sz val="10"/>
      <name val="Trebuchet MS"/>
      <family val="2"/>
    </font>
    <font>
      <b/>
      <sz val="10"/>
      <color indexed="8"/>
      <name val="Arial"/>
      <family val="2"/>
    </font>
    <font>
      <sz val="10"/>
      <name val="Arial"/>
      <family val="2"/>
    </font>
    <font>
      <b/>
      <sz val="10"/>
      <name val="Arial"/>
      <family val="2"/>
    </font>
    <font>
      <sz val="10"/>
      <name val="Trebuchet MS"/>
      <family val="2"/>
    </font>
    <font>
      <b/>
      <sz val="10"/>
      <color rgb="FFFF0000"/>
      <name val="Trebuchet MS"/>
      <family val="2"/>
    </font>
    <font>
      <b/>
      <sz val="10"/>
      <color theme="3" tint="0.39997558519241921"/>
      <name val="Trebuchet MS"/>
      <family val="2"/>
    </font>
    <font>
      <b/>
      <sz val="9"/>
      <name val="Trebuchet MS"/>
      <family val="2"/>
    </font>
    <font>
      <b/>
      <sz val="9"/>
      <color indexed="81"/>
      <name val="Tahoma"/>
      <family val="2"/>
    </font>
    <font>
      <sz val="9"/>
      <color indexed="81"/>
      <name val="Tahoma"/>
      <family val="2"/>
    </font>
    <font>
      <u/>
      <sz val="9"/>
      <color indexed="81"/>
      <name val="Tahoma"/>
      <family val="2"/>
    </font>
    <font>
      <b/>
      <sz val="12"/>
      <name val="Arial"/>
      <family val="2"/>
    </font>
    <font>
      <b/>
      <i/>
      <sz val="10"/>
      <name val="Arial"/>
      <family val="2"/>
    </font>
    <font>
      <b/>
      <sz val="10"/>
      <color rgb="FFFF0000"/>
      <name val="Arial"/>
      <family val="2"/>
    </font>
    <font>
      <b/>
      <sz val="8"/>
      <name val="Trebuchet MS"/>
      <family val="2"/>
    </font>
    <font>
      <b/>
      <sz val="8"/>
      <color rgb="FFFF0000"/>
      <name val="Trebuchet MS"/>
      <family val="2"/>
    </font>
    <font>
      <b/>
      <u/>
      <sz val="10"/>
      <name val="Arial"/>
      <family val="2"/>
    </font>
    <font>
      <b/>
      <sz val="8"/>
      <color indexed="81"/>
      <name val="Tahoma"/>
      <family val="2"/>
    </font>
    <font>
      <sz val="8"/>
      <color indexed="81"/>
      <name val="Tahoma"/>
      <family val="2"/>
    </font>
    <font>
      <sz val="16"/>
      <name val="Trebuchet MS"/>
      <family val="2"/>
    </font>
    <font>
      <sz val="12"/>
      <name val="Trebuchet MS"/>
      <family val="2"/>
    </font>
    <font>
      <sz val="12"/>
      <name val="Geneva"/>
    </font>
    <font>
      <sz val="12"/>
      <name val="Arial"/>
      <family val="2"/>
    </font>
    <font>
      <sz val="12"/>
      <color rgb="FFFF0000"/>
      <name val="Trebuchet MS"/>
      <family val="2"/>
    </font>
    <font>
      <b/>
      <sz val="12"/>
      <name val="Geneva"/>
    </font>
    <font>
      <sz val="11"/>
      <color rgb="FF000000"/>
      <name val="Calibri"/>
      <family val="2"/>
      <scheme val="minor"/>
    </font>
    <font>
      <sz val="10"/>
      <color rgb="FF000000"/>
      <name val="Calibri"/>
      <family val="2"/>
      <scheme val="minor"/>
    </font>
    <font>
      <sz val="10"/>
      <color theme="1"/>
      <name val="Calibri"/>
      <scheme val="minor"/>
    </font>
    <font>
      <b/>
      <sz val="10"/>
      <color theme="1"/>
      <name val="Calibri"/>
      <scheme val="minor"/>
    </font>
    <font>
      <b/>
      <sz val="10"/>
      <color rgb="FF000000"/>
      <name val="Calibri"/>
      <family val="2"/>
      <scheme val="minor"/>
    </font>
    <font>
      <sz val="12"/>
      <color theme="1"/>
      <name val="Arial"/>
    </font>
    <font>
      <b/>
      <sz val="8"/>
      <name val="Arial"/>
    </font>
    <font>
      <sz val="10"/>
      <color theme="1"/>
      <name val="Arial"/>
    </font>
    <font>
      <sz val="12"/>
      <color rgb="FF000000"/>
      <name val="Calibri"/>
      <family val="2"/>
      <charset val="238"/>
      <scheme val="minor"/>
    </font>
    <font>
      <sz val="10"/>
      <color rgb="FF000000"/>
      <name val="Arial"/>
    </font>
    <font>
      <b/>
      <sz val="14"/>
      <color theme="1"/>
      <name val="Calibri"/>
      <scheme val="minor"/>
    </font>
    <font>
      <b/>
      <i/>
      <sz val="12"/>
      <color theme="1"/>
      <name val="Calibri"/>
      <scheme val="minor"/>
    </font>
    <font>
      <sz val="8"/>
      <name val="Calibri"/>
      <family val="2"/>
      <charset val="238"/>
      <scheme val="minor"/>
    </font>
    <font>
      <sz val="13"/>
      <color theme="1"/>
      <name val="Calibri"/>
      <scheme val="minor"/>
    </font>
    <font>
      <b/>
      <sz val="11"/>
      <name val="Arial"/>
    </font>
    <font>
      <sz val="11"/>
      <name val="Arial"/>
    </font>
    <font>
      <sz val="9"/>
      <color theme="1"/>
      <name val="TimesNewRomanPSMT"/>
    </font>
    <font>
      <sz val="10"/>
      <color theme="1"/>
      <name val="TimesNewRomanPSMT"/>
    </font>
    <font>
      <sz val="10"/>
      <color rgb="FF000000"/>
      <name val="TimesNewRomanPSMT"/>
    </font>
    <font>
      <sz val="9"/>
      <color rgb="FF000000"/>
      <name val="TimesNewRomanPSMT"/>
    </font>
    <font>
      <b/>
      <sz val="10"/>
      <color theme="1"/>
      <name val="Arial"/>
    </font>
    <font>
      <b/>
      <vertAlign val="superscript"/>
      <sz val="10"/>
      <name val="Arial"/>
    </font>
    <font>
      <vertAlign val="superscript"/>
      <sz val="12"/>
      <color theme="1"/>
      <name val="Calibri"/>
      <scheme val="minor"/>
    </font>
    <font>
      <b/>
      <i/>
      <sz val="14"/>
      <color theme="1"/>
      <name val="Calibri"/>
      <scheme val="minor"/>
    </font>
    <font>
      <sz val="12"/>
      <color theme="0"/>
      <name val="Calibri"/>
      <family val="2"/>
      <charset val="136"/>
      <scheme val="minor"/>
    </font>
    <font>
      <b/>
      <u/>
      <sz val="12"/>
      <name val="Trebuchet MS"/>
      <family val="2"/>
    </font>
    <font>
      <sz val="11"/>
      <color indexed="81"/>
      <name val="Tahoma"/>
      <family val="2"/>
    </font>
    <font>
      <i/>
      <sz val="10"/>
      <color rgb="FF000000"/>
      <name val="Calibri"/>
      <scheme val="minor"/>
    </font>
    <font>
      <sz val="10"/>
      <name val="Calibri"/>
      <scheme val="minor"/>
    </font>
    <font>
      <sz val="10"/>
      <color theme="0"/>
      <name val="Arial"/>
    </font>
    <font>
      <i/>
      <sz val="10"/>
      <color theme="1"/>
      <name val="Arial"/>
    </font>
    <font>
      <i/>
      <sz val="10"/>
      <color rgb="FF000000"/>
      <name val="Arial"/>
    </font>
    <font>
      <b/>
      <sz val="16"/>
      <color theme="1"/>
      <name val="Calibri"/>
      <scheme val="minor"/>
    </font>
    <font>
      <b/>
      <sz val="10"/>
      <color indexed="8"/>
      <name val="Calibri"/>
      <scheme val="minor"/>
    </font>
    <font>
      <b/>
      <sz val="7.75"/>
      <color indexed="8"/>
      <name val="Roboto"/>
    </font>
    <font>
      <b/>
      <sz val="10"/>
      <name val="Calibri"/>
      <scheme val="minor"/>
    </font>
    <font>
      <b/>
      <sz val="10"/>
      <color rgb="FF000000"/>
      <name val="Calibri"/>
    </font>
    <font>
      <sz val="10"/>
      <color rgb="FF000000"/>
      <name val="Calibri"/>
    </font>
    <font>
      <i/>
      <sz val="10"/>
      <color theme="1"/>
      <name val="Calibri"/>
      <scheme val="minor"/>
    </font>
    <font>
      <b/>
      <sz val="8"/>
      <color indexed="8"/>
      <name val="Roboto"/>
    </font>
    <font>
      <b/>
      <sz val="8"/>
      <color rgb="FF000000"/>
      <name val="Roboto"/>
    </font>
    <font>
      <sz val="9"/>
      <color theme="1"/>
      <name val="Calibri"/>
      <scheme val="minor"/>
    </font>
    <font>
      <b/>
      <sz val="9"/>
      <name val="Arial"/>
    </font>
    <font>
      <b/>
      <sz val="9"/>
      <color theme="1"/>
      <name val="Calibri"/>
      <scheme val="minor"/>
    </font>
    <font>
      <sz val="24"/>
      <name val="Calibri"/>
      <scheme val="minor"/>
    </font>
    <font>
      <b/>
      <sz val="24"/>
      <name val="Calibri"/>
      <scheme val="minor"/>
    </font>
    <font>
      <sz val="12"/>
      <name val="Calibri"/>
      <scheme val="minor"/>
    </font>
    <font>
      <b/>
      <sz val="10"/>
      <color theme="0"/>
      <name val="Calibri"/>
      <family val="2"/>
      <scheme val="minor"/>
    </font>
    <font>
      <b/>
      <i/>
      <sz val="10"/>
      <color theme="0"/>
      <name val="Calibri"/>
      <family val="2"/>
      <scheme val="minor"/>
    </font>
    <font>
      <b/>
      <i/>
      <sz val="11"/>
      <name val="Calibri"/>
      <family val="2"/>
      <scheme val="minor"/>
    </font>
    <font>
      <b/>
      <i/>
      <sz val="11"/>
      <color indexed="8"/>
      <name val="Calibri"/>
      <family val="2"/>
      <scheme val="minor"/>
    </font>
    <font>
      <b/>
      <i/>
      <sz val="10"/>
      <name val="Calibri"/>
      <family val="2"/>
      <scheme val="minor"/>
    </font>
    <font>
      <b/>
      <sz val="10"/>
      <color rgb="FFFF0000"/>
      <name val="Calibri"/>
      <family val="2"/>
      <scheme val="minor"/>
    </font>
    <font>
      <b/>
      <i/>
      <sz val="10"/>
      <color indexed="8"/>
      <name val="Calibri"/>
      <family val="2"/>
      <scheme val="minor"/>
    </font>
    <font>
      <i/>
      <sz val="10"/>
      <name val="Calibri"/>
      <family val="2"/>
      <scheme val="minor"/>
    </font>
    <font>
      <b/>
      <i/>
      <sz val="10"/>
      <color rgb="FFFF0000"/>
      <name val="Calibri"/>
      <family val="2"/>
      <scheme val="minor"/>
    </font>
    <font>
      <b/>
      <i/>
      <sz val="11"/>
      <color theme="0"/>
      <name val="Calibri"/>
      <family val="2"/>
      <scheme val="minor"/>
    </font>
    <font>
      <b/>
      <i/>
      <sz val="10"/>
      <color theme="1"/>
      <name val="Calibri"/>
      <family val="2"/>
      <scheme val="minor"/>
    </font>
    <font>
      <sz val="10"/>
      <color indexed="8"/>
      <name val="Calibri"/>
      <family val="2"/>
      <scheme val="minor"/>
    </font>
    <font>
      <b/>
      <sz val="10"/>
      <color rgb="FF000000"/>
      <name val="Arial"/>
    </font>
    <font>
      <sz val="14"/>
      <color theme="1"/>
      <name val="Calibri"/>
      <scheme val="minor"/>
    </font>
    <font>
      <b/>
      <sz val="12"/>
      <color rgb="FF000000"/>
      <name val="Calibri"/>
      <scheme val="minor"/>
    </font>
    <font>
      <sz val="10"/>
      <color rgb="FFFF0000"/>
      <name val="Calibri"/>
      <family val="2"/>
      <charset val="136"/>
      <scheme val="minor"/>
    </font>
    <font>
      <b/>
      <u/>
      <sz val="10"/>
      <color theme="1"/>
      <name val="Arial"/>
      <family val="2"/>
    </font>
    <font>
      <sz val="8"/>
      <color theme="1"/>
      <name val="Calibri"/>
      <family val="2"/>
      <scheme val="minor"/>
    </font>
    <font>
      <sz val="8"/>
      <name val="Trebuchet MS"/>
      <family val="2"/>
    </font>
    <font>
      <i/>
      <sz val="10"/>
      <name val="Arial"/>
    </font>
    <font>
      <sz val="11"/>
      <color theme="1"/>
      <name val="Arial"/>
    </font>
    <font>
      <b/>
      <u/>
      <sz val="11"/>
      <name val="Arial"/>
    </font>
    <font>
      <sz val="10"/>
      <color theme="1"/>
      <name val="Calibri"/>
      <family val="2"/>
      <scheme val="minor"/>
    </font>
    <font>
      <sz val="10"/>
      <color theme="1"/>
      <name val="Arial"/>
      <family val="2"/>
    </font>
  </fonts>
  <fills count="5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bgColor indexed="64"/>
      </patternFill>
    </fill>
    <fill>
      <patternFill patternType="solid">
        <fgColor rgb="FFC0C0C0"/>
        <bgColor rgb="FF000000"/>
      </patternFill>
    </fill>
    <fill>
      <patternFill patternType="solid">
        <fgColor rgb="FFD9D9D9"/>
        <bgColor rgb="FF000000"/>
      </patternFill>
    </fill>
    <fill>
      <patternFill patternType="solid">
        <fgColor theme="0" tint="-0.249977111117893"/>
        <bgColor rgb="FF000000"/>
      </patternFill>
    </fill>
    <fill>
      <patternFill patternType="solid">
        <fgColor rgb="FFFF6600"/>
        <bgColor indexed="64"/>
      </patternFill>
    </fill>
    <fill>
      <patternFill patternType="solid">
        <fgColor rgb="FFFFFF00"/>
        <bgColor rgb="FF000000"/>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1" tint="4.9989318521683403E-2"/>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1" tint="0.14999847407452621"/>
        <bgColor indexed="64"/>
      </patternFill>
    </fill>
    <fill>
      <patternFill patternType="solid">
        <fgColor theme="0" tint="-0.14999847407452621"/>
        <bgColor indexed="0"/>
      </patternFill>
    </fill>
    <fill>
      <patternFill patternType="solid">
        <fgColor rgb="FFFFFFFF"/>
        <bgColor rgb="FF000000"/>
      </patternFill>
    </fill>
    <fill>
      <patternFill patternType="solid">
        <fgColor theme="0" tint="-0.249977111117893"/>
        <bgColor indexed="0"/>
      </patternFill>
    </fill>
    <fill>
      <patternFill patternType="solid">
        <fgColor rgb="FFFFFF00"/>
        <bgColor indexed="0"/>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D454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CCCC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1" tint="0.14999847407452621"/>
        <bgColor rgb="FF000000"/>
      </patternFill>
    </fill>
    <fill>
      <patternFill patternType="solid">
        <fgColor theme="9" tint="0.79998168889431442"/>
        <bgColor rgb="FF000000"/>
      </patternFill>
    </fill>
    <fill>
      <patternFill patternType="solid">
        <fgColor theme="1" tint="0.249977111117893"/>
        <bgColor indexed="64"/>
      </patternFill>
    </fill>
    <fill>
      <patternFill patternType="solid">
        <fgColor theme="1" tint="0.249977111117893"/>
        <bgColor rgb="FF000000"/>
      </patternFill>
    </fill>
  </fills>
  <borders count="73">
    <border>
      <left/>
      <right/>
      <top/>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right/>
      <top style="thin">
        <color rgb="FFD3D3D3"/>
      </top>
      <bottom style="thin">
        <color rgb="FFD3D3D3"/>
      </bottom>
      <diagonal/>
    </border>
    <border>
      <left/>
      <right/>
      <top/>
      <bottom style="thin">
        <color rgb="FFD3D3D3"/>
      </bottom>
      <diagonal/>
    </border>
    <border>
      <left style="thin">
        <color indexed="15"/>
      </left>
      <right style="thin">
        <color indexed="15"/>
      </right>
      <top style="thin">
        <color indexed="15"/>
      </top>
      <bottom style="thin">
        <color indexed="15"/>
      </bottom>
      <diagonal/>
    </border>
    <border>
      <left/>
      <right/>
      <top style="thin">
        <color indexed="15"/>
      </top>
      <bottom style="thin">
        <color indexed="15"/>
      </bottom>
      <diagonal/>
    </border>
    <border>
      <left style="thin">
        <color indexed="15"/>
      </left>
      <right style="thin">
        <color indexed="15"/>
      </right>
      <top style="thin">
        <color auto="1"/>
      </top>
      <bottom style="thin">
        <color indexed="15"/>
      </bottom>
      <diagonal/>
    </border>
    <border>
      <left/>
      <right/>
      <top style="thin">
        <color indexed="15"/>
      </top>
      <bottom style="thin">
        <color auto="1"/>
      </bottom>
      <diagonal/>
    </border>
    <border>
      <left style="thin">
        <color indexed="15"/>
      </left>
      <right/>
      <top style="thin">
        <color indexed="15"/>
      </top>
      <bottom style="thin">
        <color indexed="15"/>
      </bottom>
      <diagonal/>
    </border>
    <border>
      <left/>
      <right/>
      <top style="thin">
        <color auto="1"/>
      </top>
      <bottom style="thin">
        <color indexed="15"/>
      </bottom>
      <diagonal/>
    </border>
    <border>
      <left/>
      <right/>
      <top style="thin">
        <color indexed="8"/>
      </top>
      <bottom/>
      <diagonal/>
    </border>
    <border>
      <left/>
      <right/>
      <top style="thin">
        <color rgb="FFD3D3D3"/>
      </top>
      <bottom/>
      <diagonal/>
    </border>
    <border>
      <left style="thin">
        <color indexed="15"/>
      </left>
      <right style="thin">
        <color indexed="15"/>
      </right>
      <top style="thin">
        <color indexed="15"/>
      </top>
      <bottom/>
      <diagonal/>
    </border>
    <border>
      <left/>
      <right/>
      <top style="thin">
        <color rgb="FFD3D3D3"/>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double">
        <color auto="1"/>
      </bottom>
      <diagonal/>
    </border>
    <border>
      <left style="medium">
        <color auto="1"/>
      </left>
      <right/>
      <top style="thin">
        <color auto="1"/>
      </top>
      <bottom/>
      <diagonal/>
    </border>
    <border>
      <left style="medium">
        <color auto="1"/>
      </left>
      <right/>
      <top/>
      <bottom style="thin">
        <color auto="1"/>
      </bottom>
      <diagonal/>
    </border>
    <border>
      <left/>
      <right style="thin">
        <color auto="1"/>
      </right>
      <top style="medium">
        <color auto="1"/>
      </top>
      <bottom/>
      <diagonal/>
    </border>
    <border>
      <left style="medium">
        <color auto="1"/>
      </left>
      <right style="medium">
        <color auto="1"/>
      </right>
      <top/>
      <bottom style="medium">
        <color auto="1"/>
      </bottom>
      <diagonal/>
    </border>
    <border>
      <left style="thin">
        <color indexed="15"/>
      </left>
      <right style="thin">
        <color indexed="15"/>
      </right>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right/>
      <top style="thin">
        <color indexed="64"/>
      </top>
      <bottom style="thin">
        <color auto="1"/>
      </bottom>
      <diagonal/>
    </border>
  </borders>
  <cellStyleXfs count="5617">
    <xf numFmtId="0" fontId="0" fillId="0" borderId="0"/>
    <xf numFmtId="43"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4" fontId="4"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0"/>
    <xf numFmtId="0" fontId="19" fillId="0" borderId="0"/>
    <xf numFmtId="0" fontId="27"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27"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0" borderId="0"/>
  </cellStyleXfs>
  <cellXfs count="1673">
    <xf numFmtId="0" fontId="0" fillId="0" borderId="0" xfId="0"/>
    <xf numFmtId="0" fontId="8" fillId="0" borderId="0" xfId="0" applyFont="1"/>
    <xf numFmtId="0" fontId="9" fillId="0" borderId="1" xfId="0" applyFont="1" applyBorder="1"/>
    <xf numFmtId="0" fontId="9" fillId="0" borderId="1" xfId="0" applyFont="1" applyBorder="1" applyAlignment="1">
      <alignment horizontal="center"/>
    </xf>
    <xf numFmtId="164" fontId="10" fillId="0" borderId="0" xfId="1" applyNumberFormat="1" applyFont="1"/>
    <xf numFmtId="164" fontId="11" fillId="0" borderId="0" xfId="1" applyNumberFormat="1" applyFont="1" applyFill="1"/>
    <xf numFmtId="164" fontId="11" fillId="0" borderId="0" xfId="1" applyNumberFormat="1" applyFont="1"/>
    <xf numFmtId="0" fontId="11" fillId="0" borderId="0" xfId="0" applyFont="1"/>
    <xf numFmtId="164" fontId="8" fillId="0" borderId="0" xfId="0" applyNumberFormat="1" applyFont="1"/>
    <xf numFmtId="164" fontId="11" fillId="0" borderId="0" xfId="0" applyNumberFormat="1" applyFont="1"/>
    <xf numFmtId="0" fontId="6" fillId="0" borderId="0" xfId="0" applyFont="1"/>
    <xf numFmtId="0" fontId="8" fillId="0" borderId="0" xfId="0" applyFont="1" applyFill="1" applyBorder="1" applyAlignment="1">
      <alignment horizontal="center"/>
    </xf>
    <xf numFmtId="164" fontId="0" fillId="0" borderId="0" xfId="0" applyNumberFormat="1"/>
    <xf numFmtId="0" fontId="8" fillId="0" borderId="0" xfId="0" applyFont="1" applyAlignment="1">
      <alignment horizontal="left" indent="1"/>
    </xf>
    <xf numFmtId="165" fontId="0" fillId="0" borderId="0" xfId="2" applyNumberFormat="1" applyFont="1"/>
    <xf numFmtId="0" fontId="0" fillId="0" borderId="4" xfId="0" applyBorder="1"/>
    <xf numFmtId="0" fontId="0" fillId="0" borderId="2" xfId="0" applyBorder="1"/>
    <xf numFmtId="165" fontId="0" fillId="0" borderId="0" xfId="0" applyNumberFormat="1"/>
    <xf numFmtId="0" fontId="7" fillId="0" borderId="3" xfId="0" applyFont="1" applyBorder="1"/>
    <xf numFmtId="0" fontId="21" fillId="0" borderId="0" xfId="142" applyFont="1"/>
    <xf numFmtId="0" fontId="24" fillId="0" borderId="7" xfId="142" applyFont="1" applyBorder="1" applyAlignment="1">
      <alignment horizontal="center"/>
    </xf>
    <xf numFmtId="0" fontId="24" fillId="0" borderId="3" xfId="142" applyFont="1" applyBorder="1" applyAlignment="1">
      <alignment horizontal="left"/>
    </xf>
    <xf numFmtId="0" fontId="25" fillId="0" borderId="8" xfId="142" applyFont="1" applyBorder="1" applyAlignment="1"/>
    <xf numFmtId="0" fontId="26" fillId="0" borderId="9" xfId="143" applyFont="1" applyBorder="1" applyAlignment="1">
      <alignment horizontal="center" wrapText="1"/>
    </xf>
    <xf numFmtId="0" fontId="26" fillId="0" borderId="9" xfId="143" applyFont="1" applyFill="1" applyBorder="1" applyAlignment="1">
      <alignment horizontal="center" wrapText="1"/>
    </xf>
    <xf numFmtId="0" fontId="28" fillId="6" borderId="9" xfId="143" applyFont="1" applyFill="1" applyBorder="1" applyAlignment="1">
      <alignment horizontal="center" wrapText="1"/>
    </xf>
    <xf numFmtId="0" fontId="24" fillId="0" borderId="0" xfId="142" applyFont="1" applyBorder="1" applyAlignment="1">
      <alignment horizontal="center"/>
    </xf>
    <xf numFmtId="49" fontId="21" fillId="0" borderId="0" xfId="142" applyNumberFormat="1" applyFont="1" applyFill="1" applyAlignment="1">
      <alignment vertical="center"/>
    </xf>
    <xf numFmtId="0" fontId="29" fillId="0" borderId="0" xfId="142" applyFont="1" applyFill="1" applyAlignment="1">
      <alignment vertical="center"/>
    </xf>
    <xf numFmtId="49" fontId="21" fillId="0" borderId="0" xfId="142" applyNumberFormat="1" applyFont="1" applyAlignment="1">
      <alignment vertical="center"/>
    </xf>
    <xf numFmtId="41" fontId="21" fillId="0" borderId="0" xfId="142" applyNumberFormat="1" applyFont="1"/>
    <xf numFmtId="0" fontId="21" fillId="0" borderId="0" xfId="142" applyFont="1" applyFill="1"/>
    <xf numFmtId="0" fontId="29" fillId="0" borderId="0" xfId="142" applyFont="1" applyFill="1" applyBorder="1" applyAlignment="1">
      <alignment vertical="center"/>
    </xf>
    <xf numFmtId="164" fontId="21" fillId="0" borderId="0" xfId="142" applyNumberFormat="1" applyFont="1"/>
    <xf numFmtId="41" fontId="21" fillId="0" borderId="0" xfId="142" applyNumberFormat="1" applyFont="1" applyFill="1"/>
    <xf numFmtId="0" fontId="25" fillId="0" borderId="0" xfId="142" applyFont="1" applyFill="1" applyAlignment="1">
      <alignment vertical="center"/>
    </xf>
    <xf numFmtId="164" fontId="25" fillId="0" borderId="3" xfId="1" applyNumberFormat="1" applyFont="1" applyFill="1" applyBorder="1" applyAlignment="1">
      <alignment vertical="center"/>
    </xf>
    <xf numFmtId="49" fontId="32" fillId="0" borderId="0" xfId="142" applyNumberFormat="1" applyFont="1" applyAlignment="1">
      <alignment vertical="center"/>
    </xf>
    <xf numFmtId="0" fontId="21" fillId="0" borderId="0" xfId="142" applyFont="1" applyFill="1" applyAlignment="1">
      <alignment vertical="center"/>
    </xf>
    <xf numFmtId="49" fontId="21" fillId="0" borderId="0" xfId="142" applyNumberFormat="1" applyFont="1" applyBorder="1" applyAlignment="1">
      <alignment vertical="center"/>
    </xf>
    <xf numFmtId="0" fontId="25" fillId="0" borderId="0" xfId="142" applyFont="1"/>
    <xf numFmtId="0" fontId="21" fillId="0" borderId="0" xfId="142" applyFont="1" applyFill="1" applyAlignment="1">
      <alignment horizontal="left"/>
    </xf>
    <xf numFmtId="0" fontId="27" fillId="0" borderId="0" xfId="0" applyFont="1"/>
    <xf numFmtId="0" fontId="29" fillId="0" borderId="0" xfId="142" applyFont="1"/>
    <xf numFmtId="49" fontId="29" fillId="0" borderId="0" xfId="142" applyNumberFormat="1" applyFont="1" applyAlignment="1">
      <alignment vertical="center"/>
    </xf>
    <xf numFmtId="0" fontId="21" fillId="0" borderId="0" xfId="142" applyFont="1" applyFill="1" applyBorder="1" applyAlignment="1">
      <alignment vertical="center"/>
    </xf>
    <xf numFmtId="49" fontId="25" fillId="0" borderId="0" xfId="142" applyNumberFormat="1" applyFont="1" applyAlignment="1">
      <alignment vertical="center"/>
    </xf>
    <xf numFmtId="0" fontId="25" fillId="0" borderId="0" xfId="142" applyFont="1" applyFill="1"/>
    <xf numFmtId="49" fontId="25" fillId="0" borderId="0" xfId="142" applyNumberFormat="1" applyFont="1" applyFill="1" applyAlignment="1">
      <alignment vertical="center"/>
    </xf>
    <xf numFmtId="0" fontId="29" fillId="0" borderId="0" xfId="142" applyFont="1" applyFill="1"/>
    <xf numFmtId="49" fontId="25" fillId="0" borderId="0" xfId="142" applyNumberFormat="1" applyFont="1" applyFill="1"/>
    <xf numFmtId="49" fontId="21" fillId="0" borderId="0" xfId="142" applyNumberFormat="1" applyFont="1"/>
    <xf numFmtId="0" fontId="37" fillId="0" borderId="0" xfId="0" applyFont="1" applyBorder="1"/>
    <xf numFmtId="43" fontId="38" fillId="0" borderId="0" xfId="0" applyNumberFormat="1" applyFont="1" applyBorder="1"/>
    <xf numFmtId="164" fontId="0" fillId="0" borderId="0" xfId="0" applyNumberFormat="1" applyBorder="1"/>
    <xf numFmtId="37" fontId="39" fillId="0" borderId="0" xfId="0" applyNumberFormat="1" applyFont="1" applyBorder="1" applyAlignment="1">
      <alignment horizontal="center" vertical="center"/>
    </xf>
    <xf numFmtId="0" fontId="28" fillId="0" borderId="0" xfId="0" applyFont="1" applyBorder="1" applyAlignment="1"/>
    <xf numFmtId="37" fontId="40" fillId="0" borderId="0" xfId="0" applyNumberFormat="1" applyFont="1" applyBorder="1" applyAlignment="1">
      <alignment horizontal="center" vertical="center"/>
    </xf>
    <xf numFmtId="0" fontId="28" fillId="0" borderId="0" xfId="0" applyFont="1" applyAlignment="1">
      <alignment horizontal="center"/>
    </xf>
    <xf numFmtId="0" fontId="28" fillId="0" borderId="0" xfId="0" applyFont="1" applyBorder="1" applyAlignment="1">
      <alignment horizontal="center"/>
    </xf>
    <xf numFmtId="0" fontId="28" fillId="0" borderId="0" xfId="0" applyFont="1"/>
    <xf numFmtId="0" fontId="0" fillId="5" borderId="0" xfId="0" applyFill="1"/>
    <xf numFmtId="164" fontId="27" fillId="5" borderId="0" xfId="1" applyNumberFormat="1" applyFont="1" applyFill="1" applyBorder="1"/>
    <xf numFmtId="164" fontId="27" fillId="5" borderId="0" xfId="1" applyNumberFormat="1" applyFont="1" applyFill="1"/>
    <xf numFmtId="0" fontId="27" fillId="5" borderId="0" xfId="0" applyFont="1" applyFill="1"/>
    <xf numFmtId="41" fontId="0" fillId="5" borderId="0" xfId="0" applyNumberFormat="1" applyFill="1"/>
    <xf numFmtId="0" fontId="0" fillId="0" borderId="0" xfId="0" applyFill="1"/>
    <xf numFmtId="0" fontId="0" fillId="0" borderId="0" xfId="0" applyFill="1" applyBorder="1"/>
    <xf numFmtId="164" fontId="27" fillId="0" borderId="0" xfId="1" applyNumberFormat="1" applyFont="1" applyFill="1"/>
    <xf numFmtId="0" fontId="27" fillId="0" borderId="0" xfId="0" applyFont="1" applyFill="1"/>
    <xf numFmtId="164" fontId="0" fillId="0" borderId="0" xfId="0" applyNumberFormat="1" applyFill="1"/>
    <xf numFmtId="0" fontId="41" fillId="0" borderId="0" xfId="0" applyFont="1"/>
    <xf numFmtId="0" fontId="27" fillId="0" borderId="0" xfId="0" applyFont="1" applyBorder="1"/>
    <xf numFmtId="164" fontId="27" fillId="0" borderId="0" xfId="1" applyNumberFormat="1" applyFont="1"/>
    <xf numFmtId="0" fontId="0" fillId="5" borderId="0" xfId="0" applyFill="1" applyBorder="1"/>
    <xf numFmtId="164" fontId="27" fillId="5" borderId="0" xfId="144" applyNumberFormat="1" applyFill="1" applyBorder="1"/>
    <xf numFmtId="0" fontId="27" fillId="0" borderId="0" xfId="0" applyFont="1" applyFill="1" applyBorder="1"/>
    <xf numFmtId="164" fontId="27" fillId="0" borderId="0" xfId="144" applyNumberFormat="1" applyFill="1" applyBorder="1"/>
    <xf numFmtId="164" fontId="27" fillId="0" borderId="0" xfId="1" applyNumberFormat="1" applyFont="1" applyFill="1" applyBorder="1"/>
    <xf numFmtId="164" fontId="0" fillId="0" borderId="0" xfId="1" applyNumberFormat="1" applyFont="1" applyFill="1"/>
    <xf numFmtId="164" fontId="0" fillId="0" borderId="0" xfId="0" applyNumberFormat="1" applyFill="1" applyBorder="1"/>
    <xf numFmtId="164" fontId="0" fillId="0" borderId="3" xfId="0" applyNumberFormat="1" applyFill="1" applyBorder="1"/>
    <xf numFmtId="164" fontId="27" fillId="0" borderId="3" xfId="1" applyNumberFormat="1" applyFont="1" applyFill="1" applyBorder="1"/>
    <xf numFmtId="164" fontId="0" fillId="0" borderId="0" xfId="1" applyNumberFormat="1" applyFont="1" applyFill="1" applyBorder="1"/>
    <xf numFmtId="164" fontId="27" fillId="0" borderId="3" xfId="144" applyNumberFormat="1" applyFill="1" applyBorder="1"/>
    <xf numFmtId="164" fontId="27" fillId="5" borderId="1" xfId="144" applyNumberFormat="1" applyFill="1" applyBorder="1"/>
    <xf numFmtId="164" fontId="27" fillId="5" borderId="1" xfId="1" applyNumberFormat="1" applyFont="1" applyFill="1" applyBorder="1"/>
    <xf numFmtId="0" fontId="22" fillId="0" borderId="0" xfId="0" applyFont="1" applyBorder="1" applyAlignment="1">
      <alignment horizontal="left"/>
    </xf>
    <xf numFmtId="0" fontId="25" fillId="0" borderId="0" xfId="0" applyFont="1" applyFill="1"/>
    <xf numFmtId="0" fontId="0" fillId="0" borderId="10" xfId="0" applyBorder="1"/>
    <xf numFmtId="164" fontId="25" fillId="0" borderId="0" xfId="1" applyNumberFormat="1" applyFont="1" applyBorder="1" applyAlignment="1">
      <alignment horizontal="center"/>
    </xf>
    <xf numFmtId="0" fontId="0" fillId="0" borderId="0" xfId="0" applyBorder="1"/>
    <xf numFmtId="0" fontId="25" fillId="0" borderId="0" xfId="0" applyFont="1" applyFill="1" applyBorder="1"/>
    <xf numFmtId="164" fontId="25" fillId="0" borderId="11" xfId="1" applyNumberFormat="1" applyFont="1" applyBorder="1" applyAlignment="1">
      <alignment horizontal="center"/>
    </xf>
    <xf numFmtId="0" fontId="25" fillId="0" borderId="4" xfId="0" applyFont="1" applyBorder="1"/>
    <xf numFmtId="0" fontId="25" fillId="0" borderId="4" xfId="0" applyFont="1" applyBorder="1" applyAlignment="1">
      <alignment horizontal="center"/>
    </xf>
    <xf numFmtId="0" fontId="29" fillId="0" borderId="4" xfId="0" applyFont="1" applyBorder="1"/>
    <xf numFmtId="0" fontId="29" fillId="0" borderId="10" xfId="0" applyFont="1" applyBorder="1"/>
    <xf numFmtId="0" fontId="25" fillId="0" borderId="0" xfId="0" applyFont="1" applyBorder="1" applyAlignment="1">
      <alignment horizontal="center"/>
    </xf>
    <xf numFmtId="0" fontId="23" fillId="0" borderId="0" xfId="0" applyFont="1"/>
    <xf numFmtId="0" fontId="22" fillId="0" borderId="0" xfId="0" applyFont="1"/>
    <xf numFmtId="0" fontId="29" fillId="0" borderId="0" xfId="0" applyFont="1"/>
    <xf numFmtId="0" fontId="29" fillId="0" borderId="0" xfId="0" applyFont="1" applyBorder="1"/>
    <xf numFmtId="164" fontId="25" fillId="0" borderId="13" xfId="1" applyNumberFormat="1" applyFont="1" applyBorder="1" applyAlignment="1">
      <alignment horizontal="center"/>
    </xf>
    <xf numFmtId="0" fontId="25" fillId="0" borderId="2" xfId="0" applyFont="1" applyBorder="1"/>
    <xf numFmtId="0" fontId="25" fillId="0" borderId="2" xfId="0" applyFont="1" applyBorder="1" applyAlignment="1">
      <alignment horizontal="center"/>
    </xf>
    <xf numFmtId="0" fontId="25" fillId="0" borderId="10" xfId="0" applyFont="1" applyBorder="1" applyAlignment="1">
      <alignment horizontal="center"/>
    </xf>
    <xf numFmtId="0" fontId="29" fillId="0" borderId="0" xfId="0" applyFont="1" applyFill="1" applyBorder="1"/>
    <xf numFmtId="0" fontId="29" fillId="0" borderId="11" xfId="0" applyFont="1" applyBorder="1" applyAlignment="1">
      <alignment horizontal="right"/>
    </xf>
    <xf numFmtId="0" fontId="29" fillId="0" borderId="0" xfId="0" applyFont="1" applyBorder="1" applyAlignment="1">
      <alignment horizontal="right"/>
    </xf>
    <xf numFmtId="0" fontId="0" fillId="0" borderId="16" xfId="0" applyBorder="1"/>
    <xf numFmtId="0" fontId="45" fillId="0" borderId="0" xfId="0" applyFont="1"/>
    <xf numFmtId="164" fontId="45" fillId="0" borderId="0" xfId="1" applyNumberFormat="1" applyFont="1" applyFill="1" applyBorder="1"/>
    <xf numFmtId="164" fontId="45" fillId="0" borderId="16" xfId="1" applyNumberFormat="1" applyFont="1" applyFill="1" applyBorder="1"/>
    <xf numFmtId="164" fontId="45" fillId="0" borderId="0" xfId="1" applyNumberFormat="1" applyFont="1" applyBorder="1"/>
    <xf numFmtId="164" fontId="45" fillId="0" borderId="10" xfId="1" applyNumberFormat="1" applyFont="1" applyFill="1" applyBorder="1"/>
    <xf numFmtId="0" fontId="46" fillId="0" borderId="0" xfId="0" applyFont="1" applyBorder="1"/>
    <xf numFmtId="164" fontId="45" fillId="0" borderId="10" xfId="0" applyNumberFormat="1" applyFont="1" applyBorder="1"/>
    <xf numFmtId="164" fontId="45" fillId="0" borderId="0" xfId="0" applyNumberFormat="1" applyFont="1" applyBorder="1"/>
    <xf numFmtId="9" fontId="47" fillId="0" borderId="0" xfId="2" applyFont="1" applyBorder="1"/>
    <xf numFmtId="164" fontId="45" fillId="0" borderId="17" xfId="1" applyNumberFormat="1" applyFont="1" applyBorder="1"/>
    <xf numFmtId="164" fontId="45" fillId="0" borderId="17" xfId="1" applyNumberFormat="1" applyFont="1" applyFill="1" applyBorder="1"/>
    <xf numFmtId="164" fontId="45" fillId="0" borderId="13" xfId="1" applyNumberFormat="1" applyFont="1" applyFill="1" applyBorder="1"/>
    <xf numFmtId="164" fontId="45" fillId="0" borderId="2" xfId="1" applyNumberFormat="1" applyFont="1" applyBorder="1"/>
    <xf numFmtId="164" fontId="22" fillId="0" borderId="0" xfId="1" applyNumberFormat="1" applyFont="1" applyFill="1" applyBorder="1"/>
    <xf numFmtId="164" fontId="22" fillId="0" borderId="11" xfId="1" applyNumberFormat="1" applyFont="1" applyFill="1" applyBorder="1"/>
    <xf numFmtId="164" fontId="22" fillId="0" borderId="10" xfId="1" applyNumberFormat="1" applyFont="1" applyFill="1" applyBorder="1"/>
    <xf numFmtId="164" fontId="22" fillId="0" borderId="16" xfId="1" applyNumberFormat="1" applyFont="1" applyFill="1" applyBorder="1"/>
    <xf numFmtId="41" fontId="45" fillId="0" borderId="17" xfId="1" applyNumberFormat="1" applyFont="1" applyBorder="1"/>
    <xf numFmtId="0" fontId="45" fillId="0" borderId="0" xfId="0" applyFont="1" applyBorder="1"/>
    <xf numFmtId="164" fontId="48" fillId="0" borderId="0" xfId="1" applyNumberFormat="1" applyFont="1" applyFill="1" applyBorder="1"/>
    <xf numFmtId="0" fontId="45" fillId="0" borderId="0" xfId="0" applyFont="1" applyFill="1" applyBorder="1"/>
    <xf numFmtId="164" fontId="45" fillId="0" borderId="17" xfId="0" applyNumberFormat="1" applyFont="1" applyFill="1" applyBorder="1"/>
    <xf numFmtId="164" fontId="45" fillId="0" borderId="0" xfId="0" applyNumberFormat="1" applyFont="1" applyFill="1" applyBorder="1"/>
    <xf numFmtId="0" fontId="47" fillId="0" borderId="0" xfId="0" applyFont="1" applyBorder="1"/>
    <xf numFmtId="165" fontId="45" fillId="0" borderId="0" xfId="2" applyNumberFormat="1" applyFont="1" applyFill="1" applyBorder="1"/>
    <xf numFmtId="0" fontId="22" fillId="0" borderId="0" xfId="0" applyFont="1" applyBorder="1"/>
    <xf numFmtId="164" fontId="22" fillId="0" borderId="16" xfId="1" applyNumberFormat="1" applyFont="1" applyBorder="1"/>
    <xf numFmtId="164" fontId="22" fillId="0" borderId="17" xfId="1" applyNumberFormat="1" applyFont="1" applyBorder="1"/>
    <xf numFmtId="37" fontId="22" fillId="0" borderId="10" xfId="1" applyNumberFormat="1" applyFont="1" applyBorder="1"/>
    <xf numFmtId="37" fontId="22" fillId="0" borderId="0" xfId="1" applyNumberFormat="1" applyFont="1" applyFill="1" applyBorder="1"/>
    <xf numFmtId="0" fontId="22" fillId="6" borderId="7" xfId="0" applyFont="1" applyFill="1" applyBorder="1"/>
    <xf numFmtId="0" fontId="22" fillId="6" borderId="3" xfId="0" applyFont="1" applyFill="1" applyBorder="1"/>
    <xf numFmtId="0" fontId="45" fillId="6" borderId="3" xfId="0" applyFont="1" applyFill="1" applyBorder="1"/>
    <xf numFmtId="164" fontId="22" fillId="6" borderId="7" xfId="0" applyNumberFormat="1" applyFont="1" applyFill="1" applyBorder="1"/>
    <xf numFmtId="0" fontId="49" fillId="0" borderId="0" xfId="0" applyFont="1" applyFill="1" applyBorder="1"/>
    <xf numFmtId="164" fontId="22" fillId="6" borderId="3" xfId="0" applyNumberFormat="1" applyFont="1" applyFill="1" applyBorder="1"/>
    <xf numFmtId="164" fontId="22" fillId="0" borderId="10" xfId="0" applyNumberFormat="1" applyFont="1" applyFill="1" applyBorder="1"/>
    <xf numFmtId="164" fontId="22" fillId="0" borderId="0" xfId="0" applyNumberFormat="1" applyFont="1" applyFill="1" applyBorder="1"/>
    <xf numFmtId="0" fontId="22" fillId="0" borderId="0" xfId="0" applyFont="1" applyFill="1" applyBorder="1"/>
    <xf numFmtId="10" fontId="45" fillId="0" borderId="0" xfId="1" applyNumberFormat="1" applyFont="1" applyFill="1" applyBorder="1"/>
    <xf numFmtId="164" fontId="22" fillId="0" borderId="16" xfId="0" applyNumberFormat="1" applyFont="1" applyFill="1" applyBorder="1"/>
    <xf numFmtId="164" fontId="22" fillId="0" borderId="17" xfId="0" applyNumberFormat="1" applyFont="1" applyFill="1" applyBorder="1"/>
    <xf numFmtId="164" fontId="45" fillId="0" borderId="16" xfId="1" applyNumberFormat="1" applyFont="1" applyBorder="1"/>
    <xf numFmtId="0" fontId="46" fillId="0" borderId="0" xfId="0" applyFont="1" applyFill="1" applyBorder="1"/>
    <xf numFmtId="164" fontId="47" fillId="0" borderId="0" xfId="0" applyNumberFormat="1" applyFont="1" applyBorder="1"/>
    <xf numFmtId="0" fontId="45" fillId="6" borderId="7" xfId="0" applyFont="1" applyFill="1" applyBorder="1"/>
    <xf numFmtId="164" fontId="45" fillId="6" borderId="3" xfId="1" applyNumberFormat="1" applyFont="1" applyFill="1" applyBorder="1"/>
    <xf numFmtId="164" fontId="22" fillId="6" borderId="7" xfId="1" applyNumberFormat="1" applyFont="1" applyFill="1" applyBorder="1"/>
    <xf numFmtId="164" fontId="22" fillId="6" borderId="8" xfId="1" applyNumberFormat="1" applyFont="1" applyFill="1" applyBorder="1"/>
    <xf numFmtId="41" fontId="22" fillId="6" borderId="8" xfId="1" applyNumberFormat="1" applyFont="1" applyFill="1" applyBorder="1"/>
    <xf numFmtId="164" fontId="47" fillId="0" borderId="0" xfId="1" applyNumberFormat="1" applyFont="1" applyBorder="1"/>
    <xf numFmtId="164" fontId="45" fillId="0" borderId="4" xfId="1" applyNumberFormat="1" applyFont="1" applyFill="1" applyBorder="1"/>
    <xf numFmtId="41" fontId="22" fillId="0" borderId="12" xfId="1" applyNumberFormat="1" applyFont="1" applyFill="1" applyBorder="1"/>
    <xf numFmtId="164" fontId="22" fillId="0" borderId="15" xfId="1" applyNumberFormat="1" applyFont="1" applyFill="1" applyBorder="1"/>
    <xf numFmtId="164" fontId="22" fillId="6" borderId="13" xfId="1" applyNumberFormat="1" applyFont="1" applyFill="1" applyBorder="1"/>
    <xf numFmtId="164" fontId="22" fillId="6" borderId="3" xfId="1" applyNumberFormat="1" applyFont="1" applyFill="1" applyBorder="1"/>
    <xf numFmtId="164" fontId="22" fillId="6" borderId="2" xfId="1" applyNumberFormat="1" applyFont="1" applyFill="1" applyBorder="1"/>
    <xf numFmtId="41" fontId="22" fillId="0" borderId="16" xfId="1" applyNumberFormat="1" applyFont="1" applyFill="1" applyBorder="1" applyAlignment="1">
      <alignment horizontal="left"/>
    </xf>
    <xf numFmtId="37" fontId="22" fillId="0" borderId="17" xfId="1" applyNumberFormat="1" applyFont="1" applyFill="1" applyBorder="1"/>
    <xf numFmtId="164" fontId="45" fillId="0" borderId="16" xfId="0" applyNumberFormat="1" applyFont="1" applyBorder="1"/>
    <xf numFmtId="0" fontId="45" fillId="0" borderId="16" xfId="0" applyFont="1" applyBorder="1"/>
    <xf numFmtId="0" fontId="45" fillId="0" borderId="10" xfId="0" applyFont="1" applyFill="1" applyBorder="1"/>
    <xf numFmtId="5" fontId="22" fillId="0" borderId="10" xfId="1" applyNumberFormat="1" applyFont="1" applyFill="1" applyBorder="1"/>
    <xf numFmtId="5" fontId="22" fillId="0" borderId="0" xfId="1" applyNumberFormat="1" applyFont="1" applyFill="1" applyBorder="1"/>
    <xf numFmtId="164" fontId="29" fillId="0" borderId="0" xfId="1" applyNumberFormat="1" applyFont="1" applyFill="1" applyBorder="1"/>
    <xf numFmtId="0" fontId="47" fillId="0" borderId="0" xfId="0" applyFont="1"/>
    <xf numFmtId="5" fontId="0" fillId="0" borderId="0" xfId="0" applyNumberFormat="1" applyBorder="1"/>
    <xf numFmtId="0" fontId="21" fillId="0" borderId="0" xfId="142" applyFont="1" applyFill="1" applyAlignment="1">
      <alignment horizontal="left" indent="1"/>
    </xf>
    <xf numFmtId="164" fontId="51" fillId="13" borderId="0" xfId="0" applyNumberFormat="1" applyFont="1" applyFill="1"/>
    <xf numFmtId="164" fontId="51" fillId="0" borderId="0" xfId="0" applyNumberFormat="1" applyFont="1"/>
    <xf numFmtId="0" fontId="27" fillId="13" borderId="0" xfId="0" applyFont="1" applyFill="1"/>
    <xf numFmtId="0" fontId="9" fillId="0" borderId="0" xfId="0" applyFont="1" applyBorder="1" applyAlignment="1">
      <alignment horizontal="center"/>
    </xf>
    <xf numFmtId="0" fontId="0" fillId="0" borderId="1" xfId="0" applyBorder="1"/>
    <xf numFmtId="164" fontId="52" fillId="0" borderId="0" xfId="1" applyNumberFormat="1" applyFont="1"/>
    <xf numFmtId="0" fontId="52" fillId="0" borderId="0" xfId="0" applyFont="1"/>
    <xf numFmtId="0" fontId="52" fillId="0" borderId="0" xfId="0" applyFont="1" applyFill="1"/>
    <xf numFmtId="0" fontId="52" fillId="7" borderId="0" xfId="0" applyFont="1" applyFill="1"/>
    <xf numFmtId="164" fontId="51" fillId="7" borderId="0" xfId="0" applyNumberFormat="1" applyFont="1" applyFill="1"/>
    <xf numFmtId="0" fontId="52" fillId="0" borderId="1" xfId="0" applyFont="1" applyBorder="1"/>
    <xf numFmtId="164" fontId="52" fillId="0" borderId="1" xfId="0" applyNumberFormat="1" applyFont="1" applyBorder="1"/>
    <xf numFmtId="0" fontId="29" fillId="0" borderId="0" xfId="142" applyFont="1" applyFill="1" applyAlignment="1">
      <alignment horizontal="left" indent="2"/>
    </xf>
    <xf numFmtId="0" fontId="29" fillId="7" borderId="0" xfId="142" applyFont="1" applyFill="1"/>
    <xf numFmtId="0" fontId="29" fillId="0" borderId="0" xfId="0" applyFont="1" applyAlignment="1">
      <alignment horizontal="left" indent="2"/>
    </xf>
    <xf numFmtId="167" fontId="52" fillId="0" borderId="0" xfId="0" applyNumberFormat="1" applyFont="1"/>
    <xf numFmtId="0" fontId="52" fillId="0" borderId="5" xfId="0" applyFont="1" applyBorder="1"/>
    <xf numFmtId="0" fontId="53" fillId="0" borderId="0" xfId="0" applyFont="1"/>
    <xf numFmtId="164" fontId="51" fillId="15" borderId="0" xfId="0" applyNumberFormat="1" applyFont="1" applyFill="1"/>
    <xf numFmtId="0" fontId="28" fillId="3" borderId="0" xfId="0" applyFont="1" applyFill="1" applyAlignment="1">
      <alignment horizontal="center"/>
    </xf>
    <xf numFmtId="0" fontId="28" fillId="3" borderId="2" xfId="0" applyFont="1" applyFill="1" applyBorder="1" applyAlignment="1">
      <alignment horizontal="center"/>
    </xf>
    <xf numFmtId="0" fontId="55" fillId="0" borderId="0" xfId="0" applyFont="1"/>
    <xf numFmtId="41" fontId="57" fillId="5" borderId="0" xfId="0" applyNumberFormat="1" applyFont="1" applyFill="1"/>
    <xf numFmtId="0" fontId="57" fillId="0" borderId="0" xfId="0" applyFont="1"/>
    <xf numFmtId="0" fontId="57" fillId="0" borderId="0" xfId="0" applyFont="1" applyFill="1"/>
    <xf numFmtId="164" fontId="57" fillId="0" borderId="0" xfId="0" applyNumberFormat="1" applyFont="1"/>
    <xf numFmtId="164" fontId="27" fillId="5" borderId="0" xfId="144" applyNumberFormat="1" applyFont="1" applyFill="1" applyBorder="1"/>
    <xf numFmtId="164" fontId="57" fillId="5" borderId="0" xfId="1" applyNumberFormat="1" applyFont="1" applyFill="1"/>
    <xf numFmtId="164" fontId="27" fillId="0" borderId="0" xfId="144" applyNumberFormat="1" applyFont="1" applyFill="1" applyBorder="1"/>
    <xf numFmtId="164" fontId="57" fillId="0" borderId="0" xfId="1" applyNumberFormat="1" applyFont="1" applyFill="1"/>
    <xf numFmtId="164" fontId="27" fillId="0" borderId="3" xfId="144" applyNumberFormat="1" applyFont="1" applyFill="1" applyBorder="1"/>
    <xf numFmtId="0" fontId="36" fillId="0" borderId="0" xfId="0" applyFont="1" applyAlignment="1"/>
    <xf numFmtId="37" fontId="28" fillId="0" borderId="0" xfId="0" applyNumberFormat="1" applyFont="1" applyBorder="1" applyAlignment="1">
      <alignment vertical="center"/>
    </xf>
    <xf numFmtId="0" fontId="57" fillId="5" borderId="0" xfId="0" applyFont="1" applyFill="1"/>
    <xf numFmtId="0" fontId="57" fillId="0" borderId="0" xfId="0" applyFont="1" applyFill="1" applyBorder="1"/>
    <xf numFmtId="0" fontId="57" fillId="5" borderId="0" xfId="0" applyFont="1" applyFill="1" applyBorder="1"/>
    <xf numFmtId="41" fontId="0" fillId="0" borderId="0" xfId="0" applyNumberFormat="1"/>
    <xf numFmtId="164" fontId="57" fillId="0" borderId="0" xfId="0" applyNumberFormat="1" applyFont="1" applyFill="1" applyBorder="1"/>
    <xf numFmtId="41" fontId="27" fillId="5" borderId="0" xfId="1" applyNumberFormat="1" applyFont="1" applyFill="1"/>
    <xf numFmtId="41" fontId="27" fillId="0" borderId="0" xfId="1" applyNumberFormat="1" applyFont="1" applyFill="1"/>
    <xf numFmtId="41" fontId="27" fillId="0" borderId="0" xfId="1" applyNumberFormat="1" applyFont="1" applyFill="1" applyBorder="1"/>
    <xf numFmtId="41" fontId="57" fillId="0" borderId="0" xfId="0" applyNumberFormat="1" applyFont="1"/>
    <xf numFmtId="0" fontId="28" fillId="0" borderId="0" xfId="0" applyFont="1" applyAlignment="1">
      <alignment wrapText="1"/>
    </xf>
    <xf numFmtId="0" fontId="28" fillId="0" borderId="2" xfId="0" applyFont="1" applyBorder="1" applyAlignment="1">
      <alignment horizontal="center" wrapText="1"/>
    </xf>
    <xf numFmtId="0" fontId="0" fillId="0" borderId="0" xfId="0" applyAlignment="1">
      <alignment wrapText="1"/>
    </xf>
    <xf numFmtId="0" fontId="57" fillId="0" borderId="0" xfId="0" applyFont="1" applyAlignment="1">
      <alignment wrapText="1"/>
    </xf>
    <xf numFmtId="9" fontId="36" fillId="0" borderId="0" xfId="0" applyNumberFormat="1" applyFont="1" applyAlignment="1"/>
    <xf numFmtId="166" fontId="0" fillId="0" borderId="0" xfId="0" applyNumberFormat="1"/>
    <xf numFmtId="0" fontId="58" fillId="0" borderId="0" xfId="0" applyFont="1"/>
    <xf numFmtId="0" fontId="59" fillId="0" borderId="0" xfId="0" applyFont="1"/>
    <xf numFmtId="164" fontId="0" fillId="0" borderId="0" xfId="1" applyNumberFormat="1" applyFont="1"/>
    <xf numFmtId="37" fontId="28" fillId="3" borderId="0" xfId="0" applyNumberFormat="1" applyFont="1" applyFill="1" applyBorder="1" applyAlignment="1">
      <alignment vertical="center"/>
    </xf>
    <xf numFmtId="37" fontId="28" fillId="0" borderId="0" xfId="0" applyNumberFormat="1" applyFont="1" applyFill="1" applyBorder="1" applyAlignment="1">
      <alignment horizontal="center" vertical="center"/>
    </xf>
    <xf numFmtId="0" fontId="28" fillId="0" borderId="0" xfId="0" applyFont="1" applyBorder="1" applyAlignment="1">
      <alignment horizontal="center" wrapText="1"/>
    </xf>
    <xf numFmtId="0" fontId="8" fillId="0" borderId="3" xfId="0" applyFont="1" applyBorder="1"/>
    <xf numFmtId="0" fontId="60" fillId="0" borderId="0" xfId="0" applyFont="1"/>
    <xf numFmtId="0" fontId="61" fillId="0" borderId="0" xfId="0" applyFont="1"/>
    <xf numFmtId="164" fontId="27" fillId="0" borderId="1" xfId="1" applyNumberFormat="1" applyFont="1" applyFill="1" applyBorder="1"/>
    <xf numFmtId="37" fontId="28" fillId="0" borderId="0" xfId="0" applyNumberFormat="1" applyFont="1" applyFill="1" applyBorder="1" applyAlignment="1">
      <alignment vertical="center"/>
    </xf>
    <xf numFmtId="0" fontId="64" fillId="21" borderId="19" xfId="0" applyFont="1" applyFill="1" applyBorder="1" applyAlignment="1"/>
    <xf numFmtId="0" fontId="64" fillId="21" borderId="25" xfId="0" applyFont="1" applyFill="1" applyBorder="1" applyAlignment="1"/>
    <xf numFmtId="0" fontId="64" fillId="21" borderId="21" xfId="0" applyFont="1" applyFill="1" applyBorder="1" applyAlignment="1"/>
    <xf numFmtId="0" fontId="64" fillId="21" borderId="28" xfId="0" applyFont="1" applyFill="1" applyBorder="1" applyAlignment="1"/>
    <xf numFmtId="164" fontId="64" fillId="21" borderId="22" xfId="0" applyNumberFormat="1" applyFont="1" applyFill="1" applyBorder="1" applyAlignment="1"/>
    <xf numFmtId="164" fontId="65" fillId="21" borderId="20" xfId="1" applyNumberFormat="1" applyFont="1" applyFill="1" applyBorder="1"/>
    <xf numFmtId="2" fontId="0" fillId="0" borderId="0" xfId="0" applyNumberFormat="1"/>
    <xf numFmtId="0" fontId="66" fillId="0" borderId="0" xfId="0" applyFont="1" applyBorder="1" applyAlignment="1">
      <alignment vertical="center" wrapText="1"/>
    </xf>
    <xf numFmtId="3" fontId="67" fillId="0" borderId="0" xfId="0" applyNumberFormat="1" applyFont="1" applyBorder="1" applyAlignment="1">
      <alignment vertical="center" wrapText="1"/>
    </xf>
    <xf numFmtId="0" fontId="0" fillId="0" borderId="0" xfId="0" applyBorder="1" applyAlignment="1">
      <alignment vertical="center" wrapText="1"/>
    </xf>
    <xf numFmtId="3" fontId="68" fillId="0" borderId="0" xfId="0" applyNumberFormat="1" applyFont="1" applyAlignment="1">
      <alignment vertical="center" wrapText="1"/>
    </xf>
    <xf numFmtId="3" fontId="69" fillId="0" borderId="0" xfId="0" applyNumberFormat="1" applyFont="1" applyAlignment="1">
      <alignment vertical="center" wrapText="1"/>
    </xf>
    <xf numFmtId="0" fontId="6" fillId="0" borderId="0" xfId="0" applyFont="1" applyBorder="1"/>
    <xf numFmtId="0" fontId="6" fillId="0" borderId="3" xfId="0" applyFont="1" applyBorder="1"/>
    <xf numFmtId="0" fontId="0" fillId="10" borderId="0" xfId="0" applyFill="1"/>
    <xf numFmtId="0" fontId="0" fillId="3" borderId="0" xfId="0" applyFill="1"/>
    <xf numFmtId="3" fontId="0" fillId="3" borderId="0" xfId="0" applyNumberFormat="1" applyFill="1"/>
    <xf numFmtId="166" fontId="0" fillId="0" borderId="0" xfId="87" applyNumberFormat="1" applyFont="1"/>
    <xf numFmtId="0" fontId="0" fillId="0" borderId="3" xfId="0" applyBorder="1"/>
    <xf numFmtId="164" fontId="51" fillId="0" borderId="3" xfId="0" applyNumberFormat="1" applyFont="1" applyBorder="1"/>
    <xf numFmtId="164" fontId="54" fillId="0" borderId="3" xfId="0" applyNumberFormat="1" applyFont="1" applyBorder="1"/>
    <xf numFmtId="0" fontId="59" fillId="13" borderId="0" xfId="0" applyFont="1" applyFill="1"/>
    <xf numFmtId="164" fontId="59" fillId="0" borderId="0" xfId="1" applyNumberFormat="1" applyFont="1"/>
    <xf numFmtId="164" fontId="59" fillId="13" borderId="0" xfId="1" applyNumberFormat="1" applyFont="1" applyFill="1"/>
    <xf numFmtId="164" fontId="59" fillId="7" borderId="0" xfId="1" applyNumberFormat="1" applyFont="1" applyFill="1"/>
    <xf numFmtId="0" fontId="0" fillId="7" borderId="0" xfId="0" applyFill="1"/>
    <xf numFmtId="164" fontId="57" fillId="7" borderId="0" xfId="1" applyNumberFormat="1" applyFont="1" applyFill="1"/>
    <xf numFmtId="0" fontId="57" fillId="0" borderId="0" xfId="0" applyFont="1" applyAlignment="1">
      <alignment horizontal="center"/>
    </xf>
    <xf numFmtId="164" fontId="27" fillId="7" borderId="0" xfId="1" applyNumberFormat="1" applyFont="1" applyFill="1"/>
    <xf numFmtId="164" fontId="27" fillId="7" borderId="0" xfId="1" applyNumberFormat="1" applyFont="1" applyFill="1" applyBorder="1"/>
    <xf numFmtId="43" fontId="57" fillId="0" borderId="0" xfId="0" applyNumberFormat="1" applyFont="1"/>
    <xf numFmtId="0" fontId="0" fillId="0" borderId="0" xfId="0" applyAlignment="1">
      <alignment horizontal="center"/>
    </xf>
    <xf numFmtId="0" fontId="28" fillId="0" borderId="2" xfId="0" applyFont="1" applyBorder="1" applyAlignment="1">
      <alignment horizontal="center" vertical="center" wrapText="1"/>
    </xf>
    <xf numFmtId="0" fontId="57" fillId="7" borderId="0" xfId="0" applyFont="1" applyFill="1"/>
    <xf numFmtId="41" fontId="57" fillId="0" borderId="0" xfId="87" applyNumberFormat="1" applyFont="1"/>
    <xf numFmtId="0" fontId="59" fillId="0" borderId="0" xfId="0" applyFont="1" applyBorder="1" applyAlignment="1">
      <alignment horizontal="left" vertical="center" indent="1"/>
    </xf>
    <xf numFmtId="0" fontId="70" fillId="0" borderId="4" xfId="0" applyFont="1" applyBorder="1"/>
    <xf numFmtId="0" fontId="57" fillId="0" borderId="4" xfId="0" applyFont="1" applyBorder="1"/>
    <xf numFmtId="0" fontId="70" fillId="0" borderId="2" xfId="0" applyFont="1" applyBorder="1"/>
    <xf numFmtId="0" fontId="57" fillId="0" borderId="2" xfId="0" applyFont="1" applyBorder="1"/>
    <xf numFmtId="0" fontId="57" fillId="7" borderId="0" xfId="0" applyFont="1" applyFill="1" applyAlignment="1">
      <alignment vertical="center"/>
    </xf>
    <xf numFmtId="0" fontId="28" fillId="0" borderId="3" xfId="0" applyFont="1" applyBorder="1" applyAlignment="1">
      <alignment horizontal="center" vertical="center" wrapText="1"/>
    </xf>
    <xf numFmtId="41" fontId="57" fillId="0" borderId="4" xfId="0" applyNumberFormat="1" applyFont="1" applyBorder="1"/>
    <xf numFmtId="164" fontId="54" fillId="21" borderId="0" xfId="0" applyNumberFormat="1" applyFont="1" applyFill="1"/>
    <xf numFmtId="0" fontId="28" fillId="18"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0" xfId="0" applyFont="1" applyBorder="1" applyAlignment="1">
      <alignment horizontal="center" vertical="center" wrapText="1"/>
    </xf>
    <xf numFmtId="0" fontId="8" fillId="0" borderId="9" xfId="0" applyFont="1" applyBorder="1"/>
    <xf numFmtId="0" fontId="0" fillId="0" borderId="4" xfId="0" applyFont="1" applyBorder="1"/>
    <xf numFmtId="0" fontId="28" fillId="0" borderId="3" xfId="0" applyFont="1" applyBorder="1" applyAlignment="1">
      <alignment horizontal="center" vertical="center" wrapText="1"/>
    </xf>
    <xf numFmtId="165" fontId="57" fillId="0" borderId="2" xfId="2" applyNumberFormat="1" applyFont="1" applyBorder="1"/>
    <xf numFmtId="0" fontId="57" fillId="0" borderId="0" xfId="0" applyFont="1" applyAlignment="1">
      <alignment horizontal="center" wrapText="1"/>
    </xf>
    <xf numFmtId="41" fontId="57" fillId="7" borderId="0" xfId="0" applyNumberFormat="1" applyFont="1" applyFill="1"/>
    <xf numFmtId="165" fontId="57" fillId="7" borderId="0" xfId="2" applyNumberFormat="1" applyFont="1" applyFill="1"/>
    <xf numFmtId="10" fontId="57" fillId="0" borderId="2" xfId="2" applyNumberFormat="1" applyFont="1" applyBorder="1"/>
    <xf numFmtId="0" fontId="0" fillId="11" borderId="0" xfId="0" applyFill="1"/>
    <xf numFmtId="164" fontId="0" fillId="11" borderId="0" xfId="1" applyNumberFormat="1" applyFont="1" applyFill="1"/>
    <xf numFmtId="0" fontId="72" fillId="0" borderId="0" xfId="0" applyFont="1"/>
    <xf numFmtId="0" fontId="0" fillId="0" borderId="0" xfId="0" applyAlignment="1">
      <alignment horizontal="center"/>
    </xf>
    <xf numFmtId="0" fontId="0" fillId="0" borderId="0" xfId="0" applyAlignment="1">
      <alignment horizontal="center" vertical="center"/>
    </xf>
    <xf numFmtId="15" fontId="0" fillId="0" borderId="0" xfId="0" applyNumberFormat="1" applyAlignment="1">
      <alignment horizontal="center"/>
    </xf>
    <xf numFmtId="0" fontId="6" fillId="0" borderId="9" xfId="0" applyFont="1" applyBorder="1"/>
    <xf numFmtId="0" fontId="6" fillId="0" borderId="9" xfId="0" applyFont="1" applyBorder="1" applyAlignment="1">
      <alignment horizontal="center"/>
    </xf>
    <xf numFmtId="0" fontId="6" fillId="0" borderId="9" xfId="0" applyFont="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horizontal="center"/>
    </xf>
    <xf numFmtId="0" fontId="8" fillId="0" borderId="18" xfId="0" applyFont="1" applyBorder="1" applyAlignment="1">
      <alignment vertical="center" wrapText="1"/>
    </xf>
    <xf numFmtId="0" fontId="8" fillId="0" borderId="9" xfId="0" applyFont="1" applyBorder="1" applyAlignment="1">
      <alignment horizontal="center" wrapText="1"/>
    </xf>
    <xf numFmtId="10"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xf numFmtId="0" fontId="8" fillId="0" borderId="3" xfId="0" applyFont="1" applyBorder="1" applyAlignment="1">
      <alignment horizontal="center"/>
    </xf>
    <xf numFmtId="10" fontId="8" fillId="0" borderId="8" xfId="0" applyNumberFormat="1"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wrapText="1"/>
    </xf>
    <xf numFmtId="0" fontId="50" fillId="0" borderId="9" xfId="0" applyFont="1" applyBorder="1"/>
    <xf numFmtId="0" fontId="8" fillId="0" borderId="3" xfId="0" applyFont="1" applyBorder="1" applyAlignment="1">
      <alignment horizontal="center" vertical="center"/>
    </xf>
    <xf numFmtId="10" fontId="8" fillId="0" borderId="8" xfId="0" applyNumberFormat="1" applyFont="1" applyBorder="1" applyAlignment="1">
      <alignment horizontal="center" vertical="center" wrapText="1"/>
    </xf>
    <xf numFmtId="10" fontId="8" fillId="0" borderId="9"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9" xfId="0" applyFont="1" applyFill="1" applyBorder="1" applyAlignment="1">
      <alignment horizontal="center"/>
    </xf>
    <xf numFmtId="10" fontId="8" fillId="0" borderId="0" xfId="0" applyNumberFormat="1" applyFont="1" applyAlignment="1">
      <alignment horizontal="center" vertical="center"/>
    </xf>
    <xf numFmtId="0" fontId="0" fillId="0" borderId="19" xfId="0" applyBorder="1"/>
    <xf numFmtId="10" fontId="0" fillId="0" borderId="20" xfId="0" applyNumberFormat="1" applyBorder="1"/>
    <xf numFmtId="0" fontId="0" fillId="0" borderId="26" xfId="0" applyBorder="1"/>
    <xf numFmtId="10" fontId="0" fillId="0" borderId="27" xfId="0" applyNumberFormat="1" applyBorder="1"/>
    <xf numFmtId="0" fontId="6" fillId="19" borderId="21" xfId="0" applyFont="1" applyFill="1" applyBorder="1"/>
    <xf numFmtId="10" fontId="6" fillId="19" borderId="22" xfId="0" applyNumberFormat="1" applyFont="1" applyFill="1" applyBorder="1"/>
    <xf numFmtId="164" fontId="8" fillId="0" borderId="0" xfId="0" applyNumberFormat="1" applyFont="1" applyFill="1"/>
    <xf numFmtId="0" fontId="60" fillId="0" borderId="0" xfId="0" applyFont="1" applyProtection="1">
      <protection locked="0"/>
    </xf>
    <xf numFmtId="0" fontId="0" fillId="0" borderId="0" xfId="0" applyProtection="1">
      <protection locked="0"/>
    </xf>
    <xf numFmtId="0" fontId="7" fillId="10" borderId="0" xfId="0" applyFont="1" applyFill="1" applyAlignment="1" applyProtection="1">
      <alignment horizontal="center" vertical="center"/>
      <protection locked="0"/>
    </xf>
    <xf numFmtId="166" fontId="7" fillId="10" borderId="0" xfId="0" applyNumberFormat="1" applyFont="1" applyFill="1" applyAlignment="1" applyProtection="1">
      <alignment vertical="center"/>
      <protection locked="0"/>
    </xf>
    <xf numFmtId="166" fontId="7" fillId="20" borderId="0" xfId="0" applyNumberFormat="1" applyFont="1" applyFill="1" applyAlignment="1" applyProtection="1">
      <alignment vertical="center"/>
      <protection locked="0"/>
    </xf>
    <xf numFmtId="0" fontId="8" fillId="0" borderId="0" xfId="0" applyFont="1" applyProtection="1">
      <protection locked="0"/>
    </xf>
    <xf numFmtId="0" fontId="8" fillId="0" borderId="0" xfId="0" applyFont="1" applyBorder="1" applyProtection="1">
      <protection locked="0"/>
    </xf>
    <xf numFmtId="0" fontId="15" fillId="0" borderId="0" xfId="0" applyFont="1" applyProtection="1">
      <protection locked="0"/>
    </xf>
    <xf numFmtId="9" fontId="0" fillId="0" borderId="0" xfId="0" applyNumberFormat="1" applyProtection="1">
      <protection locked="0"/>
    </xf>
    <xf numFmtId="0" fontId="7" fillId="0" borderId="19" xfId="0" applyFont="1" applyBorder="1" applyAlignment="1" applyProtection="1">
      <alignment vertical="center"/>
      <protection locked="0"/>
    </xf>
    <xf numFmtId="9" fontId="0" fillId="0" borderId="0" xfId="2" applyFont="1" applyProtection="1">
      <protection locked="0"/>
    </xf>
    <xf numFmtId="0" fontId="7" fillId="0" borderId="21" xfId="0" applyFont="1" applyBorder="1" applyAlignment="1" applyProtection="1">
      <alignment vertical="center"/>
      <protection locked="0"/>
    </xf>
    <xf numFmtId="0" fontId="8" fillId="0" borderId="28" xfId="0" applyFont="1" applyBorder="1" applyAlignment="1" applyProtection="1">
      <alignment horizontal="left" vertical="center"/>
      <protection locked="0"/>
    </xf>
    <xf numFmtId="44" fontId="0" fillId="0" borderId="0" xfId="0" applyNumberFormat="1" applyProtection="1">
      <protection locked="0"/>
    </xf>
    <xf numFmtId="0" fontId="7" fillId="0" borderId="23" xfId="0" applyFont="1" applyBorder="1" applyAlignment="1" applyProtection="1">
      <alignment horizontal="left"/>
      <protection locked="0"/>
    </xf>
    <xf numFmtId="0" fontId="7" fillId="9" borderId="0" xfId="0" applyFont="1" applyFill="1" applyProtection="1">
      <protection locked="0"/>
    </xf>
    <xf numFmtId="0" fontId="6" fillId="9" borderId="0" xfId="0" applyFont="1" applyFill="1" applyProtection="1">
      <protection locked="0"/>
    </xf>
    <xf numFmtId="10" fontId="7" fillId="9" borderId="0" xfId="2" applyNumberFormat="1" applyFont="1" applyFill="1" applyAlignment="1" applyProtection="1">
      <alignment horizontal="center"/>
      <protection locked="0"/>
    </xf>
    <xf numFmtId="166" fontId="7" fillId="9" borderId="0" xfId="87" applyNumberFormat="1" applyFont="1" applyFill="1" applyProtection="1">
      <protection locked="0"/>
    </xf>
    <xf numFmtId="165" fontId="8" fillId="0" borderId="0" xfId="0" applyNumberFormat="1" applyFont="1" applyProtection="1">
      <protection locked="0"/>
    </xf>
    <xf numFmtId="169" fontId="7" fillId="0" borderId="0" xfId="87" applyNumberFormat="1" applyFont="1" applyProtection="1">
      <protection locked="0"/>
    </xf>
    <xf numFmtId="165" fontId="7" fillId="0" borderId="0" xfId="2" applyNumberFormat="1" applyFont="1" applyProtection="1">
      <protection locked="0"/>
    </xf>
    <xf numFmtId="44" fontId="7" fillId="0" borderId="0" xfId="87" applyNumberFormat="1" applyFont="1" applyProtection="1">
      <protection locked="0"/>
    </xf>
    <xf numFmtId="44" fontId="8" fillId="0" borderId="0" xfId="87" applyNumberFormat="1" applyFont="1" applyProtection="1">
      <protection locked="0"/>
    </xf>
    <xf numFmtId="165" fontId="8" fillId="0" borderId="0" xfId="2" applyNumberFormat="1" applyFont="1" applyProtection="1">
      <protection locked="0"/>
    </xf>
    <xf numFmtId="0" fontId="0" fillId="11" borderId="0" xfId="0" applyFill="1" applyProtection="1">
      <protection locked="0"/>
    </xf>
    <xf numFmtId="166" fontId="0" fillId="11" borderId="0" xfId="87" applyNumberFormat="1" applyFont="1" applyFill="1" applyProtection="1">
      <protection locked="0"/>
    </xf>
    <xf numFmtId="0" fontId="7" fillId="0" borderId="1"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13" fillId="0" borderId="0" xfId="0" applyFont="1" applyAlignment="1" applyProtection="1">
      <alignment wrapText="1"/>
      <protection locked="0"/>
    </xf>
    <xf numFmtId="164" fontId="50" fillId="0" borderId="0" xfId="1" applyNumberFormat="1" applyFont="1" applyFill="1" applyProtection="1">
      <protection locked="0"/>
    </xf>
    <xf numFmtId="164" fontId="50" fillId="7" borderId="0" xfId="1" applyNumberFormat="1" applyFont="1" applyFill="1" applyProtection="1">
      <protection locked="0"/>
    </xf>
    <xf numFmtId="164" fontId="50" fillId="0" borderId="5" xfId="1" applyNumberFormat="1" applyFont="1" applyFill="1" applyBorder="1" applyProtection="1">
      <protection locked="0"/>
    </xf>
    <xf numFmtId="0" fontId="63" fillId="0" borderId="0" xfId="0" applyFont="1" applyFill="1" applyAlignment="1" applyProtection="1">
      <alignment horizontal="left" vertical="center"/>
      <protection locked="0"/>
    </xf>
    <xf numFmtId="166" fontId="8" fillId="0" borderId="0" xfId="0" applyNumberFormat="1" applyFont="1" applyProtection="1">
      <protection locked="0"/>
    </xf>
    <xf numFmtId="0" fontId="57" fillId="0" borderId="19" xfId="0" applyFont="1" applyBorder="1"/>
    <xf numFmtId="0" fontId="57" fillId="0" borderId="26" xfId="0" applyFont="1" applyBorder="1"/>
    <xf numFmtId="164" fontId="57" fillId="0" borderId="0" xfId="0" applyNumberFormat="1" applyFont="1" applyBorder="1"/>
    <xf numFmtId="164" fontId="57" fillId="0" borderId="27" xfId="0" applyNumberFormat="1" applyFont="1" applyBorder="1" applyAlignment="1">
      <alignment horizontal="center"/>
    </xf>
    <xf numFmtId="0" fontId="57" fillId="0" borderId="21" xfId="0" applyFont="1" applyBorder="1"/>
    <xf numFmtId="41" fontId="57" fillId="0" borderId="28" xfId="0" applyNumberFormat="1" applyFont="1" applyBorder="1"/>
    <xf numFmtId="0" fontId="57" fillId="0" borderId="22" xfId="0" applyFont="1" applyBorder="1"/>
    <xf numFmtId="0" fontId="0" fillId="0" borderId="0" xfId="0" applyFont="1" applyProtection="1">
      <protection locked="0"/>
    </xf>
    <xf numFmtId="0" fontId="7" fillId="0" borderId="26" xfId="0" applyFont="1" applyBorder="1" applyAlignment="1" applyProtection="1">
      <alignment vertical="center"/>
      <protection locked="0"/>
    </xf>
    <xf numFmtId="0" fontId="8" fillId="0" borderId="23" xfId="0" applyFont="1" applyFill="1" applyBorder="1" applyProtection="1">
      <protection locked="0"/>
    </xf>
    <xf numFmtId="0" fontId="8" fillId="0" borderId="29" xfId="0" applyFont="1" applyFill="1" applyBorder="1" applyProtection="1">
      <protection locked="0"/>
    </xf>
    <xf numFmtId="0" fontId="8" fillId="0" borderId="0" xfId="0" applyFont="1" applyProtection="1"/>
    <xf numFmtId="0" fontId="73" fillId="0" borderId="0" xfId="0" applyFont="1" applyProtection="1">
      <protection locked="0"/>
    </xf>
    <xf numFmtId="170" fontId="0" fillId="0" borderId="0" xfId="0" applyNumberFormat="1"/>
    <xf numFmtId="165" fontId="0" fillId="0" borderId="0" xfId="0" applyNumberFormat="1" applyBorder="1"/>
    <xf numFmtId="165" fontId="0" fillId="0" borderId="0" xfId="0" applyNumberFormat="1" applyProtection="1">
      <protection locked="0"/>
    </xf>
    <xf numFmtId="165" fontId="0" fillId="0" borderId="0" xfId="2" applyNumberFormat="1" applyFont="1" applyProtection="1">
      <protection locked="0"/>
    </xf>
    <xf numFmtId="166" fontId="52" fillId="0" borderId="0" xfId="0" applyNumberFormat="1" applyFont="1" applyProtection="1">
      <protection locked="0"/>
    </xf>
    <xf numFmtId="166" fontId="0" fillId="0" borderId="0" xfId="0" applyNumberFormat="1" applyProtection="1">
      <protection locked="0"/>
    </xf>
    <xf numFmtId="0" fontId="28" fillId="0" borderId="2" xfId="0" applyFont="1" applyBorder="1" applyAlignment="1">
      <alignment horizontal="center"/>
    </xf>
    <xf numFmtId="0" fontId="21" fillId="0" borderId="1" xfId="142" applyFont="1" applyBorder="1" applyAlignment="1">
      <alignment horizontal="center" vertical="center"/>
    </xf>
    <xf numFmtId="0" fontId="0" fillId="0" borderId="0" xfId="0" applyAlignment="1">
      <alignment horizontal="center"/>
    </xf>
    <xf numFmtId="164" fontId="52" fillId="0" borderId="0" xfId="0" applyNumberFormat="1" applyFont="1"/>
    <xf numFmtId="41" fontId="25" fillId="0" borderId="0" xfId="142" applyNumberFormat="1" applyFont="1" applyFill="1" applyAlignment="1">
      <alignment vertical="center"/>
    </xf>
    <xf numFmtId="41" fontId="25" fillId="5" borderId="0" xfId="142" applyNumberFormat="1" applyFont="1" applyFill="1" applyBorder="1" applyAlignment="1">
      <alignment vertical="center"/>
    </xf>
    <xf numFmtId="0" fontId="29" fillId="0" borderId="0" xfId="142" applyFont="1" applyAlignment="1">
      <alignment vertical="center"/>
    </xf>
    <xf numFmtId="41" fontId="25" fillId="0" borderId="0" xfId="142" applyNumberFormat="1" applyFont="1" applyFill="1" applyBorder="1" applyAlignment="1">
      <alignment vertical="center"/>
    </xf>
    <xf numFmtId="0" fontId="21" fillId="25" borderId="0" xfId="142" applyFont="1" applyFill="1"/>
    <xf numFmtId="0" fontId="21" fillId="26" borderId="0" xfId="142" applyFont="1" applyFill="1"/>
    <xf numFmtId="41" fontId="21" fillId="26" borderId="0" xfId="142" applyNumberFormat="1" applyFont="1" applyFill="1"/>
    <xf numFmtId="0" fontId="75" fillId="0" borderId="0" xfId="0" applyFont="1"/>
    <xf numFmtId="0" fontId="29" fillId="0" borderId="16" xfId="0" applyFont="1" applyBorder="1" applyAlignment="1">
      <alignment horizontal="right"/>
    </xf>
    <xf numFmtId="164" fontId="45" fillId="0" borderId="7" xfId="1" applyNumberFormat="1" applyFont="1" applyFill="1" applyBorder="1"/>
    <xf numFmtId="164" fontId="45" fillId="0" borderId="3" xfId="1" applyNumberFormat="1" applyFont="1" applyFill="1" applyBorder="1"/>
    <xf numFmtId="164" fontId="45" fillId="0" borderId="8" xfId="1" applyNumberFormat="1" applyFont="1" applyFill="1" applyBorder="1"/>
    <xf numFmtId="164" fontId="45" fillId="0" borderId="9" xfId="1" applyNumberFormat="1" applyFont="1" applyFill="1" applyBorder="1"/>
    <xf numFmtId="0" fontId="75" fillId="0" borderId="0" xfId="0" applyFont="1" applyFill="1" applyBorder="1"/>
    <xf numFmtId="164" fontId="45" fillId="0" borderId="11" xfId="1" applyNumberFormat="1" applyFont="1" applyFill="1" applyBorder="1"/>
    <xf numFmtId="164" fontId="45" fillId="0" borderId="12" xfId="1" applyNumberFormat="1" applyFont="1" applyFill="1" applyBorder="1"/>
    <xf numFmtId="164" fontId="45" fillId="0" borderId="15" xfId="1" applyNumberFormat="1" applyFont="1" applyFill="1" applyBorder="1"/>
    <xf numFmtId="164" fontId="8" fillId="0" borderId="3" xfId="1" applyNumberFormat="1" applyFont="1" applyBorder="1"/>
    <xf numFmtId="0" fontId="0" fillId="0" borderId="3" xfId="0" applyFill="1" applyBorder="1"/>
    <xf numFmtId="164" fontId="8" fillId="0" borderId="0" xfId="1" applyNumberFormat="1" applyFont="1" applyFill="1"/>
    <xf numFmtId="37" fontId="22" fillId="0" borderId="4" xfId="1" applyNumberFormat="1" applyFont="1" applyFill="1" applyBorder="1"/>
    <xf numFmtId="37" fontId="22" fillId="0" borderId="4" xfId="1" applyNumberFormat="1" applyFont="1" applyBorder="1"/>
    <xf numFmtId="37" fontId="22" fillId="0" borderId="11" xfId="1" applyNumberFormat="1" applyFont="1" applyBorder="1"/>
    <xf numFmtId="0" fontId="8" fillId="0" borderId="2" xfId="0" applyFont="1" applyBorder="1" applyAlignment="1">
      <alignment horizontal="left" indent="1"/>
    </xf>
    <xf numFmtId="0" fontId="0" fillId="0" borderId="17" xfId="0" applyBorder="1"/>
    <xf numFmtId="164" fontId="45" fillId="0" borderId="13" xfId="1" applyNumberFormat="1" applyFont="1" applyBorder="1"/>
    <xf numFmtId="0" fontId="0" fillId="0" borderId="14" xfId="0" applyBorder="1"/>
    <xf numFmtId="0" fontId="8" fillId="0" borderId="1" xfId="0" applyFont="1" applyBorder="1" applyAlignment="1">
      <alignment horizontal="left"/>
    </xf>
    <xf numFmtId="164" fontId="7" fillId="0" borderId="1" xfId="0" applyNumberFormat="1" applyFont="1" applyBorder="1"/>
    <xf numFmtId="164" fontId="45" fillId="6" borderId="2" xfId="1" applyNumberFormat="1" applyFont="1" applyFill="1" applyBorder="1"/>
    <xf numFmtId="165" fontId="47" fillId="0" borderId="0" xfId="2" applyNumberFormat="1" applyFont="1" applyBorder="1"/>
    <xf numFmtId="164" fontId="0" fillId="5" borderId="0" xfId="1" applyNumberFormat="1" applyFont="1" applyFill="1"/>
    <xf numFmtId="0" fontId="0" fillId="0" borderId="0" xfId="0" applyFont="1" applyFill="1" applyBorder="1"/>
    <xf numFmtId="42" fontId="27" fillId="0" borderId="0" xfId="0" applyNumberFormat="1" applyFont="1"/>
    <xf numFmtId="0" fontId="0" fillId="0" borderId="0" xfId="0" applyFill="1" applyBorder="1" applyAlignment="1">
      <alignment horizontal="left" indent="1"/>
    </xf>
    <xf numFmtId="0" fontId="0" fillId="0" borderId="0" xfId="0" applyAlignment="1">
      <alignment horizontal="left" indent="1"/>
    </xf>
    <xf numFmtId="0" fontId="21" fillId="0" borderId="0" xfId="0" applyFont="1" applyAlignment="1">
      <alignment horizontal="left" indent="1"/>
    </xf>
    <xf numFmtId="41" fontId="21" fillId="0" borderId="0" xfId="0" applyNumberFormat="1" applyFont="1"/>
    <xf numFmtId="0" fontId="18" fillId="0" borderId="0" xfId="0" applyFont="1"/>
    <xf numFmtId="164" fontId="77" fillId="0" borderId="0" xfId="0" applyNumberFormat="1" applyFont="1"/>
    <xf numFmtId="164" fontId="54" fillId="0" borderId="0" xfId="0" applyNumberFormat="1" applyFont="1" applyFill="1"/>
    <xf numFmtId="164" fontId="54" fillId="29" borderId="0" xfId="0" applyNumberFormat="1" applyFont="1" applyFill="1"/>
    <xf numFmtId="164" fontId="54" fillId="19" borderId="0" xfId="0" applyNumberFormat="1" applyFont="1" applyFill="1" applyBorder="1"/>
    <xf numFmtId="0" fontId="52" fillId="0" borderId="0" xfId="0" applyFont="1" applyAlignment="1">
      <alignment horizontal="left" indent="1"/>
    </xf>
    <xf numFmtId="0" fontId="78" fillId="0" borderId="0" xfId="142" applyFont="1" applyAlignment="1">
      <alignment horizontal="left" indent="1"/>
    </xf>
    <xf numFmtId="0" fontId="78" fillId="0" borderId="0" xfId="142" applyFont="1" applyFill="1" applyAlignment="1">
      <alignment horizontal="left" indent="1"/>
    </xf>
    <xf numFmtId="0" fontId="78" fillId="0" borderId="0" xfId="142" applyFont="1" applyFill="1" applyBorder="1" applyAlignment="1">
      <alignment horizontal="left" indent="1"/>
    </xf>
    <xf numFmtId="0" fontId="0" fillId="0" borderId="5" xfId="0" applyBorder="1"/>
    <xf numFmtId="164" fontId="51" fillId="30" borderId="0" xfId="0" applyNumberFormat="1" applyFont="1" applyFill="1"/>
    <xf numFmtId="164" fontId="51" fillId="0" borderId="0" xfId="0" applyNumberFormat="1" applyFont="1" applyFill="1"/>
    <xf numFmtId="164" fontId="51" fillId="0" borderId="0" xfId="0" applyNumberFormat="1" applyFont="1" applyFill="1" applyBorder="1"/>
    <xf numFmtId="0" fontId="57" fillId="0" borderId="0" xfId="0" applyFont="1" applyFill="1" applyBorder="1" applyAlignment="1">
      <alignment horizontal="left" indent="1"/>
    </xf>
    <xf numFmtId="0" fontId="57" fillId="7" borderId="0" xfId="0" applyFont="1" applyFill="1" applyBorder="1"/>
    <xf numFmtId="41" fontId="27" fillId="7" borderId="0" xfId="1" applyNumberFormat="1" applyFont="1" applyFill="1"/>
    <xf numFmtId="164" fontId="57" fillId="7" borderId="0" xfId="0" applyNumberFormat="1" applyFont="1" applyFill="1" applyBorder="1"/>
    <xf numFmtId="0" fontId="27" fillId="31" borderId="0" xfId="0" applyFont="1" applyFill="1" applyBorder="1"/>
    <xf numFmtId="164" fontId="57" fillId="31" borderId="3" xfId="0" applyNumberFormat="1" applyFont="1" applyFill="1" applyBorder="1"/>
    <xf numFmtId="0" fontId="0" fillId="31" borderId="0" xfId="0" applyFill="1"/>
    <xf numFmtId="0" fontId="57" fillId="31" borderId="0" xfId="0" applyFont="1" applyFill="1"/>
    <xf numFmtId="0" fontId="57" fillId="31" borderId="0" xfId="0" applyFont="1" applyFill="1" applyBorder="1"/>
    <xf numFmtId="164" fontId="27" fillId="31" borderId="3" xfId="144" applyNumberFormat="1" applyFont="1" applyFill="1" applyBorder="1"/>
    <xf numFmtId="0" fontId="79" fillId="32" borderId="0" xfId="0" applyFont="1" applyFill="1" applyBorder="1"/>
    <xf numFmtId="164" fontId="79" fillId="32" borderId="1" xfId="1" applyNumberFormat="1" applyFont="1" applyFill="1" applyBorder="1"/>
    <xf numFmtId="164" fontId="79" fillId="32" borderId="1" xfId="144" applyNumberFormat="1" applyFont="1" applyFill="1" applyBorder="1"/>
    <xf numFmtId="0" fontId="74" fillId="32" borderId="0" xfId="0" applyFont="1" applyFill="1"/>
    <xf numFmtId="0" fontId="79" fillId="32" borderId="0" xfId="0" applyFont="1" applyFill="1"/>
    <xf numFmtId="164" fontId="27" fillId="5" borderId="0" xfId="2281" applyNumberFormat="1" applyFont="1" applyFill="1"/>
    <xf numFmtId="164" fontId="27" fillId="0" borderId="0" xfId="2281" applyNumberFormat="1" applyFont="1" applyFill="1"/>
    <xf numFmtId="164" fontId="27" fillId="0" borderId="0" xfId="2281" applyNumberFormat="1" applyFont="1" applyFill="1" applyBorder="1"/>
    <xf numFmtId="164" fontId="27" fillId="7" borderId="0" xfId="2281" applyNumberFormat="1" applyFont="1" applyFill="1"/>
    <xf numFmtId="41" fontId="27" fillId="7" borderId="0" xfId="1" applyNumberFormat="1" applyFont="1" applyFill="1" applyBorder="1"/>
    <xf numFmtId="0" fontId="57" fillId="7" borderId="0" xfId="0" applyFont="1" applyFill="1" applyBorder="1" applyAlignment="1">
      <alignment horizontal="left" indent="1"/>
    </xf>
    <xf numFmtId="164" fontId="27" fillId="7" borderId="0" xfId="144" applyNumberFormat="1" applyFont="1" applyFill="1" applyBorder="1"/>
    <xf numFmtId="164" fontId="0" fillId="0" borderId="0" xfId="2281" applyNumberFormat="1" applyFont="1" applyFill="1"/>
    <xf numFmtId="0" fontId="0" fillId="0" borderId="0" xfId="0" applyFont="1"/>
    <xf numFmtId="0" fontId="57" fillId="0" borderId="4" xfId="0" applyFont="1" applyBorder="1" applyAlignment="1">
      <alignment wrapText="1"/>
    </xf>
    <xf numFmtId="0" fontId="57" fillId="0" borderId="0" xfId="0" applyFont="1" applyBorder="1"/>
    <xf numFmtId="0" fontId="57" fillId="0" borderId="0" xfId="0" applyFont="1" applyBorder="1" applyAlignment="1">
      <alignment wrapText="1"/>
    </xf>
    <xf numFmtId="0" fontId="57" fillId="0" borderId="5" xfId="0" applyFont="1" applyBorder="1"/>
    <xf numFmtId="164" fontId="27" fillId="0" borderId="4" xfId="2281" applyNumberFormat="1" applyFont="1" applyFill="1" applyBorder="1"/>
    <xf numFmtId="164" fontId="27" fillId="0" borderId="2" xfId="2281" applyNumberFormat="1" applyFont="1" applyFill="1" applyBorder="1"/>
    <xf numFmtId="164" fontId="27" fillId="5" borderId="0" xfId="2281" applyNumberFormat="1" applyFont="1" applyFill="1" applyBorder="1"/>
    <xf numFmtId="164" fontId="56" fillId="0" borderId="0" xfId="0" applyNumberFormat="1" applyFont="1" applyAlignment="1"/>
    <xf numFmtId="0" fontId="53" fillId="0" borderId="0" xfId="0" applyFont="1" applyAlignment="1">
      <alignment horizontal="center" wrapText="1"/>
    </xf>
    <xf numFmtId="166" fontId="0" fillId="7" borderId="0" xfId="87" applyNumberFormat="1" applyFont="1" applyFill="1"/>
    <xf numFmtId="166" fontId="0" fillId="0" borderId="0" xfId="87" applyNumberFormat="1" applyFont="1" applyFill="1"/>
    <xf numFmtId="166" fontId="0" fillId="31" borderId="0" xfId="87" applyNumberFormat="1" applyFont="1" applyFill="1"/>
    <xf numFmtId="165" fontId="36" fillId="20" borderId="6" xfId="0" applyNumberFormat="1" applyFont="1" applyFill="1" applyBorder="1" applyAlignment="1"/>
    <xf numFmtId="0" fontId="0" fillId="0" borderId="25" xfId="0" applyBorder="1"/>
    <xf numFmtId="0" fontId="0" fillId="0" borderId="20" xfId="0" applyBorder="1"/>
    <xf numFmtId="0" fontId="0" fillId="0" borderId="27" xfId="0" applyBorder="1"/>
    <xf numFmtId="0" fontId="6" fillId="0" borderId="26" xfId="0" applyFont="1" applyBorder="1"/>
    <xf numFmtId="166" fontId="6" fillId="0" borderId="0" xfId="87" applyNumberFormat="1" applyFont="1" applyBorder="1"/>
    <xf numFmtId="0" fontId="0" fillId="0" borderId="21" xfId="0" applyBorder="1"/>
    <xf numFmtId="0" fontId="0" fillId="0" borderId="28" xfId="0" applyBorder="1"/>
    <xf numFmtId="0" fontId="0" fillId="0" borderId="22" xfId="0" applyBorder="1"/>
    <xf numFmtId="0" fontId="59" fillId="0" borderId="0" xfId="0" applyFont="1" applyFill="1"/>
    <xf numFmtId="164" fontId="59" fillId="0" borderId="0" xfId="1" applyNumberFormat="1" applyFont="1" applyFill="1"/>
    <xf numFmtId="4" fontId="0" fillId="0" borderId="0" xfId="0" applyNumberFormat="1"/>
    <xf numFmtId="49" fontId="0" fillId="0" borderId="0" xfId="0" applyNumberFormat="1"/>
    <xf numFmtId="43" fontId="0" fillId="0" borderId="0" xfId="1" applyFont="1"/>
    <xf numFmtId="0" fontId="70" fillId="0" borderId="1" xfId="0" applyFont="1" applyBorder="1" applyAlignment="1">
      <alignment vertical="center" wrapText="1"/>
    </xf>
    <xf numFmtId="0" fontId="70" fillId="0" borderId="1" xfId="0" applyFont="1" applyBorder="1" applyAlignment="1">
      <alignment horizontal="center" vertical="center" wrapText="1"/>
    </xf>
    <xf numFmtId="41" fontId="57" fillId="0" borderId="0" xfId="0" applyNumberFormat="1" applyFont="1" applyFill="1"/>
    <xf numFmtId="0" fontId="70" fillId="0" borderId="1" xfId="0" applyFont="1" applyBorder="1" applyAlignment="1">
      <alignment horizontal="center"/>
    </xf>
    <xf numFmtId="0" fontId="57" fillId="0" borderId="1" xfId="0" applyFont="1" applyBorder="1"/>
    <xf numFmtId="0" fontId="59" fillId="7" borderId="0" xfId="0" applyFont="1" applyFill="1"/>
    <xf numFmtId="0" fontId="57" fillId="0" borderId="0" xfId="0" applyFont="1" applyFill="1" applyAlignment="1">
      <alignment horizontal="left" indent="1"/>
    </xf>
    <xf numFmtId="0" fontId="57" fillId="0" borderId="5" xfId="0" applyFont="1" applyFill="1" applyBorder="1" applyAlignment="1">
      <alignment horizontal="left" indent="1"/>
    </xf>
    <xf numFmtId="0" fontId="59" fillId="0" borderId="5" xfId="0" applyFont="1" applyBorder="1"/>
    <xf numFmtId="0" fontId="80" fillId="0" borderId="0" xfId="0" applyFont="1"/>
    <xf numFmtId="0" fontId="80" fillId="0" borderId="5" xfId="0" applyFont="1" applyBorder="1"/>
    <xf numFmtId="164" fontId="57" fillId="7" borderId="0" xfId="0" applyNumberFormat="1" applyFont="1" applyFill="1"/>
    <xf numFmtId="0" fontId="59" fillId="31" borderId="0" xfId="0" applyFont="1" applyFill="1"/>
    <xf numFmtId="164" fontId="59" fillId="31" borderId="0" xfId="1" applyNumberFormat="1" applyFont="1" applyFill="1"/>
    <xf numFmtId="43" fontId="59" fillId="31" borderId="0" xfId="1" applyNumberFormat="1" applyFont="1" applyFill="1"/>
    <xf numFmtId="164" fontId="81" fillId="0" borderId="0" xfId="1" applyNumberFormat="1" applyFont="1" applyFill="1"/>
    <xf numFmtId="10" fontId="57" fillId="0" borderId="0" xfId="0" applyNumberFormat="1" applyFont="1"/>
    <xf numFmtId="1" fontId="57" fillId="0" borderId="0" xfId="0" applyNumberFormat="1" applyFont="1"/>
    <xf numFmtId="49" fontId="52" fillId="0" borderId="0" xfId="0" applyNumberFormat="1" applyFont="1"/>
    <xf numFmtId="0" fontId="58" fillId="0" borderId="5" xfId="0" applyFont="1" applyBorder="1" applyAlignment="1">
      <alignment horizontal="left"/>
    </xf>
    <xf numFmtId="164" fontId="52" fillId="0" borderId="5" xfId="1" applyNumberFormat="1" applyFont="1" applyBorder="1"/>
    <xf numFmtId="164" fontId="52" fillId="0" borderId="5" xfId="0" applyNumberFormat="1" applyFont="1" applyBorder="1"/>
    <xf numFmtId="164" fontId="52" fillId="0" borderId="0" xfId="0" applyNumberFormat="1" applyFont="1" applyBorder="1"/>
    <xf numFmtId="164" fontId="11" fillId="0" borderId="0" xfId="1" applyNumberFormat="1" applyFont="1" applyBorder="1"/>
    <xf numFmtId="14" fontId="9" fillId="0" borderId="1" xfId="0" quotePrefix="1" applyNumberFormat="1" applyFont="1" applyBorder="1" applyAlignment="1">
      <alignment horizontal="center"/>
    </xf>
    <xf numFmtId="165" fontId="52" fillId="0" borderId="0" xfId="2" applyNumberFormat="1" applyFont="1"/>
    <xf numFmtId="0" fontId="82" fillId="0" borderId="0" xfId="0" applyFont="1"/>
    <xf numFmtId="0" fontId="52" fillId="0" borderId="30" xfId="0" applyFont="1" applyBorder="1" applyProtection="1">
      <protection locked="0"/>
    </xf>
    <xf numFmtId="0" fontId="52" fillId="0" borderId="31" xfId="0" applyFont="1" applyBorder="1" applyProtection="1">
      <protection locked="0"/>
    </xf>
    <xf numFmtId="0" fontId="52" fillId="0" borderId="31" xfId="0" applyFont="1" applyBorder="1" applyAlignment="1" applyProtection="1">
      <alignment horizontal="center"/>
      <protection locked="0"/>
    </xf>
    <xf numFmtId="9" fontId="52" fillId="0" borderId="0" xfId="0" applyNumberFormat="1" applyFont="1" applyFill="1" applyBorder="1"/>
    <xf numFmtId="0" fontId="53" fillId="0" borderId="19" xfId="0" applyFont="1" applyBorder="1" applyAlignment="1" applyProtection="1">
      <alignment vertical="center"/>
      <protection locked="0"/>
    </xf>
    <xf numFmtId="0" fontId="51" fillId="0" borderId="25" xfId="0" applyFont="1" applyBorder="1" applyAlignment="1" applyProtection="1">
      <alignment horizontal="left" vertical="center" wrapText="1"/>
      <protection locked="0"/>
    </xf>
    <xf numFmtId="0" fontId="52" fillId="21" borderId="19" xfId="0" applyFont="1" applyFill="1" applyBorder="1"/>
    <xf numFmtId="0" fontId="53" fillId="0" borderId="26" xfId="0" applyFont="1" applyBorder="1" applyAlignment="1" applyProtection="1">
      <alignment vertical="center"/>
      <protection locked="0"/>
    </xf>
    <xf numFmtId="0" fontId="51" fillId="0" borderId="0" xfId="0" applyFont="1" applyBorder="1" applyAlignment="1" applyProtection="1">
      <alignment horizontal="left" vertical="center" wrapText="1"/>
      <protection locked="0"/>
    </xf>
    <xf numFmtId="0" fontId="52" fillId="21" borderId="21" xfId="0" applyFont="1" applyFill="1" applyBorder="1"/>
    <xf numFmtId="0" fontId="52" fillId="21" borderId="26" xfId="0" applyFont="1" applyFill="1" applyBorder="1"/>
    <xf numFmtId="171" fontId="52" fillId="21" borderId="20" xfId="0" applyNumberFormat="1" applyFont="1" applyFill="1" applyBorder="1"/>
    <xf numFmtId="171" fontId="52" fillId="21" borderId="27" xfId="0" applyNumberFormat="1" applyFont="1" applyFill="1" applyBorder="1"/>
    <xf numFmtId="171" fontId="52" fillId="21" borderId="22" xfId="0" applyNumberFormat="1" applyFont="1" applyFill="1" applyBorder="1"/>
    <xf numFmtId="0" fontId="52" fillId="0" borderId="0" xfId="0" applyFont="1" applyBorder="1"/>
    <xf numFmtId="0" fontId="83" fillId="33" borderId="0" xfId="0" applyFont="1" applyFill="1" applyBorder="1" applyAlignment="1" applyProtection="1">
      <alignment horizontal="center" vertical="top" wrapText="1" readingOrder="1"/>
      <protection locked="0"/>
    </xf>
    <xf numFmtId="0" fontId="52" fillId="0" borderId="0" xfId="0" applyFont="1" applyBorder="1" applyAlignment="1" applyProtection="1">
      <alignment vertical="top" wrapText="1"/>
      <protection locked="0"/>
    </xf>
    <xf numFmtId="172" fontId="52" fillId="0" borderId="0" xfId="0" applyNumberFormat="1" applyFont="1" applyBorder="1" applyAlignment="1" applyProtection="1">
      <alignment vertical="top" wrapText="1"/>
      <protection locked="0"/>
    </xf>
    <xf numFmtId="172" fontId="53" fillId="0" borderId="0" xfId="0" applyNumberFormat="1" applyFont="1"/>
    <xf numFmtId="0" fontId="52" fillId="0" borderId="0" xfId="0" applyFont="1" applyBorder="1" applyAlignment="1" applyProtection="1">
      <alignment vertical="top"/>
      <protection locked="0"/>
    </xf>
    <xf numFmtId="172" fontId="53" fillId="0" borderId="0" xfId="0" applyNumberFormat="1" applyFont="1" applyBorder="1" applyAlignment="1" applyProtection="1">
      <alignment vertical="top" wrapText="1"/>
      <protection locked="0"/>
    </xf>
    <xf numFmtId="0" fontId="54" fillId="17" borderId="33" xfId="0" applyFont="1" applyFill="1" applyBorder="1" applyAlignment="1" applyProtection="1">
      <alignment horizontal="left" vertical="top"/>
      <protection locked="0"/>
    </xf>
    <xf numFmtId="0" fontId="52" fillId="3" borderId="0" xfId="0" applyFont="1" applyFill="1" applyBorder="1" applyAlignment="1" applyProtection="1">
      <alignment vertical="top" wrapText="1"/>
      <protection locked="0"/>
    </xf>
    <xf numFmtId="0" fontId="54" fillId="0" borderId="34" xfId="0" applyFont="1" applyFill="1" applyBorder="1" applyAlignment="1" applyProtection="1">
      <alignment horizontal="left" vertical="top" indent="1"/>
      <protection locked="0"/>
    </xf>
    <xf numFmtId="0" fontId="54" fillId="10" borderId="34" xfId="0" applyFont="1" applyFill="1" applyBorder="1" applyAlignment="1" applyProtection="1">
      <alignment horizontal="left" vertical="top" indent="1"/>
      <protection locked="0"/>
    </xf>
    <xf numFmtId="172" fontId="52" fillId="10" borderId="0" xfId="0" applyNumberFormat="1" applyFont="1" applyFill="1" applyBorder="1" applyAlignment="1" applyProtection="1">
      <alignment vertical="top" wrapText="1"/>
      <protection locked="0"/>
    </xf>
    <xf numFmtId="0" fontId="52" fillId="10" borderId="0" xfId="0" applyFont="1" applyFill="1" applyBorder="1" applyAlignment="1" applyProtection="1">
      <alignment vertical="top" wrapText="1"/>
      <protection locked="0"/>
    </xf>
    <xf numFmtId="0" fontId="54" fillId="0" borderId="0" xfId="0" applyFont="1" applyFill="1" applyBorder="1" applyAlignment="1" applyProtection="1">
      <alignment horizontal="left" vertical="top" indent="1"/>
      <protection locked="0"/>
    </xf>
    <xf numFmtId="0" fontId="53" fillId="0" borderId="3" xfId="0" applyFont="1" applyBorder="1" applyAlignment="1" applyProtection="1">
      <alignment horizontal="left" vertical="top" wrapText="1" indent="1"/>
      <protection locked="0"/>
    </xf>
    <xf numFmtId="172" fontId="53" fillId="0" borderId="3" xfId="0" applyNumberFormat="1" applyFont="1" applyBorder="1" applyAlignment="1" applyProtection="1">
      <alignment vertical="top" wrapText="1"/>
      <protection locked="0"/>
    </xf>
    <xf numFmtId="0" fontId="52" fillId="0" borderId="0" xfId="0" applyFont="1" applyBorder="1" applyAlignment="1" applyProtection="1">
      <alignment horizontal="left" vertical="top" wrapText="1" indent="1"/>
      <protection locked="0"/>
    </xf>
    <xf numFmtId="1" fontId="52" fillId="0" borderId="0" xfId="0" applyNumberFormat="1" applyFont="1" applyBorder="1" applyAlignment="1" applyProtection="1">
      <alignment vertical="top" wrapText="1"/>
      <protection locked="0"/>
    </xf>
    <xf numFmtId="0" fontId="51" fillId="34" borderId="0" xfId="0" applyFont="1" applyFill="1" applyBorder="1" applyAlignment="1" applyProtection="1">
      <alignment horizontal="left" vertical="top" indent="1"/>
      <protection locked="0"/>
    </xf>
    <xf numFmtId="172" fontId="52" fillId="17" borderId="0" xfId="0" applyNumberFormat="1" applyFont="1" applyFill="1" applyAlignment="1" applyProtection="1">
      <alignment vertical="top" wrapText="1"/>
      <protection locked="0"/>
    </xf>
    <xf numFmtId="0" fontId="52" fillId="0" borderId="0" xfId="0" applyFont="1" applyFill="1" applyBorder="1" applyAlignment="1" applyProtection="1">
      <alignment vertical="top" wrapText="1"/>
      <protection locked="0"/>
    </xf>
    <xf numFmtId="172" fontId="0" fillId="0" borderId="0" xfId="0" applyNumberFormat="1" applyBorder="1" applyAlignment="1" applyProtection="1">
      <alignment vertical="top" wrapText="1"/>
      <protection locked="0"/>
    </xf>
    <xf numFmtId="0" fontId="52" fillId="0" borderId="0" xfId="0" applyFont="1" applyFill="1" applyAlignment="1">
      <alignment horizontal="center" vertical="center"/>
    </xf>
    <xf numFmtId="172" fontId="0" fillId="0" borderId="0" xfId="0" applyNumberFormat="1"/>
    <xf numFmtId="0" fontId="12" fillId="3" borderId="0" xfId="0" applyFont="1" applyFill="1"/>
    <xf numFmtId="0" fontId="83" fillId="33" borderId="3" xfId="0" applyFont="1" applyFill="1" applyBorder="1" applyAlignment="1" applyProtection="1">
      <alignment horizontal="center" vertical="top" wrapText="1" readingOrder="1"/>
      <protection locked="0"/>
    </xf>
    <xf numFmtId="0" fontId="12" fillId="17" borderId="0" xfId="0" applyFont="1" applyFill="1"/>
    <xf numFmtId="0" fontId="58" fillId="0" borderId="3" xfId="0" applyFont="1" applyBorder="1"/>
    <xf numFmtId="0" fontId="54" fillId="14" borderId="3" xfId="0" applyFont="1" applyFill="1" applyBorder="1" applyAlignment="1" applyProtection="1">
      <alignment horizontal="center" vertical="top" wrapText="1"/>
      <protection locked="0"/>
    </xf>
    <xf numFmtId="0" fontId="54" fillId="0" borderId="34" xfId="0" applyFont="1" applyBorder="1" applyAlignment="1" applyProtection="1">
      <alignment horizontal="left" vertical="top" indent="1"/>
      <protection locked="0"/>
    </xf>
    <xf numFmtId="172" fontId="51" fillId="0" borderId="0" xfId="0" applyNumberFormat="1" applyFont="1" applyAlignment="1" applyProtection="1">
      <alignment vertical="top" wrapText="1"/>
      <protection locked="0"/>
    </xf>
    <xf numFmtId="0" fontId="54" fillId="14" borderId="34" xfId="0" applyFont="1" applyFill="1" applyBorder="1" applyAlignment="1" applyProtection="1">
      <alignment horizontal="left" vertical="top" indent="1"/>
      <protection locked="0"/>
    </xf>
    <xf numFmtId="172" fontId="51" fillId="14" borderId="0" xfId="0" applyNumberFormat="1" applyFont="1" applyFill="1" applyAlignment="1" applyProtection="1">
      <alignment vertical="top" wrapText="1"/>
      <protection locked="0"/>
    </xf>
    <xf numFmtId="0" fontId="51" fillId="0" borderId="0" xfId="0" applyFont="1" applyAlignment="1" applyProtection="1">
      <alignment vertical="top" wrapText="1"/>
      <protection locked="0"/>
    </xf>
    <xf numFmtId="0" fontId="51" fillId="14" borderId="0" xfId="0" applyFont="1" applyFill="1" applyAlignment="1" applyProtection="1">
      <alignment vertical="top" wrapText="1"/>
      <protection locked="0"/>
    </xf>
    <xf numFmtId="0" fontId="54" fillId="0" borderId="0" xfId="0" applyFont="1" applyAlignment="1" applyProtection="1">
      <alignment horizontal="left" vertical="top" indent="1"/>
      <protection locked="0"/>
    </xf>
    <xf numFmtId="0" fontId="54" fillId="0" borderId="3" xfId="0" applyFont="1" applyBorder="1" applyAlignment="1" applyProtection="1">
      <alignment horizontal="left" vertical="top" wrapText="1" indent="1"/>
      <protection locked="0"/>
    </xf>
    <xf numFmtId="172" fontId="54" fillId="0" borderId="3" xfId="0" applyNumberFormat="1" applyFont="1" applyBorder="1" applyAlignment="1" applyProtection="1">
      <alignment vertical="top" wrapText="1"/>
      <protection locked="0"/>
    </xf>
    <xf numFmtId="0" fontId="54" fillId="27" borderId="34" xfId="0" applyFont="1" applyFill="1" applyBorder="1" applyAlignment="1" applyProtection="1">
      <alignment horizontal="left" vertical="top" indent="1"/>
      <protection locked="0"/>
    </xf>
    <xf numFmtId="0" fontId="52" fillId="27" borderId="0" xfId="0" applyFont="1" applyFill="1" applyBorder="1" applyAlignment="1" applyProtection="1">
      <alignment vertical="top" wrapText="1"/>
      <protection locked="0"/>
    </xf>
    <xf numFmtId="10" fontId="51" fillId="0" borderId="0" xfId="2" applyNumberFormat="1" applyFont="1" applyAlignment="1" applyProtection="1">
      <alignment vertical="top" wrapText="1"/>
      <protection locked="0"/>
    </xf>
    <xf numFmtId="10" fontId="53" fillId="0" borderId="3" xfId="2" applyNumberFormat="1" applyFont="1" applyBorder="1" applyAlignment="1" applyProtection="1">
      <alignment vertical="top" wrapText="1"/>
      <protection locked="0"/>
    </xf>
    <xf numFmtId="10" fontId="51" fillId="10" borderId="0" xfId="2" applyNumberFormat="1" applyFont="1" applyFill="1" applyAlignment="1" applyProtection="1">
      <alignment vertical="top" wrapText="1"/>
      <protection locked="0"/>
    </xf>
    <xf numFmtId="0" fontId="52" fillId="0" borderId="0" xfId="0" applyFont="1" applyFill="1" applyBorder="1" applyAlignment="1" applyProtection="1">
      <alignment horizontal="center"/>
      <protection locked="0"/>
    </xf>
    <xf numFmtId="10" fontId="52" fillId="0" borderId="0" xfId="0" applyNumberFormat="1" applyFont="1" applyFill="1" applyBorder="1" applyAlignment="1" applyProtection="1">
      <alignment horizontal="center" vertical="center"/>
      <protection locked="0"/>
    </xf>
    <xf numFmtId="10" fontId="8" fillId="0" borderId="0" xfId="2" applyNumberFormat="1" applyFont="1" applyFill="1" applyBorder="1" applyAlignment="1" applyProtection="1">
      <alignment horizontal="center" vertical="center"/>
      <protection locked="0"/>
    </xf>
    <xf numFmtId="0" fontId="54" fillId="0" borderId="3" xfId="0" applyFont="1" applyFill="1" applyBorder="1" applyAlignment="1" applyProtection="1">
      <alignment horizontal="center" vertical="top" wrapText="1"/>
      <protection locked="0"/>
    </xf>
    <xf numFmtId="0" fontId="53" fillId="0" borderId="23" xfId="0" applyFont="1" applyBorder="1" applyAlignment="1">
      <alignment vertical="center"/>
    </xf>
    <xf numFmtId="0" fontId="53" fillId="0" borderId="29" xfId="0" applyFont="1" applyBorder="1" applyAlignment="1">
      <alignment vertical="center"/>
    </xf>
    <xf numFmtId="3" fontId="53" fillId="0" borderId="24" xfId="0" applyNumberFormat="1" applyFont="1" applyBorder="1" applyAlignment="1">
      <alignment vertical="center"/>
    </xf>
    <xf numFmtId="0" fontId="0" fillId="0" borderId="0" xfId="0" applyBorder="1" applyAlignment="1" applyProtection="1">
      <alignment vertical="top" wrapText="1"/>
      <protection locked="0"/>
    </xf>
    <xf numFmtId="0" fontId="78" fillId="0" borderId="0" xfId="0" applyFont="1" applyBorder="1" applyAlignment="1" applyProtection="1">
      <alignment vertical="top" wrapText="1"/>
      <protection locked="0"/>
    </xf>
    <xf numFmtId="172" fontId="78" fillId="0" borderId="0" xfId="0" applyNumberFormat="1" applyFont="1" applyBorder="1" applyAlignment="1" applyProtection="1">
      <alignment vertical="top" wrapText="1"/>
      <protection locked="0"/>
    </xf>
    <xf numFmtId="0" fontId="78" fillId="0" borderId="0" xfId="0" applyFont="1" applyFill="1" applyBorder="1" applyAlignment="1" applyProtection="1">
      <alignment vertical="top" wrapText="1"/>
      <protection locked="0"/>
    </xf>
    <xf numFmtId="0" fontId="52" fillId="0" borderId="0" xfId="0" applyFont="1" applyAlignment="1">
      <alignment horizontal="center"/>
    </xf>
    <xf numFmtId="0" fontId="0" fillId="0" borderId="4" xfId="0" applyBorder="1" applyAlignment="1" applyProtection="1">
      <alignment vertical="top" wrapText="1"/>
      <protection locked="0"/>
    </xf>
    <xf numFmtId="0" fontId="84" fillId="33" borderId="37" xfId="0" applyFont="1" applyFill="1" applyBorder="1" applyAlignment="1" applyProtection="1">
      <alignment horizontal="center" vertical="top" wrapText="1" readingOrder="1"/>
      <protection locked="0"/>
    </xf>
    <xf numFmtId="0" fontId="83" fillId="3" borderId="38" xfId="0" applyFont="1" applyFill="1" applyBorder="1" applyAlignment="1" applyProtection="1">
      <alignment horizontal="left" vertical="top" readingOrder="1"/>
      <protection locked="0"/>
    </xf>
    <xf numFmtId="0" fontId="85" fillId="3" borderId="2" xfId="0" applyFont="1" applyFill="1" applyBorder="1" applyAlignment="1" applyProtection="1">
      <alignment vertical="top" wrapText="1"/>
      <protection locked="0"/>
    </xf>
    <xf numFmtId="0" fontId="54" fillId="0" borderId="5" xfId="0" applyFont="1" applyBorder="1" applyAlignment="1" applyProtection="1">
      <alignment horizontal="left" vertical="top" indent="1"/>
      <protection locked="0"/>
    </xf>
    <xf numFmtId="0" fontId="78" fillId="0" borderId="5" xfId="0" applyFont="1" applyBorder="1" applyAlignment="1" applyProtection="1">
      <alignment vertical="top" wrapText="1"/>
      <protection locked="0"/>
    </xf>
    <xf numFmtId="172" fontId="78" fillId="0" borderId="7" xfId="0" applyNumberFormat="1" applyFont="1" applyFill="1" applyBorder="1" applyAlignment="1" applyProtection="1">
      <alignment vertical="top" wrapText="1"/>
      <protection locked="0"/>
    </xf>
    <xf numFmtId="172" fontId="78" fillId="0" borderId="3" xfId="0" applyNumberFormat="1" applyFont="1" applyFill="1" applyBorder="1" applyAlignment="1" applyProtection="1">
      <alignment vertical="top" wrapText="1"/>
      <protection locked="0"/>
    </xf>
    <xf numFmtId="172" fontId="78" fillId="0" borderId="8" xfId="0" applyNumberFormat="1" applyFont="1" applyFill="1" applyBorder="1" applyAlignment="1" applyProtection="1">
      <alignment vertical="top" wrapText="1"/>
      <protection locked="0"/>
    </xf>
    <xf numFmtId="10" fontId="52" fillId="0" borderId="0" xfId="2" applyNumberFormat="1" applyFont="1"/>
    <xf numFmtId="10" fontId="52" fillId="0" borderId="3" xfId="0" applyNumberFormat="1" applyFont="1" applyBorder="1"/>
    <xf numFmtId="10" fontId="52" fillId="10" borderId="0" xfId="2" applyNumberFormat="1" applyFont="1" applyFill="1"/>
    <xf numFmtId="0" fontId="52" fillId="0" borderId="24" xfId="0" applyFont="1" applyFill="1" applyBorder="1" applyAlignment="1" applyProtection="1">
      <alignment horizontal="center"/>
      <protection locked="0"/>
    </xf>
    <xf numFmtId="0" fontId="53" fillId="0" borderId="21" xfId="0" applyFont="1" applyBorder="1" applyAlignment="1" applyProtection="1">
      <alignment vertical="center"/>
      <protection locked="0"/>
    </xf>
    <xf numFmtId="0" fontId="51" fillId="0" borderId="28" xfId="0" applyFont="1" applyBorder="1" applyAlignment="1" applyProtection="1">
      <alignment horizontal="left" vertical="center" wrapText="1"/>
      <protection locked="0"/>
    </xf>
    <xf numFmtId="9" fontId="52" fillId="0" borderId="28" xfId="0" applyNumberFormat="1" applyFont="1" applyBorder="1"/>
    <xf numFmtId="165" fontId="52" fillId="0" borderId="22" xfId="0" applyNumberFormat="1" applyFont="1" applyBorder="1"/>
    <xf numFmtId="0" fontId="83" fillId="33" borderId="35" xfId="0" applyFont="1" applyFill="1" applyBorder="1" applyAlignment="1" applyProtection="1">
      <alignment horizontal="center" vertical="center" wrapText="1" readingOrder="1"/>
      <protection locked="0"/>
    </xf>
    <xf numFmtId="0" fontId="83" fillId="0" borderId="36" xfId="0" applyFont="1" applyFill="1" applyBorder="1" applyAlignment="1" applyProtection="1">
      <alignment horizontal="left" vertical="top" readingOrder="1"/>
      <protection locked="0"/>
    </xf>
    <xf numFmtId="172" fontId="52" fillId="0" borderId="0" xfId="0" applyNumberFormat="1" applyFont="1" applyFill="1"/>
    <xf numFmtId="172" fontId="52" fillId="0" borderId="0" xfId="0" applyNumberFormat="1" applyFont="1"/>
    <xf numFmtId="171" fontId="52" fillId="0" borderId="0" xfId="0" applyNumberFormat="1" applyFont="1"/>
    <xf numFmtId="0" fontId="86" fillId="0" borderId="33" xfId="0" applyFont="1" applyBorder="1" applyAlignment="1" applyProtection="1">
      <alignment horizontal="left" vertical="top"/>
      <protection locked="0"/>
    </xf>
    <xf numFmtId="0" fontId="87" fillId="0" borderId="0" xfId="0" applyFont="1" applyAlignment="1" applyProtection="1">
      <alignment vertical="top" wrapText="1"/>
      <protection locked="0"/>
    </xf>
    <xf numFmtId="1" fontId="0" fillId="0" borderId="0" xfId="0" applyNumberFormat="1" applyBorder="1" applyAlignment="1" applyProtection="1">
      <alignment vertical="top" wrapText="1"/>
      <protection locked="0"/>
    </xf>
    <xf numFmtId="0" fontId="84" fillId="35" borderId="35" xfId="0" applyFont="1" applyFill="1" applyBorder="1" applyAlignment="1" applyProtection="1">
      <alignment horizontal="center" vertical="top" wrapText="1" readingOrder="1"/>
      <protection locked="0"/>
    </xf>
    <xf numFmtId="0" fontId="84" fillId="35" borderId="39" xfId="0" applyFont="1" applyFill="1" applyBorder="1" applyAlignment="1" applyProtection="1">
      <alignment vertical="top" wrapText="1" readingOrder="1"/>
      <protection locked="0"/>
    </xf>
    <xf numFmtId="0" fontId="0" fillId="7" borderId="0" xfId="0" applyFill="1" applyBorder="1" applyAlignment="1" applyProtection="1">
      <alignment vertical="top" wrapText="1"/>
      <protection locked="0"/>
    </xf>
    <xf numFmtId="2" fontId="52" fillId="0" borderId="0" xfId="0" applyNumberFormat="1" applyFont="1"/>
    <xf numFmtId="0" fontId="52" fillId="0" borderId="0" xfId="0" applyFont="1" applyFill="1" applyBorder="1"/>
    <xf numFmtId="0" fontId="52" fillId="0" borderId="3" xfId="0" applyFont="1" applyBorder="1" applyAlignment="1">
      <alignment vertical="center"/>
    </xf>
    <xf numFmtId="0" fontId="52" fillId="0" borderId="3" xfId="0" applyFont="1" applyBorder="1" applyAlignment="1">
      <alignment horizontal="center" wrapText="1"/>
    </xf>
    <xf numFmtId="0" fontId="83" fillId="33" borderId="4" xfId="0" applyFont="1" applyFill="1" applyBorder="1" applyAlignment="1" applyProtection="1">
      <alignment horizontal="center" vertical="top" wrapText="1" readingOrder="1"/>
      <protection locked="0"/>
    </xf>
    <xf numFmtId="172" fontId="52" fillId="0" borderId="0" xfId="0" applyNumberFormat="1" applyFont="1" applyFill="1" applyBorder="1"/>
    <xf numFmtId="172" fontId="52" fillId="0" borderId="0" xfId="0" applyNumberFormat="1" applyFont="1" applyBorder="1"/>
    <xf numFmtId="172" fontId="0" fillId="0" borderId="0" xfId="0" applyNumberFormat="1" applyBorder="1"/>
    <xf numFmtId="0" fontId="54" fillId="0" borderId="2" xfId="0" applyFont="1" applyBorder="1" applyAlignment="1" applyProtection="1">
      <alignment horizontal="left" vertical="top" indent="1"/>
      <protection locked="0"/>
    </xf>
    <xf numFmtId="0" fontId="52" fillId="0" borderId="2" xfId="0" applyFont="1" applyFill="1" applyBorder="1"/>
    <xf numFmtId="0" fontId="52" fillId="0" borderId="2" xfId="0" applyFont="1" applyBorder="1"/>
    <xf numFmtId="0" fontId="0" fillId="0" borderId="2" xfId="0" applyBorder="1" applyAlignment="1" applyProtection="1">
      <alignment vertical="top" wrapText="1"/>
      <protection locked="0"/>
    </xf>
    <xf numFmtId="1" fontId="0" fillId="0" borderId="2" xfId="0" applyNumberFormat="1" applyBorder="1" applyAlignment="1" applyProtection="1">
      <alignment vertical="top" wrapText="1"/>
      <protection locked="0"/>
    </xf>
    <xf numFmtId="172" fontId="52" fillId="0" borderId="0" xfId="0" applyNumberFormat="1" applyFont="1" applyFill="1" applyBorder="1" applyAlignment="1" applyProtection="1">
      <alignment vertical="top" wrapText="1"/>
      <protection locked="0"/>
    </xf>
    <xf numFmtId="10" fontId="52" fillId="0" borderId="0" xfId="0" applyNumberFormat="1" applyFont="1"/>
    <xf numFmtId="0" fontId="52" fillId="0" borderId="3" xfId="0" applyFont="1" applyBorder="1"/>
    <xf numFmtId="0" fontId="54" fillId="14" borderId="5" xfId="0" applyFont="1" applyFill="1" applyBorder="1" applyAlignment="1" applyProtection="1">
      <alignment horizontal="left" vertical="top" indent="1"/>
      <protection locked="0"/>
    </xf>
    <xf numFmtId="10" fontId="52" fillId="0" borderId="5" xfId="0" applyNumberFormat="1" applyFont="1" applyBorder="1"/>
    <xf numFmtId="10" fontId="51" fillId="0" borderId="5" xfId="2" applyNumberFormat="1" applyFont="1" applyBorder="1" applyAlignment="1" applyProtection="1">
      <alignment vertical="top" wrapText="1"/>
      <protection locked="0"/>
    </xf>
    <xf numFmtId="0" fontId="52" fillId="0" borderId="3" xfId="0" applyFont="1" applyBorder="1" applyAlignment="1">
      <alignment horizontal="center"/>
    </xf>
    <xf numFmtId="10" fontId="52" fillId="0" borderId="0" xfId="2" applyNumberFormat="1" applyFont="1" applyBorder="1" applyAlignment="1" applyProtection="1">
      <alignment vertical="top" wrapText="1"/>
      <protection locked="0"/>
    </xf>
    <xf numFmtId="10" fontId="52" fillId="10" borderId="0" xfId="2" applyNumberFormat="1" applyFont="1" applyFill="1" applyBorder="1" applyAlignment="1" applyProtection="1">
      <alignment vertical="top" wrapText="1"/>
      <protection locked="0"/>
    </xf>
    <xf numFmtId="10" fontId="52" fillId="0" borderId="0" xfId="2" applyNumberFormat="1" applyFont="1" applyFill="1" applyBorder="1" applyAlignment="1" applyProtection="1">
      <alignment vertical="top" wrapText="1"/>
      <protection locked="0"/>
    </xf>
    <xf numFmtId="0" fontId="52" fillId="0" borderId="3" xfId="0" applyFont="1" applyBorder="1" applyAlignment="1">
      <alignment wrapText="1"/>
    </xf>
    <xf numFmtId="0" fontId="6" fillId="3" borderId="4" xfId="0" applyFont="1" applyFill="1" applyBorder="1"/>
    <xf numFmtId="0" fontId="0" fillId="3" borderId="4" xfId="0" applyFill="1" applyBorder="1"/>
    <xf numFmtId="0" fontId="54" fillId="0" borderId="0" xfId="0" applyFont="1" applyBorder="1" applyAlignment="1" applyProtection="1">
      <alignment horizontal="left" vertical="top" indent="1"/>
      <protection locked="0"/>
    </xf>
    <xf numFmtId="0" fontId="0" fillId="0" borderId="2" xfId="0" applyFill="1" applyBorder="1"/>
    <xf numFmtId="172" fontId="52" fillId="0" borderId="2" xfId="0" applyNumberFormat="1" applyFont="1" applyFill="1" applyBorder="1"/>
    <xf numFmtId="0" fontId="83" fillId="3" borderId="40" xfId="0" applyFont="1" applyFill="1" applyBorder="1" applyAlignment="1" applyProtection="1">
      <alignment horizontal="left" vertical="top" readingOrder="1"/>
      <protection locked="0"/>
    </xf>
    <xf numFmtId="0" fontId="52" fillId="3" borderId="4" xfId="0" applyFont="1" applyFill="1" applyBorder="1"/>
    <xf numFmtId="0" fontId="83" fillId="0" borderId="2" xfId="0" applyFont="1" applyFill="1" applyBorder="1" applyAlignment="1" applyProtection="1">
      <alignment horizontal="left" vertical="top" indent="1" readingOrder="1"/>
      <protection locked="0"/>
    </xf>
    <xf numFmtId="172" fontId="53" fillId="0" borderId="2" xfId="0" applyNumberFormat="1" applyFont="1" applyFill="1" applyBorder="1"/>
    <xf numFmtId="0" fontId="12" fillId="0" borderId="0" xfId="0" applyFont="1" applyFill="1"/>
    <xf numFmtId="0" fontId="12" fillId="0" borderId="0" xfId="0" applyFont="1" applyFill="1" applyBorder="1"/>
    <xf numFmtId="0" fontId="58" fillId="0" borderId="0" xfId="0" applyFont="1" applyBorder="1"/>
    <xf numFmtId="0" fontId="54" fillId="0" borderId="0" xfId="0" applyFont="1" applyFill="1" applyBorder="1" applyAlignment="1" applyProtection="1">
      <alignment horizontal="center" vertical="top" wrapText="1"/>
      <protection locked="0"/>
    </xf>
    <xf numFmtId="0" fontId="0" fillId="3" borderId="0" xfId="0" applyFill="1" applyBorder="1" applyAlignment="1" applyProtection="1">
      <alignment vertical="top" wrapText="1"/>
      <protection locked="0"/>
    </xf>
    <xf numFmtId="0" fontId="89" fillId="36" borderId="36" xfId="0" applyFont="1" applyFill="1" applyBorder="1" applyAlignment="1" applyProtection="1">
      <alignment horizontal="left" vertical="top" readingOrder="1"/>
      <protection locked="0"/>
    </xf>
    <xf numFmtId="0" fontId="90" fillId="17" borderId="33" xfId="0" applyFont="1" applyFill="1" applyBorder="1" applyAlignment="1" applyProtection="1">
      <alignment horizontal="left" vertical="top"/>
      <protection locked="0"/>
    </xf>
    <xf numFmtId="172" fontId="0" fillId="3" borderId="0" xfId="0" applyNumberFormat="1" applyFill="1" applyBorder="1" applyAlignment="1" applyProtection="1">
      <alignment vertical="top" wrapText="1"/>
      <protection locked="0"/>
    </xf>
    <xf numFmtId="0" fontId="58" fillId="0" borderId="2" xfId="0" applyFont="1" applyBorder="1"/>
    <xf numFmtId="0" fontId="53" fillId="0" borderId="23" xfId="0" applyFont="1" applyBorder="1"/>
    <xf numFmtId="0" fontId="0" fillId="0" borderId="29" xfId="0" applyBorder="1"/>
    <xf numFmtId="9" fontId="52" fillId="0" borderId="0" xfId="0" applyNumberFormat="1" applyFont="1" applyBorder="1"/>
    <xf numFmtId="0" fontId="52" fillId="0" borderId="19" xfId="0" applyFont="1" applyBorder="1" applyProtection="1">
      <protection locked="0"/>
    </xf>
    <xf numFmtId="0" fontId="52" fillId="0" borderId="25" xfId="0" applyFont="1" applyBorder="1" applyProtection="1">
      <protection locked="0"/>
    </xf>
    <xf numFmtId="0" fontId="52" fillId="0" borderId="25" xfId="0" applyFont="1" applyBorder="1" applyAlignment="1" applyProtection="1">
      <alignment horizontal="center"/>
      <protection locked="0"/>
    </xf>
    <xf numFmtId="0" fontId="52" fillId="0" borderId="20" xfId="0" applyFont="1" applyFill="1" applyBorder="1" applyAlignment="1" applyProtection="1">
      <alignment horizontal="center"/>
      <protection locked="0"/>
    </xf>
    <xf numFmtId="165" fontId="52" fillId="0" borderId="27" xfId="0" applyNumberFormat="1" applyFont="1" applyBorder="1"/>
    <xf numFmtId="0" fontId="52" fillId="3" borderId="41" xfId="0" applyFont="1" applyFill="1" applyBorder="1" applyAlignment="1" applyProtection="1">
      <alignment vertical="top" wrapText="1"/>
      <protection locked="0"/>
    </xf>
    <xf numFmtId="172" fontId="53" fillId="3" borderId="41" xfId="0" applyNumberFormat="1" applyFont="1" applyFill="1" applyBorder="1" applyAlignment="1" applyProtection="1">
      <alignment vertical="top" wrapText="1"/>
      <protection locked="0"/>
    </xf>
    <xf numFmtId="172" fontId="52" fillId="3" borderId="0" xfId="0" applyNumberFormat="1" applyFont="1" applyFill="1" applyBorder="1" applyAlignment="1" applyProtection="1">
      <alignment vertical="top" wrapText="1"/>
      <protection locked="0"/>
    </xf>
    <xf numFmtId="0" fontId="53" fillId="0" borderId="4" xfId="0" applyFont="1" applyBorder="1" applyAlignment="1" applyProtection="1">
      <alignment horizontal="left" vertical="top" wrapText="1" indent="1"/>
      <protection locked="0"/>
    </xf>
    <xf numFmtId="0" fontId="52" fillId="0" borderId="2" xfId="0" applyFont="1" applyBorder="1" applyAlignment="1" applyProtection="1">
      <alignment horizontal="left" vertical="top" wrapText="1" indent="1"/>
      <protection locked="0"/>
    </xf>
    <xf numFmtId="172" fontId="52" fillId="0" borderId="2" xfId="0" applyNumberFormat="1" applyFont="1" applyFill="1" applyBorder="1" applyAlignment="1" applyProtection="1">
      <alignment vertical="top" wrapText="1"/>
      <protection locked="0"/>
    </xf>
    <xf numFmtId="0" fontId="54" fillId="17" borderId="42" xfId="0" applyFont="1" applyFill="1" applyBorder="1" applyAlignment="1" applyProtection="1">
      <alignment horizontal="left" vertical="top"/>
      <protection locked="0"/>
    </xf>
    <xf numFmtId="0" fontId="53" fillId="10" borderId="3" xfId="0" applyFont="1" applyFill="1" applyBorder="1"/>
    <xf numFmtId="0" fontId="53" fillId="10" borderId="3" xfId="0" applyFont="1" applyFill="1" applyBorder="1" applyAlignment="1">
      <alignment horizontal="center" vertical="center" wrapText="1"/>
    </xf>
    <xf numFmtId="0" fontId="54" fillId="10" borderId="3" xfId="0" applyFont="1" applyFill="1" applyBorder="1" applyAlignment="1">
      <alignment horizontal="center" vertical="center" wrapText="1"/>
    </xf>
    <xf numFmtId="172" fontId="53" fillId="0" borderId="3" xfId="0" applyNumberFormat="1" applyFont="1" applyFill="1" applyBorder="1" applyAlignment="1" applyProtection="1">
      <alignment vertical="top" wrapText="1"/>
      <protection locked="0"/>
    </xf>
    <xf numFmtId="0" fontId="51" fillId="0" borderId="0" xfId="0" applyFont="1" applyBorder="1" applyAlignment="1" applyProtection="1">
      <alignment horizontal="left" vertical="center"/>
      <protection locked="0"/>
    </xf>
    <xf numFmtId="0" fontId="28" fillId="0" borderId="0" xfId="0" applyFont="1" applyAlignment="1">
      <alignment horizontal="left"/>
    </xf>
    <xf numFmtId="0" fontId="84" fillId="33" borderId="0" xfId="0" applyFont="1" applyFill="1" applyBorder="1" applyAlignment="1" applyProtection="1">
      <alignment horizontal="center" vertical="top" wrapText="1" readingOrder="1"/>
      <protection locked="0"/>
    </xf>
    <xf numFmtId="0" fontId="52" fillId="10" borderId="0" xfId="0" applyFont="1" applyFill="1" applyAlignment="1">
      <alignment vertical="center" textRotation="90"/>
    </xf>
    <xf numFmtId="0" fontId="84" fillId="33" borderId="43" xfId="0" applyFont="1" applyFill="1" applyBorder="1" applyAlignment="1" applyProtection="1">
      <alignment horizontal="center" vertical="top" wrapText="1" readingOrder="1"/>
      <protection locked="0"/>
    </xf>
    <xf numFmtId="0" fontId="28" fillId="0" borderId="4" xfId="0" applyFont="1" applyBorder="1"/>
    <xf numFmtId="172" fontId="0" fillId="0" borderId="4" xfId="0" applyNumberFormat="1" applyBorder="1"/>
    <xf numFmtId="0" fontId="28" fillId="0" borderId="0" xfId="0" applyFont="1" applyBorder="1"/>
    <xf numFmtId="0" fontId="0" fillId="0" borderId="0" xfId="0" applyBorder="1" applyAlignment="1">
      <alignment horizontal="left" indent="1"/>
    </xf>
    <xf numFmtId="0" fontId="0" fillId="0" borderId="2" xfId="0" applyBorder="1" applyAlignment="1">
      <alignment horizontal="left" indent="1"/>
    </xf>
    <xf numFmtId="172" fontId="0" fillId="0" borderId="2" xfId="0" applyNumberFormat="1" applyBorder="1"/>
    <xf numFmtId="0" fontId="28" fillId="0" borderId="4" xfId="0" applyFont="1" applyBorder="1" applyAlignment="1">
      <alignment horizontal="left"/>
    </xf>
    <xf numFmtId="172" fontId="52" fillId="0" borderId="4" xfId="0" applyNumberFormat="1" applyFont="1" applyBorder="1"/>
    <xf numFmtId="172" fontId="52" fillId="0" borderId="2" xfId="0" applyNumberFormat="1" applyFont="1" applyBorder="1"/>
    <xf numFmtId="0" fontId="52" fillId="0" borderId="0" xfId="0" applyFont="1" applyAlignment="1">
      <alignment horizontal="center" wrapText="1"/>
    </xf>
    <xf numFmtId="0" fontId="52" fillId="0" borderId="0" xfId="0" applyFont="1" applyAlignment="1">
      <alignment horizontal="center" vertical="center" wrapText="1"/>
    </xf>
    <xf numFmtId="0" fontId="0" fillId="10" borderId="4" xfId="0" applyFill="1" applyBorder="1"/>
    <xf numFmtId="0" fontId="0" fillId="10" borderId="0" xfId="0" applyFill="1" applyBorder="1"/>
    <xf numFmtId="0" fontId="52" fillId="10" borderId="0" xfId="0" applyFont="1" applyFill="1" applyBorder="1"/>
    <xf numFmtId="0" fontId="0" fillId="10" borderId="2" xfId="0" applyFill="1" applyBorder="1"/>
    <xf numFmtId="0" fontId="88" fillId="10" borderId="0" xfId="0" applyFont="1" applyFill="1"/>
    <xf numFmtId="172" fontId="52" fillId="10" borderId="0" xfId="0" applyNumberFormat="1" applyFont="1" applyFill="1"/>
    <xf numFmtId="0" fontId="52" fillId="10" borderId="0" xfId="0" applyFont="1" applyFill="1"/>
    <xf numFmtId="0" fontId="88" fillId="10" borderId="0" xfId="0" applyFont="1" applyFill="1" applyBorder="1"/>
    <xf numFmtId="172" fontId="52" fillId="10" borderId="4" xfId="0" applyNumberFormat="1" applyFont="1" applyFill="1" applyBorder="1"/>
    <xf numFmtId="172" fontId="52" fillId="10" borderId="0" xfId="0" applyNumberFormat="1" applyFont="1" applyFill="1" applyBorder="1"/>
    <xf numFmtId="172" fontId="52" fillId="10" borderId="2" xfId="0" applyNumberFormat="1" applyFont="1" applyFill="1" applyBorder="1"/>
    <xf numFmtId="172" fontId="0" fillId="10" borderId="0" xfId="0" applyNumberFormat="1" applyFill="1"/>
    <xf numFmtId="0" fontId="88" fillId="10" borderId="4" xfId="0" applyFont="1" applyFill="1" applyBorder="1"/>
    <xf numFmtId="172" fontId="0" fillId="10" borderId="4" xfId="0" applyNumberFormat="1" applyFill="1" applyBorder="1"/>
    <xf numFmtId="172" fontId="0" fillId="10" borderId="0" xfId="0" applyNumberFormat="1" applyFill="1" applyBorder="1"/>
    <xf numFmtId="0" fontId="88" fillId="10" borderId="2" xfId="0" applyFont="1" applyFill="1" applyBorder="1"/>
    <xf numFmtId="172" fontId="0" fillId="10" borderId="2" xfId="0" applyNumberFormat="1" applyFill="1" applyBorder="1"/>
    <xf numFmtId="0" fontId="52" fillId="0" borderId="26" xfId="0" applyFont="1" applyBorder="1"/>
    <xf numFmtId="0" fontId="52" fillId="0" borderId="21" xfId="0" applyFont="1" applyBorder="1"/>
    <xf numFmtId="9" fontId="52" fillId="0" borderId="22" xfId="2" applyFont="1" applyBorder="1"/>
    <xf numFmtId="0" fontId="52" fillId="0" borderId="23" xfId="0" applyFont="1" applyBorder="1"/>
    <xf numFmtId="0" fontId="0" fillId="0" borderId="24" xfId="0" applyBorder="1"/>
    <xf numFmtId="9" fontId="52" fillId="4" borderId="27" xfId="2" applyFont="1" applyFill="1" applyBorder="1"/>
    <xf numFmtId="172" fontId="0" fillId="0" borderId="11" xfId="0" applyNumberFormat="1" applyBorder="1"/>
    <xf numFmtId="0" fontId="0" fillId="0" borderId="12" xfId="0" applyBorder="1"/>
    <xf numFmtId="0" fontId="0" fillId="0" borderId="13" xfId="0" applyBorder="1"/>
    <xf numFmtId="0" fontId="53" fillId="0" borderId="19" xfId="0" applyFont="1" applyBorder="1"/>
    <xf numFmtId="0" fontId="52" fillId="0" borderId="26" xfId="0" applyFont="1" applyBorder="1" applyAlignment="1">
      <alignment horizontal="left" indent="1"/>
    </xf>
    <xf numFmtId="0" fontId="52" fillId="0" borderId="21" xfId="0" applyFont="1" applyBorder="1" applyAlignment="1">
      <alignment horizontal="left" indent="1"/>
    </xf>
    <xf numFmtId="0" fontId="52" fillId="0" borderId="3" xfId="0" applyFont="1" applyBorder="1" applyAlignment="1">
      <alignment horizontal="center" vertical="center" wrapText="1"/>
    </xf>
    <xf numFmtId="37" fontId="28" fillId="18" borderId="0" xfId="0" applyNumberFormat="1" applyFont="1" applyFill="1" applyBorder="1" applyAlignment="1">
      <alignment horizontal="center" vertical="center"/>
    </xf>
    <xf numFmtId="3" fontId="60" fillId="0" borderId="0" xfId="0" applyNumberFormat="1" applyFont="1"/>
    <xf numFmtId="0" fontId="60" fillId="0" borderId="19" xfId="0" applyFont="1" applyBorder="1"/>
    <xf numFmtId="0" fontId="60" fillId="0" borderId="26" xfId="0" applyFont="1" applyBorder="1"/>
    <xf numFmtId="0" fontId="60" fillId="0" borderId="21" xfId="0" applyFont="1" applyBorder="1"/>
    <xf numFmtId="164" fontId="27" fillId="23" borderId="0" xfId="1" applyNumberFormat="1" applyFont="1" applyFill="1"/>
    <xf numFmtId="0" fontId="0" fillId="23" borderId="0" xfId="0" applyFill="1"/>
    <xf numFmtId="0" fontId="0" fillId="0" borderId="11" xfId="0" applyBorder="1"/>
    <xf numFmtId="0" fontId="6" fillId="0" borderId="13" xfId="0" applyFont="1" applyBorder="1"/>
    <xf numFmtId="1" fontId="52" fillId="10" borderId="0" xfId="0" applyNumberFormat="1" applyFont="1" applyFill="1" applyBorder="1" applyAlignment="1" applyProtection="1">
      <alignment vertical="top" wrapText="1"/>
      <protection locked="0"/>
    </xf>
    <xf numFmtId="172" fontId="52" fillId="23" borderId="0" xfId="0" applyNumberFormat="1" applyFont="1" applyFill="1" applyBorder="1" applyAlignment="1" applyProtection="1">
      <alignment vertical="top" wrapText="1"/>
      <protection locked="0"/>
    </xf>
    <xf numFmtId="0" fontId="54" fillId="0" borderId="44" xfId="0" applyFont="1" applyBorder="1" applyAlignment="1" applyProtection="1">
      <alignment horizontal="left" vertical="top" indent="1"/>
      <protection locked="0"/>
    </xf>
    <xf numFmtId="172" fontId="52" fillId="0" borderId="3" xfId="0" applyNumberFormat="1" applyFont="1" applyBorder="1"/>
    <xf numFmtId="0" fontId="52" fillId="0" borderId="2" xfId="0" applyFont="1" applyBorder="1" applyAlignment="1">
      <alignment horizontal="center" vertical="center" wrapText="1"/>
    </xf>
    <xf numFmtId="0" fontId="52" fillId="0" borderId="11" xfId="0" applyFont="1" applyBorder="1"/>
    <xf numFmtId="0" fontId="52" fillId="0" borderId="16" xfId="0" applyFont="1" applyBorder="1" applyAlignment="1" applyProtection="1">
      <alignment vertical="top" wrapText="1"/>
      <protection locked="0"/>
    </xf>
    <xf numFmtId="0" fontId="52" fillId="0" borderId="17" xfId="0" applyFont="1" applyBorder="1"/>
    <xf numFmtId="0" fontId="52" fillId="0" borderId="13" xfId="0" applyFont="1" applyBorder="1" applyAlignment="1" applyProtection="1">
      <alignment vertical="top" wrapText="1"/>
      <protection locked="0"/>
    </xf>
    <xf numFmtId="172" fontId="52" fillId="0" borderId="2" xfId="0" applyNumberFormat="1" applyFont="1" applyBorder="1" applyAlignment="1" applyProtection="1">
      <alignment vertical="top" wrapText="1"/>
      <protection locked="0"/>
    </xf>
    <xf numFmtId="172" fontId="52" fillId="0" borderId="14" xfId="0" applyNumberFormat="1" applyFont="1" applyBorder="1" applyAlignment="1" applyProtection="1">
      <alignment vertical="top" wrapText="1"/>
      <protection locked="0"/>
    </xf>
    <xf numFmtId="0" fontId="52" fillId="0" borderId="4" xfId="0" applyFont="1" applyBorder="1"/>
    <xf numFmtId="172" fontId="52" fillId="0" borderId="12" xfId="0" applyNumberFormat="1" applyFont="1" applyFill="1" applyBorder="1" applyAlignment="1" applyProtection="1">
      <alignment vertical="top" wrapText="1"/>
      <protection locked="0"/>
    </xf>
    <xf numFmtId="0" fontId="52" fillId="0" borderId="16" xfId="0" applyFont="1" applyBorder="1"/>
    <xf numFmtId="172" fontId="52" fillId="0" borderId="17" xfId="0" applyNumberFormat="1" applyFont="1" applyFill="1" applyBorder="1" applyAlignment="1" applyProtection="1">
      <alignment vertical="top" wrapText="1"/>
      <protection locked="0"/>
    </xf>
    <xf numFmtId="6" fontId="52" fillId="0" borderId="17" xfId="0" applyNumberFormat="1" applyFont="1" applyBorder="1"/>
    <xf numFmtId="9" fontId="52" fillId="0" borderId="17" xfId="0" applyNumberFormat="1" applyFont="1" applyBorder="1"/>
    <xf numFmtId="165" fontId="52" fillId="0" borderId="17" xfId="2" applyNumberFormat="1" applyFont="1" applyBorder="1"/>
    <xf numFmtId="0" fontId="52" fillId="0" borderId="13" xfId="0" applyFont="1" applyBorder="1"/>
    <xf numFmtId="165" fontId="52" fillId="0" borderId="14" xfId="2" applyNumberFormat="1" applyFont="1" applyBorder="1"/>
    <xf numFmtId="164" fontId="27" fillId="37" borderId="3" xfId="144" applyNumberFormat="1" applyFont="1" applyFill="1" applyBorder="1"/>
    <xf numFmtId="164" fontId="57" fillId="37" borderId="3" xfId="0" applyNumberFormat="1" applyFont="1" applyFill="1" applyBorder="1"/>
    <xf numFmtId="164" fontId="91" fillId="0" borderId="0" xfId="0" applyNumberFormat="1" applyFont="1"/>
    <xf numFmtId="0" fontId="78" fillId="0" borderId="2" xfId="0" applyFont="1" applyFill="1" applyBorder="1" applyAlignment="1">
      <alignment horizontal="center" vertical="center" wrapText="1"/>
    </xf>
    <xf numFmtId="164" fontId="8" fillId="0" borderId="2" xfId="0" applyNumberFormat="1" applyFont="1" applyBorder="1"/>
    <xf numFmtId="165" fontId="52" fillId="0" borderId="0" xfId="0" applyNumberFormat="1" applyFont="1"/>
    <xf numFmtId="164" fontId="52" fillId="0" borderId="0" xfId="0" applyNumberFormat="1" applyFont="1" applyFill="1"/>
    <xf numFmtId="165" fontId="52" fillId="0" borderId="0" xfId="0" applyNumberFormat="1" applyFont="1" applyFill="1"/>
    <xf numFmtId="0" fontId="52" fillId="0" borderId="1" xfId="0" applyFont="1" applyBorder="1" applyAlignment="1">
      <alignment horizontal="right"/>
    </xf>
    <xf numFmtId="164" fontId="52" fillId="0" borderId="3" xfId="0" applyNumberFormat="1" applyFont="1" applyFill="1" applyBorder="1"/>
    <xf numFmtId="0" fontId="53" fillId="0" borderId="3" xfId="0" applyFont="1" applyFill="1" applyBorder="1"/>
    <xf numFmtId="0" fontId="53" fillId="0" borderId="3" xfId="0" applyFont="1" applyBorder="1"/>
    <xf numFmtId="164" fontId="53" fillId="0" borderId="3" xfId="0" applyNumberFormat="1" applyFont="1" applyFill="1" applyBorder="1"/>
    <xf numFmtId="164" fontId="8" fillId="0" borderId="2" xfId="0" applyNumberFormat="1" applyFont="1" applyFill="1" applyBorder="1"/>
    <xf numFmtId="164" fontId="78" fillId="5" borderId="0" xfId="144" applyNumberFormat="1" applyFont="1" applyFill="1" applyBorder="1"/>
    <xf numFmtId="0" fontId="78" fillId="0" borderId="0" xfId="0" applyFont="1" applyFill="1" applyBorder="1"/>
    <xf numFmtId="164" fontId="78" fillId="0" borderId="0" xfId="144" applyNumberFormat="1" applyFont="1" applyFill="1" applyBorder="1"/>
    <xf numFmtId="164" fontId="78" fillId="0" borderId="3" xfId="144" applyNumberFormat="1" applyFont="1" applyFill="1" applyBorder="1"/>
    <xf numFmtId="164" fontId="78" fillId="5" borderId="1" xfId="144" applyNumberFormat="1" applyFont="1" applyFill="1" applyBorder="1"/>
    <xf numFmtId="0" fontId="78" fillId="3" borderId="3" xfId="0" applyFont="1" applyFill="1" applyBorder="1" applyAlignment="1">
      <alignment horizontal="center"/>
    </xf>
    <xf numFmtId="0" fontId="78" fillId="3" borderId="3" xfId="0" applyFont="1" applyFill="1" applyBorder="1" applyAlignment="1">
      <alignment horizontal="center" wrapText="1"/>
    </xf>
    <xf numFmtId="0" fontId="78" fillId="0" borderId="0" xfId="0" applyFont="1"/>
    <xf numFmtId="0" fontId="51" fillId="13" borderId="0" xfId="0" applyFont="1" applyFill="1"/>
    <xf numFmtId="0" fontId="51" fillId="0" borderId="0" xfId="0" applyFont="1"/>
    <xf numFmtId="0" fontId="52" fillId="5" borderId="0" xfId="0" applyFont="1" applyFill="1" applyBorder="1"/>
    <xf numFmtId="164" fontId="52" fillId="0" borderId="0" xfId="0" applyNumberFormat="1" applyFont="1" applyFill="1" applyBorder="1"/>
    <xf numFmtId="0" fontId="52" fillId="0" borderId="0" xfId="0" applyFont="1" applyFill="1" applyBorder="1" applyAlignment="1">
      <alignment horizontal="left" indent="1"/>
    </xf>
    <xf numFmtId="164" fontId="52" fillId="0" borderId="0" xfId="1" applyNumberFormat="1" applyFont="1" applyFill="1" applyBorder="1"/>
    <xf numFmtId="37" fontId="28" fillId="20" borderId="0" xfId="0" applyNumberFormat="1" applyFont="1" applyFill="1" applyBorder="1" applyAlignment="1">
      <alignment vertical="center"/>
    </xf>
    <xf numFmtId="0" fontId="36" fillId="0" borderId="0" xfId="0" applyFont="1"/>
    <xf numFmtId="37" fontId="28" fillId="0" borderId="0" xfId="0" applyNumberFormat="1" applyFont="1" applyAlignment="1">
      <alignment vertical="center"/>
    </xf>
    <xf numFmtId="164" fontId="27" fillId="31" borderId="0" xfId="1" applyNumberFormat="1" applyFont="1" applyFill="1" applyBorder="1"/>
    <xf numFmtId="164" fontId="57" fillId="31" borderId="0" xfId="0" applyNumberFormat="1" applyFont="1" applyFill="1" applyBorder="1"/>
    <xf numFmtId="0" fontId="79" fillId="0" borderId="0" xfId="0" applyFont="1" applyFill="1"/>
    <xf numFmtId="0" fontId="27" fillId="0" borderId="2" xfId="0" applyFont="1" applyFill="1" applyBorder="1" applyAlignment="1">
      <alignment horizontal="center" vertical="center" wrapText="1"/>
    </xf>
    <xf numFmtId="166" fontId="0" fillId="0" borderId="0" xfId="0" applyNumberFormat="1" applyFont="1"/>
    <xf numFmtId="0" fontId="50" fillId="0" borderId="25" xfId="0" applyFont="1" applyBorder="1" applyAlignment="1" applyProtection="1">
      <alignment horizontal="left" vertical="center" wrapText="1" indent="1"/>
      <protection locked="0"/>
    </xf>
    <xf numFmtId="0" fontId="50" fillId="0" borderId="0" xfId="0" applyFont="1" applyBorder="1" applyAlignment="1" applyProtection="1">
      <alignment horizontal="left" vertical="center" wrapText="1" indent="1"/>
      <protection locked="0"/>
    </xf>
    <xf numFmtId="0" fontId="8" fillId="0" borderId="28" xfId="0" applyFont="1" applyBorder="1" applyAlignment="1" applyProtection="1">
      <alignment horizontal="left" vertical="center" indent="1"/>
      <protection locked="0"/>
    </xf>
    <xf numFmtId="0" fontId="50" fillId="0" borderId="28" xfId="0" applyFont="1" applyBorder="1" applyAlignment="1" applyProtection="1">
      <alignment horizontal="left" vertical="center" wrapText="1" indent="1"/>
      <protection locked="0"/>
    </xf>
    <xf numFmtId="0" fontId="50" fillId="0" borderId="29" xfId="0" applyFont="1" applyFill="1" applyBorder="1" applyAlignment="1" applyProtection="1">
      <alignment horizontal="left" vertical="center" wrapText="1" indent="1"/>
      <protection locked="0"/>
    </xf>
    <xf numFmtId="0" fontId="7" fillId="0" borderId="30" xfId="0" applyFont="1" applyBorder="1" applyProtection="1">
      <protection locked="0"/>
    </xf>
    <xf numFmtId="0" fontId="7" fillId="0" borderId="31" xfId="0" applyFont="1" applyBorder="1" applyProtection="1">
      <protection locked="0"/>
    </xf>
    <xf numFmtId="0" fontId="53" fillId="0" borderId="31" xfId="0" applyFont="1" applyBorder="1" applyAlignment="1" applyProtection="1">
      <alignment horizontal="center"/>
      <protection locked="0"/>
    </xf>
    <xf numFmtId="0" fontId="93" fillId="0" borderId="31" xfId="0" applyFont="1" applyBorder="1" applyAlignment="1" applyProtection="1">
      <alignment horizontal="center"/>
      <protection locked="0"/>
    </xf>
    <xf numFmtId="0" fontId="53" fillId="3" borderId="0" xfId="0" applyFont="1" applyFill="1"/>
    <xf numFmtId="172" fontId="88" fillId="0" borderId="0" xfId="0" applyNumberFormat="1" applyFont="1" applyBorder="1" applyAlignment="1" applyProtection="1">
      <alignment vertical="top" wrapText="1"/>
      <protection locked="0"/>
    </xf>
    <xf numFmtId="172" fontId="88" fillId="10" borderId="0" xfId="0" applyNumberFormat="1" applyFont="1" applyFill="1" applyBorder="1" applyAlignment="1" applyProtection="1">
      <alignment vertical="top" wrapText="1"/>
      <protection locked="0"/>
    </xf>
    <xf numFmtId="0" fontId="88" fillId="0" borderId="0" xfId="0" applyFont="1" applyBorder="1" applyAlignment="1" applyProtection="1">
      <alignment vertical="top" wrapText="1"/>
      <protection locked="0"/>
    </xf>
    <xf numFmtId="2" fontId="52" fillId="4" borderId="27" xfId="0" applyNumberFormat="1" applyFont="1" applyFill="1" applyBorder="1"/>
    <xf numFmtId="0" fontId="59" fillId="15" borderId="0" xfId="0" applyFont="1" applyFill="1"/>
    <xf numFmtId="164" fontId="59" fillId="15" borderId="0" xfId="1" applyNumberFormat="1" applyFont="1" applyFill="1"/>
    <xf numFmtId="0" fontId="27" fillId="37" borderId="0" xfId="0" applyFont="1" applyFill="1"/>
    <xf numFmtId="164" fontId="27" fillId="37" borderId="0" xfId="1" applyNumberFormat="1" applyFont="1" applyFill="1"/>
    <xf numFmtId="0" fontId="57" fillId="37" borderId="0" xfId="0" applyFont="1" applyFill="1"/>
    <xf numFmtId="0" fontId="28" fillId="0" borderId="3" xfId="0" applyFont="1" applyBorder="1" applyAlignment="1">
      <alignment wrapText="1"/>
    </xf>
    <xf numFmtId="164" fontId="0" fillId="0" borderId="0" xfId="0" applyNumberFormat="1" applyProtection="1">
      <protection locked="0"/>
    </xf>
    <xf numFmtId="0" fontId="94" fillId="0" borderId="0" xfId="0" applyFont="1" applyFill="1"/>
    <xf numFmtId="0" fontId="96" fillId="0" borderId="0" xfId="0" applyFont="1" applyFill="1"/>
    <xf numFmtId="6" fontId="6" fillId="0" borderId="0" xfId="0" applyNumberFormat="1" applyFont="1"/>
    <xf numFmtId="0" fontId="97" fillId="24" borderId="45" xfId="0" applyFont="1" applyFill="1" applyBorder="1" applyAlignment="1"/>
    <xf numFmtId="3" fontId="97" fillId="24" borderId="45" xfId="0" applyNumberFormat="1" applyFont="1" applyFill="1" applyBorder="1" applyAlignment="1">
      <alignment horizontal="center"/>
    </xf>
    <xf numFmtId="165" fontId="98" fillId="24" borderId="45" xfId="0" applyNumberFormat="1" applyFont="1" applyFill="1" applyBorder="1" applyAlignment="1"/>
    <xf numFmtId="0" fontId="97" fillId="24" borderId="32" xfId="0" applyFont="1" applyFill="1" applyBorder="1" applyAlignment="1"/>
    <xf numFmtId="3" fontId="97" fillId="24" borderId="26" xfId="0" applyNumberFormat="1" applyFont="1" applyFill="1" applyBorder="1" applyAlignment="1">
      <alignment horizontal="center"/>
    </xf>
    <xf numFmtId="3" fontId="97" fillId="24" borderId="27" xfId="0" applyNumberFormat="1" applyFont="1" applyFill="1" applyBorder="1" applyAlignment="1">
      <alignment horizontal="center"/>
    </xf>
    <xf numFmtId="3" fontId="97" fillId="24" borderId="32" xfId="0" applyNumberFormat="1" applyFont="1" applyFill="1" applyBorder="1" applyAlignment="1">
      <alignment horizontal="center"/>
    </xf>
    <xf numFmtId="165" fontId="98" fillId="24" borderId="32" xfId="0" applyNumberFormat="1" applyFont="1" applyFill="1" applyBorder="1" applyAlignment="1"/>
    <xf numFmtId="0" fontId="99" fillId="9" borderId="7" xfId="0" applyFont="1" applyFill="1" applyBorder="1" applyAlignment="1"/>
    <xf numFmtId="0" fontId="99" fillId="9" borderId="3" xfId="0" applyFont="1" applyFill="1" applyBorder="1" applyAlignment="1"/>
    <xf numFmtId="3" fontId="100" fillId="9" borderId="9" xfId="0" applyNumberFormat="1" applyFont="1" applyFill="1" applyBorder="1" applyAlignment="1"/>
    <xf numFmtId="165" fontId="10" fillId="9" borderId="9" xfId="2" applyNumberFormat="1" applyFont="1" applyFill="1" applyBorder="1" applyAlignment="1"/>
    <xf numFmtId="3" fontId="99" fillId="9" borderId="7" xfId="0" applyNumberFormat="1" applyFont="1" applyFill="1" applyBorder="1" applyAlignment="1"/>
    <xf numFmtId="164" fontId="99" fillId="9" borderId="47" xfId="1" applyNumberFormat="1" applyFont="1" applyFill="1" applyBorder="1" applyAlignment="1"/>
    <xf numFmtId="0" fontId="101" fillId="38" borderId="0" xfId="0" applyFont="1" applyFill="1" applyBorder="1" applyAlignment="1"/>
    <xf numFmtId="3" fontId="83" fillId="38" borderId="0" xfId="0" applyNumberFormat="1" applyFont="1" applyFill="1" applyBorder="1" applyAlignment="1"/>
    <xf numFmtId="3" fontId="85" fillId="38" borderId="0" xfId="0" applyNumberFormat="1" applyFont="1" applyFill="1" applyBorder="1" applyAlignment="1"/>
    <xf numFmtId="164" fontId="85" fillId="38" borderId="0" xfId="1" applyNumberFormat="1" applyFont="1" applyFill="1" applyBorder="1" applyAlignment="1"/>
    <xf numFmtId="165" fontId="102" fillId="38" borderId="0" xfId="2" applyNumberFormat="1" applyFont="1" applyFill="1" applyBorder="1" applyAlignment="1"/>
    <xf numFmtId="3" fontId="103" fillId="38" borderId="0" xfId="0" applyNumberFormat="1" applyFont="1" applyFill="1" applyBorder="1" applyAlignment="1"/>
    <xf numFmtId="1" fontId="78" fillId="38" borderId="0" xfId="0" applyNumberFormat="1" applyFont="1" applyFill="1" applyBorder="1" applyAlignment="1"/>
    <xf numFmtId="0" fontId="99" fillId="39" borderId="7" xfId="0" applyFont="1" applyFill="1" applyBorder="1" applyAlignment="1"/>
    <xf numFmtId="0" fontId="99" fillId="39" borderId="3" xfId="0" applyFont="1" applyFill="1" applyBorder="1" applyAlignment="1"/>
    <xf numFmtId="0" fontId="99" fillId="39" borderId="9" xfId="0" applyFont="1" applyFill="1" applyBorder="1" applyAlignment="1"/>
    <xf numFmtId="3" fontId="99" fillId="0" borderId="9" xfId="0" applyNumberFormat="1" applyFont="1" applyFill="1" applyBorder="1" applyAlignment="1"/>
    <xf numFmtId="3" fontId="100" fillId="0" borderId="9" xfId="0" applyNumberFormat="1" applyFont="1" applyFill="1" applyBorder="1" applyAlignment="1"/>
    <xf numFmtId="3" fontId="99" fillId="0" borderId="8" xfId="0" applyNumberFormat="1" applyFont="1" applyFill="1" applyBorder="1" applyAlignment="1"/>
    <xf numFmtId="3" fontId="0" fillId="0" borderId="9" xfId="0" applyNumberFormat="1" applyFont="1" applyFill="1" applyBorder="1"/>
    <xf numFmtId="3" fontId="99" fillId="39" borderId="8" xfId="0" applyNumberFormat="1" applyFont="1" applyFill="1" applyBorder="1" applyAlignment="1"/>
    <xf numFmtId="3" fontId="99" fillId="39" borderId="3" xfId="0" applyNumberFormat="1" applyFont="1" applyFill="1" applyBorder="1" applyAlignment="1"/>
    <xf numFmtId="165" fontId="10" fillId="39" borderId="9" xfId="2" applyNumberFormat="1" applyFont="1" applyFill="1" applyBorder="1" applyAlignment="1"/>
    <xf numFmtId="3" fontId="99" fillId="0" borderId="9" xfId="2" applyNumberFormat="1" applyFont="1" applyFill="1" applyBorder="1" applyAlignment="1"/>
    <xf numFmtId="3" fontId="99" fillId="0" borderId="7" xfId="0" applyNumberFormat="1" applyFont="1" applyFill="1" applyBorder="1" applyAlignment="1"/>
    <xf numFmtId="0" fontId="99" fillId="40" borderId="7" xfId="0" applyFont="1" applyFill="1" applyBorder="1" applyAlignment="1"/>
    <xf numFmtId="0" fontId="99" fillId="40" borderId="3" xfId="0" applyFont="1" applyFill="1" applyBorder="1" applyAlignment="1"/>
    <xf numFmtId="0" fontId="99" fillId="40" borderId="9" xfId="0" applyFont="1" applyFill="1" applyBorder="1" applyAlignment="1"/>
    <xf numFmtId="3" fontId="85" fillId="40" borderId="9" xfId="0" applyNumberFormat="1" applyFont="1" applyFill="1" applyBorder="1" applyAlignment="1"/>
    <xf numFmtId="165" fontId="85" fillId="40" borderId="9" xfId="2" applyNumberFormat="1" applyFont="1" applyFill="1" applyBorder="1" applyAlignment="1"/>
    <xf numFmtId="3" fontId="85" fillId="40" borderId="9" xfId="2" applyNumberFormat="1" applyFont="1" applyFill="1" applyBorder="1" applyAlignment="1"/>
    <xf numFmtId="3" fontId="103" fillId="40" borderId="9" xfId="0" applyNumberFormat="1" applyFont="1" applyFill="1" applyBorder="1" applyAlignment="1"/>
    <xf numFmtId="3" fontId="85" fillId="40" borderId="47" xfId="0" applyNumberFormat="1" applyFont="1" applyFill="1" applyBorder="1" applyAlignment="1"/>
    <xf numFmtId="0" fontId="99" fillId="31" borderId="7" xfId="0" applyFont="1" applyFill="1" applyBorder="1" applyAlignment="1"/>
    <xf numFmtId="0" fontId="99" fillId="31" borderId="3" xfId="0" applyFont="1" applyFill="1" applyBorder="1" applyAlignment="1"/>
    <xf numFmtId="0" fontId="99" fillId="31" borderId="9" xfId="0" applyFont="1" applyFill="1" applyBorder="1" applyAlignment="1"/>
    <xf numFmtId="3" fontId="99" fillId="31" borderId="9" xfId="0" applyNumberFormat="1" applyFont="1" applyFill="1" applyBorder="1" applyAlignment="1"/>
    <xf numFmtId="10" fontId="10" fillId="31" borderId="9" xfId="0" applyNumberFormat="1" applyFont="1" applyFill="1" applyBorder="1" applyAlignment="1"/>
    <xf numFmtId="3" fontId="99" fillId="31" borderId="47" xfId="0" applyNumberFormat="1" applyFont="1" applyFill="1" applyBorder="1" applyAlignment="1"/>
    <xf numFmtId="0" fontId="99" fillId="19" borderId="7" xfId="0" applyFont="1" applyFill="1" applyBorder="1" applyAlignment="1"/>
    <xf numFmtId="0" fontId="99" fillId="19" borderId="3" xfId="0" applyFont="1" applyFill="1" applyBorder="1" applyAlignment="1"/>
    <xf numFmtId="3" fontId="99" fillId="19" borderId="9" xfId="0" applyNumberFormat="1" applyFont="1" applyFill="1" applyBorder="1" applyAlignment="1"/>
    <xf numFmtId="165" fontId="10" fillId="19" borderId="9" xfId="2" applyNumberFormat="1" applyFont="1" applyFill="1" applyBorder="1" applyAlignment="1"/>
    <xf numFmtId="3" fontId="99" fillId="19" borderId="47" xfId="0" applyNumberFormat="1" applyFont="1" applyFill="1" applyBorder="1" applyAlignment="1"/>
    <xf numFmtId="0" fontId="88" fillId="0" borderId="0" xfId="0" applyFont="1" applyAlignment="1"/>
    <xf numFmtId="0" fontId="52" fillId="0" borderId="0" xfId="0" applyFont="1" applyAlignment="1"/>
    <xf numFmtId="0" fontId="99" fillId="41" borderId="7" xfId="0" applyFont="1" applyFill="1" applyBorder="1" applyAlignment="1"/>
    <xf numFmtId="0" fontId="99" fillId="41" borderId="3" xfId="0" applyFont="1" applyFill="1" applyBorder="1" applyAlignment="1"/>
    <xf numFmtId="0" fontId="99" fillId="41" borderId="9" xfId="0" applyFont="1" applyFill="1" applyBorder="1" applyAlignment="1"/>
    <xf numFmtId="3" fontId="99" fillId="41" borderId="7" xfId="0" applyNumberFormat="1" applyFont="1" applyFill="1" applyBorder="1" applyAlignment="1"/>
    <xf numFmtId="165" fontId="10" fillId="41" borderId="18" xfId="2" applyNumberFormat="1" applyFont="1" applyFill="1" applyBorder="1" applyAlignment="1"/>
    <xf numFmtId="3" fontId="99" fillId="41" borderId="47" xfId="0" applyNumberFormat="1" applyFont="1" applyFill="1" applyBorder="1" applyAlignment="1"/>
    <xf numFmtId="0" fontId="104" fillId="0" borderId="0" xfId="0" applyFont="1" applyFill="1" applyBorder="1" applyAlignment="1"/>
    <xf numFmtId="3" fontId="101" fillId="0" borderId="4" xfId="0" applyNumberFormat="1" applyFont="1" applyFill="1" applyBorder="1" applyAlignment="1"/>
    <xf numFmtId="165" fontId="105" fillId="0" borderId="4" xfId="2" applyNumberFormat="1" applyFont="1" applyFill="1" applyBorder="1" applyAlignment="1"/>
    <xf numFmtId="0" fontId="99" fillId="42" borderId="13" xfId="0" applyFont="1" applyFill="1" applyBorder="1" applyAlignment="1"/>
    <xf numFmtId="0" fontId="99" fillId="42" borderId="2" xfId="0" applyFont="1" applyFill="1" applyBorder="1" applyAlignment="1"/>
    <xf numFmtId="0" fontId="99" fillId="42" borderId="7" xfId="0" applyFont="1" applyFill="1" applyBorder="1" applyAlignment="1"/>
    <xf numFmtId="3" fontId="103" fillId="42" borderId="9" xfId="0" applyNumberFormat="1" applyFont="1" applyFill="1" applyBorder="1" applyAlignment="1"/>
    <xf numFmtId="3" fontId="100" fillId="42" borderId="9" xfId="0" applyNumberFormat="1" applyFont="1" applyFill="1" applyBorder="1" applyAlignment="1"/>
    <xf numFmtId="165" fontId="99" fillId="42" borderId="9" xfId="2" applyNumberFormat="1" applyFont="1" applyFill="1" applyBorder="1" applyAlignment="1"/>
    <xf numFmtId="3" fontId="100" fillId="42" borderId="47" xfId="0" applyNumberFormat="1" applyFont="1" applyFill="1" applyBorder="1" applyAlignment="1"/>
    <xf numFmtId="0" fontId="99" fillId="22" borderId="7" xfId="0" applyFont="1" applyFill="1" applyBorder="1" applyAlignment="1"/>
    <xf numFmtId="0" fontId="99" fillId="22" borderId="3" xfId="0" applyFont="1" applyFill="1" applyBorder="1" applyAlignment="1"/>
    <xf numFmtId="0" fontId="99" fillId="22" borderId="9" xfId="0" applyFont="1" applyFill="1" applyBorder="1" applyAlignment="1"/>
    <xf numFmtId="3" fontId="99" fillId="22" borderId="18" xfId="0" applyNumberFormat="1" applyFont="1" applyFill="1" applyBorder="1" applyAlignment="1"/>
    <xf numFmtId="165" fontId="10" fillId="22" borderId="9" xfId="2" applyNumberFormat="1" applyFont="1" applyFill="1" applyBorder="1" applyAlignment="1"/>
    <xf numFmtId="0" fontId="99" fillId="43" borderId="7" xfId="0" applyFont="1" applyFill="1" applyBorder="1" applyAlignment="1"/>
    <xf numFmtId="0" fontId="99" fillId="43" borderId="3" xfId="0" applyFont="1" applyFill="1" applyBorder="1" applyAlignment="1"/>
    <xf numFmtId="0" fontId="99" fillId="43" borderId="9" xfId="0" applyFont="1" applyFill="1" applyBorder="1" applyAlignment="1"/>
    <xf numFmtId="3" fontId="99" fillId="43" borderId="8" xfId="0" applyNumberFormat="1" applyFont="1" applyFill="1" applyBorder="1" applyAlignment="1"/>
    <xf numFmtId="3" fontId="99" fillId="43" borderId="3" xfId="0" applyNumberFormat="1" applyFont="1" applyFill="1" applyBorder="1" applyAlignment="1"/>
    <xf numFmtId="165" fontId="10" fillId="43" borderId="9" xfId="2" applyNumberFormat="1" applyFont="1" applyFill="1" applyBorder="1" applyAlignment="1"/>
    <xf numFmtId="0" fontId="15" fillId="21" borderId="7" xfId="0" applyFont="1" applyFill="1" applyBorder="1" applyAlignment="1"/>
    <xf numFmtId="0" fontId="15" fillId="21" borderId="3" xfId="0" applyFont="1" applyFill="1" applyBorder="1" applyAlignment="1"/>
    <xf numFmtId="0" fontId="99" fillId="21" borderId="9" xfId="0" applyFont="1" applyFill="1" applyBorder="1" applyAlignment="1">
      <alignment horizontal="left"/>
    </xf>
    <xf numFmtId="3" fontId="101" fillId="21" borderId="7" xfId="0" applyNumberFormat="1" applyFont="1" applyFill="1" applyBorder="1" applyAlignment="1"/>
    <xf numFmtId="3" fontId="99" fillId="21" borderId="7" xfId="0" applyNumberFormat="1" applyFont="1" applyFill="1" applyBorder="1" applyAlignment="1"/>
    <xf numFmtId="165" fontId="99" fillId="21" borderId="7" xfId="2" applyNumberFormat="1" applyFont="1" applyFill="1" applyBorder="1" applyAlignment="1"/>
    <xf numFmtId="3" fontId="99" fillId="21" borderId="3" xfId="0" applyNumberFormat="1" applyFont="1" applyFill="1" applyBorder="1" applyAlignment="1"/>
    <xf numFmtId="0" fontId="99" fillId="44" borderId="7" xfId="0" applyFont="1" applyFill="1" applyBorder="1" applyAlignment="1"/>
    <xf numFmtId="0" fontId="99" fillId="44" borderId="3" xfId="0" applyFont="1" applyFill="1" applyBorder="1" applyAlignment="1"/>
    <xf numFmtId="0" fontId="99" fillId="44" borderId="9" xfId="0" applyFont="1" applyFill="1" applyBorder="1" applyAlignment="1"/>
    <xf numFmtId="3" fontId="101" fillId="0" borderId="9" xfId="0" applyNumberFormat="1" applyFont="1" applyFill="1" applyBorder="1" applyAlignment="1"/>
    <xf numFmtId="3" fontId="103" fillId="0" borderId="9" xfId="0" applyNumberFormat="1" applyFont="1" applyFill="1" applyBorder="1" applyAlignment="1"/>
    <xf numFmtId="3" fontId="101" fillId="0" borderId="8" xfId="0" applyNumberFormat="1" applyFont="1" applyFill="1" applyBorder="1" applyAlignment="1"/>
    <xf numFmtId="3" fontId="101" fillId="44" borderId="8" xfId="0" applyNumberFormat="1" applyFont="1" applyFill="1" applyBorder="1" applyAlignment="1"/>
    <xf numFmtId="3" fontId="101" fillId="44" borderId="3" xfId="0" applyNumberFormat="1" applyFont="1" applyFill="1" applyBorder="1" applyAlignment="1"/>
    <xf numFmtId="165" fontId="105" fillId="44" borderId="9" xfId="2" applyNumberFormat="1" applyFont="1" applyFill="1" applyBorder="1" applyAlignment="1"/>
    <xf numFmtId="3" fontId="101" fillId="0" borderId="9" xfId="2" applyNumberFormat="1" applyFont="1" applyFill="1" applyBorder="1" applyAlignment="1"/>
    <xf numFmtId="3" fontId="101" fillId="0" borderId="7" xfId="0" applyNumberFormat="1" applyFont="1" applyFill="1" applyBorder="1" applyAlignment="1"/>
    <xf numFmtId="3" fontId="52" fillId="0" borderId="0" xfId="0" applyNumberFormat="1" applyFont="1" applyAlignment="1"/>
    <xf numFmtId="0" fontId="106" fillId="24" borderId="9" xfId="0" applyFont="1" applyFill="1" applyBorder="1" applyAlignment="1"/>
    <xf numFmtId="3" fontId="106" fillId="24" borderId="7" xfId="0" applyNumberFormat="1" applyFont="1" applyFill="1" applyBorder="1" applyAlignment="1"/>
    <xf numFmtId="165" fontId="10" fillId="24" borderId="0" xfId="2" applyNumberFormat="1" applyFont="1" applyFill="1" applyBorder="1" applyAlignment="1"/>
    <xf numFmtId="3" fontId="106" fillId="24" borderId="3" xfId="0" applyNumberFormat="1" applyFont="1" applyFill="1" applyBorder="1" applyAlignment="1"/>
    <xf numFmtId="0" fontId="101" fillId="0" borderId="4" xfId="0" applyFont="1" applyFill="1" applyBorder="1" applyAlignment="1"/>
    <xf numFmtId="10" fontId="105" fillId="0" borderId="0" xfId="0" applyNumberFormat="1" applyFont="1" applyFill="1" applyBorder="1" applyAlignment="1"/>
    <xf numFmtId="0" fontId="101" fillId="0" borderId="0" xfId="0" applyFont="1" applyFill="1" applyBorder="1" applyAlignment="1"/>
    <xf numFmtId="3" fontId="101" fillId="0" borderId="0" xfId="0" applyNumberFormat="1" applyFont="1" applyFill="1" applyBorder="1" applyAlignment="1"/>
    <xf numFmtId="9" fontId="101" fillId="0" borderId="0" xfId="2" applyFont="1" applyFill="1" applyBorder="1" applyAlignment="1"/>
    <xf numFmtId="0" fontId="107" fillId="0" borderId="0" xfId="0" applyFont="1" applyAlignment="1"/>
    <xf numFmtId="4" fontId="52" fillId="0" borderId="0" xfId="0" applyNumberFormat="1" applyFont="1" applyAlignment="1"/>
    <xf numFmtId="0" fontId="52" fillId="0" borderId="0" xfId="0" applyFont="1" applyBorder="1" applyAlignment="1"/>
    <xf numFmtId="3" fontId="78" fillId="0" borderId="0" xfId="0" applyNumberFormat="1" applyFont="1" applyFill="1" applyBorder="1" applyAlignment="1"/>
    <xf numFmtId="3" fontId="108" fillId="0" borderId="0" xfId="0" applyNumberFormat="1" applyFont="1" applyFill="1" applyBorder="1" applyAlignment="1"/>
    <xf numFmtId="9" fontId="52" fillId="0" borderId="0" xfId="2" applyFont="1" applyAlignment="1"/>
    <xf numFmtId="43" fontId="109" fillId="0" borderId="0" xfId="1" applyNumberFormat="1" applyFont="1" applyFill="1"/>
    <xf numFmtId="43" fontId="109" fillId="15" borderId="0" xfId="1" applyNumberFormat="1" applyFont="1" applyFill="1"/>
    <xf numFmtId="43" fontId="70" fillId="0" borderId="0" xfId="0" applyNumberFormat="1" applyFont="1" applyFill="1"/>
    <xf numFmtId="43" fontId="109" fillId="7" borderId="0" xfId="1" applyNumberFormat="1" applyFont="1" applyFill="1"/>
    <xf numFmtId="43" fontId="28" fillId="37" borderId="0" xfId="1" applyNumberFormat="1" applyFont="1" applyFill="1"/>
    <xf numFmtId="43" fontId="70" fillId="0" borderId="0" xfId="0" applyNumberFormat="1" applyFont="1"/>
    <xf numFmtId="43" fontId="28" fillId="0" borderId="0" xfId="1" applyNumberFormat="1" applyFont="1" applyFill="1"/>
    <xf numFmtId="43" fontId="70" fillId="7" borderId="0" xfId="0" applyNumberFormat="1" applyFont="1" applyFill="1"/>
    <xf numFmtId="10" fontId="36" fillId="0" borderId="0" xfId="0" applyNumberFormat="1" applyFont="1" applyAlignment="1"/>
    <xf numFmtId="43" fontId="27" fillId="5" borderId="0" xfId="1" applyNumberFormat="1" applyFont="1" applyFill="1"/>
    <xf numFmtId="10" fontId="36" fillId="4" borderId="0" xfId="0" applyNumberFormat="1" applyFont="1" applyFill="1" applyAlignment="1"/>
    <xf numFmtId="164" fontId="59" fillId="0" borderId="0" xfId="0" applyNumberFormat="1" applyFont="1"/>
    <xf numFmtId="164" fontId="57" fillId="5" borderId="0" xfId="1" applyNumberFormat="1" applyFont="1" applyFill="1" applyBorder="1"/>
    <xf numFmtId="164" fontId="57" fillId="0" borderId="0" xfId="1" applyNumberFormat="1" applyFont="1" applyFill="1" applyBorder="1"/>
    <xf numFmtId="164" fontId="57" fillId="7" borderId="0" xfId="1" applyNumberFormat="1" applyFont="1" applyFill="1" applyBorder="1"/>
    <xf numFmtId="164" fontId="57" fillId="0" borderId="0" xfId="1" applyNumberFormat="1" applyFont="1" applyFill="1" applyBorder="1" applyAlignment="1">
      <alignment horizontal="left" indent="1"/>
    </xf>
    <xf numFmtId="164" fontId="79" fillId="32" borderId="0" xfId="1" applyNumberFormat="1" applyFont="1" applyFill="1" applyBorder="1"/>
    <xf numFmtId="172" fontId="0" fillId="0" borderId="0" xfId="0" applyNumberFormat="1" applyFill="1"/>
    <xf numFmtId="0" fontId="7" fillId="0" borderId="1" xfId="0" applyFont="1" applyBorder="1" applyAlignment="1" applyProtection="1">
      <alignment horizontal="center" vertical="center"/>
      <protection locked="0"/>
    </xf>
    <xf numFmtId="43" fontId="50" fillId="0" borderId="0" xfId="1" applyNumberFormat="1" applyFont="1" applyFill="1" applyProtection="1">
      <protection locked="0"/>
    </xf>
    <xf numFmtId="43" fontId="50" fillId="7" borderId="0" xfId="1" applyNumberFormat="1" applyFont="1" applyFill="1" applyProtection="1">
      <protection locked="0"/>
    </xf>
    <xf numFmtId="0" fontId="57" fillId="0" borderId="5" xfId="0" applyFont="1" applyFill="1" applyBorder="1"/>
    <xf numFmtId="43" fontId="50" fillId="0" borderId="5" xfId="1" applyNumberFormat="1" applyFont="1" applyFill="1" applyBorder="1" applyProtection="1">
      <protection locked="0"/>
    </xf>
    <xf numFmtId="0" fontId="52" fillId="0" borderId="3" xfId="0" applyFont="1" applyFill="1" applyBorder="1" applyAlignment="1">
      <alignment horizontal="center" wrapText="1"/>
    </xf>
    <xf numFmtId="9" fontId="6" fillId="0" borderId="24" xfId="0" applyNumberFormat="1" applyFont="1" applyFill="1" applyBorder="1"/>
    <xf numFmtId="9" fontId="6" fillId="20" borderId="24" xfId="0" applyNumberFormat="1" applyFont="1" applyFill="1" applyBorder="1"/>
    <xf numFmtId="0" fontId="28" fillId="0" borderId="2" xfId="0" applyFont="1" applyBorder="1" applyAlignment="1">
      <alignment horizontal="center"/>
    </xf>
    <xf numFmtId="41" fontId="52" fillId="0" borderId="0" xfId="0" applyNumberFormat="1" applyFont="1" applyBorder="1"/>
    <xf numFmtId="164" fontId="51" fillId="0" borderId="0" xfId="0" applyNumberFormat="1" applyFont="1" applyBorder="1"/>
    <xf numFmtId="164" fontId="54" fillId="0" borderId="0" xfId="0" applyNumberFormat="1" applyFont="1" applyBorder="1"/>
    <xf numFmtId="164" fontId="27" fillId="31" borderId="3" xfId="1" applyNumberFormat="1" applyFont="1" applyFill="1" applyBorder="1"/>
    <xf numFmtId="0" fontId="36" fillId="0" borderId="23" xfId="0" applyFont="1" applyFill="1" applyBorder="1" applyAlignment="1"/>
    <xf numFmtId="0" fontId="36" fillId="0" borderId="29" xfId="0" applyFont="1" applyFill="1" applyBorder="1" applyAlignment="1"/>
    <xf numFmtId="165" fontId="36" fillId="8" borderId="24" xfId="0" applyNumberFormat="1" applyFont="1" applyFill="1" applyBorder="1" applyAlignment="1"/>
    <xf numFmtId="0" fontId="28" fillId="3" borderId="0" xfId="0" applyFont="1" applyFill="1" applyBorder="1" applyAlignment="1">
      <alignment horizontal="center"/>
    </xf>
    <xf numFmtId="0" fontId="28" fillId="2" borderId="0" xfId="0" applyFont="1" applyFill="1" applyAlignment="1">
      <alignment horizontal="center"/>
    </xf>
    <xf numFmtId="0" fontId="28" fillId="2" borderId="2" xfId="0" applyFont="1" applyFill="1" applyBorder="1" applyAlignment="1">
      <alignment horizontal="center"/>
    </xf>
    <xf numFmtId="0" fontId="57" fillId="2" borderId="0" xfId="0" applyFont="1" applyFill="1"/>
    <xf numFmtId="164" fontId="27" fillId="2" borderId="0" xfId="1" applyNumberFormat="1" applyFont="1" applyFill="1"/>
    <xf numFmtId="164" fontId="27" fillId="2" borderId="3" xfId="1" applyNumberFormat="1" applyFont="1" applyFill="1" applyBorder="1"/>
    <xf numFmtId="164" fontId="27" fillId="2" borderId="0" xfId="1" applyNumberFormat="1" applyFont="1" applyFill="1" applyBorder="1"/>
    <xf numFmtId="164" fontId="57" fillId="2" borderId="0" xfId="1" applyNumberFormat="1" applyFont="1" applyFill="1"/>
    <xf numFmtId="0" fontId="8" fillId="0" borderId="0" xfId="0" applyFont="1" applyBorder="1" applyAlignment="1" applyProtection="1">
      <protection locked="0"/>
    </xf>
    <xf numFmtId="0" fontId="8" fillId="0" borderId="0" xfId="0" applyFont="1" applyFill="1" applyBorder="1" applyAlignment="1" applyProtection="1">
      <protection locked="0"/>
    </xf>
    <xf numFmtId="164" fontId="8" fillId="0" borderId="0" xfId="1" applyNumberFormat="1" applyFont="1" applyBorder="1" applyAlignment="1" applyProtection="1">
      <alignment vertical="center"/>
      <protection locked="0"/>
    </xf>
    <xf numFmtId="0" fontId="0" fillId="0" borderId="48" xfId="0" applyBorder="1"/>
    <xf numFmtId="0" fontId="0" fillId="0" borderId="8" xfId="0" applyBorder="1"/>
    <xf numFmtId="0" fontId="0" fillId="0" borderId="8" xfId="0" applyFill="1" applyBorder="1"/>
    <xf numFmtId="0" fontId="0" fillId="0" borderId="12" xfId="0" applyFill="1" applyBorder="1"/>
    <xf numFmtId="0" fontId="0" fillId="10" borderId="30" xfId="0" applyFill="1" applyBorder="1"/>
    <xf numFmtId="0" fontId="13" fillId="45" borderId="49" xfId="0" applyFont="1" applyFill="1" applyBorder="1" applyAlignment="1">
      <alignment horizontal="center"/>
    </xf>
    <xf numFmtId="166" fontId="14" fillId="45" borderId="50" xfId="0" applyNumberFormat="1" applyFont="1" applyFill="1" applyBorder="1" applyAlignment="1">
      <alignment horizontal="center"/>
    </xf>
    <xf numFmtId="166" fontId="14" fillId="45" borderId="51" xfId="0" applyNumberFormat="1" applyFont="1" applyFill="1" applyBorder="1" applyAlignment="1">
      <alignment horizontal="center"/>
    </xf>
    <xf numFmtId="166" fontId="14" fillId="45" borderId="52" xfId="0" applyNumberFormat="1" applyFont="1" applyFill="1" applyBorder="1" applyAlignment="1">
      <alignment horizontal="center"/>
    </xf>
    <xf numFmtId="166" fontId="14" fillId="45" borderId="30" xfId="0" applyNumberFormat="1" applyFont="1" applyFill="1" applyBorder="1" applyAlignment="1">
      <alignment horizontal="center"/>
    </xf>
    <xf numFmtId="0" fontId="8" fillId="0" borderId="1" xfId="0" applyFont="1" applyBorder="1" applyAlignment="1" applyProtection="1">
      <protection locked="0"/>
    </xf>
    <xf numFmtId="165" fontId="8" fillId="0" borderId="1" xfId="2" applyNumberFormat="1" applyFont="1" applyBorder="1" applyAlignment="1" applyProtection="1">
      <alignment vertical="center"/>
      <protection locked="0"/>
    </xf>
    <xf numFmtId="0" fontId="8" fillId="0" borderId="1" xfId="0" applyFont="1" applyBorder="1" applyAlignment="1" applyProtection="1">
      <alignment horizontal="center"/>
      <protection locked="0"/>
    </xf>
    <xf numFmtId="164" fontId="7" fillId="0" borderId="3" xfId="0" applyNumberFormat="1" applyFont="1" applyBorder="1"/>
    <xf numFmtId="165" fontId="7" fillId="0" borderId="3" xfId="2" applyNumberFormat="1" applyFont="1" applyBorder="1"/>
    <xf numFmtId="164" fontId="8" fillId="0" borderId="0" xfId="1" applyNumberFormat="1" applyFont="1" applyBorder="1" applyProtection="1">
      <protection locked="0"/>
    </xf>
    <xf numFmtId="165" fontId="8" fillId="0" borderId="0" xfId="2" applyNumberFormat="1" applyFont="1" applyBorder="1" applyAlignment="1" applyProtection="1">
      <alignment horizontal="right" vertical="center"/>
      <protection locked="0"/>
    </xf>
    <xf numFmtId="0" fontId="8" fillId="0" borderId="0" xfId="0" applyFont="1" applyBorder="1"/>
    <xf numFmtId="165" fontId="8" fillId="0" borderId="0" xfId="2" applyNumberFormat="1" applyFont="1" applyBorder="1" applyAlignment="1" applyProtection="1">
      <alignment horizontal="center" vertical="center"/>
      <protection locked="0"/>
    </xf>
    <xf numFmtId="1" fontId="8" fillId="0" borderId="0" xfId="0" applyNumberFormat="1" applyFont="1" applyProtection="1">
      <protection locked="0"/>
    </xf>
    <xf numFmtId="1" fontId="8" fillId="0" borderId="0" xfId="0" applyNumberFormat="1" applyFont="1"/>
    <xf numFmtId="0" fontId="8" fillId="0" borderId="3" xfId="0" applyFont="1" applyBorder="1" applyProtection="1">
      <protection locked="0"/>
    </xf>
    <xf numFmtId="164" fontId="8" fillId="0" borderId="3" xfId="0" applyNumberFormat="1" applyFont="1" applyBorder="1" applyProtection="1">
      <protection locked="0"/>
    </xf>
    <xf numFmtId="165" fontId="8" fillId="0" borderId="3" xfId="2" applyNumberFormat="1" applyFont="1" applyBorder="1" applyAlignment="1" applyProtection="1">
      <alignment horizontal="right"/>
      <protection locked="0"/>
    </xf>
    <xf numFmtId="0" fontId="8" fillId="0" borderId="4" xfId="0" applyFont="1" applyBorder="1" applyProtection="1">
      <protection locked="0"/>
    </xf>
    <xf numFmtId="0" fontId="8" fillId="0" borderId="4" xfId="0" applyFont="1" applyBorder="1"/>
    <xf numFmtId="165" fontId="8" fillId="0" borderId="4" xfId="2" applyNumberFormat="1" applyFont="1" applyBorder="1"/>
    <xf numFmtId="165" fontId="8" fillId="0" borderId="0" xfId="2" applyNumberFormat="1" applyFont="1" applyBorder="1"/>
    <xf numFmtId="0" fontId="8" fillId="0" borderId="2" xfId="0" applyFont="1" applyFill="1" applyBorder="1" applyAlignment="1" applyProtection="1">
      <protection locked="0"/>
    </xf>
    <xf numFmtId="0" fontId="8" fillId="0" borderId="2" xfId="0" applyFont="1" applyBorder="1"/>
    <xf numFmtId="165" fontId="8" fillId="0" borderId="2" xfId="2" applyNumberFormat="1" applyFont="1" applyBorder="1"/>
    <xf numFmtId="0" fontId="8" fillId="0" borderId="2" xfId="0" applyFont="1" applyBorder="1" applyProtection="1">
      <protection locked="0"/>
    </xf>
    <xf numFmtId="1" fontId="8" fillId="0" borderId="2" xfId="0" applyNumberFormat="1" applyFont="1" applyBorder="1" applyProtection="1">
      <protection locked="0"/>
    </xf>
    <xf numFmtId="165" fontId="8" fillId="0" borderId="2" xfId="2" applyNumberFormat="1" applyFont="1" applyBorder="1" applyProtection="1">
      <protection locked="0"/>
    </xf>
    <xf numFmtId="0" fontId="6" fillId="10" borderId="0" xfId="0" applyFont="1" applyFill="1"/>
    <xf numFmtId="0" fontId="8" fillId="10" borderId="0" xfId="0" applyFont="1" applyFill="1" applyBorder="1" applyProtection="1">
      <protection locked="0"/>
    </xf>
    <xf numFmtId="0" fontId="8" fillId="10" borderId="0" xfId="0" applyFont="1" applyFill="1" applyProtection="1">
      <protection locked="0"/>
    </xf>
    <xf numFmtId="0" fontId="8" fillId="10" borderId="0" xfId="0" applyFont="1" applyFill="1"/>
    <xf numFmtId="0" fontId="7" fillId="10" borderId="0" xfId="0" applyFont="1" applyFill="1" applyBorder="1" applyProtection="1">
      <protection locked="0"/>
    </xf>
    <xf numFmtId="0" fontId="8" fillId="0" borderId="0" xfId="0" applyFont="1" applyBorder="1" applyAlignment="1" applyProtection="1">
      <alignment horizontal="left" indent="1"/>
      <protection locked="0"/>
    </xf>
    <xf numFmtId="0" fontId="8" fillId="0" borderId="0" xfId="0" applyFont="1" applyFill="1" applyBorder="1" applyAlignment="1" applyProtection="1">
      <alignment horizontal="left" indent="1"/>
      <protection locked="0"/>
    </xf>
    <xf numFmtId="165" fontId="52" fillId="0" borderId="0" xfId="2" applyNumberFormat="1" applyFont="1" applyFill="1" applyBorder="1" applyAlignment="1" applyProtection="1">
      <alignment vertical="top" wrapText="1"/>
      <protection locked="0"/>
    </xf>
    <xf numFmtId="165" fontId="52" fillId="0" borderId="0" xfId="0" applyNumberFormat="1" applyFont="1" applyFill="1" applyBorder="1"/>
    <xf numFmtId="164" fontId="7" fillId="0" borderId="3" xfId="1" applyNumberFormat="1" applyFont="1" applyBorder="1" applyAlignment="1" applyProtection="1">
      <alignment vertical="center"/>
      <protection locked="0"/>
    </xf>
    <xf numFmtId="165" fontId="7" fillId="0" borderId="3" xfId="2" applyNumberFormat="1" applyFont="1" applyBorder="1" applyProtection="1">
      <protection locked="0"/>
    </xf>
    <xf numFmtId="0" fontId="8" fillId="0" borderId="4" xfId="0" applyFont="1" applyFill="1" applyBorder="1" applyAlignment="1" applyProtection="1">
      <protection locked="0"/>
    </xf>
    <xf numFmtId="164" fontId="8" fillId="0" borderId="4" xfId="0" applyNumberFormat="1" applyFont="1" applyBorder="1"/>
    <xf numFmtId="165" fontId="8" fillId="0" borderId="4" xfId="2" applyNumberFormat="1" applyFont="1" applyBorder="1" applyProtection="1">
      <protection locked="0"/>
    </xf>
    <xf numFmtId="164" fontId="8" fillId="0" borderId="0" xfId="0" applyNumberFormat="1" applyFont="1" applyBorder="1"/>
    <xf numFmtId="165" fontId="8" fillId="0" borderId="0" xfId="2" applyNumberFormat="1" applyFont="1" applyBorder="1" applyProtection="1">
      <protection locked="0"/>
    </xf>
    <xf numFmtId="165" fontId="0" fillId="0" borderId="4" xfId="0" applyNumberFormat="1" applyBorder="1"/>
    <xf numFmtId="165" fontId="0" fillId="0" borderId="2" xfId="0" applyNumberFormat="1" applyBorder="1"/>
    <xf numFmtId="0" fontId="36" fillId="20" borderId="23" xfId="0" applyFont="1" applyFill="1" applyBorder="1" applyAlignment="1"/>
    <xf numFmtId="0" fontId="36" fillId="20" borderId="29" xfId="0" applyFont="1" applyFill="1" applyBorder="1" applyAlignment="1"/>
    <xf numFmtId="0" fontId="36" fillId="20" borderId="24" xfId="0" applyFont="1" applyFill="1" applyBorder="1" applyAlignment="1"/>
    <xf numFmtId="0" fontId="36" fillId="20" borderId="25" xfId="0" applyFont="1" applyFill="1" applyBorder="1" applyAlignment="1"/>
    <xf numFmtId="173" fontId="52" fillId="0" borderId="0" xfId="0" applyNumberFormat="1" applyFont="1" applyBorder="1" applyAlignment="1" applyProtection="1">
      <alignment vertical="top" wrapText="1"/>
      <protection locked="0"/>
    </xf>
    <xf numFmtId="173" fontId="52" fillId="10" borderId="0" xfId="0" applyNumberFormat="1" applyFont="1" applyFill="1" applyBorder="1" applyAlignment="1" applyProtection="1">
      <alignment vertical="top" wrapText="1"/>
      <protection locked="0"/>
    </xf>
    <xf numFmtId="0" fontId="54" fillId="7" borderId="0" xfId="0" applyFont="1" applyFill="1" applyAlignment="1" applyProtection="1">
      <alignment horizontal="left" vertical="top" indent="1"/>
      <protection locked="0"/>
    </xf>
    <xf numFmtId="173" fontId="52" fillId="7" borderId="0" xfId="0" applyNumberFormat="1" applyFont="1" applyFill="1" applyBorder="1" applyAlignment="1" applyProtection="1">
      <alignment vertical="top" wrapText="1"/>
      <protection locked="0"/>
    </xf>
    <xf numFmtId="0" fontId="54" fillId="7" borderId="5" xfId="0" applyFont="1" applyFill="1" applyBorder="1" applyAlignment="1" applyProtection="1">
      <alignment horizontal="left" vertical="top" indent="1"/>
      <protection locked="0"/>
    </xf>
    <xf numFmtId="173" fontId="52" fillId="7" borderId="5" xfId="0" applyNumberFormat="1" applyFont="1" applyFill="1" applyBorder="1" applyAlignment="1" applyProtection="1">
      <alignment vertical="top" wrapText="1"/>
      <protection locked="0"/>
    </xf>
    <xf numFmtId="0" fontId="0" fillId="0" borderId="0" xfId="0" applyFont="1" applyFill="1"/>
    <xf numFmtId="44" fontId="8" fillId="0" borderId="0" xfId="0" applyNumberFormat="1" applyFont="1"/>
    <xf numFmtId="164" fontId="8" fillId="0" borderId="0" xfId="1" applyNumberFormat="1" applyFont="1"/>
    <xf numFmtId="0" fontId="6" fillId="0" borderId="3" xfId="0" applyFont="1" applyBorder="1" applyAlignment="1">
      <alignment horizontal="center"/>
    </xf>
    <xf numFmtId="44" fontId="8" fillId="0" borderId="5" xfId="0" applyNumberFormat="1" applyFont="1" applyBorder="1"/>
    <xf numFmtId="0" fontId="8" fillId="0" borderId="5" xfId="0" applyFont="1" applyBorder="1"/>
    <xf numFmtId="0" fontId="6" fillId="19" borderId="6" xfId="0" applyFont="1" applyFill="1" applyBorder="1" applyAlignment="1" applyProtection="1">
      <alignment horizontal="center" vertical="center"/>
      <protection locked="0"/>
    </xf>
    <xf numFmtId="165" fontId="52" fillId="0" borderId="0" xfId="2" applyNumberFormat="1" applyFont="1" applyBorder="1" applyAlignment="1" applyProtection="1">
      <alignment vertical="top" wrapText="1"/>
      <protection locked="0"/>
    </xf>
    <xf numFmtId="9" fontId="0" fillId="0" borderId="0" xfId="2" applyFont="1"/>
    <xf numFmtId="174" fontId="8" fillId="0" borderId="0" xfId="0" applyNumberFormat="1" applyFont="1"/>
    <xf numFmtId="15" fontId="0" fillId="0" borderId="0" xfId="0" applyNumberFormat="1" applyAlignment="1" applyProtection="1">
      <alignment horizontal="center" vertical="center"/>
      <protection locked="0"/>
    </xf>
    <xf numFmtId="0" fontId="0" fillId="0" borderId="0" xfId="0" applyBorder="1" applyProtection="1">
      <protection locked="0"/>
    </xf>
    <xf numFmtId="165" fontId="0" fillId="0" borderId="0" xfId="2" applyNumberFormat="1" applyFont="1" applyBorder="1" applyProtection="1">
      <protection locked="0"/>
    </xf>
    <xf numFmtId="0" fontId="0" fillId="0" borderId="19" xfId="0" applyFont="1" applyBorder="1" applyProtection="1">
      <protection locked="0"/>
    </xf>
    <xf numFmtId="0" fontId="0" fillId="0" borderId="25" xfId="0" applyFont="1" applyBorder="1" applyProtection="1">
      <protection locked="0"/>
    </xf>
    <xf numFmtId="165" fontId="3" fillId="0" borderId="25" xfId="2" applyNumberFormat="1" applyFont="1" applyBorder="1" applyAlignment="1" applyProtection="1">
      <alignment horizontal="center"/>
      <protection locked="0"/>
    </xf>
    <xf numFmtId="165" fontId="3" fillId="0" borderId="20" xfId="2" applyNumberFormat="1" applyFont="1" applyBorder="1" applyAlignment="1" applyProtection="1">
      <alignment horizontal="center"/>
      <protection locked="0"/>
    </xf>
    <xf numFmtId="0" fontId="0" fillId="0" borderId="26" xfId="0" applyFont="1" applyBorder="1" applyProtection="1">
      <protection locked="0"/>
    </xf>
    <xf numFmtId="0" fontId="0" fillId="0" borderId="0" xfId="0" applyFont="1" applyBorder="1" applyProtection="1">
      <protection locked="0"/>
    </xf>
    <xf numFmtId="165" fontId="3" fillId="0" borderId="0" xfId="2" applyNumberFormat="1" applyFont="1" applyBorder="1" applyAlignment="1" applyProtection="1">
      <alignment horizontal="center"/>
      <protection locked="0"/>
    </xf>
    <xf numFmtId="165" fontId="3" fillId="0" borderId="27" xfId="2" applyNumberFormat="1" applyFont="1" applyBorder="1" applyAlignment="1" applyProtection="1">
      <alignment horizontal="center"/>
      <protection locked="0"/>
    </xf>
    <xf numFmtId="0" fontId="0" fillId="0" borderId="21" xfId="0" applyFont="1" applyBorder="1" applyProtection="1">
      <protection locked="0"/>
    </xf>
    <xf numFmtId="0" fontId="0" fillId="0" borderId="28" xfId="0" applyFont="1" applyBorder="1" applyProtection="1">
      <protection locked="0"/>
    </xf>
    <xf numFmtId="165" fontId="3" fillId="0" borderId="28" xfId="2" applyNumberFormat="1" applyFont="1" applyBorder="1" applyAlignment="1" applyProtection="1">
      <alignment horizontal="center"/>
      <protection locked="0"/>
    </xf>
    <xf numFmtId="0" fontId="6" fillId="10" borderId="0" xfId="0" applyFont="1" applyFill="1" applyProtection="1">
      <protection locked="0"/>
    </xf>
    <xf numFmtId="0" fontId="0" fillId="0" borderId="19" xfId="0" applyBorder="1" applyProtection="1">
      <protection locked="0"/>
    </xf>
    <xf numFmtId="0" fontId="0" fillId="0" borderId="25" xfId="0" applyBorder="1" applyProtection="1">
      <protection locked="0"/>
    </xf>
    <xf numFmtId="165" fontId="0" fillId="0" borderId="25" xfId="2" applyNumberFormat="1" applyFont="1" applyBorder="1" applyProtection="1">
      <protection locked="0"/>
    </xf>
    <xf numFmtId="0" fontId="0" fillId="0" borderId="20" xfId="0" applyBorder="1" applyProtection="1">
      <protection locked="0"/>
    </xf>
    <xf numFmtId="0" fontId="0" fillId="0" borderId="26" xfId="0" applyBorder="1" applyProtection="1">
      <protection locked="0"/>
    </xf>
    <xf numFmtId="165" fontId="0" fillId="0" borderId="0" xfId="0" applyNumberFormat="1" applyBorder="1" applyProtection="1">
      <protection locked="0"/>
    </xf>
    <xf numFmtId="0" fontId="0" fillId="0" borderId="27" xfId="0" applyBorder="1" applyProtection="1">
      <protection locked="0"/>
    </xf>
    <xf numFmtId="0" fontId="0" fillId="0" borderId="21" xfId="0" applyBorder="1" applyProtection="1">
      <protection locked="0"/>
    </xf>
    <xf numFmtId="0" fontId="0" fillId="0" borderId="28" xfId="0" applyBorder="1" applyProtection="1">
      <protection locked="0"/>
    </xf>
    <xf numFmtId="165" fontId="0" fillId="0" borderId="28" xfId="2" applyNumberFormat="1" applyFont="1" applyBorder="1" applyProtection="1">
      <protection locked="0"/>
    </xf>
    <xf numFmtId="0" fontId="0" fillId="0" borderId="22" xfId="0" applyBorder="1" applyProtection="1">
      <protection locked="0"/>
    </xf>
    <xf numFmtId="0" fontId="8" fillId="0" borderId="25" xfId="0" applyFont="1" applyFill="1" applyBorder="1" applyProtection="1">
      <protection locked="0"/>
    </xf>
    <xf numFmtId="0" fontId="8" fillId="0" borderId="28" xfId="0" applyFont="1" applyFill="1" applyBorder="1" applyProtection="1">
      <protection locked="0"/>
    </xf>
    <xf numFmtId="165" fontId="7" fillId="31" borderId="9" xfId="0" applyNumberFormat="1" applyFont="1" applyFill="1" applyBorder="1" applyAlignment="1" applyProtection="1">
      <alignment horizontal="center"/>
      <protection locked="0"/>
    </xf>
    <xf numFmtId="0" fontId="8" fillId="0" borderId="7" xfId="0" applyFont="1" applyBorder="1" applyProtection="1">
      <protection locked="0"/>
    </xf>
    <xf numFmtId="0" fontId="8" fillId="0" borderId="8" xfId="0" applyFont="1" applyBorder="1" applyProtection="1">
      <protection locked="0"/>
    </xf>
    <xf numFmtId="0" fontId="60" fillId="0" borderId="0" xfId="0" applyFont="1" applyAlignment="1" applyProtection="1">
      <alignment vertical="center"/>
      <protection locked="0"/>
    </xf>
    <xf numFmtId="0" fontId="8" fillId="0" borderId="54"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14" xfId="0" applyFont="1" applyFill="1" applyBorder="1" applyAlignment="1" applyProtection="1">
      <alignment vertical="center"/>
      <protection locked="0"/>
    </xf>
    <xf numFmtId="170" fontId="50" fillId="0" borderId="9" xfId="0" applyNumberFormat="1" applyFont="1" applyFill="1" applyBorder="1" applyAlignment="1" applyProtection="1">
      <alignment horizontal="left" vertical="center" wrapText="1" indent="3"/>
      <protection locked="0"/>
    </xf>
    <xf numFmtId="0" fontId="7" fillId="0" borderId="49" xfId="0" applyFont="1" applyBorder="1" applyAlignment="1" applyProtection="1">
      <alignment horizontal="left" vertical="center"/>
      <protection locked="0"/>
    </xf>
    <xf numFmtId="0" fontId="50" fillId="0" borderId="55" xfId="0" applyFont="1" applyFill="1" applyBorder="1" applyAlignment="1" applyProtection="1">
      <alignment horizontal="left" vertical="center" wrapText="1" indent="1"/>
      <protection locked="0"/>
    </xf>
    <xf numFmtId="0" fontId="8" fillId="0" borderId="56" xfId="0" applyFont="1" applyBorder="1" applyAlignment="1" applyProtection="1">
      <alignment horizontal="left" indent="1"/>
      <protection locked="0"/>
    </xf>
    <xf numFmtId="0" fontId="8" fillId="0" borderId="57" xfId="0" applyFont="1" applyBorder="1" applyAlignment="1" applyProtection="1">
      <alignment horizontal="left" indent="1"/>
      <protection locked="0"/>
    </xf>
    <xf numFmtId="170" fontId="50" fillId="0" borderId="53" xfId="0" applyNumberFormat="1" applyFont="1" applyFill="1" applyBorder="1" applyAlignment="1" applyProtection="1">
      <alignment horizontal="left" vertical="center" wrapText="1" indent="3"/>
      <protection locked="0"/>
    </xf>
    <xf numFmtId="10" fontId="8" fillId="24" borderId="60" xfId="0" applyNumberFormat="1" applyFont="1" applyFill="1" applyBorder="1" applyAlignment="1" applyProtection="1">
      <alignment horizontal="center" vertical="center"/>
      <protection locked="0"/>
    </xf>
    <xf numFmtId="166" fontId="8" fillId="24" borderId="60" xfId="87" applyNumberFormat="1" applyFont="1" applyFill="1" applyBorder="1" applyAlignment="1" applyProtection="1">
      <alignment horizontal="left" vertical="center"/>
      <protection locked="0"/>
    </xf>
    <xf numFmtId="0" fontId="57" fillId="0" borderId="4" xfId="0" applyFont="1" applyFill="1" applyBorder="1"/>
    <xf numFmtId="164" fontId="27" fillId="0" borderId="4" xfId="1" applyNumberFormat="1" applyFont="1" applyFill="1" applyBorder="1"/>
    <xf numFmtId="0" fontId="57" fillId="0" borderId="2" xfId="0" applyFont="1" applyFill="1" applyBorder="1"/>
    <xf numFmtId="166" fontId="6" fillId="0" borderId="9" xfId="0" applyNumberFormat="1" applyFont="1" applyFill="1" applyBorder="1"/>
    <xf numFmtId="0" fontId="0" fillId="0" borderId="9" xfId="0" applyFont="1" applyFill="1" applyBorder="1" applyAlignment="1">
      <alignment horizontal="left" indent="1"/>
    </xf>
    <xf numFmtId="0" fontId="6" fillId="0" borderId="0" xfId="0" applyFont="1" applyFill="1"/>
    <xf numFmtId="166" fontId="0" fillId="0" borderId="9" xfId="0" applyNumberFormat="1" applyFont="1" applyFill="1" applyBorder="1"/>
    <xf numFmtId="0" fontId="0" fillId="0" borderId="26" xfId="0" applyFont="1" applyFill="1" applyBorder="1" applyAlignment="1">
      <alignment horizontal="left" indent="1"/>
    </xf>
    <xf numFmtId="166" fontId="0" fillId="0" borderId="27" xfId="0" applyNumberFormat="1" applyFont="1" applyFill="1" applyBorder="1"/>
    <xf numFmtId="0" fontId="0" fillId="0" borderId="9" xfId="0" applyFont="1" applyFill="1" applyBorder="1" applyAlignment="1"/>
    <xf numFmtId="165" fontId="6" fillId="0" borderId="9" xfId="2" applyNumberFormat="1" applyFont="1" applyFill="1" applyBorder="1"/>
    <xf numFmtId="0" fontId="0" fillId="0" borderId="20" xfId="0" applyFont="1" applyBorder="1"/>
    <xf numFmtId="0" fontId="0" fillId="0" borderId="26" xfId="0" applyFont="1" applyBorder="1"/>
    <xf numFmtId="0" fontId="0" fillId="0" borderId="27" xfId="0" applyFont="1" applyBorder="1"/>
    <xf numFmtId="0" fontId="0" fillId="0" borderId="26" xfId="0" applyFont="1" applyBorder="1" applyAlignment="1">
      <alignment horizontal="left" indent="1"/>
    </xf>
    <xf numFmtId="44" fontId="0" fillId="0" borderId="27" xfId="87" applyNumberFormat="1" applyFont="1" applyBorder="1"/>
    <xf numFmtId="0" fontId="0" fillId="0" borderId="21" xfId="0" applyFont="1" applyBorder="1" applyAlignment="1">
      <alignment horizontal="left" indent="1"/>
    </xf>
    <xf numFmtId="44" fontId="0" fillId="0" borderId="22" xfId="87" applyNumberFormat="1" applyFont="1" applyBorder="1"/>
    <xf numFmtId="0" fontId="6" fillId="0" borderId="19" xfId="0" applyFont="1" applyBorder="1"/>
    <xf numFmtId="0" fontId="0" fillId="0" borderId="0" xfId="0" applyAlignment="1">
      <alignment horizontal="right"/>
    </xf>
    <xf numFmtId="164" fontId="27" fillId="3" borderId="0" xfId="1" applyNumberFormat="1" applyFont="1" applyFill="1"/>
    <xf numFmtId="41" fontId="57" fillId="0" borderId="0" xfId="87" applyNumberFormat="1" applyFont="1" applyFill="1"/>
    <xf numFmtId="166" fontId="8" fillId="21" borderId="20" xfId="87" applyNumberFormat="1" applyFont="1" applyFill="1" applyBorder="1" applyProtection="1">
      <protection locked="0"/>
    </xf>
    <xf numFmtId="166" fontId="8" fillId="21" borderId="22" xfId="87" applyNumberFormat="1" applyFont="1" applyFill="1" applyBorder="1" applyProtection="1">
      <protection locked="0"/>
    </xf>
    <xf numFmtId="166" fontId="8" fillId="21" borderId="54" xfId="87" applyNumberFormat="1" applyFont="1" applyFill="1" applyBorder="1" applyAlignment="1" applyProtection="1">
      <alignment horizontal="left" vertical="center"/>
      <protection locked="0"/>
    </xf>
    <xf numFmtId="166" fontId="8" fillId="21" borderId="10" xfId="87" applyNumberFormat="1" applyFont="1" applyFill="1" applyBorder="1" applyAlignment="1" applyProtection="1">
      <alignment horizontal="left" vertical="center"/>
      <protection locked="0"/>
    </xf>
    <xf numFmtId="10" fontId="8" fillId="9" borderId="54" xfId="2" applyNumberFormat="1" applyFont="1" applyFill="1" applyBorder="1" applyAlignment="1" applyProtection="1">
      <alignment horizontal="center" vertical="center"/>
      <protection locked="0"/>
    </xf>
    <xf numFmtId="10" fontId="8" fillId="9" borderId="10" xfId="2" applyNumberFormat="1" applyFont="1" applyFill="1" applyBorder="1" applyAlignment="1" applyProtection="1">
      <alignment horizontal="center" vertical="center"/>
      <protection locked="0"/>
    </xf>
    <xf numFmtId="9" fontId="8" fillId="9" borderId="18" xfId="0" applyNumberFormat="1" applyFont="1" applyFill="1" applyBorder="1" applyAlignment="1" applyProtection="1">
      <alignment vertical="center"/>
      <protection locked="0"/>
    </xf>
    <xf numFmtId="166" fontId="8" fillId="9" borderId="60" xfId="87" applyNumberFormat="1" applyFont="1" applyFill="1" applyBorder="1" applyAlignment="1" applyProtection="1">
      <alignment horizontal="left" vertical="center"/>
      <protection locked="0"/>
    </xf>
    <xf numFmtId="166" fontId="8" fillId="9" borderId="54" xfId="87" applyNumberFormat="1" applyFont="1" applyFill="1" applyBorder="1" applyAlignment="1" applyProtection="1">
      <alignment horizontal="left" vertical="center"/>
      <protection locked="0"/>
    </xf>
    <xf numFmtId="165" fontId="3" fillId="24" borderId="22" xfId="2" applyNumberFormat="1" applyFont="1" applyFill="1" applyBorder="1" applyAlignment="1" applyProtection="1">
      <alignment horizontal="center"/>
      <protection locked="0"/>
    </xf>
    <xf numFmtId="41" fontId="70" fillId="0" borderId="0" xfId="0" applyNumberFormat="1" applyFont="1" applyFill="1"/>
    <xf numFmtId="165" fontId="70" fillId="0" borderId="0" xfId="2" applyNumberFormat="1" applyFont="1"/>
    <xf numFmtId="165" fontId="70" fillId="0" borderId="0" xfId="2" applyNumberFormat="1" applyFont="1" applyFill="1"/>
    <xf numFmtId="0" fontId="70" fillId="0" borderId="0" xfId="0" applyFont="1" applyFill="1"/>
    <xf numFmtId="165" fontId="57" fillId="0" borderId="4" xfId="0" applyNumberFormat="1" applyFont="1" applyBorder="1"/>
    <xf numFmtId="0" fontId="6" fillId="11" borderId="3" xfId="0" applyFont="1" applyFill="1" applyBorder="1"/>
    <xf numFmtId="0" fontId="6" fillId="11" borderId="3" xfId="0" applyFont="1" applyFill="1" applyBorder="1" applyAlignment="1">
      <alignment horizontal="center"/>
    </xf>
    <xf numFmtId="0" fontId="0" fillId="11" borderId="2" xfId="0" applyFill="1" applyBorder="1"/>
    <xf numFmtId="164" fontId="0" fillId="11" borderId="2" xfId="1" applyNumberFormat="1" applyFont="1" applyFill="1" applyBorder="1"/>
    <xf numFmtId="0" fontId="60" fillId="7" borderId="0" xfId="0" applyFont="1" applyFill="1"/>
    <xf numFmtId="0" fontId="110" fillId="7" borderId="0" xfId="0" applyFont="1" applyFill="1"/>
    <xf numFmtId="9" fontId="52" fillId="21" borderId="24" xfId="0" applyNumberFormat="1" applyFont="1" applyFill="1" applyBorder="1"/>
    <xf numFmtId="0" fontId="0" fillId="21" borderId="29" xfId="0" applyFill="1" applyBorder="1"/>
    <xf numFmtId="9" fontId="6" fillId="21" borderId="24" xfId="0" applyNumberFormat="1" applyFont="1" applyFill="1" applyBorder="1"/>
    <xf numFmtId="171" fontId="52" fillId="4" borderId="20" xfId="0" applyNumberFormat="1" applyFont="1" applyFill="1" applyBorder="1"/>
    <xf numFmtId="171" fontId="52" fillId="4" borderId="27" xfId="0" applyNumberFormat="1" applyFont="1" applyFill="1" applyBorder="1"/>
    <xf numFmtId="171" fontId="52" fillId="4" borderId="22" xfId="0" applyNumberFormat="1" applyFont="1" applyFill="1" applyBorder="1"/>
    <xf numFmtId="0" fontId="8" fillId="0" borderId="0" xfId="0" applyFont="1" applyFill="1" applyAlignment="1">
      <alignment horizontal="center"/>
    </xf>
    <xf numFmtId="10" fontId="8" fillId="21" borderId="28" xfId="2" applyNumberFormat="1" applyFont="1" applyFill="1" applyBorder="1" applyAlignment="1" applyProtection="1">
      <alignment horizontal="center" vertical="center"/>
      <protection locked="0"/>
    </xf>
    <xf numFmtId="3" fontId="53" fillId="21" borderId="24" xfId="0" applyNumberFormat="1" applyFont="1" applyFill="1" applyBorder="1" applyAlignment="1">
      <alignment vertical="center"/>
    </xf>
    <xf numFmtId="0" fontId="52" fillId="0" borderId="23" xfId="0" applyFont="1" applyFill="1" applyBorder="1"/>
    <xf numFmtId="0" fontId="52" fillId="0" borderId="29" xfId="0" applyFont="1" applyFill="1" applyBorder="1"/>
    <xf numFmtId="0" fontId="53" fillId="0" borderId="23" xfId="0" applyFont="1" applyFill="1" applyBorder="1"/>
    <xf numFmtId="0" fontId="0" fillId="0" borderId="29" xfId="0" applyFill="1" applyBorder="1"/>
    <xf numFmtId="0" fontId="6" fillId="3" borderId="0" xfId="0" applyFont="1" applyFill="1"/>
    <xf numFmtId="9" fontId="52" fillId="21" borderId="25" xfId="0" applyNumberFormat="1" applyFont="1" applyFill="1" applyBorder="1"/>
    <xf numFmtId="165" fontId="52" fillId="21" borderId="20" xfId="2" applyNumberFormat="1" applyFont="1" applyFill="1" applyBorder="1"/>
    <xf numFmtId="9" fontId="52" fillId="21" borderId="28" xfId="0" applyNumberFormat="1" applyFont="1" applyFill="1" applyBorder="1"/>
    <xf numFmtId="165" fontId="52" fillId="21" borderId="22" xfId="0" applyNumberFormat="1" applyFont="1" applyFill="1" applyBorder="1"/>
    <xf numFmtId="0" fontId="6" fillId="0" borderId="23" xfId="0" applyFont="1" applyFill="1" applyBorder="1"/>
    <xf numFmtId="2" fontId="52" fillId="21" borderId="0" xfId="0" applyNumberFormat="1" applyFont="1" applyFill="1"/>
    <xf numFmtId="0" fontId="0" fillId="0" borderId="19" xfId="0" applyFill="1" applyBorder="1"/>
    <xf numFmtId="0" fontId="0" fillId="0" borderId="25" xfId="0" applyFill="1" applyBorder="1"/>
    <xf numFmtId="0" fontId="0" fillId="0" borderId="28" xfId="0" applyFill="1" applyBorder="1"/>
    <xf numFmtId="2" fontId="0" fillId="0" borderId="22" xfId="0" applyNumberFormat="1" applyBorder="1"/>
    <xf numFmtId="9" fontId="0" fillId="4" borderId="20" xfId="0" applyNumberFormat="1" applyFill="1" applyBorder="1"/>
    <xf numFmtId="171" fontId="52" fillId="21" borderId="0" xfId="0" applyNumberFormat="1" applyFont="1" applyFill="1"/>
    <xf numFmtId="0" fontId="0" fillId="21" borderId="0" xfId="0" applyFill="1"/>
    <xf numFmtId="0" fontId="0" fillId="21" borderId="23" xfId="0" applyFill="1" applyBorder="1"/>
    <xf numFmtId="9" fontId="6" fillId="21" borderId="24" xfId="0" applyNumberFormat="1" applyFont="1" applyFill="1" applyBorder="1" applyAlignment="1">
      <alignment horizontal="right"/>
    </xf>
    <xf numFmtId="0" fontId="8" fillId="0" borderId="19" xfId="0" applyFont="1" applyBorder="1"/>
    <xf numFmtId="0" fontId="8" fillId="0" borderId="25" xfId="0" applyFont="1" applyBorder="1"/>
    <xf numFmtId="0" fontId="8" fillId="0" borderId="25" xfId="0" applyFont="1" applyBorder="1" applyAlignment="1">
      <alignment horizontal="center"/>
    </xf>
    <xf numFmtId="0" fontId="8" fillId="0" borderId="20" xfId="0" applyFont="1" applyBorder="1" applyAlignment="1">
      <alignment horizontal="center"/>
    </xf>
    <xf numFmtId="0" fontId="8" fillId="0" borderId="26" xfId="0" applyFont="1" applyBorder="1"/>
    <xf numFmtId="2" fontId="8" fillId="0" borderId="0" xfId="0" applyNumberFormat="1" applyFont="1" applyBorder="1"/>
    <xf numFmtId="2" fontId="8" fillId="0" borderId="27" xfId="0" applyNumberFormat="1" applyFont="1" applyBorder="1"/>
    <xf numFmtId="168" fontId="8" fillId="0" borderId="27" xfId="0" applyNumberFormat="1" applyFont="1" applyBorder="1"/>
    <xf numFmtId="0" fontId="8" fillId="0" borderId="27" xfId="0" applyFont="1" applyBorder="1"/>
    <xf numFmtId="165" fontId="8" fillId="0" borderId="27" xfId="2" applyNumberFormat="1" applyFont="1" applyBorder="1"/>
    <xf numFmtId="0" fontId="8" fillId="0" borderId="21" xfId="0" applyFont="1" applyBorder="1"/>
    <xf numFmtId="0" fontId="8" fillId="0" borderId="28" xfId="0" applyFont="1" applyBorder="1"/>
    <xf numFmtId="165" fontId="8" fillId="0" borderId="28" xfId="2" applyNumberFormat="1" applyFont="1" applyBorder="1"/>
    <xf numFmtId="0" fontId="8" fillId="0" borderId="22" xfId="0" applyFont="1" applyBorder="1"/>
    <xf numFmtId="0" fontId="52" fillId="3" borderId="0" xfId="0" applyFont="1" applyFill="1" applyAlignment="1">
      <alignment horizontal="center" wrapText="1"/>
    </xf>
    <xf numFmtId="9" fontId="52" fillId="21" borderId="25" xfId="0" applyNumberFormat="1" applyFont="1" applyFill="1" applyBorder="1" applyAlignment="1">
      <alignment horizontal="center"/>
    </xf>
    <xf numFmtId="9" fontId="52" fillId="21" borderId="28" xfId="0" applyNumberFormat="1" applyFont="1" applyFill="1" applyBorder="1" applyAlignment="1">
      <alignment horizontal="center"/>
    </xf>
    <xf numFmtId="10" fontId="0" fillId="0" borderId="0" xfId="2" applyNumberFormat="1" applyFont="1"/>
    <xf numFmtId="0" fontId="0" fillId="0" borderId="0" xfId="0" applyAlignment="1">
      <alignment horizontal="left"/>
    </xf>
    <xf numFmtId="2" fontId="0" fillId="0" borderId="25" xfId="0" applyNumberFormat="1" applyBorder="1"/>
    <xf numFmtId="170" fontId="52" fillId="21" borderId="0" xfId="0" applyNumberFormat="1" applyFont="1" applyFill="1" applyBorder="1"/>
    <xf numFmtId="170" fontId="52" fillId="21" borderId="28" xfId="0" applyNumberFormat="1" applyFont="1" applyFill="1" applyBorder="1"/>
    <xf numFmtId="172" fontId="52" fillId="0" borderId="19" xfId="0" applyNumberFormat="1" applyFont="1" applyBorder="1" applyAlignment="1" applyProtection="1">
      <alignment vertical="top" wrapText="1"/>
      <protection locked="0"/>
    </xf>
    <xf numFmtId="172" fontId="52" fillId="0" borderId="26" xfId="0" applyNumberFormat="1" applyFont="1" applyBorder="1" applyAlignment="1" applyProtection="1">
      <alignment vertical="top" wrapText="1"/>
      <protection locked="0"/>
    </xf>
    <xf numFmtId="172" fontId="52" fillId="0" borderId="27" xfId="0" applyNumberFormat="1" applyFont="1" applyBorder="1" applyAlignment="1" applyProtection="1">
      <alignment vertical="top" wrapText="1"/>
      <protection locked="0"/>
    </xf>
    <xf numFmtId="172" fontId="52" fillId="0" borderId="21" xfId="0" applyNumberFormat="1" applyFont="1" applyBorder="1" applyAlignment="1" applyProtection="1">
      <alignment vertical="top" wrapText="1"/>
      <protection locked="0"/>
    </xf>
    <xf numFmtId="165" fontId="52" fillId="0" borderId="28" xfId="2" applyNumberFormat="1" applyFont="1" applyBorder="1" applyAlignment="1" applyProtection="1">
      <alignment vertical="top" wrapText="1"/>
      <protection locked="0"/>
    </xf>
    <xf numFmtId="172" fontId="52" fillId="0" borderId="28" xfId="0" applyNumberFormat="1" applyFont="1" applyBorder="1" applyAlignment="1" applyProtection="1">
      <alignment vertical="top" wrapText="1"/>
      <protection locked="0"/>
    </xf>
    <xf numFmtId="172" fontId="52" fillId="0" borderId="22" xfId="0" applyNumberFormat="1" applyFont="1" applyBorder="1" applyAlignment="1" applyProtection="1">
      <alignment vertical="top" wrapText="1"/>
      <protection locked="0"/>
    </xf>
    <xf numFmtId="172" fontId="53" fillId="0" borderId="0" xfId="0" applyNumberFormat="1" applyFont="1" applyFill="1" applyBorder="1" applyAlignment="1" applyProtection="1">
      <alignment vertical="top" wrapText="1"/>
      <protection locked="0"/>
    </xf>
    <xf numFmtId="0" fontId="52" fillId="0" borderId="3" xfId="0" applyFont="1" applyBorder="1" applyAlignment="1" applyProtection="1">
      <alignment vertical="top" wrapText="1"/>
      <protection locked="0"/>
    </xf>
    <xf numFmtId="0" fontId="6" fillId="3" borderId="3" xfId="0" applyFont="1" applyFill="1" applyBorder="1"/>
    <xf numFmtId="0" fontId="12" fillId="17" borderId="3" xfId="0" applyFont="1" applyFill="1" applyBorder="1"/>
    <xf numFmtId="0" fontId="83" fillId="3" borderId="3" xfId="0" applyFont="1" applyFill="1" applyBorder="1" applyAlignment="1" applyProtection="1">
      <alignment horizontal="left" vertical="top" readingOrder="1"/>
      <protection locked="0"/>
    </xf>
    <xf numFmtId="0" fontId="12" fillId="3" borderId="3" xfId="0" applyFont="1" applyFill="1" applyBorder="1"/>
    <xf numFmtId="0" fontId="0" fillId="21" borderId="27" xfId="0" applyFill="1" applyBorder="1"/>
    <xf numFmtId="0" fontId="0" fillId="21" borderId="22" xfId="0" applyFill="1" applyBorder="1"/>
    <xf numFmtId="9" fontId="60" fillId="21" borderId="20" xfId="0" applyNumberFormat="1" applyFont="1" applyFill="1" applyBorder="1"/>
    <xf numFmtId="9" fontId="60" fillId="21" borderId="27" xfId="0" applyNumberFormat="1" applyFont="1" applyFill="1" applyBorder="1"/>
    <xf numFmtId="9" fontId="60" fillId="21" borderId="22" xfId="0" applyNumberFormat="1" applyFont="1" applyFill="1" applyBorder="1"/>
    <xf numFmtId="0" fontId="6" fillId="0" borderId="1" xfId="0" applyFont="1" applyBorder="1" applyAlignment="1">
      <alignment horizontal="center" wrapText="1"/>
    </xf>
    <xf numFmtId="171" fontId="96" fillId="0" borderId="0" xfId="0" applyNumberFormat="1" applyFont="1" applyFill="1" applyBorder="1" applyAlignment="1">
      <alignment vertical="center" wrapText="1"/>
    </xf>
    <xf numFmtId="0" fontId="0" fillId="0" borderId="3" xfId="0" applyFont="1" applyBorder="1" applyAlignment="1">
      <alignment horizontal="center" wrapText="1"/>
    </xf>
    <xf numFmtId="0" fontId="0" fillId="0" borderId="3" xfId="0" applyFont="1" applyFill="1" applyBorder="1" applyAlignment="1">
      <alignment horizontal="center" wrapText="1"/>
    </xf>
    <xf numFmtId="171" fontId="0" fillId="0" borderId="0" xfId="0" applyNumberFormat="1" applyFont="1"/>
    <xf numFmtId="0" fontId="96" fillId="0" borderId="0" xfId="0" applyFont="1" applyFill="1" applyBorder="1" applyAlignment="1">
      <alignment vertical="center" wrapText="1"/>
    </xf>
    <xf numFmtId="0" fontId="111" fillId="0" borderId="34" xfId="0" applyFont="1" applyBorder="1" applyAlignment="1" applyProtection="1">
      <alignment horizontal="left" vertical="top" indent="1"/>
      <protection locked="0"/>
    </xf>
    <xf numFmtId="0" fontId="111" fillId="14" borderId="34" xfId="0" applyFont="1" applyFill="1" applyBorder="1" applyAlignment="1" applyProtection="1">
      <alignment horizontal="left" vertical="top" indent="1"/>
      <protection locked="0"/>
    </xf>
    <xf numFmtId="0" fontId="111" fillId="0" borderId="0" xfId="0" applyFont="1" applyAlignment="1" applyProtection="1">
      <alignment horizontal="left" vertical="top" indent="1"/>
      <protection locked="0"/>
    </xf>
    <xf numFmtId="0" fontId="111" fillId="0" borderId="5" xfId="0" applyFont="1" applyBorder="1" applyAlignment="1" applyProtection="1">
      <alignment horizontal="left" vertical="top" indent="1"/>
      <protection locked="0"/>
    </xf>
    <xf numFmtId="0" fontId="0" fillId="7" borderId="0" xfId="0" applyFont="1" applyFill="1"/>
    <xf numFmtId="166" fontId="0" fillId="21" borderId="0" xfId="87" applyNumberFormat="1" applyFont="1" applyFill="1" applyProtection="1">
      <protection locked="0"/>
    </xf>
    <xf numFmtId="0" fontId="8" fillId="0" borderId="16" xfId="0" applyFont="1" applyBorder="1" applyAlignment="1" applyProtection="1">
      <alignment horizontal="left" vertical="center" indent="1"/>
      <protection locked="0"/>
    </xf>
    <xf numFmtId="0" fontId="8" fillId="0" borderId="13" xfId="0" applyFont="1" applyFill="1" applyBorder="1" applyAlignment="1" applyProtection="1">
      <alignment horizontal="left" vertical="center" indent="1"/>
      <protection locked="0"/>
    </xf>
    <xf numFmtId="171" fontId="0" fillId="0" borderId="0" xfId="0" applyNumberFormat="1"/>
    <xf numFmtId="171" fontId="0" fillId="0" borderId="0" xfId="0" applyNumberFormat="1" applyFill="1"/>
    <xf numFmtId="171" fontId="0" fillId="3" borderId="0" xfId="0" applyNumberFormat="1" applyFill="1"/>
    <xf numFmtId="171" fontId="36" fillId="8" borderId="0" xfId="0" applyNumberFormat="1" applyFont="1" applyFill="1" applyBorder="1" applyAlignment="1">
      <alignment vertical="center" wrapText="1"/>
    </xf>
    <xf numFmtId="171" fontId="0" fillId="21" borderId="0" xfId="0" applyNumberFormat="1" applyFill="1"/>
    <xf numFmtId="164" fontId="0" fillId="7" borderId="0" xfId="0" applyNumberFormat="1" applyFill="1" applyBorder="1"/>
    <xf numFmtId="164" fontId="0" fillId="7" borderId="0" xfId="1" applyNumberFormat="1" applyFont="1" applyFill="1"/>
    <xf numFmtId="164" fontId="28" fillId="0" borderId="3" xfId="144" applyNumberFormat="1" applyFont="1" applyFill="1" applyBorder="1"/>
    <xf numFmtId="164" fontId="27" fillId="7" borderId="0" xfId="144" applyNumberFormat="1" applyFill="1" applyBorder="1"/>
    <xf numFmtId="164" fontId="28" fillId="7" borderId="3" xfId="144" applyNumberFormat="1" applyFont="1" applyFill="1" applyBorder="1"/>
    <xf numFmtId="164" fontId="28" fillId="0" borderId="1" xfId="144" applyNumberFormat="1" applyFont="1" applyFill="1" applyBorder="1"/>
    <xf numFmtId="37" fontId="22" fillId="0" borderId="0" xfId="1" applyNumberFormat="1" applyFont="1" applyBorder="1"/>
    <xf numFmtId="43" fontId="52" fillId="0" borderId="0" xfId="0" applyNumberFormat="1" applyFont="1" applyFill="1"/>
    <xf numFmtId="164" fontId="45" fillId="0" borderId="17" xfId="2281" applyNumberFormat="1" applyFont="1" applyBorder="1"/>
    <xf numFmtId="164" fontId="45" fillId="0" borderId="14" xfId="2281" applyNumberFormat="1" applyFont="1" applyBorder="1"/>
    <xf numFmtId="164" fontId="45" fillId="0" borderId="16" xfId="2281" applyNumberFormat="1" applyFont="1" applyFill="1" applyBorder="1"/>
    <xf numFmtId="164" fontId="45" fillId="0" borderId="0" xfId="2281" applyNumberFormat="1" applyFont="1" applyFill="1" applyBorder="1"/>
    <xf numFmtId="164" fontId="45" fillId="0" borderId="17" xfId="2281" applyNumberFormat="1" applyFont="1" applyFill="1" applyBorder="1"/>
    <xf numFmtId="164" fontId="45" fillId="0" borderId="0" xfId="2281" applyNumberFormat="1" applyFont="1" applyBorder="1"/>
    <xf numFmtId="164" fontId="45" fillId="0" borderId="16" xfId="2281" applyNumberFormat="1" applyFont="1" applyBorder="1"/>
    <xf numFmtId="41" fontId="30" fillId="6" borderId="0" xfId="142" applyNumberFormat="1" applyFont="1" applyFill="1" applyAlignment="1">
      <alignment vertical="center"/>
    </xf>
    <xf numFmtId="41" fontId="31" fillId="6" borderId="0" xfId="142" applyNumberFormat="1" applyFont="1" applyFill="1" applyAlignment="1">
      <alignment vertical="center"/>
    </xf>
    <xf numFmtId="41" fontId="25" fillId="7" borderId="0" xfId="142" applyNumberFormat="1" applyFont="1" applyFill="1" applyBorder="1" applyAlignment="1">
      <alignment vertical="center"/>
    </xf>
    <xf numFmtId="41" fontId="31" fillId="6" borderId="0" xfId="142" applyNumberFormat="1" applyFont="1" applyFill="1" applyBorder="1" applyAlignment="1">
      <alignment vertical="center"/>
    </xf>
    <xf numFmtId="164" fontId="25" fillId="0" borderId="3" xfId="2281" applyNumberFormat="1" applyFont="1" applyFill="1" applyBorder="1" applyAlignment="1">
      <alignment vertical="center"/>
    </xf>
    <xf numFmtId="164" fontId="25" fillId="7" borderId="3" xfId="2281" applyNumberFormat="1" applyFont="1" applyFill="1" applyBorder="1" applyAlignment="1">
      <alignment vertical="center"/>
    </xf>
    <xf numFmtId="164" fontId="25" fillId="6" borderId="3" xfId="2281" applyNumberFormat="1" applyFont="1" applyFill="1" applyBorder="1" applyAlignment="1">
      <alignment vertical="center"/>
    </xf>
    <xf numFmtId="164" fontId="21" fillId="5" borderId="0" xfId="2281" applyNumberFormat="1" applyFont="1" applyFill="1" applyAlignment="1">
      <alignment vertical="center"/>
    </xf>
    <xf numFmtId="0" fontId="21" fillId="6" borderId="0" xfId="142" applyFont="1" applyFill="1" applyAlignment="1">
      <alignment vertical="center"/>
    </xf>
    <xf numFmtId="164" fontId="25" fillId="5" borderId="3" xfId="2281" applyNumberFormat="1" applyFont="1" applyFill="1" applyBorder="1" applyAlignment="1">
      <alignment vertical="center"/>
    </xf>
    <xf numFmtId="164" fontId="21" fillId="5" borderId="0" xfId="2281" applyNumberFormat="1" applyFont="1" applyFill="1" applyBorder="1" applyAlignment="1">
      <alignment vertical="center"/>
    </xf>
    <xf numFmtId="0" fontId="21" fillId="6" borderId="0" xfId="142" applyFont="1" applyFill="1" applyBorder="1" applyAlignment="1">
      <alignment vertical="center"/>
    </xf>
    <xf numFmtId="164" fontId="25" fillId="0" borderId="5" xfId="2281" applyNumberFormat="1" applyFont="1" applyFill="1" applyBorder="1" applyAlignment="1">
      <alignment vertical="center"/>
    </xf>
    <xf numFmtId="164" fontId="25" fillId="5" borderId="5" xfId="2281" applyNumberFormat="1" applyFont="1" applyFill="1" applyBorder="1" applyAlignment="1">
      <alignment vertical="center"/>
    </xf>
    <xf numFmtId="164" fontId="25" fillId="6" borderId="5" xfId="2281" applyNumberFormat="1" applyFont="1" applyFill="1" applyBorder="1" applyAlignment="1">
      <alignment vertical="center"/>
    </xf>
    <xf numFmtId="164" fontId="25" fillId="0" borderId="0" xfId="2281" applyNumberFormat="1" applyFont="1" applyFill="1" applyBorder="1" applyAlignment="1">
      <alignment vertical="center"/>
    </xf>
    <xf numFmtId="164" fontId="27" fillId="7" borderId="0" xfId="2281" applyNumberFormat="1" applyFont="1" applyFill="1" applyBorder="1"/>
    <xf numFmtId="43" fontId="27" fillId="5" borderId="0" xfId="2281" applyFont="1" applyFill="1"/>
    <xf numFmtId="172" fontId="52" fillId="0" borderId="0" xfId="0" applyNumberFormat="1" applyFont="1" applyBorder="1" applyAlignment="1">
      <alignment horizontal="center"/>
    </xf>
    <xf numFmtId="44" fontId="0" fillId="0" borderId="0" xfId="0" applyNumberFormat="1"/>
    <xf numFmtId="164" fontId="36" fillId="0" borderId="0" xfId="0" applyNumberFormat="1" applyFont="1" applyAlignment="1"/>
    <xf numFmtId="164" fontId="80" fillId="0" borderId="0" xfId="0" applyNumberFormat="1" applyFont="1"/>
    <xf numFmtId="172" fontId="53" fillId="3" borderId="0" xfId="0" applyNumberFormat="1" applyFont="1" applyFill="1" applyBorder="1" applyAlignment="1" applyProtection="1">
      <alignment vertical="top" wrapText="1"/>
      <protection locked="0"/>
    </xf>
    <xf numFmtId="172" fontId="112" fillId="0" borderId="0" xfId="0" applyNumberFormat="1" applyFont="1" applyBorder="1" applyAlignment="1" applyProtection="1">
      <alignment vertical="top" wrapText="1"/>
      <protection locked="0"/>
    </xf>
    <xf numFmtId="0" fontId="112" fillId="0" borderId="0" xfId="0" applyFont="1" applyBorder="1" applyAlignment="1" applyProtection="1">
      <alignment vertical="top" wrapText="1"/>
      <protection locked="0"/>
    </xf>
    <xf numFmtId="0" fontId="112" fillId="3" borderId="0" xfId="0" applyFont="1" applyFill="1" applyBorder="1" applyAlignment="1" applyProtection="1">
      <alignment vertical="top" wrapText="1"/>
      <protection locked="0"/>
    </xf>
    <xf numFmtId="172" fontId="112" fillId="10" borderId="0" xfId="0" applyNumberFormat="1" applyFont="1" applyFill="1" applyBorder="1" applyAlignment="1" applyProtection="1">
      <alignment vertical="top" wrapText="1"/>
      <protection locked="0"/>
    </xf>
    <xf numFmtId="0" fontId="112" fillId="10" borderId="0" xfId="0" applyFont="1" applyFill="1" applyBorder="1" applyAlignment="1" applyProtection="1">
      <alignment vertical="top" wrapText="1"/>
      <protection locked="0"/>
    </xf>
    <xf numFmtId="172" fontId="102" fillId="0" borderId="3" xfId="0" applyNumberFormat="1" applyFont="1" applyBorder="1" applyAlignment="1" applyProtection="1">
      <alignment vertical="top" wrapText="1"/>
      <protection locked="0"/>
    </xf>
    <xf numFmtId="172" fontId="112" fillId="0" borderId="6" xfId="0" applyNumberFormat="1" applyFont="1" applyBorder="1" applyAlignment="1" applyProtection="1">
      <alignment vertical="top" wrapText="1"/>
      <protection locked="0"/>
    </xf>
    <xf numFmtId="172" fontId="112" fillId="10" borderId="6" xfId="0" applyNumberFormat="1" applyFont="1" applyFill="1" applyBorder="1" applyAlignment="1" applyProtection="1">
      <alignment vertical="top" wrapText="1"/>
      <protection locked="0"/>
    </xf>
    <xf numFmtId="0" fontId="84" fillId="33" borderId="4" xfId="0" applyFont="1" applyFill="1" applyBorder="1" applyAlignment="1" applyProtection="1">
      <alignment horizontal="center" vertical="top" wrapText="1" readingOrder="1"/>
      <protection locked="0"/>
    </xf>
    <xf numFmtId="0" fontId="85" fillId="3" borderId="0" xfId="0" applyFont="1" applyFill="1" applyBorder="1" applyAlignment="1" applyProtection="1">
      <alignment vertical="top" wrapText="1"/>
      <protection locked="0"/>
    </xf>
    <xf numFmtId="0" fontId="0" fillId="46" borderId="0" xfId="0" applyFill="1"/>
    <xf numFmtId="168" fontId="0" fillId="0" borderId="0" xfId="0" applyNumberFormat="1" applyFill="1"/>
    <xf numFmtId="168" fontId="0" fillId="0" borderId="0" xfId="0" applyNumberFormat="1"/>
    <xf numFmtId="168" fontId="0" fillId="3" borderId="0" xfId="0" applyNumberFormat="1" applyFill="1"/>
    <xf numFmtId="168" fontId="52" fillId="0" borderId="0" xfId="0" applyNumberFormat="1" applyFont="1" applyBorder="1" applyAlignment="1" applyProtection="1">
      <alignment vertical="top" wrapText="1"/>
      <protection locked="0"/>
    </xf>
    <xf numFmtId="168" fontId="52" fillId="10" borderId="0" xfId="0" applyNumberFormat="1" applyFont="1" applyFill="1" applyBorder="1" applyAlignment="1" applyProtection="1">
      <alignment vertical="top" wrapText="1"/>
      <protection locked="0"/>
    </xf>
    <xf numFmtId="168" fontId="52" fillId="7" borderId="0" xfId="0" applyNumberFormat="1" applyFont="1" applyFill="1" applyBorder="1" applyAlignment="1" applyProtection="1">
      <alignment vertical="top" wrapText="1"/>
      <protection locked="0"/>
    </xf>
    <xf numFmtId="168" fontId="52" fillId="7" borderId="5" xfId="0" applyNumberFormat="1" applyFont="1" applyFill="1" applyBorder="1" applyAlignment="1" applyProtection="1">
      <alignment vertical="top" wrapText="1"/>
      <protection locked="0"/>
    </xf>
    <xf numFmtId="0" fontId="83" fillId="33" borderId="0" xfId="0" applyFont="1" applyFill="1" applyBorder="1" applyAlignment="1" applyProtection="1">
      <alignment horizontal="center" vertical="center" wrapText="1" readingOrder="1"/>
      <protection locked="0"/>
    </xf>
    <xf numFmtId="172" fontId="112" fillId="0" borderId="0" xfId="0" applyNumberFormat="1" applyFont="1"/>
    <xf numFmtId="0" fontId="112" fillId="0" borderId="0" xfId="0" applyFont="1"/>
    <xf numFmtId="0" fontId="0" fillId="3" borderId="0" xfId="0" applyFill="1" applyBorder="1"/>
    <xf numFmtId="0" fontId="52" fillId="3" borderId="0" xfId="0" applyFont="1" applyFill="1" applyBorder="1"/>
    <xf numFmtId="1" fontId="112" fillId="0" borderId="0" xfId="0" applyNumberFormat="1" applyFont="1" applyBorder="1"/>
    <xf numFmtId="1" fontId="112" fillId="0" borderId="0" xfId="0" applyNumberFormat="1" applyFont="1" applyFill="1" applyBorder="1"/>
    <xf numFmtId="172" fontId="112" fillId="0" borderId="0" xfId="0" applyNumberFormat="1" applyFont="1" applyFill="1" applyBorder="1"/>
    <xf numFmtId="164" fontId="112" fillId="0" borderId="0" xfId="1" applyNumberFormat="1" applyFont="1" applyBorder="1" applyAlignment="1" applyProtection="1">
      <alignment vertical="top" wrapText="1"/>
      <protection locked="0"/>
    </xf>
    <xf numFmtId="164" fontId="112" fillId="10" borderId="0" xfId="1" applyNumberFormat="1" applyFont="1" applyFill="1" applyBorder="1" applyAlignment="1" applyProtection="1">
      <alignment vertical="top" wrapText="1"/>
      <protection locked="0"/>
    </xf>
    <xf numFmtId="172" fontId="102" fillId="3" borderId="0" xfId="0" applyNumberFormat="1" applyFont="1" applyFill="1" applyBorder="1" applyAlignment="1" applyProtection="1">
      <alignment vertical="top" wrapText="1"/>
      <protection locked="0"/>
    </xf>
    <xf numFmtId="172" fontId="102" fillId="3" borderId="41" xfId="0" applyNumberFormat="1" applyFont="1" applyFill="1" applyBorder="1" applyAlignment="1" applyProtection="1">
      <alignment vertical="top" wrapText="1"/>
      <protection locked="0"/>
    </xf>
    <xf numFmtId="172" fontId="112" fillId="0" borderId="0" xfId="0" applyNumberFormat="1" applyFont="1" applyFill="1" applyBorder="1" applyAlignment="1" applyProtection="1">
      <alignment vertical="top" wrapText="1"/>
      <protection locked="0"/>
    </xf>
    <xf numFmtId="172" fontId="112" fillId="10" borderId="0" xfId="0" applyNumberFormat="1" applyFont="1" applyFill="1" applyBorder="1"/>
    <xf numFmtId="0" fontId="0" fillId="32" borderId="0" xfId="0" applyFill="1"/>
    <xf numFmtId="0" fontId="12" fillId="47" borderId="0" xfId="0" applyFont="1" applyFill="1"/>
    <xf numFmtId="0" fontId="54" fillId="47" borderId="42" xfId="0" applyFont="1" applyFill="1" applyBorder="1" applyAlignment="1" applyProtection="1">
      <alignment horizontal="left" vertical="top"/>
      <protection locked="0"/>
    </xf>
    <xf numFmtId="0" fontId="54" fillId="47" borderId="3" xfId="0" applyFont="1" applyFill="1" applyBorder="1" applyAlignment="1" applyProtection="1">
      <alignment horizontal="center" vertical="top" wrapText="1"/>
      <protection locked="0"/>
    </xf>
    <xf numFmtId="0" fontId="53" fillId="32" borderId="3" xfId="0" applyFont="1" applyFill="1" applyBorder="1"/>
    <xf numFmtId="0" fontId="53" fillId="32" borderId="3" xfId="0" applyFont="1" applyFill="1" applyBorder="1" applyAlignment="1">
      <alignment horizontal="center" vertical="center" wrapText="1"/>
    </xf>
    <xf numFmtId="0" fontId="54" fillId="32" borderId="3" xfId="0" applyFont="1" applyFill="1" applyBorder="1" applyAlignment="1">
      <alignment horizontal="center" vertical="center" wrapText="1"/>
    </xf>
    <xf numFmtId="0" fontId="53" fillId="32" borderId="0" xfId="0" applyFont="1" applyFill="1" applyBorder="1" applyAlignment="1">
      <alignment horizontal="center" vertical="center" wrapText="1"/>
    </xf>
    <xf numFmtId="172" fontId="52" fillId="32" borderId="0" xfId="0" applyNumberFormat="1" applyFont="1" applyFill="1" applyBorder="1" applyAlignment="1" applyProtection="1">
      <alignment vertical="top" wrapText="1"/>
      <protection locked="0"/>
    </xf>
    <xf numFmtId="172" fontId="51" fillId="32" borderId="0" xfId="0" applyNumberFormat="1" applyFont="1" applyFill="1" applyAlignment="1" applyProtection="1">
      <alignment vertical="top" wrapText="1"/>
      <protection locked="0"/>
    </xf>
    <xf numFmtId="2" fontId="52" fillId="32" borderId="0" xfId="0" applyNumberFormat="1" applyFont="1" applyFill="1"/>
    <xf numFmtId="0" fontId="54" fillId="32" borderId="34" xfId="0" applyFont="1" applyFill="1" applyBorder="1" applyAlignment="1" applyProtection="1">
      <alignment horizontal="left" vertical="top" indent="1"/>
      <protection locked="0"/>
    </xf>
    <xf numFmtId="172" fontId="52" fillId="32" borderId="0" xfId="0" applyNumberFormat="1" applyFont="1" applyFill="1"/>
    <xf numFmtId="0" fontId="52" fillId="32" borderId="0" xfId="0" applyFont="1" applyFill="1" applyBorder="1"/>
    <xf numFmtId="172" fontId="52" fillId="32" borderId="0" xfId="0" applyNumberFormat="1" applyFont="1" applyFill="1" applyBorder="1"/>
    <xf numFmtId="0" fontId="54" fillId="47" borderId="34" xfId="0" applyFont="1" applyFill="1" applyBorder="1" applyAlignment="1" applyProtection="1">
      <alignment horizontal="left" vertical="top" indent="1"/>
      <protection locked="0"/>
    </xf>
    <xf numFmtId="0" fontId="52" fillId="32" borderId="0" xfId="0" applyFont="1" applyFill="1" applyBorder="1" applyAlignment="1" applyProtection="1">
      <alignment vertical="top" wrapText="1"/>
      <protection locked="0"/>
    </xf>
    <xf numFmtId="0" fontId="54" fillId="32" borderId="0" xfId="0" applyFont="1" applyFill="1" applyAlignment="1" applyProtection="1">
      <alignment horizontal="left" vertical="top" indent="1"/>
      <protection locked="0"/>
    </xf>
    <xf numFmtId="172" fontId="53" fillId="32" borderId="3" xfId="0" applyNumberFormat="1" applyFont="1" applyFill="1" applyBorder="1" applyAlignment="1" applyProtection="1">
      <alignment vertical="top" wrapText="1"/>
      <protection locked="0"/>
    </xf>
    <xf numFmtId="172" fontId="54" fillId="32" borderId="3" xfId="0" applyNumberFormat="1" applyFont="1" applyFill="1" applyBorder="1" applyAlignment="1" applyProtection="1">
      <alignment vertical="top" wrapText="1"/>
      <protection locked="0"/>
    </xf>
    <xf numFmtId="0" fontId="53" fillId="32" borderId="3" xfId="0" applyFont="1" applyFill="1" applyBorder="1" applyAlignment="1" applyProtection="1">
      <alignment horizontal="left" vertical="top" wrapText="1" indent="1"/>
      <protection locked="0"/>
    </xf>
    <xf numFmtId="172" fontId="53" fillId="32" borderId="0" xfId="0" applyNumberFormat="1" applyFont="1" applyFill="1" applyBorder="1" applyAlignment="1" applyProtection="1">
      <alignment vertical="top" wrapText="1"/>
      <protection locked="0"/>
    </xf>
    <xf numFmtId="0" fontId="6" fillId="32" borderId="4" xfId="0" applyFont="1" applyFill="1" applyBorder="1"/>
    <xf numFmtId="0" fontId="0" fillId="32" borderId="4" xfId="0" applyFill="1" applyBorder="1"/>
    <xf numFmtId="0" fontId="0" fillId="32" borderId="0" xfId="0" applyFill="1" applyBorder="1"/>
    <xf numFmtId="172" fontId="112" fillId="10" borderId="0" xfId="0" applyNumberFormat="1" applyFont="1" applyFill="1"/>
    <xf numFmtId="0" fontId="53" fillId="10" borderId="0" xfId="0" applyFont="1" applyFill="1" applyBorder="1" applyAlignment="1">
      <alignment horizontal="center" vertical="center" wrapText="1"/>
    </xf>
    <xf numFmtId="165" fontId="53" fillId="0" borderId="0" xfId="2" applyNumberFormat="1" applyFont="1" applyFill="1" applyBorder="1" applyAlignment="1" applyProtection="1">
      <alignment vertical="top" wrapText="1"/>
      <protection locked="0"/>
    </xf>
    <xf numFmtId="42" fontId="8" fillId="0" borderId="47" xfId="5616" applyNumberFormat="1" applyFont="1" applyFill="1" applyBorder="1" applyAlignment="1"/>
    <xf numFmtId="42" fontId="8" fillId="0" borderId="47" xfId="5616" applyNumberFormat="1" applyFont="1" applyFill="1" applyBorder="1" applyAlignment="1">
      <alignment wrapText="1"/>
    </xf>
    <xf numFmtId="42" fontId="8" fillId="0" borderId="61" xfId="5616" applyNumberFormat="1" applyFont="1" applyFill="1" applyBorder="1" applyAlignment="1">
      <alignment wrapText="1"/>
    </xf>
    <xf numFmtId="42" fontId="8" fillId="0" borderId="61" xfId="5616" applyNumberFormat="1" applyFont="1" applyFill="1" applyBorder="1" applyAlignment="1"/>
    <xf numFmtId="0" fontId="8" fillId="0" borderId="63" xfId="5616" applyFill="1" applyBorder="1"/>
    <xf numFmtId="0" fontId="0" fillId="0" borderId="64" xfId="0" applyBorder="1"/>
    <xf numFmtId="0" fontId="0" fillId="0" borderId="65" xfId="0" applyBorder="1"/>
    <xf numFmtId="42" fontId="52" fillId="0" borderId="0" xfId="0" applyNumberFormat="1" applyFont="1"/>
    <xf numFmtId="175" fontId="0" fillId="0" borderId="0" xfId="2" applyNumberFormat="1" applyFont="1"/>
    <xf numFmtId="0" fontId="6" fillId="0" borderId="5" xfId="0" applyFont="1" applyBorder="1"/>
    <xf numFmtId="0" fontId="0" fillId="0" borderId="0" xfId="0" applyAlignment="1">
      <alignment vertical="center" wrapText="1"/>
    </xf>
    <xf numFmtId="0" fontId="28" fillId="0" borderId="0" xfId="0" applyFont="1" applyAlignment="1">
      <alignment vertical="center"/>
    </xf>
    <xf numFmtId="0" fontId="53" fillId="0" borderId="0" xfId="0" applyFont="1" applyAlignment="1">
      <alignment horizontal="center" vertical="center" wrapText="1"/>
    </xf>
    <xf numFmtId="0" fontId="113" fillId="0" borderId="0" xfId="0" applyFont="1"/>
    <xf numFmtId="172" fontId="0" fillId="0" borderId="3" xfId="0" applyNumberFormat="1" applyFill="1" applyBorder="1"/>
    <xf numFmtId="0" fontId="54" fillId="14" borderId="0" xfId="0" applyFont="1" applyFill="1" applyBorder="1" applyAlignment="1" applyProtection="1">
      <alignment horizontal="center" vertical="top" wrapText="1"/>
      <protection locked="0"/>
    </xf>
    <xf numFmtId="172" fontId="54" fillId="0" borderId="0" xfId="0" applyNumberFormat="1" applyFont="1" applyBorder="1" applyAlignment="1" applyProtection="1">
      <alignment vertical="top" wrapText="1"/>
      <protection locked="0"/>
    </xf>
    <xf numFmtId="176" fontId="51" fillId="0" borderId="0" xfId="0" applyNumberFormat="1" applyFont="1" applyAlignment="1" applyProtection="1">
      <alignment vertical="top" wrapText="1"/>
      <protection locked="0"/>
    </xf>
    <xf numFmtId="171" fontId="52" fillId="0" borderId="0" xfId="0" applyNumberFormat="1" applyFont="1" applyFill="1"/>
    <xf numFmtId="2" fontId="57" fillId="0" borderId="0" xfId="0" applyNumberFormat="1" applyFont="1"/>
    <xf numFmtId="172" fontId="52" fillId="11" borderId="0" xfId="0" applyNumberFormat="1" applyFont="1" applyFill="1" applyBorder="1" applyAlignment="1" applyProtection="1">
      <alignment vertical="top" wrapText="1"/>
      <protection locked="0"/>
    </xf>
    <xf numFmtId="176" fontId="51" fillId="11" borderId="0" xfId="0" applyNumberFormat="1" applyFont="1" applyFill="1" applyAlignment="1" applyProtection="1">
      <alignment vertical="top" wrapText="1"/>
      <protection locked="0"/>
    </xf>
    <xf numFmtId="0" fontId="6" fillId="0" borderId="0" xfId="0" applyFont="1" applyFill="1" applyBorder="1"/>
    <xf numFmtId="177" fontId="57" fillId="0" borderId="0" xfId="0" applyNumberFormat="1" applyFont="1"/>
    <xf numFmtId="0" fontId="7" fillId="0" borderId="23" xfId="0" applyFont="1" applyBorder="1"/>
    <xf numFmtId="0" fontId="7" fillId="0" borderId="29" xfId="0" applyFont="1" applyBorder="1"/>
    <xf numFmtId="176" fontId="51" fillId="3" borderId="0" xfId="0" applyNumberFormat="1" applyFont="1" applyFill="1" applyAlignment="1" applyProtection="1">
      <alignment vertical="top" wrapText="1"/>
      <protection locked="0"/>
    </xf>
    <xf numFmtId="171" fontId="52" fillId="3" borderId="0" xfId="0" applyNumberFormat="1" applyFont="1" applyFill="1"/>
    <xf numFmtId="0" fontId="6" fillId="0" borderId="0" xfId="0" applyFont="1" applyBorder="1" applyAlignment="1">
      <alignment horizontal="center" wrapText="1"/>
    </xf>
    <xf numFmtId="164" fontId="27" fillId="31" borderId="0" xfId="144" applyNumberFormat="1" applyFont="1" applyFill="1" applyBorder="1"/>
    <xf numFmtId="166" fontId="0" fillId="0" borderId="0" xfId="0" applyNumberFormat="1" applyAlignment="1">
      <alignment vertical="center" wrapText="1"/>
    </xf>
    <xf numFmtId="44" fontId="0" fillId="0" borderId="0" xfId="0" applyNumberFormat="1" applyAlignment="1">
      <alignment vertical="center" wrapText="1"/>
    </xf>
    <xf numFmtId="0" fontId="28" fillId="0" borderId="2" xfId="0" applyFont="1" applyBorder="1" applyAlignment="1">
      <alignment horizontal="center"/>
    </xf>
    <xf numFmtId="41" fontId="21" fillId="3" borderId="0" xfId="142" applyNumberFormat="1" applyFont="1" applyFill="1"/>
    <xf numFmtId="164" fontId="51" fillId="3" borderId="0" xfId="0" applyNumberFormat="1" applyFont="1" applyFill="1"/>
    <xf numFmtId="41" fontId="21" fillId="3" borderId="0" xfId="0" applyNumberFormat="1" applyFont="1" applyFill="1"/>
    <xf numFmtId="43" fontId="0" fillId="0" borderId="0" xfId="0" applyNumberFormat="1"/>
    <xf numFmtId="0" fontId="114" fillId="7" borderId="0" xfId="0" applyFont="1" applyFill="1"/>
    <xf numFmtId="0" fontId="114" fillId="0" borderId="0" xfId="0" applyFont="1"/>
    <xf numFmtId="43" fontId="114" fillId="0" borderId="0" xfId="0" applyNumberFormat="1" applyFont="1"/>
    <xf numFmtId="0" fontId="115" fillId="0" borderId="0" xfId="0" applyFont="1" applyFill="1" applyBorder="1" applyAlignment="1">
      <alignment horizontal="center" wrapText="1"/>
    </xf>
    <xf numFmtId="164" fontId="27" fillId="0" borderId="0" xfId="2281" applyNumberFormat="1" applyFont="1"/>
    <xf numFmtId="0" fontId="27" fillId="5" borderId="0" xfId="0" applyFont="1" applyFill="1" applyBorder="1"/>
    <xf numFmtId="0" fontId="0" fillId="7" borderId="0" xfId="0" applyFill="1" applyBorder="1"/>
    <xf numFmtId="164" fontId="0" fillId="7" borderId="0" xfId="2281" applyNumberFormat="1" applyFont="1" applyFill="1"/>
    <xf numFmtId="0" fontId="28" fillId="0" borderId="0" xfId="0" applyFont="1" applyFill="1" applyBorder="1"/>
    <xf numFmtId="0" fontId="41" fillId="0" borderId="0" xfId="0" applyFont="1" applyFill="1"/>
    <xf numFmtId="164" fontId="0" fillId="0" borderId="0" xfId="2281" applyNumberFormat="1" applyFont="1" applyFill="1" applyBorder="1"/>
    <xf numFmtId="0" fontId="27" fillId="7" borderId="0" xfId="0" applyFont="1" applyFill="1" applyBorder="1"/>
    <xf numFmtId="164" fontId="27" fillId="0" borderId="2" xfId="144" applyNumberFormat="1" applyFill="1" applyBorder="1"/>
    <xf numFmtId="0" fontId="28" fillId="7" borderId="0" xfId="0" applyFont="1" applyFill="1" applyBorder="1"/>
    <xf numFmtId="164" fontId="28" fillId="7" borderId="2" xfId="144" applyNumberFormat="1" applyFont="1" applyFill="1" applyBorder="1"/>
    <xf numFmtId="164" fontId="28" fillId="7" borderId="3" xfId="2281" applyNumberFormat="1" applyFont="1" applyFill="1" applyBorder="1"/>
    <xf numFmtId="164" fontId="28" fillId="0" borderId="1" xfId="2281" applyNumberFormat="1" applyFont="1" applyFill="1" applyBorder="1"/>
    <xf numFmtId="178" fontId="57" fillId="0" borderId="0" xfId="0" applyNumberFormat="1" applyFont="1"/>
    <xf numFmtId="0" fontId="54" fillId="48" borderId="34" xfId="0" applyFont="1" applyFill="1" applyBorder="1" applyAlignment="1" applyProtection="1">
      <alignment horizontal="left" vertical="top" indent="1"/>
      <protection locked="0"/>
    </xf>
    <xf numFmtId="172" fontId="52" fillId="27" borderId="0" xfId="0" applyNumberFormat="1" applyFont="1" applyFill="1" applyBorder="1" applyAlignment="1" applyProtection="1">
      <alignment vertical="top" wrapText="1"/>
      <protection locked="0"/>
    </xf>
    <xf numFmtId="171" fontId="0" fillId="9" borderId="0" xfId="0" applyNumberFormat="1" applyFill="1"/>
    <xf numFmtId="0" fontId="52" fillId="0" borderId="0" xfId="0" applyFont="1" applyFill="1" applyBorder="1" applyAlignment="1">
      <alignment horizontal="center" wrapText="1"/>
    </xf>
    <xf numFmtId="179" fontId="28" fillId="0" borderId="0" xfId="0" applyNumberFormat="1" applyFont="1" applyBorder="1" applyAlignment="1">
      <alignment vertical="center"/>
    </xf>
    <xf numFmtId="0" fontId="28" fillId="0" borderId="2" xfId="0" applyFont="1" applyBorder="1" applyAlignment="1">
      <alignment horizontal="center"/>
    </xf>
    <xf numFmtId="9" fontId="7" fillId="20" borderId="24" xfId="0" applyNumberFormat="1" applyFont="1" applyFill="1" applyBorder="1" applyAlignment="1">
      <alignment horizontal="right"/>
    </xf>
    <xf numFmtId="37" fontId="28" fillId="0" borderId="0" xfId="0" applyNumberFormat="1" applyFont="1" applyFill="1" applyBorder="1" applyAlignment="1">
      <alignment horizontal="center" vertical="center" wrapText="1"/>
    </xf>
    <xf numFmtId="165" fontId="6" fillId="4" borderId="0" xfId="0" applyNumberFormat="1" applyFont="1" applyFill="1" applyBorder="1"/>
    <xf numFmtId="165" fontId="6" fillId="0" borderId="0" xfId="0" applyNumberFormat="1" applyFont="1" applyBorder="1"/>
    <xf numFmtId="37" fontId="28" fillId="16" borderId="0" xfId="0" applyNumberFormat="1" applyFont="1" applyFill="1" applyBorder="1" applyAlignment="1">
      <alignment horizontal="center" vertical="center"/>
    </xf>
    <xf numFmtId="164" fontId="45" fillId="0" borderId="10" xfId="2281" applyNumberFormat="1" applyFont="1" applyFill="1" applyBorder="1"/>
    <xf numFmtId="164" fontId="45" fillId="0" borderId="18" xfId="2281" applyNumberFormat="1" applyFont="1" applyFill="1" applyBorder="1"/>
    <xf numFmtId="0" fontId="27" fillId="0" borderId="0" xfId="0" applyFont="1" applyFill="1" applyAlignment="1">
      <alignment horizontal="center"/>
    </xf>
    <xf numFmtId="164" fontId="0" fillId="0" borderId="0" xfId="2281" applyNumberFormat="1" applyFont="1"/>
    <xf numFmtId="164" fontId="0" fillId="0" borderId="1" xfId="2281" applyNumberFormat="1" applyFont="1" applyFill="1" applyBorder="1"/>
    <xf numFmtId="164" fontId="0" fillId="0" borderId="0" xfId="2281" applyNumberFormat="1" applyFont="1" applyBorder="1"/>
    <xf numFmtId="0" fontId="29" fillId="0" borderId="0" xfId="142" applyFont="1" applyFill="1" applyAlignment="1">
      <alignment horizontal="right" vertical="center"/>
    </xf>
    <xf numFmtId="164" fontId="25" fillId="0" borderId="0" xfId="2281" applyNumberFormat="1" applyFont="1" applyFill="1" applyBorder="1"/>
    <xf numFmtId="164" fontId="21" fillId="0" borderId="0" xfId="2281" applyNumberFormat="1" applyFont="1" applyFill="1"/>
    <xf numFmtId="164" fontId="21" fillId="0" borderId="0" xfId="2281" applyNumberFormat="1" applyFont="1"/>
    <xf numFmtId="0" fontId="57" fillId="5" borderId="0" xfId="0" applyFont="1" applyFill="1" applyAlignment="1">
      <alignment horizontal="center"/>
    </xf>
    <xf numFmtId="41" fontId="21" fillId="25" borderId="0" xfId="142" applyNumberFormat="1" applyFont="1" applyFill="1"/>
    <xf numFmtId="0" fontId="0" fillId="3" borderId="3" xfId="0" applyFill="1" applyBorder="1"/>
    <xf numFmtId="41" fontId="52" fillId="3" borderId="3" xfId="0" applyNumberFormat="1" applyFont="1" applyFill="1" applyBorder="1"/>
    <xf numFmtId="9" fontId="57" fillId="5" borderId="0" xfId="0" applyNumberFormat="1" applyFont="1" applyFill="1"/>
    <xf numFmtId="9" fontId="27" fillId="5" borderId="0" xfId="2" applyFont="1" applyFill="1" applyBorder="1"/>
    <xf numFmtId="9" fontId="27" fillId="0" borderId="0" xfId="2" applyFont="1" applyFill="1" applyBorder="1"/>
    <xf numFmtId="9" fontId="57" fillId="31" borderId="3" xfId="2" applyFont="1" applyFill="1" applyBorder="1"/>
    <xf numFmtId="9" fontId="0" fillId="0" borderId="0" xfId="2" applyFont="1" applyFill="1"/>
    <xf numFmtId="9" fontId="27" fillId="31" borderId="3" xfId="2" applyFont="1" applyFill="1" applyBorder="1"/>
    <xf numFmtId="10" fontId="79" fillId="32" borderId="1" xfId="2" applyNumberFormat="1" applyFont="1" applyFill="1" applyBorder="1"/>
    <xf numFmtId="0" fontId="79" fillId="0" borderId="0" xfId="0" applyFont="1" applyFill="1" applyBorder="1"/>
    <xf numFmtId="164" fontId="79" fillId="0" borderId="0" xfId="1" applyNumberFormat="1" applyFont="1" applyFill="1" applyBorder="1"/>
    <xf numFmtId="9" fontId="79" fillId="0" borderId="0" xfId="2" applyFont="1" applyFill="1" applyBorder="1"/>
    <xf numFmtId="166" fontId="52" fillId="0" borderId="0" xfId="87" applyNumberFormat="1" applyFont="1"/>
    <xf numFmtId="43" fontId="27" fillId="5" borderId="0" xfId="2281" applyNumberFormat="1" applyFont="1" applyFill="1" applyBorder="1"/>
    <xf numFmtId="165" fontId="36" fillId="0" borderId="0" xfId="0" applyNumberFormat="1" applyFont="1" applyAlignment="1">
      <alignment horizontal="center"/>
    </xf>
    <xf numFmtId="9" fontId="7" fillId="20" borderId="24" xfId="0" applyNumberFormat="1" applyFont="1" applyFill="1" applyBorder="1"/>
    <xf numFmtId="0" fontId="7" fillId="0" borderId="3" xfId="5616" applyFont="1" applyFill="1" applyBorder="1" applyAlignment="1">
      <alignment vertical="center"/>
    </xf>
    <xf numFmtId="0" fontId="0" fillId="0" borderId="3" xfId="0" applyBorder="1" applyAlignment="1">
      <alignment horizontal="center"/>
    </xf>
    <xf numFmtId="0" fontId="7" fillId="0" borderId="0" xfId="5616" applyFont="1" applyFill="1" applyBorder="1" applyAlignment="1">
      <alignment vertical="center"/>
    </xf>
    <xf numFmtId="42" fontId="8" fillId="0" borderId="0" xfId="5616" applyNumberFormat="1" applyFont="1" applyFill="1" applyBorder="1" applyAlignment="1"/>
    <xf numFmtId="42" fontId="52" fillId="0" borderId="0" xfId="0" applyNumberFormat="1" applyFont="1" applyBorder="1"/>
    <xf numFmtId="42" fontId="8" fillId="0" borderId="0" xfId="5616" applyNumberFormat="1" applyFont="1" applyFill="1" applyBorder="1" applyAlignment="1">
      <alignment wrapText="1"/>
    </xf>
    <xf numFmtId="0" fontId="8" fillId="0" borderId="0" xfId="5616" applyFill="1" applyBorder="1"/>
    <xf numFmtId="175" fontId="0" fillId="0" borderId="0" xfId="2" applyNumberFormat="1" applyFont="1" applyBorder="1"/>
    <xf numFmtId="165" fontId="52" fillId="0" borderId="0" xfId="2" applyNumberFormat="1" applyFont="1" applyBorder="1"/>
    <xf numFmtId="166" fontId="52" fillId="0" borderId="0" xfId="0" applyNumberFormat="1" applyFont="1" applyBorder="1"/>
    <xf numFmtId="164" fontId="57" fillId="0" borderId="0" xfId="1" applyNumberFormat="1" applyFont="1"/>
    <xf numFmtId="2" fontId="0" fillId="0" borderId="20" xfId="0" applyNumberFormat="1" applyBorder="1"/>
    <xf numFmtId="2" fontId="0" fillId="0" borderId="27" xfId="0" applyNumberFormat="1" applyBorder="1"/>
    <xf numFmtId="164" fontId="0" fillId="0" borderId="27" xfId="1" applyNumberFormat="1" applyFont="1" applyBorder="1"/>
    <xf numFmtId="43" fontId="0" fillId="0" borderId="27" xfId="0" applyNumberFormat="1" applyBorder="1"/>
    <xf numFmtId="178" fontId="0" fillId="0" borderId="27" xfId="0" applyNumberFormat="1" applyBorder="1"/>
    <xf numFmtId="172" fontId="0" fillId="0" borderId="27" xfId="0" applyNumberFormat="1" applyBorder="1"/>
    <xf numFmtId="0" fontId="0" fillId="3" borderId="27" xfId="0" applyFill="1" applyBorder="1"/>
    <xf numFmtId="164" fontId="52" fillId="27" borderId="0" xfId="1" applyNumberFormat="1" applyFont="1" applyFill="1" applyBorder="1" applyAlignment="1" applyProtection="1">
      <alignment vertical="top" wrapText="1"/>
      <protection locked="0"/>
    </xf>
    <xf numFmtId="37" fontId="28" fillId="0" borderId="3" xfId="0" applyNumberFormat="1" applyFont="1" applyBorder="1" applyAlignment="1">
      <alignment horizontal="center" vertical="center" wrapText="1"/>
    </xf>
    <xf numFmtId="0" fontId="70" fillId="0" borderId="3" xfId="0" applyFont="1" applyBorder="1" applyAlignment="1">
      <alignment horizontal="center" wrapText="1"/>
    </xf>
    <xf numFmtId="0" fontId="6" fillId="0" borderId="0" xfId="0" applyFont="1" applyFill="1" applyAlignment="1">
      <alignment horizontal="center"/>
    </xf>
    <xf numFmtId="0" fontId="28" fillId="0" borderId="0" xfId="0" applyFont="1" applyFill="1" applyAlignment="1">
      <alignment wrapText="1"/>
    </xf>
    <xf numFmtId="0" fontId="57" fillId="0" borderId="0" xfId="0" applyFont="1" applyFill="1" applyAlignment="1">
      <alignment horizontal="center"/>
    </xf>
    <xf numFmtId="37" fontId="28" fillId="0" borderId="3" xfId="0" applyNumberFormat="1" applyFont="1" applyFill="1" applyBorder="1" applyAlignment="1">
      <alignment horizontal="center" vertical="center" wrapText="1"/>
    </xf>
    <xf numFmtId="0" fontId="0" fillId="2" borderId="23" xfId="0" applyFill="1" applyBorder="1"/>
    <xf numFmtId="0" fontId="0" fillId="2" borderId="29" xfId="0" applyFill="1" applyBorder="1"/>
    <xf numFmtId="0" fontId="0" fillId="2" borderId="24" xfId="0" applyFill="1" applyBorder="1"/>
    <xf numFmtId="0" fontId="0" fillId="2" borderId="6" xfId="0" applyFill="1" applyBorder="1"/>
    <xf numFmtId="0" fontId="7" fillId="10" borderId="19" xfId="0" applyFont="1" applyFill="1" applyBorder="1" applyAlignment="1" applyProtection="1">
      <alignment horizontal="center" vertical="center"/>
      <protection locked="0"/>
    </xf>
    <xf numFmtId="166" fontId="7" fillId="10" borderId="25" xfId="0" applyNumberFormat="1" applyFont="1" applyFill="1" applyBorder="1" applyAlignment="1" applyProtection="1">
      <alignment vertical="center"/>
      <protection locked="0"/>
    </xf>
    <xf numFmtId="0" fontId="8" fillId="10" borderId="20" xfId="0" applyFont="1" applyFill="1" applyBorder="1" applyAlignment="1" applyProtection="1">
      <alignment horizontal="center" vertical="center"/>
      <protection locked="0"/>
    </xf>
    <xf numFmtId="0" fontId="7" fillId="10" borderId="21" xfId="0" applyFont="1" applyFill="1" applyBorder="1" applyAlignment="1" applyProtection="1">
      <alignment horizontal="center" vertical="center"/>
      <protection locked="0"/>
    </xf>
    <xf numFmtId="166" fontId="7" fillId="21" borderId="28" xfId="0" applyNumberFormat="1" applyFont="1" applyFill="1" applyBorder="1" applyAlignment="1" applyProtection="1">
      <alignment vertical="center"/>
      <protection locked="0"/>
    </xf>
    <xf numFmtId="0" fontId="8" fillId="10" borderId="22" xfId="0" applyFont="1" applyFill="1" applyBorder="1" applyProtection="1">
      <protection locked="0"/>
    </xf>
    <xf numFmtId="9" fontId="8" fillId="31" borderId="10" xfId="0" applyNumberFormat="1" applyFont="1" applyFill="1" applyBorder="1" applyAlignment="1" applyProtection="1">
      <alignment vertical="center"/>
      <protection locked="0"/>
    </xf>
    <xf numFmtId="10" fontId="8" fillId="31" borderId="60" xfId="2" applyNumberFormat="1" applyFont="1" applyFill="1" applyBorder="1" applyAlignment="1" applyProtection="1">
      <alignment horizontal="center" vertical="center"/>
      <protection locked="0"/>
    </xf>
    <xf numFmtId="10" fontId="8" fillId="31" borderId="54" xfId="0" applyNumberFormat="1" applyFont="1" applyFill="1" applyBorder="1" applyAlignment="1" applyProtection="1">
      <alignment horizontal="center" vertical="center"/>
      <protection locked="0"/>
    </xf>
    <xf numFmtId="0" fontId="57" fillId="0" borderId="0" xfId="0" applyFont="1" applyAlignment="1">
      <alignment vertical="center" wrapText="1"/>
    </xf>
    <xf numFmtId="0" fontId="28" fillId="2" borderId="2" xfId="0" applyFont="1" applyFill="1" applyBorder="1" applyAlignment="1">
      <alignment horizontal="center" vertical="center" wrapText="1"/>
    </xf>
    <xf numFmtId="0" fontId="70" fillId="0" borderId="0" xfId="0" applyFont="1"/>
    <xf numFmtId="0" fontId="0" fillId="10" borderId="49" xfId="0" applyFill="1" applyBorder="1"/>
    <xf numFmtId="166" fontId="14" fillId="45" borderId="51" xfId="0" applyNumberFormat="1" applyFont="1" applyFill="1" applyBorder="1"/>
    <xf numFmtId="166" fontId="14" fillId="45" borderId="49" xfId="0" applyNumberFormat="1" applyFont="1" applyFill="1" applyBorder="1" applyAlignment="1">
      <alignment horizontal="center"/>
    </xf>
    <xf numFmtId="166" fontId="14" fillId="45" borderId="50" xfId="0" applyNumberFormat="1" applyFont="1" applyFill="1" applyBorder="1"/>
    <xf numFmtId="166" fontId="14" fillId="45" borderId="52" xfId="0" applyNumberFormat="1" applyFont="1" applyFill="1" applyBorder="1"/>
    <xf numFmtId="180" fontId="0" fillId="0" borderId="0" xfId="87" applyNumberFormat="1" applyFont="1"/>
    <xf numFmtId="1" fontId="52" fillId="0" borderId="0" xfId="0" applyNumberFormat="1" applyFont="1" applyBorder="1"/>
    <xf numFmtId="1" fontId="52" fillId="0" borderId="0" xfId="0" applyNumberFormat="1" applyFont="1" applyFill="1" applyBorder="1"/>
    <xf numFmtId="164" fontId="52" fillId="0" borderId="0" xfId="1" applyNumberFormat="1" applyFont="1" applyBorder="1" applyAlignment="1" applyProtection="1">
      <alignment vertical="top" wrapText="1"/>
      <protection locked="0"/>
    </xf>
    <xf numFmtId="164" fontId="52" fillId="10" borderId="0" xfId="1" applyNumberFormat="1" applyFont="1" applyFill="1" applyBorder="1" applyAlignment="1" applyProtection="1">
      <alignment vertical="top" wrapText="1"/>
      <protection locked="0"/>
    </xf>
    <xf numFmtId="0" fontId="52" fillId="3" borderId="3" xfId="0" applyFont="1" applyFill="1" applyBorder="1" applyAlignment="1" applyProtection="1">
      <alignment vertical="top" wrapText="1"/>
      <protection locked="0"/>
    </xf>
    <xf numFmtId="172" fontId="53" fillId="3" borderId="3" xfId="0" applyNumberFormat="1" applyFont="1" applyFill="1" applyBorder="1" applyAlignment="1" applyProtection="1">
      <alignment vertical="top" wrapText="1"/>
      <protection locked="0"/>
    </xf>
    <xf numFmtId="172" fontId="112" fillId="0" borderId="3" xfId="0" applyNumberFormat="1" applyFont="1" applyBorder="1" applyAlignment="1" applyProtection="1">
      <alignment vertical="top" wrapText="1"/>
      <protection locked="0"/>
    </xf>
    <xf numFmtId="172" fontId="52" fillId="0" borderId="3" xfId="0" applyNumberFormat="1" applyFont="1" applyBorder="1" applyAlignment="1" applyProtection="1">
      <alignment vertical="top" wrapText="1"/>
      <protection locked="0"/>
    </xf>
    <xf numFmtId="172" fontId="52" fillId="0" borderId="0" xfId="0" applyNumberFormat="1" applyFont="1" applyBorder="1" applyAlignment="1" applyProtection="1">
      <alignment vertical="center" wrapText="1"/>
      <protection locked="0"/>
    </xf>
    <xf numFmtId="0" fontId="54" fillId="49" borderId="34" xfId="0" applyFont="1" applyFill="1" applyBorder="1" applyAlignment="1" applyProtection="1">
      <alignment horizontal="left" vertical="top" indent="1"/>
      <protection locked="0"/>
    </xf>
    <xf numFmtId="172" fontId="52" fillId="49" borderId="0" xfId="0" applyNumberFormat="1" applyFont="1" applyFill="1" applyBorder="1" applyAlignment="1" applyProtection="1">
      <alignment vertical="top" wrapText="1"/>
      <protection locked="0"/>
    </xf>
    <xf numFmtId="172" fontId="52" fillId="49" borderId="0" xfId="0" applyNumberFormat="1" applyFont="1" applyFill="1"/>
    <xf numFmtId="0" fontId="0" fillId="49" borderId="0" xfId="0" applyFill="1"/>
    <xf numFmtId="0" fontId="52" fillId="49" borderId="0" xfId="0" applyFont="1" applyFill="1" applyBorder="1"/>
    <xf numFmtId="172" fontId="52" fillId="49" borderId="0" xfId="0" applyNumberFormat="1" applyFont="1" applyFill="1" applyBorder="1"/>
    <xf numFmtId="0" fontId="54" fillId="50" borderId="34" xfId="0" applyFont="1" applyFill="1" applyBorder="1" applyAlignment="1" applyProtection="1">
      <alignment horizontal="left" vertical="top" indent="1"/>
      <protection locked="0"/>
    </xf>
    <xf numFmtId="0" fontId="52" fillId="49" borderId="0" xfId="0" applyFont="1" applyFill="1" applyBorder="1" applyAlignment="1" applyProtection="1">
      <alignment vertical="top" wrapText="1"/>
      <protection locked="0"/>
    </xf>
    <xf numFmtId="0" fontId="54" fillId="49" borderId="0" xfId="0" applyFont="1" applyFill="1" applyAlignment="1" applyProtection="1">
      <alignment horizontal="left" vertical="top" indent="1"/>
      <protection locked="0"/>
    </xf>
    <xf numFmtId="0" fontId="53" fillId="49" borderId="3" xfId="0" applyFont="1" applyFill="1" applyBorder="1" applyAlignment="1" applyProtection="1">
      <alignment horizontal="left" vertical="top" wrapText="1" indent="1"/>
      <protection locked="0"/>
    </xf>
    <xf numFmtId="172" fontId="53" fillId="49" borderId="3" xfId="0" applyNumberFormat="1" applyFont="1" applyFill="1" applyBorder="1" applyAlignment="1" applyProtection="1">
      <alignment vertical="top" wrapText="1"/>
      <protection locked="0"/>
    </xf>
    <xf numFmtId="0" fontId="53" fillId="49" borderId="4" xfId="0" applyFont="1" applyFill="1" applyBorder="1" applyAlignment="1" applyProtection="1">
      <alignment horizontal="left" vertical="top" wrapText="1" indent="1"/>
      <protection locked="0"/>
    </xf>
    <xf numFmtId="172" fontId="53" fillId="49" borderId="4" xfId="0" applyNumberFormat="1" applyFont="1" applyFill="1" applyBorder="1" applyAlignment="1" applyProtection="1">
      <alignment vertical="top" wrapText="1"/>
      <protection locked="0"/>
    </xf>
    <xf numFmtId="171" fontId="36" fillId="8" borderId="5" xfId="0" applyNumberFormat="1" applyFont="1" applyFill="1" applyBorder="1" applyAlignment="1">
      <alignment vertical="center" wrapText="1"/>
    </xf>
    <xf numFmtId="0" fontId="111" fillId="0" borderId="5" xfId="0" applyFont="1" applyFill="1" applyBorder="1" applyAlignment="1" applyProtection="1">
      <alignment horizontal="left" vertical="top" indent="1"/>
      <protection locked="0"/>
    </xf>
    <xf numFmtId="171" fontId="0" fillId="0" borderId="5" xfId="0" applyNumberFormat="1" applyBorder="1"/>
    <xf numFmtId="2" fontId="0" fillId="0" borderId="0" xfId="0" applyNumberFormat="1" applyFont="1"/>
    <xf numFmtId="171" fontId="0" fillId="7" borderId="0" xfId="0" applyNumberFormat="1" applyFont="1" applyFill="1"/>
    <xf numFmtId="2" fontId="0" fillId="7" borderId="0" xfId="0" applyNumberFormat="1" applyFont="1" applyFill="1"/>
    <xf numFmtId="171" fontId="96" fillId="0" borderId="5" xfId="0" applyNumberFormat="1" applyFont="1" applyFill="1" applyBorder="1" applyAlignment="1">
      <alignment vertical="center" wrapText="1"/>
    </xf>
    <xf numFmtId="0" fontId="0" fillId="0" borderId="5" xfId="0" applyFont="1" applyBorder="1"/>
    <xf numFmtId="181" fontId="52" fillId="0" borderId="0" xfId="0" applyNumberFormat="1" applyFont="1" applyBorder="1" applyAlignment="1" applyProtection="1">
      <alignment vertical="top" wrapText="1"/>
      <protection locked="0"/>
    </xf>
    <xf numFmtId="178" fontId="52" fillId="0" borderId="0" xfId="0" applyNumberFormat="1" applyFont="1"/>
    <xf numFmtId="1" fontId="0" fillId="0" borderId="0" xfId="0" applyNumberFormat="1"/>
    <xf numFmtId="173" fontId="53" fillId="0" borderId="3" xfId="0" applyNumberFormat="1" applyFont="1" applyBorder="1" applyAlignment="1" applyProtection="1">
      <alignment vertical="top" wrapText="1"/>
      <protection locked="0"/>
    </xf>
    <xf numFmtId="0" fontId="27" fillId="0" borderId="0" xfId="0" applyFont="1" applyAlignment="1">
      <alignment horizontal="center"/>
    </xf>
    <xf numFmtId="43" fontId="0" fillId="0" borderId="0" xfId="0" applyNumberFormat="1" applyFill="1"/>
    <xf numFmtId="10" fontId="0" fillId="0" borderId="0" xfId="0" applyNumberFormat="1"/>
    <xf numFmtId="0" fontId="9" fillId="0" borderId="1" xfId="0" applyFont="1" applyBorder="1" applyAlignment="1">
      <alignment horizontal="center" wrapText="1"/>
    </xf>
    <xf numFmtId="0" fontId="83" fillId="33" borderId="68" xfId="0" applyFont="1" applyFill="1" applyBorder="1" applyAlignment="1" applyProtection="1">
      <alignment horizontal="center" vertical="center" wrapText="1" readingOrder="1"/>
      <protection locked="0"/>
    </xf>
    <xf numFmtId="164" fontId="116" fillId="0" borderId="0" xfId="2281" applyNumberFormat="1" applyFont="1" applyFill="1" applyBorder="1"/>
    <xf numFmtId="0" fontId="27" fillId="7" borderId="0" xfId="0" applyFont="1" applyFill="1"/>
    <xf numFmtId="164" fontId="27" fillId="0" borderId="5" xfId="2281" applyNumberFormat="1" applyFont="1" applyFill="1" applyBorder="1"/>
    <xf numFmtId="0" fontId="117" fillId="0" borderId="0" xfId="0" applyFont="1"/>
    <xf numFmtId="0" fontId="64" fillId="0" borderId="0" xfId="0" applyFont="1" applyAlignment="1">
      <alignment horizontal="center"/>
    </xf>
    <xf numFmtId="0" fontId="64" fillId="0" borderId="2" xfId="0" applyFont="1" applyBorder="1" applyAlignment="1">
      <alignment horizontal="center"/>
    </xf>
    <xf numFmtId="0" fontId="64" fillId="0" borderId="0" xfId="0" applyFont="1"/>
    <xf numFmtId="164" fontId="65" fillId="0" borderId="0" xfId="2281" applyNumberFormat="1" applyFont="1" applyFill="1"/>
    <xf numFmtId="0" fontId="117" fillId="5" borderId="0" xfId="0" applyFont="1" applyFill="1"/>
    <xf numFmtId="164" fontId="65" fillId="5" borderId="0" xfId="2281" applyNumberFormat="1" applyFont="1" applyFill="1" applyBorder="1"/>
    <xf numFmtId="0" fontId="117" fillId="0" borderId="0" xfId="0" applyFont="1" applyFill="1"/>
    <xf numFmtId="0" fontId="118" fillId="0" borderId="0" xfId="0" applyFont="1"/>
    <xf numFmtId="0" fontId="65" fillId="0" borderId="0" xfId="0" applyFont="1" applyBorder="1"/>
    <xf numFmtId="0" fontId="117" fillId="5" borderId="0" xfId="0" applyFont="1" applyFill="1" applyBorder="1"/>
    <xf numFmtId="0" fontId="65" fillId="0" borderId="0" xfId="0" applyFont="1" applyFill="1" applyBorder="1"/>
    <xf numFmtId="164" fontId="65" fillId="0" borderId="0" xfId="2281" applyNumberFormat="1" applyFont="1" applyFill="1" applyBorder="1"/>
    <xf numFmtId="0" fontId="117" fillId="0" borderId="0" xfId="0" applyFont="1" applyFill="1" applyBorder="1"/>
    <xf numFmtId="0" fontId="65" fillId="5" borderId="0" xfId="0" applyFont="1" applyFill="1" applyBorder="1"/>
    <xf numFmtId="0" fontId="117" fillId="7" borderId="0" xfId="0" applyFont="1" applyFill="1" applyBorder="1"/>
    <xf numFmtId="164" fontId="65" fillId="7" borderId="0" xfId="2281" applyNumberFormat="1" applyFont="1" applyFill="1" applyBorder="1"/>
    <xf numFmtId="0" fontId="64" fillId="0" borderId="0" xfId="0" applyFont="1" applyFill="1" applyBorder="1"/>
    <xf numFmtId="164" fontId="64" fillId="0" borderId="3" xfId="144" applyNumberFormat="1" applyFont="1" applyFill="1" applyBorder="1"/>
    <xf numFmtId="0" fontId="118" fillId="0" borderId="0" xfId="0" applyFont="1" applyFill="1"/>
    <xf numFmtId="0" fontId="65" fillId="7" borderId="0" xfId="0" applyFont="1" applyFill="1" applyBorder="1"/>
    <xf numFmtId="0" fontId="64" fillId="7" borderId="0" xfId="0" applyFont="1" applyFill="1" applyBorder="1"/>
    <xf numFmtId="164" fontId="64" fillId="7" borderId="3" xfId="2281" applyNumberFormat="1" applyFont="1" applyFill="1" applyBorder="1"/>
    <xf numFmtId="164" fontId="64" fillId="0" borderId="1" xfId="2281" applyNumberFormat="1" applyFont="1" applyFill="1" applyBorder="1"/>
    <xf numFmtId="0" fontId="0" fillId="0" borderId="3" xfId="0" applyBorder="1" applyAlignment="1"/>
    <xf numFmtId="0" fontId="0" fillId="0" borderId="0" xfId="0" applyBorder="1" applyAlignment="1">
      <alignment horizontal="center"/>
    </xf>
    <xf numFmtId="0" fontId="0" fillId="0" borderId="0" xfId="0" applyBorder="1" applyAlignment="1">
      <alignment horizontal="left"/>
    </xf>
    <xf numFmtId="171" fontId="58" fillId="0" borderId="0" xfId="0" applyNumberFormat="1" applyFont="1"/>
    <xf numFmtId="49" fontId="0" fillId="0" borderId="0" xfId="0" quotePrefix="1" applyNumberFormat="1"/>
    <xf numFmtId="49" fontId="0" fillId="28" borderId="0" xfId="0" quotePrefix="1" applyNumberFormat="1" applyFill="1"/>
    <xf numFmtId="0" fontId="0" fillId="28" borderId="0" xfId="0" applyFill="1"/>
    <xf numFmtId="49" fontId="0" fillId="8" borderId="0" xfId="0" quotePrefix="1" applyNumberFormat="1" applyFill="1"/>
    <xf numFmtId="0" fontId="6" fillId="28" borderId="0" xfId="0" applyFont="1" applyFill="1"/>
    <xf numFmtId="171" fontId="58" fillId="21" borderId="0" xfId="0" applyNumberFormat="1" applyFont="1" applyFill="1"/>
    <xf numFmtId="49" fontId="0" fillId="0" borderId="0" xfId="0" quotePrefix="1" applyNumberFormat="1" applyFill="1"/>
    <xf numFmtId="49" fontId="0" fillId="28" borderId="0" xfId="0" quotePrefix="1" applyNumberFormat="1" applyFill="1" applyAlignment="1">
      <alignment horizontal="left" indent="1"/>
    </xf>
    <xf numFmtId="0" fontId="6" fillId="28" borderId="0" xfId="0" applyFont="1" applyFill="1" applyAlignment="1">
      <alignment horizontal="left" indent="1"/>
    </xf>
    <xf numFmtId="49" fontId="0" fillId="0" borderId="0" xfId="0" quotePrefix="1" applyNumberFormat="1" applyAlignment="1">
      <alignment horizontal="left" indent="1"/>
    </xf>
    <xf numFmtId="0" fontId="6" fillId="0" borderId="0" xfId="0" applyFont="1" applyAlignment="1">
      <alignment horizontal="left" indent="1"/>
    </xf>
    <xf numFmtId="49" fontId="58" fillId="0" borderId="0" xfId="0" applyNumberFormat="1" applyFont="1" applyFill="1"/>
    <xf numFmtId="49" fontId="0" fillId="0" borderId="5" xfId="0" quotePrefix="1" applyNumberFormat="1" applyBorder="1"/>
    <xf numFmtId="0" fontId="0" fillId="0" borderId="0" xfId="0" quotePrefix="1"/>
    <xf numFmtId="0" fontId="58" fillId="0" borderId="2" xfId="0" applyFont="1" applyBorder="1" applyAlignment="1">
      <alignment horizontal="center"/>
    </xf>
    <xf numFmtId="0" fontId="58" fillId="0" borderId="1" xfId="0" applyFont="1" applyBorder="1"/>
    <xf numFmtId="0" fontId="58" fillId="17" borderId="1" xfId="0" applyFont="1" applyFill="1" applyBorder="1"/>
    <xf numFmtId="171" fontId="0" fillId="3" borderId="0" xfId="0" applyNumberFormat="1" applyFont="1" applyFill="1"/>
    <xf numFmtId="9" fontId="7" fillId="4" borderId="6" xfId="0" applyNumberFormat="1" applyFont="1" applyFill="1" applyBorder="1" applyAlignment="1" applyProtection="1">
      <alignment horizontal="center" vertical="center"/>
      <protection locked="0"/>
    </xf>
    <xf numFmtId="9" fontId="7" fillId="4" borderId="9" xfId="0" applyNumberFormat="1" applyFont="1" applyFill="1" applyBorder="1" applyAlignment="1" applyProtection="1">
      <alignment horizontal="center"/>
    </xf>
    <xf numFmtId="10" fontId="8" fillId="37" borderId="29" xfId="0" applyNumberFormat="1" applyFont="1" applyFill="1" applyBorder="1" applyAlignment="1" applyProtection="1">
      <alignment horizontal="center" vertical="center"/>
      <protection locked="0"/>
    </xf>
    <xf numFmtId="10" fontId="8" fillId="37" borderId="58" xfId="0" applyNumberFormat="1" applyFont="1" applyFill="1" applyBorder="1" applyAlignment="1" applyProtection="1">
      <alignment horizontal="center" vertical="center"/>
      <protection locked="0"/>
    </xf>
    <xf numFmtId="170" fontId="50" fillId="4" borderId="9" xfId="0" applyNumberFormat="1" applyFont="1" applyFill="1" applyBorder="1" applyAlignment="1" applyProtection="1">
      <alignment horizontal="left" vertical="center" wrapText="1" indent="3"/>
      <protection locked="0"/>
    </xf>
    <xf numFmtId="41" fontId="57" fillId="4" borderId="0" xfId="0" applyNumberFormat="1" applyFont="1" applyFill="1"/>
    <xf numFmtId="164" fontId="59" fillId="4" borderId="0" xfId="1" applyNumberFormat="1" applyFont="1" applyFill="1"/>
    <xf numFmtId="164" fontId="27" fillId="4" borderId="0" xfId="1" applyNumberFormat="1" applyFont="1" applyFill="1"/>
    <xf numFmtId="0" fontId="57" fillId="4" borderId="0" xfId="0" applyFont="1" applyFill="1"/>
    <xf numFmtId="164" fontId="57" fillId="4" borderId="0" xfId="0" applyNumberFormat="1" applyFont="1" applyFill="1"/>
    <xf numFmtId="0" fontId="70" fillId="4" borderId="1" xfId="0" applyFont="1" applyFill="1" applyBorder="1" applyAlignment="1">
      <alignment horizontal="center" vertical="center" wrapText="1"/>
    </xf>
    <xf numFmtId="0" fontId="13" fillId="45" borderId="0" xfId="0" applyFont="1" applyFill="1" applyBorder="1" applyAlignment="1">
      <alignment horizontal="center"/>
    </xf>
    <xf numFmtId="166" fontId="14" fillId="45" borderId="0" xfId="0" applyNumberFormat="1" applyFont="1" applyFill="1" applyBorder="1" applyAlignment="1">
      <alignment horizontal="center"/>
    </xf>
    <xf numFmtId="166" fontId="14" fillId="45" borderId="0" xfId="0" applyNumberFormat="1" applyFont="1" applyFill="1" applyBorder="1"/>
    <xf numFmtId="0" fontId="13" fillId="45" borderId="69" xfId="0" applyFont="1" applyFill="1" applyBorder="1" applyAlignment="1">
      <alignment horizontal="center"/>
    </xf>
    <xf numFmtId="166" fontId="14" fillId="45" borderId="70" xfId="0" applyNumberFormat="1" applyFont="1" applyFill="1" applyBorder="1" applyAlignment="1">
      <alignment horizontal="center"/>
    </xf>
    <xf numFmtId="166" fontId="14" fillId="45" borderId="47" xfId="0" applyNumberFormat="1" applyFont="1" applyFill="1" applyBorder="1" applyAlignment="1">
      <alignment horizontal="center"/>
    </xf>
    <xf numFmtId="166" fontId="14" fillId="45" borderId="61" xfId="0" applyNumberFormat="1" applyFont="1" applyFill="1" applyBorder="1" applyAlignment="1">
      <alignment horizontal="center"/>
    </xf>
    <xf numFmtId="166" fontId="14" fillId="45" borderId="71" xfId="0" applyNumberFormat="1" applyFont="1" applyFill="1" applyBorder="1" applyAlignment="1">
      <alignment horizontal="center"/>
    </xf>
    <xf numFmtId="166" fontId="14" fillId="45" borderId="47" xfId="0" applyNumberFormat="1" applyFont="1" applyFill="1" applyBorder="1"/>
    <xf numFmtId="166" fontId="14" fillId="45" borderId="69" xfId="0" applyNumberFormat="1" applyFont="1" applyFill="1" applyBorder="1" applyAlignment="1">
      <alignment horizontal="center"/>
    </xf>
    <xf numFmtId="166" fontId="14" fillId="45" borderId="70" xfId="0" applyNumberFormat="1" applyFont="1" applyFill="1" applyBorder="1"/>
    <xf numFmtId="166" fontId="14" fillId="45" borderId="61" xfId="0" applyNumberFormat="1" applyFont="1" applyFill="1" applyBorder="1"/>
    <xf numFmtId="0" fontId="80" fillId="7" borderId="0" xfId="0" applyFont="1" applyFill="1"/>
    <xf numFmtId="0" fontId="8" fillId="0" borderId="56" xfId="0" applyFont="1" applyBorder="1" applyAlignment="1" applyProtection="1">
      <alignment horizontal="left" vertical="center" indent="1"/>
      <protection locked="0"/>
    </xf>
    <xf numFmtId="0" fontId="2" fillId="0" borderId="0" xfId="0" applyFont="1" applyBorder="1" applyAlignment="1" applyProtection="1">
      <protection locked="0"/>
    </xf>
    <xf numFmtId="164" fontId="0" fillId="5" borderId="0" xfId="0" applyNumberFormat="1" applyFill="1" applyBorder="1"/>
    <xf numFmtId="164" fontId="0" fillId="0" borderId="2" xfId="0" applyNumberFormat="1" applyFill="1" applyBorder="1"/>
    <xf numFmtId="0" fontId="19" fillId="5" borderId="9" xfId="2281" applyNumberFormat="1" applyFont="1" applyFill="1" applyBorder="1" applyAlignment="1">
      <alignment horizontal="center" vertical="center" wrapText="1"/>
    </xf>
    <xf numFmtId="0" fontId="120" fillId="0" borderId="0" xfId="0" applyFont="1" applyFill="1" applyBorder="1"/>
    <xf numFmtId="0" fontId="6" fillId="10" borderId="23" xfId="0" applyFont="1" applyFill="1" applyBorder="1" applyAlignment="1" applyProtection="1">
      <alignment horizontal="left" vertical="center" wrapText="1"/>
      <protection locked="0"/>
    </xf>
    <xf numFmtId="0" fontId="6" fillId="10" borderId="29" xfId="0" applyFont="1" applyFill="1" applyBorder="1" applyAlignment="1" applyProtection="1">
      <alignment horizontal="left" vertical="center" wrapText="1"/>
      <protection locked="0"/>
    </xf>
    <xf numFmtId="0" fontId="6" fillId="10" borderId="24" xfId="0" applyFont="1" applyFill="1" applyBorder="1" applyAlignment="1" applyProtection="1">
      <alignment horizontal="left" vertical="center" wrapText="1"/>
      <protection locked="0"/>
    </xf>
    <xf numFmtId="0" fontId="6" fillId="10" borderId="21" xfId="0" applyFont="1" applyFill="1" applyBorder="1" applyAlignment="1" applyProtection="1">
      <alignment horizontal="left" vertical="center" wrapText="1"/>
      <protection locked="0"/>
    </xf>
    <xf numFmtId="0" fontId="6" fillId="10" borderId="28" xfId="0" applyFont="1" applyFill="1" applyBorder="1" applyAlignment="1" applyProtection="1">
      <alignment horizontal="left" vertical="center" wrapText="1"/>
      <protection locked="0"/>
    </xf>
    <xf numFmtId="0" fontId="6" fillId="10" borderId="22" xfId="0" applyFont="1" applyFill="1" applyBorder="1" applyAlignment="1" applyProtection="1">
      <alignment horizontal="left" vertical="center" wrapText="1"/>
      <protection locked="0"/>
    </xf>
    <xf numFmtId="10" fontId="8" fillId="9" borderId="20" xfId="2" applyNumberFormat="1" applyFont="1" applyFill="1" applyBorder="1" applyAlignment="1" applyProtection="1">
      <alignment horizontal="center" vertical="center"/>
      <protection locked="0"/>
    </xf>
    <xf numFmtId="10" fontId="8" fillId="9" borderId="27" xfId="2" applyNumberFormat="1" applyFont="1" applyFill="1" applyBorder="1" applyAlignment="1" applyProtection="1">
      <alignment horizontal="center" vertical="center"/>
      <protection locked="0"/>
    </xf>
    <xf numFmtId="10" fontId="8" fillId="9" borderId="22" xfId="2" applyNumberFormat="1" applyFont="1" applyFill="1" applyBorder="1" applyAlignment="1" applyProtection="1">
      <alignment horizontal="center" vertical="center"/>
      <protection locked="0"/>
    </xf>
    <xf numFmtId="44" fontId="8" fillId="9" borderId="54" xfId="87" applyNumberFormat="1" applyFont="1" applyFill="1" applyBorder="1" applyAlignment="1" applyProtection="1">
      <alignment horizontal="center" vertical="center"/>
      <protection locked="0"/>
    </xf>
    <xf numFmtId="166" fontId="8" fillId="9" borderId="10" xfId="87" applyNumberFormat="1" applyFont="1" applyFill="1" applyBorder="1" applyAlignment="1" applyProtection="1">
      <alignment horizontal="center" vertical="center"/>
      <protection locked="0"/>
    </xf>
    <xf numFmtId="166" fontId="8" fillId="9" borderId="18" xfId="87" applyNumberFormat="1" applyFont="1" applyFill="1" applyBorder="1" applyAlignment="1" applyProtection="1">
      <alignment horizontal="center" vertical="center"/>
      <protection locked="0"/>
    </xf>
    <xf numFmtId="166" fontId="8" fillId="9" borderId="54" xfId="87" applyNumberFormat="1" applyFont="1" applyFill="1" applyBorder="1" applyAlignment="1" applyProtection="1">
      <alignment horizontal="center" vertical="center"/>
      <protection locked="0"/>
    </xf>
    <xf numFmtId="10" fontId="8" fillId="31" borderId="66" xfId="0" applyNumberFormat="1" applyFont="1" applyFill="1" applyBorder="1" applyAlignment="1">
      <alignment horizontal="center" vertical="center"/>
    </xf>
    <xf numFmtId="0" fontId="8" fillId="31" borderId="17" xfId="0" applyFont="1" applyFill="1" applyBorder="1" applyAlignment="1">
      <alignment horizontal="center" vertical="center"/>
    </xf>
    <xf numFmtId="0" fontId="2"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7"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7" fillId="0" borderId="19"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164" fontId="27" fillId="5" borderId="4" xfId="1" applyNumberFormat="1" applyFont="1" applyFill="1" applyBorder="1" applyAlignment="1">
      <alignment horizontal="center" vertical="center"/>
    </xf>
    <xf numFmtId="164" fontId="27" fillId="5" borderId="0" xfId="1" applyNumberFormat="1" applyFont="1" applyFill="1" applyBorder="1" applyAlignment="1">
      <alignment horizontal="center" vertical="center"/>
    </xf>
    <xf numFmtId="0" fontId="28"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8" xfId="0" applyFont="1" applyBorder="1" applyAlignment="1">
      <alignment horizontal="center" vertical="center" wrapText="1"/>
    </xf>
    <xf numFmtId="0" fontId="70" fillId="0" borderId="7" xfId="0" applyFont="1" applyBorder="1" applyAlignment="1">
      <alignment horizontal="center" vertical="center"/>
    </xf>
    <xf numFmtId="0" fontId="70" fillId="0" borderId="3" xfId="0" applyFont="1" applyBorder="1" applyAlignment="1">
      <alignment horizontal="center" vertical="center"/>
    </xf>
    <xf numFmtId="0" fontId="70" fillId="0" borderId="8" xfId="0" applyFont="1" applyBorder="1" applyAlignment="1">
      <alignment horizontal="center" vertical="center"/>
    </xf>
    <xf numFmtId="0" fontId="7" fillId="0" borderId="3" xfId="0" applyFont="1" applyBorder="1" applyAlignment="1" applyProtection="1">
      <alignment horizontal="center"/>
      <protection locked="0"/>
    </xf>
    <xf numFmtId="0" fontId="44" fillId="0" borderId="0" xfId="0" applyFont="1" applyBorder="1" applyAlignment="1">
      <alignment horizontal="left"/>
    </xf>
    <xf numFmtId="0" fontId="20" fillId="0" borderId="0" xfId="0" applyFont="1" applyBorder="1" applyAlignment="1">
      <alignment horizontal="left"/>
    </xf>
    <xf numFmtId="164" fontId="25" fillId="0" borderId="3" xfId="1" applyNumberFormat="1" applyFont="1" applyBorder="1" applyAlignment="1">
      <alignment horizontal="center"/>
    </xf>
    <xf numFmtId="164" fontId="25" fillId="0" borderId="8" xfId="1" applyNumberFormat="1" applyFont="1" applyBorder="1" applyAlignment="1">
      <alignment horizontal="center"/>
    </xf>
    <xf numFmtId="0" fontId="28" fillId="0" borderId="2" xfId="0" applyFont="1" applyBorder="1" applyAlignment="1">
      <alignment horizontal="center"/>
    </xf>
    <xf numFmtId="0" fontId="36" fillId="0" borderId="0" xfId="0" applyFont="1" applyAlignment="1">
      <alignment horizontal="center"/>
    </xf>
    <xf numFmtId="37" fontId="25" fillId="0" borderId="0" xfId="0" applyNumberFormat="1" applyFont="1" applyBorder="1" applyAlignment="1">
      <alignment horizontal="center" vertical="center"/>
    </xf>
    <xf numFmtId="37" fontId="28" fillId="3" borderId="0" xfId="0" applyNumberFormat="1" applyFont="1" applyFill="1" applyBorder="1" applyAlignment="1">
      <alignment horizontal="left" vertical="center"/>
    </xf>
    <xf numFmtId="0" fontId="28" fillId="3" borderId="2" xfId="0" applyFont="1" applyFill="1" applyBorder="1" applyAlignment="1">
      <alignment horizontal="center"/>
    </xf>
    <xf numFmtId="37" fontId="28" fillId="12" borderId="0" xfId="0" applyNumberFormat="1" applyFont="1" applyFill="1" applyBorder="1" applyAlignment="1">
      <alignment horizontal="center" vertical="center"/>
    </xf>
    <xf numFmtId="37" fontId="28" fillId="18" borderId="0" xfId="0" applyNumberFormat="1" applyFont="1" applyFill="1" applyBorder="1" applyAlignment="1">
      <alignment horizontal="center" vertical="center"/>
    </xf>
    <xf numFmtId="37" fontId="28" fillId="16" borderId="0" xfId="0" applyNumberFormat="1" applyFont="1" applyFill="1" applyBorder="1" applyAlignment="1">
      <alignment horizontal="center" vertical="center"/>
    </xf>
    <xf numFmtId="164" fontId="57" fillId="0" borderId="25" xfId="0" applyNumberFormat="1" applyFont="1" applyBorder="1" applyAlignment="1">
      <alignment horizontal="center"/>
    </xf>
    <xf numFmtId="164" fontId="57" fillId="0" borderId="20" xfId="0" applyNumberFormat="1" applyFont="1" applyBorder="1" applyAlignment="1">
      <alignment horizontal="center"/>
    </xf>
    <xf numFmtId="37" fontId="92" fillId="12" borderId="0" xfId="0" applyNumberFormat="1" applyFont="1" applyFill="1" applyBorder="1" applyAlignment="1">
      <alignment horizontal="center" vertical="center"/>
    </xf>
    <xf numFmtId="37" fontId="28" fillId="17" borderId="0" xfId="0" applyNumberFormat="1" applyFont="1" applyFill="1" applyAlignment="1">
      <alignment horizontal="center" vertical="center"/>
    </xf>
    <xf numFmtId="37" fontId="28" fillId="17" borderId="2" xfId="0" applyNumberFormat="1" applyFont="1" applyFill="1" applyBorder="1" applyAlignment="1">
      <alignment horizontal="center" vertical="center"/>
    </xf>
    <xf numFmtId="10" fontId="52" fillId="21" borderId="25" xfId="0" applyNumberFormat="1" applyFont="1" applyFill="1" applyBorder="1" applyAlignment="1" applyProtection="1">
      <alignment horizontal="center" vertical="center"/>
      <protection locked="0"/>
    </xf>
    <xf numFmtId="10" fontId="52" fillId="21" borderId="0" xfId="0" applyNumberFormat="1" applyFont="1" applyFill="1" applyBorder="1" applyAlignment="1" applyProtection="1">
      <alignment horizontal="center" vertical="center"/>
      <protection locked="0"/>
    </xf>
    <xf numFmtId="172" fontId="52" fillId="0" borderId="0" xfId="0" applyNumberFormat="1" applyFont="1" applyBorder="1" applyAlignment="1">
      <alignment horizontal="center"/>
    </xf>
    <xf numFmtId="0" fontId="52" fillId="0" borderId="0" xfId="0" applyFont="1" applyBorder="1" applyAlignment="1">
      <alignment horizontal="center"/>
    </xf>
    <xf numFmtId="172" fontId="52" fillId="0" borderId="4" xfId="0" applyNumberFormat="1" applyFont="1" applyBorder="1" applyAlignment="1">
      <alignment horizontal="center"/>
    </xf>
    <xf numFmtId="172" fontId="52" fillId="0" borderId="12" xfId="0" applyNumberFormat="1" applyFont="1" applyBorder="1" applyAlignment="1">
      <alignment horizontal="center"/>
    </xf>
    <xf numFmtId="0" fontId="7" fillId="0" borderId="61" xfId="5616" applyFont="1" applyFill="1" applyBorder="1" applyAlignment="1">
      <alignment horizontal="center" vertical="center"/>
    </xf>
    <xf numFmtId="0" fontId="7" fillId="0" borderId="59" xfId="5616" applyFont="1" applyFill="1" applyBorder="1" applyAlignment="1">
      <alignment horizontal="center" vertical="center"/>
    </xf>
    <xf numFmtId="0" fontId="7" fillId="0" borderId="62" xfId="5616" applyFont="1" applyFill="1" applyBorder="1" applyAlignment="1">
      <alignment horizontal="center" vertical="center"/>
    </xf>
    <xf numFmtId="0" fontId="0" fillId="9" borderId="72" xfId="0" applyFill="1" applyBorder="1" applyAlignment="1">
      <alignment horizontal="center"/>
    </xf>
    <xf numFmtId="0" fontId="6" fillId="0" borderId="0" xfId="0" applyFont="1" applyAlignment="1">
      <alignment horizontal="center"/>
    </xf>
    <xf numFmtId="0" fontId="6" fillId="0" borderId="2" xfId="0" applyFont="1" applyBorder="1" applyAlignment="1">
      <alignment horizontal="center" wrapText="1"/>
    </xf>
    <xf numFmtId="0" fontId="57" fillId="5" borderId="0" xfId="0" applyFont="1" applyFill="1" applyAlignment="1">
      <alignment horizontal="center"/>
    </xf>
    <xf numFmtId="0" fontId="20" fillId="0" borderId="0" xfId="142" applyFont="1" applyFill="1" applyAlignment="1">
      <alignment horizontal="center"/>
    </xf>
    <xf numFmtId="0" fontId="22" fillId="0" borderId="2" xfId="142" applyFont="1" applyBorder="1" applyAlignment="1">
      <alignment horizontal="center"/>
    </xf>
    <xf numFmtId="0" fontId="23" fillId="0" borderId="3" xfId="142" applyFont="1" applyBorder="1" applyAlignment="1">
      <alignment horizontal="center" vertical="center"/>
    </xf>
    <xf numFmtId="0" fontId="21" fillId="0" borderId="1" xfId="142" applyFont="1" applyBorder="1" applyAlignment="1">
      <alignment horizontal="center" vertical="center"/>
    </xf>
    <xf numFmtId="0" fontId="21" fillId="10" borderId="0" xfId="142" applyFont="1" applyFill="1" applyAlignment="1">
      <alignment horizontal="center"/>
    </xf>
    <xf numFmtId="10" fontId="8" fillId="0" borderId="15" xfId="0" applyNumberFormat="1" applyFont="1" applyBorder="1" applyAlignment="1">
      <alignment horizontal="center" vertical="center" wrapText="1"/>
    </xf>
    <xf numFmtId="10" fontId="8" fillId="0" borderId="10" xfId="0" applyNumberFormat="1" applyFont="1" applyBorder="1" applyAlignment="1">
      <alignment horizontal="center" vertical="center" wrapText="1"/>
    </xf>
    <xf numFmtId="10" fontId="8" fillId="0" borderId="18"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119" fillId="0" borderId="15" xfId="0" applyFont="1" applyBorder="1" applyAlignment="1">
      <alignment horizontal="center" vertical="center" wrapText="1"/>
    </xf>
    <xf numFmtId="0" fontId="119" fillId="0" borderId="18" xfId="0" applyFont="1" applyBorder="1" applyAlignment="1">
      <alignment horizontal="center" vertical="center" wrapText="1"/>
    </xf>
    <xf numFmtId="10" fontId="8" fillId="0" borderId="15" xfId="0" applyNumberFormat="1" applyFont="1" applyBorder="1" applyAlignment="1">
      <alignment horizontal="center" vertical="center"/>
    </xf>
    <xf numFmtId="0" fontId="8" fillId="0" borderId="10" xfId="0" applyFont="1" applyBorder="1" applyAlignment="1">
      <alignment horizontal="center" vertical="center" wrapText="1"/>
    </xf>
    <xf numFmtId="10" fontId="8" fillId="0" borderId="10" xfId="0" applyNumberFormat="1" applyFont="1" applyBorder="1" applyAlignment="1">
      <alignment horizontal="center" vertical="center"/>
    </xf>
    <xf numFmtId="10" fontId="8" fillId="0" borderId="18" xfId="0" applyNumberFormat="1" applyFont="1" applyBorder="1" applyAlignment="1">
      <alignment horizontal="center" vertical="center"/>
    </xf>
    <xf numFmtId="0" fontId="27" fillId="0" borderId="0" xfId="0"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3" fontId="97" fillId="24" borderId="45" xfId="0" applyNumberFormat="1" applyFont="1" applyFill="1" applyBorder="1" applyAlignment="1">
      <alignment horizontal="center" wrapText="1"/>
    </xf>
    <xf numFmtId="3" fontId="97" fillId="24" borderId="46" xfId="0" applyNumberFormat="1" applyFont="1" applyFill="1" applyBorder="1" applyAlignment="1">
      <alignment horizontal="center" wrapText="1"/>
    </xf>
    <xf numFmtId="3" fontId="97" fillId="24" borderId="19" xfId="0" applyNumberFormat="1" applyFont="1" applyFill="1" applyBorder="1" applyAlignment="1">
      <alignment horizontal="center"/>
    </xf>
    <xf numFmtId="3" fontId="97" fillId="24" borderId="20" xfId="0" applyNumberFormat="1" applyFont="1" applyFill="1" applyBorder="1" applyAlignment="1">
      <alignment horizontal="center"/>
    </xf>
    <xf numFmtId="165" fontId="97" fillId="24" borderId="45" xfId="0" applyNumberFormat="1" applyFont="1" applyFill="1" applyBorder="1" applyAlignment="1">
      <alignment horizontal="center"/>
    </xf>
    <xf numFmtId="165" fontId="97" fillId="24" borderId="32" xfId="0" applyNumberFormat="1" applyFont="1" applyFill="1" applyBorder="1" applyAlignment="1">
      <alignment horizontal="center"/>
    </xf>
    <xf numFmtId="3" fontId="98" fillId="24" borderId="45" xfId="0" applyNumberFormat="1" applyFont="1" applyFill="1" applyBorder="1" applyAlignment="1">
      <alignment horizontal="center" wrapText="1"/>
    </xf>
    <xf numFmtId="3" fontId="98" fillId="24" borderId="32" xfId="0" applyNumberFormat="1" applyFont="1" applyFill="1" applyBorder="1" applyAlignment="1">
      <alignment horizontal="center" wrapText="1"/>
    </xf>
    <xf numFmtId="3" fontId="97" fillId="24" borderId="32" xfId="0" applyNumberFormat="1" applyFont="1" applyFill="1" applyBorder="1" applyAlignment="1">
      <alignment horizontal="center" wrapText="1"/>
    </xf>
    <xf numFmtId="0" fontId="7" fillId="0" borderId="45" xfId="0" applyFont="1" applyBorder="1" applyAlignment="1">
      <alignment horizontal="center" vertical="center" textRotation="90"/>
    </xf>
    <xf numFmtId="0" fontId="7" fillId="0" borderId="32" xfId="0" applyFont="1" applyBorder="1" applyAlignment="1">
      <alignment horizontal="center" vertical="center" textRotation="90"/>
    </xf>
    <xf numFmtId="0" fontId="7" fillId="0" borderId="67" xfId="0" applyFont="1" applyBorder="1" applyAlignment="1">
      <alignment horizontal="center" vertical="center" textRotation="90"/>
    </xf>
    <xf numFmtId="0" fontId="7" fillId="0" borderId="45"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7" fillId="0" borderId="67" xfId="0" applyFont="1" applyBorder="1" applyAlignment="1">
      <alignment horizontal="center" vertical="center" textRotation="90" wrapText="1"/>
    </xf>
    <xf numFmtId="0" fontId="1" fillId="0" borderId="19" xfId="0" applyFont="1" applyFill="1" applyBorder="1" applyProtection="1">
      <protection locked="0"/>
    </xf>
    <xf numFmtId="0" fontId="1" fillId="0" borderId="21" xfId="0" applyFont="1" applyFill="1" applyBorder="1" applyProtection="1">
      <protection locked="0"/>
    </xf>
  </cellXfs>
  <cellStyles count="5617">
    <cellStyle name="Comma" xfId="1" builtinId="3"/>
    <cellStyle name="Comma 2" xfId="2281"/>
    <cellStyle name="Currency" xfId="87"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3"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9"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1" builtinId="9" hidden="1"/>
    <cellStyle name="Followed Hyperlink" xfId="3203" builtinId="9" hidden="1"/>
    <cellStyle name="Followed Hyperlink" xfId="3205" builtinId="9" hidden="1"/>
    <cellStyle name="Followed Hyperlink" xfId="3207" builtinId="9" hidden="1"/>
    <cellStyle name="Followed Hyperlink" xfId="3209" builtinId="9" hidden="1"/>
    <cellStyle name="Followed Hyperlink" xfId="3211" builtinId="9" hidden="1"/>
    <cellStyle name="Followed Hyperlink" xfId="3213" builtinId="9" hidden="1"/>
    <cellStyle name="Followed Hyperlink" xfId="3215" builtinId="9" hidden="1"/>
    <cellStyle name="Followed Hyperlink" xfId="3217" builtinId="9" hidden="1"/>
    <cellStyle name="Followed Hyperlink" xfId="3219" builtinId="9" hidden="1"/>
    <cellStyle name="Followed Hyperlink" xfId="3221" builtinId="9" hidden="1"/>
    <cellStyle name="Followed Hyperlink" xfId="3223" builtinId="9" hidden="1"/>
    <cellStyle name="Followed Hyperlink" xfId="3225" builtinId="9" hidden="1"/>
    <cellStyle name="Followed Hyperlink" xfId="3227" builtinId="9" hidden="1"/>
    <cellStyle name="Followed Hyperlink" xfId="3229"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59" builtinId="9" hidden="1"/>
    <cellStyle name="Followed Hyperlink" xfId="4361" builtinId="9" hidden="1"/>
    <cellStyle name="Followed Hyperlink" xfId="4363" builtinId="9" hidden="1"/>
    <cellStyle name="Followed Hyperlink" xfId="4365" builtinId="9" hidden="1"/>
    <cellStyle name="Followed Hyperlink" xfId="4367" builtinId="9" hidden="1"/>
    <cellStyle name="Followed Hyperlink" xfId="4369" builtinId="9" hidden="1"/>
    <cellStyle name="Followed Hyperlink" xfId="4371" builtinId="9" hidden="1"/>
    <cellStyle name="Followed Hyperlink" xfId="4373" builtinId="9" hidden="1"/>
    <cellStyle name="Followed Hyperlink" xfId="4375" builtinId="9" hidden="1"/>
    <cellStyle name="Followed Hyperlink" xfId="4377" builtinId="9" hidden="1"/>
    <cellStyle name="Followed Hyperlink" xfId="4379" builtinId="9" hidden="1"/>
    <cellStyle name="Followed Hyperlink" xfId="4381" builtinId="9" hidden="1"/>
    <cellStyle name="Followed Hyperlink" xfId="4383" builtinId="9" hidden="1"/>
    <cellStyle name="Followed Hyperlink" xfId="4385" builtinId="9" hidden="1"/>
    <cellStyle name="Followed Hyperlink" xfId="4387" builtinId="9" hidden="1"/>
    <cellStyle name="Followed Hyperlink" xfId="4389" builtinId="9" hidden="1"/>
    <cellStyle name="Followed Hyperlink" xfId="4391" builtinId="9" hidden="1"/>
    <cellStyle name="Followed Hyperlink" xfId="4393" builtinId="9" hidden="1"/>
    <cellStyle name="Followed Hyperlink" xfId="4395" builtinId="9" hidden="1"/>
    <cellStyle name="Followed Hyperlink" xfId="4397" builtinId="9" hidden="1"/>
    <cellStyle name="Followed Hyperlink" xfId="4399" builtinId="9" hidden="1"/>
    <cellStyle name="Followed Hyperlink" xfId="4401" builtinId="9" hidden="1"/>
    <cellStyle name="Followed Hyperlink" xfId="4403" builtinId="9" hidden="1"/>
    <cellStyle name="Followed Hyperlink" xfId="4405" builtinId="9" hidden="1"/>
    <cellStyle name="Followed Hyperlink" xfId="4407" builtinId="9" hidden="1"/>
    <cellStyle name="Followed Hyperlink" xfId="4409" builtinId="9" hidden="1"/>
    <cellStyle name="Followed Hyperlink" xfId="4411" builtinId="9" hidden="1"/>
    <cellStyle name="Followed Hyperlink" xfId="4413" builtinId="9" hidden="1"/>
    <cellStyle name="Followed Hyperlink" xfId="4415" builtinId="9" hidden="1"/>
    <cellStyle name="Followed Hyperlink" xfId="4417" builtinId="9" hidden="1"/>
    <cellStyle name="Followed Hyperlink" xfId="4419" builtinId="9" hidden="1"/>
    <cellStyle name="Followed Hyperlink" xfId="4421" builtinId="9" hidden="1"/>
    <cellStyle name="Followed Hyperlink" xfId="4423" builtinId="9" hidden="1"/>
    <cellStyle name="Followed Hyperlink" xfId="4425" builtinId="9" hidden="1"/>
    <cellStyle name="Followed Hyperlink" xfId="4427" builtinId="9" hidden="1"/>
    <cellStyle name="Followed Hyperlink" xfId="4429" builtinId="9" hidden="1"/>
    <cellStyle name="Followed Hyperlink" xfId="4431" builtinId="9" hidden="1"/>
    <cellStyle name="Followed Hyperlink" xfId="4433" builtinId="9" hidden="1"/>
    <cellStyle name="Followed Hyperlink" xfId="4435" builtinId="9" hidden="1"/>
    <cellStyle name="Followed Hyperlink" xfId="4437" builtinId="9" hidden="1"/>
    <cellStyle name="Followed Hyperlink" xfId="4439" builtinId="9" hidden="1"/>
    <cellStyle name="Followed Hyperlink" xfId="4441" builtinId="9" hidden="1"/>
    <cellStyle name="Followed Hyperlink" xfId="4443" builtinId="9" hidden="1"/>
    <cellStyle name="Followed Hyperlink" xfId="4445" builtinId="9" hidden="1"/>
    <cellStyle name="Followed Hyperlink" xfId="4447" builtinId="9" hidden="1"/>
    <cellStyle name="Followed Hyperlink" xfId="4449" builtinId="9" hidden="1"/>
    <cellStyle name="Followed Hyperlink" xfId="4451" builtinId="9" hidden="1"/>
    <cellStyle name="Followed Hyperlink" xfId="4453" builtinId="9" hidden="1"/>
    <cellStyle name="Followed Hyperlink" xfId="4455" builtinId="9" hidden="1"/>
    <cellStyle name="Followed Hyperlink" xfId="4457" builtinId="9" hidden="1"/>
    <cellStyle name="Followed Hyperlink" xfId="4459" builtinId="9" hidden="1"/>
    <cellStyle name="Followed Hyperlink" xfId="4461" builtinId="9" hidden="1"/>
    <cellStyle name="Followed Hyperlink" xfId="4463" builtinId="9" hidden="1"/>
    <cellStyle name="Followed Hyperlink" xfId="4465" builtinId="9" hidden="1"/>
    <cellStyle name="Followed Hyperlink" xfId="4467" builtinId="9" hidden="1"/>
    <cellStyle name="Followed Hyperlink" xfId="4469" builtinId="9" hidden="1"/>
    <cellStyle name="Followed Hyperlink" xfId="4471" builtinId="9" hidden="1"/>
    <cellStyle name="Followed Hyperlink" xfId="4473" builtinId="9" hidden="1"/>
    <cellStyle name="Followed Hyperlink" xfId="4475" builtinId="9" hidden="1"/>
    <cellStyle name="Followed Hyperlink" xfId="4477" builtinId="9" hidden="1"/>
    <cellStyle name="Followed Hyperlink" xfId="4479" builtinId="9" hidden="1"/>
    <cellStyle name="Followed Hyperlink" xfId="4481" builtinId="9" hidden="1"/>
    <cellStyle name="Followed Hyperlink" xfId="4483" builtinId="9" hidden="1"/>
    <cellStyle name="Followed Hyperlink" xfId="4485" builtinId="9" hidden="1"/>
    <cellStyle name="Followed Hyperlink" xfId="4487" builtinId="9" hidden="1"/>
    <cellStyle name="Followed Hyperlink" xfId="4489" builtinId="9" hidden="1"/>
    <cellStyle name="Followed Hyperlink" xfId="4491" builtinId="9" hidden="1"/>
    <cellStyle name="Followed Hyperlink" xfId="4493" builtinId="9" hidden="1"/>
    <cellStyle name="Followed Hyperlink" xfId="4495" builtinId="9" hidden="1"/>
    <cellStyle name="Followed Hyperlink" xfId="4497" builtinId="9" hidden="1"/>
    <cellStyle name="Followed Hyperlink" xfId="4499" builtinId="9" hidden="1"/>
    <cellStyle name="Followed Hyperlink" xfId="4501" builtinId="9" hidden="1"/>
    <cellStyle name="Followed Hyperlink" xfId="4503" builtinId="9" hidden="1"/>
    <cellStyle name="Followed Hyperlink" xfId="4505" builtinId="9" hidden="1"/>
    <cellStyle name="Followed Hyperlink" xfId="4507" builtinId="9" hidden="1"/>
    <cellStyle name="Followed Hyperlink" xfId="4509" builtinId="9" hidden="1"/>
    <cellStyle name="Followed Hyperlink" xfId="4511" builtinId="9" hidden="1"/>
    <cellStyle name="Followed Hyperlink" xfId="4513" builtinId="9" hidden="1"/>
    <cellStyle name="Followed Hyperlink" xfId="4515" builtinId="9" hidden="1"/>
    <cellStyle name="Followed Hyperlink" xfId="4517" builtinId="9" hidden="1"/>
    <cellStyle name="Followed Hyperlink" xfId="4519" builtinId="9" hidden="1"/>
    <cellStyle name="Followed Hyperlink" xfId="4521" builtinId="9" hidden="1"/>
    <cellStyle name="Followed Hyperlink" xfId="4523" builtinId="9" hidden="1"/>
    <cellStyle name="Followed Hyperlink" xfId="4525" builtinId="9" hidden="1"/>
    <cellStyle name="Followed Hyperlink" xfId="4527" builtinId="9" hidden="1"/>
    <cellStyle name="Followed Hyperlink" xfId="4529" builtinId="9" hidden="1"/>
    <cellStyle name="Followed Hyperlink" xfId="4531" builtinId="9" hidden="1"/>
    <cellStyle name="Followed Hyperlink" xfId="4533" builtinId="9" hidden="1"/>
    <cellStyle name="Followed Hyperlink" xfId="4535" builtinId="9" hidden="1"/>
    <cellStyle name="Followed Hyperlink" xfId="4537" builtinId="9" hidden="1"/>
    <cellStyle name="Followed Hyperlink" xfId="4539" builtinId="9" hidden="1"/>
    <cellStyle name="Followed Hyperlink" xfId="4541" builtinId="9" hidden="1"/>
    <cellStyle name="Followed Hyperlink" xfId="4543" builtinId="9" hidden="1"/>
    <cellStyle name="Followed Hyperlink" xfId="4545" builtinId="9" hidden="1"/>
    <cellStyle name="Followed Hyperlink" xfId="4547" builtinId="9" hidden="1"/>
    <cellStyle name="Followed Hyperlink" xfId="4549" builtinId="9" hidden="1"/>
    <cellStyle name="Followed Hyperlink" xfId="4551" builtinId="9" hidden="1"/>
    <cellStyle name="Followed Hyperlink" xfId="4553" builtinId="9" hidden="1"/>
    <cellStyle name="Followed Hyperlink" xfId="4555" builtinId="9" hidden="1"/>
    <cellStyle name="Followed Hyperlink" xfId="4557" builtinId="9" hidden="1"/>
    <cellStyle name="Followed Hyperlink" xfId="4559" builtinId="9" hidden="1"/>
    <cellStyle name="Followed Hyperlink" xfId="4561" builtinId="9" hidden="1"/>
    <cellStyle name="Followed Hyperlink" xfId="4563" builtinId="9" hidden="1"/>
    <cellStyle name="Followed Hyperlink" xfId="4565" builtinId="9" hidden="1"/>
    <cellStyle name="Followed Hyperlink" xfId="4567" builtinId="9" hidden="1"/>
    <cellStyle name="Followed Hyperlink" xfId="4569" builtinId="9" hidden="1"/>
    <cellStyle name="Followed Hyperlink" xfId="4571" builtinId="9" hidden="1"/>
    <cellStyle name="Followed Hyperlink" xfId="4573" builtinId="9" hidden="1"/>
    <cellStyle name="Followed Hyperlink" xfId="4575" builtinId="9" hidden="1"/>
    <cellStyle name="Followed Hyperlink" xfId="4577" builtinId="9" hidden="1"/>
    <cellStyle name="Followed Hyperlink" xfId="4579" builtinId="9" hidden="1"/>
    <cellStyle name="Followed Hyperlink" xfId="4581" builtinId="9" hidden="1"/>
    <cellStyle name="Followed Hyperlink" xfId="4583" builtinId="9" hidden="1"/>
    <cellStyle name="Followed Hyperlink" xfId="4585" builtinId="9" hidden="1"/>
    <cellStyle name="Followed Hyperlink" xfId="4587" builtinId="9" hidden="1"/>
    <cellStyle name="Followed Hyperlink" xfId="4589" builtinId="9" hidden="1"/>
    <cellStyle name="Followed Hyperlink" xfId="4591" builtinId="9" hidden="1"/>
    <cellStyle name="Followed Hyperlink" xfId="4593" builtinId="9" hidden="1"/>
    <cellStyle name="Followed Hyperlink" xfId="4595" builtinId="9" hidden="1"/>
    <cellStyle name="Followed Hyperlink" xfId="4597" builtinId="9" hidden="1"/>
    <cellStyle name="Followed Hyperlink" xfId="4599" builtinId="9" hidden="1"/>
    <cellStyle name="Followed Hyperlink" xfId="4601" builtinId="9" hidden="1"/>
    <cellStyle name="Followed Hyperlink" xfId="4603" builtinId="9" hidden="1"/>
    <cellStyle name="Followed Hyperlink" xfId="4605" builtinId="9" hidden="1"/>
    <cellStyle name="Followed Hyperlink" xfId="4607" builtinId="9" hidden="1"/>
    <cellStyle name="Followed Hyperlink" xfId="4609" builtinId="9" hidden="1"/>
    <cellStyle name="Followed Hyperlink" xfId="4611" builtinId="9" hidden="1"/>
    <cellStyle name="Followed Hyperlink" xfId="4613" builtinId="9" hidden="1"/>
    <cellStyle name="Followed Hyperlink" xfId="4615" builtinId="9" hidden="1"/>
    <cellStyle name="Followed Hyperlink" xfId="4617" builtinId="9" hidden="1"/>
    <cellStyle name="Followed Hyperlink" xfId="4619" builtinId="9" hidden="1"/>
    <cellStyle name="Followed Hyperlink" xfId="4621" builtinId="9" hidden="1"/>
    <cellStyle name="Followed Hyperlink" xfId="4623" builtinId="9" hidden="1"/>
    <cellStyle name="Followed Hyperlink" xfId="4625" builtinId="9" hidden="1"/>
    <cellStyle name="Followed Hyperlink" xfId="4627" builtinId="9" hidden="1"/>
    <cellStyle name="Followed Hyperlink" xfId="4629" builtinId="9" hidden="1"/>
    <cellStyle name="Followed Hyperlink" xfId="4631" builtinId="9" hidden="1"/>
    <cellStyle name="Followed Hyperlink" xfId="4633" builtinId="9" hidden="1"/>
    <cellStyle name="Followed Hyperlink" xfId="4635" builtinId="9" hidden="1"/>
    <cellStyle name="Followed Hyperlink" xfId="4637" builtinId="9" hidden="1"/>
    <cellStyle name="Followed Hyperlink" xfId="4639" builtinId="9" hidden="1"/>
    <cellStyle name="Followed Hyperlink" xfId="4641" builtinId="9" hidden="1"/>
    <cellStyle name="Followed Hyperlink" xfId="4643" builtinId="9" hidden="1"/>
    <cellStyle name="Followed Hyperlink" xfId="4645" builtinId="9" hidden="1"/>
    <cellStyle name="Followed Hyperlink" xfId="4647" builtinId="9" hidden="1"/>
    <cellStyle name="Followed Hyperlink" xfId="4649" builtinId="9" hidden="1"/>
    <cellStyle name="Followed Hyperlink" xfId="4651" builtinId="9" hidden="1"/>
    <cellStyle name="Followed Hyperlink" xfId="4653" builtinId="9" hidden="1"/>
    <cellStyle name="Followed Hyperlink" xfId="4655" builtinId="9" hidden="1"/>
    <cellStyle name="Followed Hyperlink" xfId="4657" builtinId="9" hidden="1"/>
    <cellStyle name="Followed Hyperlink" xfId="4659" builtinId="9" hidden="1"/>
    <cellStyle name="Followed Hyperlink" xfId="4661" builtinId="9" hidden="1"/>
    <cellStyle name="Followed Hyperlink" xfId="4663" builtinId="9" hidden="1"/>
    <cellStyle name="Followed Hyperlink" xfId="4665" builtinId="9" hidden="1"/>
    <cellStyle name="Followed Hyperlink" xfId="4667" builtinId="9" hidden="1"/>
    <cellStyle name="Followed Hyperlink" xfId="4669" builtinId="9" hidden="1"/>
    <cellStyle name="Followed Hyperlink" xfId="4671" builtinId="9" hidden="1"/>
    <cellStyle name="Followed Hyperlink" xfId="4673" builtinId="9" hidden="1"/>
    <cellStyle name="Followed Hyperlink" xfId="4675" builtinId="9" hidden="1"/>
    <cellStyle name="Followed Hyperlink" xfId="4677" builtinId="9" hidden="1"/>
    <cellStyle name="Followed Hyperlink" xfId="4679" builtinId="9" hidden="1"/>
    <cellStyle name="Followed Hyperlink" xfId="4681" builtinId="9" hidden="1"/>
    <cellStyle name="Followed Hyperlink" xfId="4683" builtinId="9" hidden="1"/>
    <cellStyle name="Followed Hyperlink" xfId="4685" builtinId="9" hidden="1"/>
    <cellStyle name="Followed Hyperlink" xfId="4687" builtinId="9" hidden="1"/>
    <cellStyle name="Followed Hyperlink" xfId="4689" builtinId="9" hidden="1"/>
    <cellStyle name="Followed Hyperlink" xfId="4691" builtinId="9" hidden="1"/>
    <cellStyle name="Followed Hyperlink" xfId="4693" builtinId="9" hidden="1"/>
    <cellStyle name="Followed Hyperlink" xfId="4695" builtinId="9" hidden="1"/>
    <cellStyle name="Followed Hyperlink" xfId="4697" builtinId="9" hidden="1"/>
    <cellStyle name="Followed Hyperlink" xfId="4699" builtinId="9" hidden="1"/>
    <cellStyle name="Followed Hyperlink" xfId="4701" builtinId="9" hidden="1"/>
    <cellStyle name="Followed Hyperlink" xfId="4703" builtinId="9" hidden="1"/>
    <cellStyle name="Followed Hyperlink" xfId="4705" builtinId="9" hidden="1"/>
    <cellStyle name="Followed Hyperlink" xfId="4707" builtinId="9" hidden="1"/>
    <cellStyle name="Followed Hyperlink" xfId="4709" builtinId="9" hidden="1"/>
    <cellStyle name="Followed Hyperlink" xfId="4711" builtinId="9" hidden="1"/>
    <cellStyle name="Followed Hyperlink" xfId="4713" builtinId="9" hidden="1"/>
    <cellStyle name="Followed Hyperlink" xfId="4715" builtinId="9" hidden="1"/>
    <cellStyle name="Followed Hyperlink" xfId="4717" builtinId="9" hidden="1"/>
    <cellStyle name="Followed Hyperlink" xfId="4719" builtinId="9" hidden="1"/>
    <cellStyle name="Followed Hyperlink" xfId="4721" builtinId="9" hidden="1"/>
    <cellStyle name="Followed Hyperlink" xfId="4723" builtinId="9" hidden="1"/>
    <cellStyle name="Followed Hyperlink" xfId="4725" builtinId="9" hidden="1"/>
    <cellStyle name="Followed Hyperlink" xfId="4727" builtinId="9" hidden="1"/>
    <cellStyle name="Followed Hyperlink" xfId="4729" builtinId="9" hidden="1"/>
    <cellStyle name="Followed Hyperlink" xfId="4731" builtinId="9" hidden="1"/>
    <cellStyle name="Followed Hyperlink" xfId="4733" builtinId="9" hidden="1"/>
    <cellStyle name="Followed Hyperlink" xfId="4735" builtinId="9" hidden="1"/>
    <cellStyle name="Followed Hyperlink" xfId="4737" builtinId="9" hidden="1"/>
    <cellStyle name="Followed Hyperlink" xfId="4739" builtinId="9" hidden="1"/>
    <cellStyle name="Followed Hyperlink" xfId="4741" builtinId="9" hidden="1"/>
    <cellStyle name="Followed Hyperlink" xfId="4743" builtinId="9" hidden="1"/>
    <cellStyle name="Followed Hyperlink" xfId="4745" builtinId="9" hidden="1"/>
    <cellStyle name="Followed Hyperlink" xfId="4747" builtinId="9" hidden="1"/>
    <cellStyle name="Followed Hyperlink" xfId="4749" builtinId="9" hidden="1"/>
    <cellStyle name="Followed Hyperlink" xfId="4751" builtinId="9" hidden="1"/>
    <cellStyle name="Followed Hyperlink" xfId="4753" builtinId="9" hidden="1"/>
    <cellStyle name="Followed Hyperlink" xfId="4755" builtinId="9" hidden="1"/>
    <cellStyle name="Followed Hyperlink" xfId="4757" builtinId="9" hidden="1"/>
    <cellStyle name="Followed Hyperlink" xfId="4759" builtinId="9" hidden="1"/>
    <cellStyle name="Followed Hyperlink" xfId="4761" builtinId="9" hidden="1"/>
    <cellStyle name="Followed Hyperlink" xfId="4763" builtinId="9" hidden="1"/>
    <cellStyle name="Followed Hyperlink" xfId="4765" builtinId="9" hidden="1"/>
    <cellStyle name="Followed Hyperlink" xfId="4767" builtinId="9" hidden="1"/>
    <cellStyle name="Followed Hyperlink" xfId="4769" builtinId="9" hidden="1"/>
    <cellStyle name="Followed Hyperlink" xfId="4771" builtinId="9" hidden="1"/>
    <cellStyle name="Followed Hyperlink" xfId="4773" builtinId="9" hidden="1"/>
    <cellStyle name="Followed Hyperlink" xfId="4775" builtinId="9" hidden="1"/>
    <cellStyle name="Followed Hyperlink" xfId="4777" builtinId="9" hidden="1"/>
    <cellStyle name="Followed Hyperlink" xfId="4779" builtinId="9" hidden="1"/>
    <cellStyle name="Followed Hyperlink" xfId="4781" builtinId="9" hidden="1"/>
    <cellStyle name="Followed Hyperlink" xfId="4783" builtinId="9" hidden="1"/>
    <cellStyle name="Followed Hyperlink" xfId="4785" builtinId="9" hidden="1"/>
    <cellStyle name="Followed Hyperlink" xfId="4787" builtinId="9" hidden="1"/>
    <cellStyle name="Followed Hyperlink" xfId="4789" builtinId="9" hidden="1"/>
    <cellStyle name="Followed Hyperlink" xfId="4791" builtinId="9" hidden="1"/>
    <cellStyle name="Followed Hyperlink" xfId="4793" builtinId="9" hidden="1"/>
    <cellStyle name="Followed Hyperlink" xfId="4795" builtinId="9" hidden="1"/>
    <cellStyle name="Followed Hyperlink" xfId="4797" builtinId="9" hidden="1"/>
    <cellStyle name="Followed Hyperlink" xfId="4799" builtinId="9" hidden="1"/>
    <cellStyle name="Followed Hyperlink" xfId="4801" builtinId="9" hidden="1"/>
    <cellStyle name="Followed Hyperlink" xfId="4803" builtinId="9" hidden="1"/>
    <cellStyle name="Followed Hyperlink" xfId="4805" builtinId="9" hidden="1"/>
    <cellStyle name="Followed Hyperlink" xfId="4807" builtinId="9" hidden="1"/>
    <cellStyle name="Followed Hyperlink" xfId="4809" builtinId="9" hidden="1"/>
    <cellStyle name="Followed Hyperlink" xfId="4811" builtinId="9" hidden="1"/>
    <cellStyle name="Followed Hyperlink" xfId="4813" builtinId="9" hidden="1"/>
    <cellStyle name="Followed Hyperlink" xfId="4815" builtinId="9" hidden="1"/>
    <cellStyle name="Followed Hyperlink" xfId="4817" builtinId="9" hidden="1"/>
    <cellStyle name="Followed Hyperlink" xfId="4819" builtinId="9" hidden="1"/>
    <cellStyle name="Followed Hyperlink" xfId="4821" builtinId="9" hidden="1"/>
    <cellStyle name="Followed Hyperlink" xfId="4823" builtinId="9" hidden="1"/>
    <cellStyle name="Followed Hyperlink" xfId="4825" builtinId="9" hidden="1"/>
    <cellStyle name="Followed Hyperlink" xfId="4827" builtinId="9" hidden="1"/>
    <cellStyle name="Followed Hyperlink" xfId="4829" builtinId="9" hidden="1"/>
    <cellStyle name="Followed Hyperlink" xfId="4831" builtinId="9" hidden="1"/>
    <cellStyle name="Followed Hyperlink" xfId="4833" builtinId="9" hidden="1"/>
    <cellStyle name="Followed Hyperlink" xfId="4835" builtinId="9" hidden="1"/>
    <cellStyle name="Followed Hyperlink" xfId="4837" builtinId="9" hidden="1"/>
    <cellStyle name="Followed Hyperlink" xfId="4839" builtinId="9" hidden="1"/>
    <cellStyle name="Followed Hyperlink" xfId="4841" builtinId="9" hidden="1"/>
    <cellStyle name="Followed Hyperlink" xfId="4843" builtinId="9" hidden="1"/>
    <cellStyle name="Followed Hyperlink" xfId="4845" builtinId="9" hidden="1"/>
    <cellStyle name="Followed Hyperlink" xfId="4847" builtinId="9" hidden="1"/>
    <cellStyle name="Followed Hyperlink" xfId="4849" builtinId="9" hidden="1"/>
    <cellStyle name="Followed Hyperlink" xfId="4851" builtinId="9" hidden="1"/>
    <cellStyle name="Followed Hyperlink" xfId="4853" builtinId="9" hidden="1"/>
    <cellStyle name="Followed Hyperlink" xfId="4855" builtinId="9" hidden="1"/>
    <cellStyle name="Followed Hyperlink" xfId="4857" builtinId="9" hidden="1"/>
    <cellStyle name="Followed Hyperlink" xfId="4859" builtinId="9" hidden="1"/>
    <cellStyle name="Followed Hyperlink" xfId="4861" builtinId="9" hidden="1"/>
    <cellStyle name="Followed Hyperlink" xfId="4863" builtinId="9" hidden="1"/>
    <cellStyle name="Followed Hyperlink" xfId="4865" builtinId="9" hidden="1"/>
    <cellStyle name="Followed Hyperlink" xfId="4867" builtinId="9" hidden="1"/>
    <cellStyle name="Followed Hyperlink" xfId="4869" builtinId="9" hidden="1"/>
    <cellStyle name="Followed Hyperlink" xfId="4871" builtinId="9" hidden="1"/>
    <cellStyle name="Followed Hyperlink" xfId="4873" builtinId="9" hidden="1"/>
    <cellStyle name="Followed Hyperlink" xfId="4875" builtinId="9" hidden="1"/>
    <cellStyle name="Followed Hyperlink" xfId="4877" builtinId="9" hidden="1"/>
    <cellStyle name="Followed Hyperlink" xfId="4879" builtinId="9" hidden="1"/>
    <cellStyle name="Followed Hyperlink" xfId="4881" builtinId="9" hidden="1"/>
    <cellStyle name="Followed Hyperlink" xfId="4883" builtinId="9" hidden="1"/>
    <cellStyle name="Followed Hyperlink" xfId="4885" builtinId="9" hidden="1"/>
    <cellStyle name="Followed Hyperlink" xfId="4887" builtinId="9" hidden="1"/>
    <cellStyle name="Followed Hyperlink" xfId="4889" builtinId="9" hidden="1"/>
    <cellStyle name="Followed Hyperlink" xfId="4891" builtinId="9" hidden="1"/>
    <cellStyle name="Followed Hyperlink" xfId="4893" builtinId="9" hidden="1"/>
    <cellStyle name="Followed Hyperlink" xfId="4895" builtinId="9" hidden="1"/>
    <cellStyle name="Followed Hyperlink" xfId="4897" builtinId="9" hidden="1"/>
    <cellStyle name="Followed Hyperlink" xfId="4899" builtinId="9" hidden="1"/>
    <cellStyle name="Followed Hyperlink" xfId="4901" builtinId="9" hidden="1"/>
    <cellStyle name="Followed Hyperlink" xfId="4903" builtinId="9" hidden="1"/>
    <cellStyle name="Followed Hyperlink" xfId="4905" builtinId="9" hidden="1"/>
    <cellStyle name="Followed Hyperlink" xfId="4907" builtinId="9" hidden="1"/>
    <cellStyle name="Followed Hyperlink" xfId="4909" builtinId="9" hidden="1"/>
    <cellStyle name="Followed Hyperlink" xfId="4911" builtinId="9" hidden="1"/>
    <cellStyle name="Followed Hyperlink" xfId="4913" builtinId="9" hidden="1"/>
    <cellStyle name="Followed Hyperlink" xfId="4915" builtinId="9" hidden="1"/>
    <cellStyle name="Followed Hyperlink" xfId="4917" builtinId="9" hidden="1"/>
    <cellStyle name="Followed Hyperlink" xfId="4919" builtinId="9" hidden="1"/>
    <cellStyle name="Followed Hyperlink" xfId="4921" builtinId="9" hidden="1"/>
    <cellStyle name="Followed Hyperlink" xfId="4923" builtinId="9" hidden="1"/>
    <cellStyle name="Followed Hyperlink" xfId="4925" builtinId="9" hidden="1"/>
    <cellStyle name="Followed Hyperlink" xfId="4927" builtinId="9" hidden="1"/>
    <cellStyle name="Followed Hyperlink" xfId="4929" builtinId="9" hidden="1"/>
    <cellStyle name="Followed Hyperlink" xfId="4931" builtinId="9" hidden="1"/>
    <cellStyle name="Followed Hyperlink" xfId="4933" builtinId="9" hidden="1"/>
    <cellStyle name="Followed Hyperlink" xfId="4935" builtinId="9" hidden="1"/>
    <cellStyle name="Followed Hyperlink" xfId="4937" builtinId="9" hidden="1"/>
    <cellStyle name="Followed Hyperlink" xfId="4939" builtinId="9" hidden="1"/>
    <cellStyle name="Followed Hyperlink" xfId="4941" builtinId="9" hidden="1"/>
    <cellStyle name="Followed Hyperlink" xfId="4943" builtinId="9" hidden="1"/>
    <cellStyle name="Followed Hyperlink" xfId="4945" builtinId="9" hidden="1"/>
    <cellStyle name="Followed Hyperlink" xfId="4947" builtinId="9" hidden="1"/>
    <cellStyle name="Followed Hyperlink" xfId="4949" builtinId="9" hidden="1"/>
    <cellStyle name="Followed Hyperlink" xfId="4951" builtinId="9" hidden="1"/>
    <cellStyle name="Followed Hyperlink" xfId="4953" builtinId="9" hidden="1"/>
    <cellStyle name="Followed Hyperlink" xfId="4955" builtinId="9" hidden="1"/>
    <cellStyle name="Followed Hyperlink" xfId="4957" builtinId="9" hidden="1"/>
    <cellStyle name="Followed Hyperlink" xfId="4959" builtinId="9" hidden="1"/>
    <cellStyle name="Followed Hyperlink" xfId="4961" builtinId="9" hidden="1"/>
    <cellStyle name="Followed Hyperlink" xfId="4963" builtinId="9" hidden="1"/>
    <cellStyle name="Followed Hyperlink" xfId="4965" builtinId="9" hidden="1"/>
    <cellStyle name="Followed Hyperlink" xfId="4967" builtinId="9" hidden="1"/>
    <cellStyle name="Followed Hyperlink" xfId="4969" builtinId="9" hidden="1"/>
    <cellStyle name="Followed Hyperlink" xfId="4971" builtinId="9" hidden="1"/>
    <cellStyle name="Followed Hyperlink" xfId="4973" builtinId="9" hidden="1"/>
    <cellStyle name="Followed Hyperlink" xfId="4975" builtinId="9" hidden="1"/>
    <cellStyle name="Followed Hyperlink" xfId="4977" builtinId="9" hidden="1"/>
    <cellStyle name="Followed Hyperlink" xfId="4979" builtinId="9" hidden="1"/>
    <cellStyle name="Followed Hyperlink" xfId="4981" builtinId="9" hidden="1"/>
    <cellStyle name="Followed Hyperlink" xfId="4983" builtinId="9" hidden="1"/>
    <cellStyle name="Followed Hyperlink" xfId="4985" builtinId="9" hidden="1"/>
    <cellStyle name="Followed Hyperlink" xfId="4987" builtinId="9" hidden="1"/>
    <cellStyle name="Followed Hyperlink" xfId="4989" builtinId="9" hidden="1"/>
    <cellStyle name="Followed Hyperlink" xfId="4991" builtinId="9" hidden="1"/>
    <cellStyle name="Followed Hyperlink" xfId="4993" builtinId="9" hidden="1"/>
    <cellStyle name="Followed Hyperlink" xfId="4995" builtinId="9" hidden="1"/>
    <cellStyle name="Followed Hyperlink" xfId="4997" builtinId="9" hidden="1"/>
    <cellStyle name="Followed Hyperlink" xfId="4999" builtinId="9" hidden="1"/>
    <cellStyle name="Followed Hyperlink" xfId="5001" builtinId="9" hidden="1"/>
    <cellStyle name="Followed Hyperlink" xfId="5003" builtinId="9" hidden="1"/>
    <cellStyle name="Followed Hyperlink" xfId="5005" builtinId="9" hidden="1"/>
    <cellStyle name="Followed Hyperlink" xfId="5007" builtinId="9" hidden="1"/>
    <cellStyle name="Followed Hyperlink" xfId="5009" builtinId="9" hidden="1"/>
    <cellStyle name="Followed Hyperlink" xfId="5011" builtinId="9" hidden="1"/>
    <cellStyle name="Followed Hyperlink" xfId="5013" builtinId="9" hidden="1"/>
    <cellStyle name="Followed Hyperlink" xfId="5015" builtinId="9" hidden="1"/>
    <cellStyle name="Followed Hyperlink" xfId="5017" builtinId="9" hidden="1"/>
    <cellStyle name="Followed Hyperlink" xfId="5019" builtinId="9" hidden="1"/>
    <cellStyle name="Followed Hyperlink" xfId="5021" builtinId="9" hidden="1"/>
    <cellStyle name="Followed Hyperlink" xfId="5023" builtinId="9" hidden="1"/>
    <cellStyle name="Followed Hyperlink" xfId="5025" builtinId="9" hidden="1"/>
    <cellStyle name="Followed Hyperlink" xfId="5027" builtinId="9" hidden="1"/>
    <cellStyle name="Followed Hyperlink" xfId="5029" builtinId="9" hidden="1"/>
    <cellStyle name="Followed Hyperlink" xfId="5031" builtinId="9" hidden="1"/>
    <cellStyle name="Followed Hyperlink" xfId="5033" builtinId="9" hidden="1"/>
    <cellStyle name="Followed Hyperlink" xfId="5035" builtinId="9" hidden="1"/>
    <cellStyle name="Followed Hyperlink" xfId="5037" builtinId="9" hidden="1"/>
    <cellStyle name="Followed Hyperlink" xfId="5039" builtinId="9" hidden="1"/>
    <cellStyle name="Followed Hyperlink" xfId="5041" builtinId="9" hidden="1"/>
    <cellStyle name="Followed Hyperlink" xfId="5043" builtinId="9" hidden="1"/>
    <cellStyle name="Followed Hyperlink" xfId="5045" builtinId="9" hidden="1"/>
    <cellStyle name="Followed Hyperlink" xfId="5047" builtinId="9" hidden="1"/>
    <cellStyle name="Followed Hyperlink" xfId="5049" builtinId="9" hidden="1"/>
    <cellStyle name="Followed Hyperlink" xfId="5051" builtinId="9" hidden="1"/>
    <cellStyle name="Followed Hyperlink" xfId="5053" builtinId="9" hidden="1"/>
    <cellStyle name="Followed Hyperlink" xfId="5055" builtinId="9" hidden="1"/>
    <cellStyle name="Followed Hyperlink" xfId="5057" builtinId="9" hidden="1"/>
    <cellStyle name="Followed Hyperlink" xfId="5059" builtinId="9" hidden="1"/>
    <cellStyle name="Followed Hyperlink" xfId="5061" builtinId="9" hidden="1"/>
    <cellStyle name="Followed Hyperlink" xfId="5063" builtinId="9" hidden="1"/>
    <cellStyle name="Followed Hyperlink" xfId="5065" builtinId="9" hidden="1"/>
    <cellStyle name="Followed Hyperlink" xfId="5067" builtinId="9" hidden="1"/>
    <cellStyle name="Followed Hyperlink" xfId="5069" builtinId="9" hidden="1"/>
    <cellStyle name="Followed Hyperlink" xfId="5071" builtinId="9" hidden="1"/>
    <cellStyle name="Followed Hyperlink" xfId="5073" builtinId="9" hidden="1"/>
    <cellStyle name="Followed Hyperlink" xfId="5075" builtinId="9" hidden="1"/>
    <cellStyle name="Followed Hyperlink" xfId="5077" builtinId="9" hidden="1"/>
    <cellStyle name="Followed Hyperlink" xfId="5079" builtinId="9" hidden="1"/>
    <cellStyle name="Followed Hyperlink" xfId="5081" builtinId="9" hidden="1"/>
    <cellStyle name="Followed Hyperlink" xfId="5083" builtinId="9" hidden="1"/>
    <cellStyle name="Followed Hyperlink" xfId="5085" builtinId="9" hidden="1"/>
    <cellStyle name="Followed Hyperlink" xfId="5087" builtinId="9" hidden="1"/>
    <cellStyle name="Followed Hyperlink" xfId="5089" builtinId="9" hidden="1"/>
    <cellStyle name="Followed Hyperlink" xfId="5091" builtinId="9" hidden="1"/>
    <cellStyle name="Followed Hyperlink" xfId="5093" builtinId="9" hidden="1"/>
    <cellStyle name="Followed Hyperlink" xfId="5095" builtinId="9" hidden="1"/>
    <cellStyle name="Followed Hyperlink" xfId="5097" builtinId="9" hidden="1"/>
    <cellStyle name="Followed Hyperlink" xfId="5099" builtinId="9" hidden="1"/>
    <cellStyle name="Followed Hyperlink" xfId="5101" builtinId="9" hidden="1"/>
    <cellStyle name="Followed Hyperlink" xfId="5103" builtinId="9" hidden="1"/>
    <cellStyle name="Followed Hyperlink" xfId="5105" builtinId="9" hidden="1"/>
    <cellStyle name="Followed Hyperlink" xfId="5107" builtinId="9" hidden="1"/>
    <cellStyle name="Followed Hyperlink" xfId="5109" builtinId="9" hidden="1"/>
    <cellStyle name="Followed Hyperlink" xfId="5111" builtinId="9" hidden="1"/>
    <cellStyle name="Followed Hyperlink" xfId="5113" builtinId="9" hidden="1"/>
    <cellStyle name="Followed Hyperlink" xfId="5115" builtinId="9" hidden="1"/>
    <cellStyle name="Followed Hyperlink" xfId="5117" builtinId="9" hidden="1"/>
    <cellStyle name="Followed Hyperlink" xfId="5119" builtinId="9" hidden="1"/>
    <cellStyle name="Followed Hyperlink" xfId="5121" builtinId="9" hidden="1"/>
    <cellStyle name="Followed Hyperlink" xfId="5123" builtinId="9" hidden="1"/>
    <cellStyle name="Followed Hyperlink" xfId="5125" builtinId="9" hidden="1"/>
    <cellStyle name="Followed Hyperlink" xfId="5127" builtinId="9" hidden="1"/>
    <cellStyle name="Followed Hyperlink" xfId="5129" builtinId="9" hidden="1"/>
    <cellStyle name="Followed Hyperlink" xfId="5131" builtinId="9" hidden="1"/>
    <cellStyle name="Followed Hyperlink" xfId="5133" builtinId="9" hidden="1"/>
    <cellStyle name="Followed Hyperlink" xfId="5135" builtinId="9" hidden="1"/>
    <cellStyle name="Followed Hyperlink" xfId="5137" builtinId="9" hidden="1"/>
    <cellStyle name="Followed Hyperlink" xfId="5139" builtinId="9" hidden="1"/>
    <cellStyle name="Followed Hyperlink" xfId="5141" builtinId="9" hidden="1"/>
    <cellStyle name="Followed Hyperlink" xfId="5143" builtinId="9" hidden="1"/>
    <cellStyle name="Followed Hyperlink" xfId="5145" builtinId="9" hidden="1"/>
    <cellStyle name="Followed Hyperlink" xfId="5147" builtinId="9" hidden="1"/>
    <cellStyle name="Followed Hyperlink" xfId="5149" builtinId="9" hidden="1"/>
    <cellStyle name="Followed Hyperlink" xfId="5151" builtinId="9" hidden="1"/>
    <cellStyle name="Followed Hyperlink" xfId="5153" builtinId="9" hidden="1"/>
    <cellStyle name="Followed Hyperlink" xfId="5155" builtinId="9" hidden="1"/>
    <cellStyle name="Followed Hyperlink" xfId="5157" builtinId="9" hidden="1"/>
    <cellStyle name="Followed Hyperlink" xfId="5159" builtinId="9" hidden="1"/>
    <cellStyle name="Followed Hyperlink" xfId="5161" builtinId="9" hidden="1"/>
    <cellStyle name="Followed Hyperlink" xfId="5163" builtinId="9" hidden="1"/>
    <cellStyle name="Followed Hyperlink" xfId="5165" builtinId="9" hidden="1"/>
    <cellStyle name="Followed Hyperlink" xfId="5167" builtinId="9" hidden="1"/>
    <cellStyle name="Followed Hyperlink" xfId="5169" builtinId="9" hidden="1"/>
    <cellStyle name="Followed Hyperlink" xfId="5171" builtinId="9" hidden="1"/>
    <cellStyle name="Followed Hyperlink" xfId="5173" builtinId="9" hidden="1"/>
    <cellStyle name="Followed Hyperlink" xfId="5175" builtinId="9" hidden="1"/>
    <cellStyle name="Followed Hyperlink" xfId="5177" builtinId="9" hidden="1"/>
    <cellStyle name="Followed Hyperlink" xfId="5179" builtinId="9" hidden="1"/>
    <cellStyle name="Followed Hyperlink" xfId="5181" builtinId="9" hidden="1"/>
    <cellStyle name="Followed Hyperlink" xfId="5183" builtinId="9" hidden="1"/>
    <cellStyle name="Followed Hyperlink" xfId="5185" builtinId="9" hidden="1"/>
    <cellStyle name="Followed Hyperlink" xfId="5187" builtinId="9" hidden="1"/>
    <cellStyle name="Followed Hyperlink" xfId="5189" builtinId="9" hidden="1"/>
    <cellStyle name="Followed Hyperlink" xfId="5191" builtinId="9" hidden="1"/>
    <cellStyle name="Followed Hyperlink" xfId="5193" builtinId="9" hidden="1"/>
    <cellStyle name="Followed Hyperlink" xfId="5195" builtinId="9" hidden="1"/>
    <cellStyle name="Followed Hyperlink" xfId="5197" builtinId="9" hidden="1"/>
    <cellStyle name="Followed Hyperlink" xfId="5199" builtinId="9" hidden="1"/>
    <cellStyle name="Followed Hyperlink" xfId="5201" builtinId="9" hidden="1"/>
    <cellStyle name="Followed Hyperlink" xfId="5203" builtinId="9" hidden="1"/>
    <cellStyle name="Followed Hyperlink" xfId="5205" builtinId="9" hidden="1"/>
    <cellStyle name="Followed Hyperlink" xfId="5207" builtinId="9" hidden="1"/>
    <cellStyle name="Followed Hyperlink" xfId="5209" builtinId="9" hidden="1"/>
    <cellStyle name="Followed Hyperlink" xfId="5211" builtinId="9" hidden="1"/>
    <cellStyle name="Followed Hyperlink" xfId="5213" builtinId="9" hidden="1"/>
    <cellStyle name="Followed Hyperlink" xfId="5215" builtinId="9" hidden="1"/>
    <cellStyle name="Followed Hyperlink" xfId="5217" builtinId="9" hidden="1"/>
    <cellStyle name="Followed Hyperlink" xfId="5219" builtinId="9" hidden="1"/>
    <cellStyle name="Followed Hyperlink" xfId="5221" builtinId="9" hidden="1"/>
    <cellStyle name="Followed Hyperlink" xfId="5223" builtinId="9" hidden="1"/>
    <cellStyle name="Followed Hyperlink" xfId="5225" builtinId="9" hidden="1"/>
    <cellStyle name="Followed Hyperlink" xfId="5227" builtinId="9" hidden="1"/>
    <cellStyle name="Followed Hyperlink" xfId="5229" builtinId="9" hidden="1"/>
    <cellStyle name="Followed Hyperlink" xfId="5231" builtinId="9" hidden="1"/>
    <cellStyle name="Followed Hyperlink" xfId="5233" builtinId="9" hidden="1"/>
    <cellStyle name="Followed Hyperlink" xfId="5235" builtinId="9" hidden="1"/>
    <cellStyle name="Followed Hyperlink" xfId="5237" builtinId="9" hidden="1"/>
    <cellStyle name="Followed Hyperlink" xfId="5239" builtinId="9" hidden="1"/>
    <cellStyle name="Followed Hyperlink" xfId="5241" builtinId="9" hidden="1"/>
    <cellStyle name="Followed Hyperlink" xfId="5243" builtinId="9" hidden="1"/>
    <cellStyle name="Followed Hyperlink" xfId="5245" builtinId="9" hidden="1"/>
    <cellStyle name="Followed Hyperlink" xfId="5247" builtinId="9" hidden="1"/>
    <cellStyle name="Followed Hyperlink" xfId="5249" builtinId="9" hidden="1"/>
    <cellStyle name="Followed Hyperlink" xfId="5251" builtinId="9" hidden="1"/>
    <cellStyle name="Followed Hyperlink" xfId="5253" builtinId="9" hidden="1"/>
    <cellStyle name="Followed Hyperlink" xfId="5255" builtinId="9" hidden="1"/>
    <cellStyle name="Followed Hyperlink" xfId="5257" builtinId="9" hidden="1"/>
    <cellStyle name="Followed Hyperlink" xfId="5259" builtinId="9" hidden="1"/>
    <cellStyle name="Followed Hyperlink" xfId="5261" builtinId="9" hidden="1"/>
    <cellStyle name="Followed Hyperlink" xfId="5263" builtinId="9" hidden="1"/>
    <cellStyle name="Followed Hyperlink" xfId="5265" builtinId="9" hidden="1"/>
    <cellStyle name="Followed Hyperlink" xfId="5267" builtinId="9" hidden="1"/>
    <cellStyle name="Followed Hyperlink" xfId="5269" builtinId="9" hidden="1"/>
    <cellStyle name="Followed Hyperlink" xfId="5271" builtinId="9" hidden="1"/>
    <cellStyle name="Followed Hyperlink" xfId="5273" builtinId="9" hidden="1"/>
    <cellStyle name="Followed Hyperlink" xfId="5275" builtinId="9" hidden="1"/>
    <cellStyle name="Followed Hyperlink" xfId="5277" builtinId="9" hidden="1"/>
    <cellStyle name="Followed Hyperlink" xfId="5279" builtinId="9" hidden="1"/>
    <cellStyle name="Followed Hyperlink" xfId="5281" builtinId="9" hidden="1"/>
    <cellStyle name="Followed Hyperlink" xfId="5283" builtinId="9" hidden="1"/>
    <cellStyle name="Followed Hyperlink" xfId="5285" builtinId="9" hidden="1"/>
    <cellStyle name="Followed Hyperlink" xfId="5287" builtinId="9" hidden="1"/>
    <cellStyle name="Followed Hyperlink" xfId="5289" builtinId="9" hidden="1"/>
    <cellStyle name="Followed Hyperlink" xfId="5291" builtinId="9" hidden="1"/>
    <cellStyle name="Followed Hyperlink" xfId="5293" builtinId="9" hidden="1"/>
    <cellStyle name="Followed Hyperlink" xfId="5295" builtinId="9" hidden="1"/>
    <cellStyle name="Followed Hyperlink" xfId="5297" builtinId="9" hidden="1"/>
    <cellStyle name="Followed Hyperlink" xfId="5299" builtinId="9" hidden="1"/>
    <cellStyle name="Followed Hyperlink" xfId="5301" builtinId="9" hidden="1"/>
    <cellStyle name="Followed Hyperlink" xfId="5303" builtinId="9" hidden="1"/>
    <cellStyle name="Followed Hyperlink" xfId="5305" builtinId="9" hidden="1"/>
    <cellStyle name="Followed Hyperlink" xfId="5307" builtinId="9" hidden="1"/>
    <cellStyle name="Followed Hyperlink" xfId="5309" builtinId="9" hidden="1"/>
    <cellStyle name="Followed Hyperlink" xfId="5311" builtinId="9" hidden="1"/>
    <cellStyle name="Followed Hyperlink" xfId="5313" builtinId="9" hidden="1"/>
    <cellStyle name="Followed Hyperlink" xfId="5315" builtinId="9" hidden="1"/>
    <cellStyle name="Followed Hyperlink" xfId="5317" builtinId="9" hidden="1"/>
    <cellStyle name="Followed Hyperlink" xfId="5319" builtinId="9" hidden="1"/>
    <cellStyle name="Followed Hyperlink" xfId="5321" builtinId="9" hidden="1"/>
    <cellStyle name="Followed Hyperlink" xfId="5323" builtinId="9" hidden="1"/>
    <cellStyle name="Followed Hyperlink" xfId="5325" builtinId="9" hidden="1"/>
    <cellStyle name="Followed Hyperlink" xfId="5327" builtinId="9" hidden="1"/>
    <cellStyle name="Followed Hyperlink" xfId="5329" builtinId="9" hidden="1"/>
    <cellStyle name="Followed Hyperlink" xfId="5331" builtinId="9" hidden="1"/>
    <cellStyle name="Followed Hyperlink" xfId="5333" builtinId="9" hidden="1"/>
    <cellStyle name="Followed Hyperlink" xfId="5335" builtinId="9" hidden="1"/>
    <cellStyle name="Followed Hyperlink" xfId="5337" builtinId="9" hidden="1"/>
    <cellStyle name="Followed Hyperlink" xfId="5339" builtinId="9" hidden="1"/>
    <cellStyle name="Followed Hyperlink" xfId="5341" builtinId="9" hidden="1"/>
    <cellStyle name="Followed Hyperlink" xfId="5343" builtinId="9" hidden="1"/>
    <cellStyle name="Followed Hyperlink" xfId="5345" builtinId="9" hidden="1"/>
    <cellStyle name="Followed Hyperlink" xfId="5347" builtinId="9" hidden="1"/>
    <cellStyle name="Followed Hyperlink" xfId="5349" builtinId="9" hidden="1"/>
    <cellStyle name="Followed Hyperlink" xfId="5351"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7"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3"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9"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3" builtinId="9" hidden="1"/>
    <cellStyle name="Followed Hyperlink" xfId="5495" builtinId="9" hidden="1"/>
    <cellStyle name="Followed Hyperlink" xfId="5497" builtinId="9" hidden="1"/>
    <cellStyle name="Followed Hyperlink" xfId="5499" builtinId="9" hidden="1"/>
    <cellStyle name="Followed Hyperlink" xfId="5501" builtinId="9" hidden="1"/>
    <cellStyle name="Followed Hyperlink" xfId="5503" builtinId="9" hidden="1"/>
    <cellStyle name="Followed Hyperlink" xfId="5505" builtinId="9" hidden="1"/>
    <cellStyle name="Followed Hyperlink" xfId="5507" builtinId="9" hidden="1"/>
    <cellStyle name="Followed Hyperlink" xfId="5509" builtinId="9" hidden="1"/>
    <cellStyle name="Followed Hyperlink" xfId="5511" builtinId="9" hidden="1"/>
    <cellStyle name="Followed Hyperlink" xfId="5513" builtinId="9" hidden="1"/>
    <cellStyle name="Followed Hyperlink" xfId="5515" builtinId="9" hidden="1"/>
    <cellStyle name="Followed Hyperlink" xfId="5517" builtinId="9" hidden="1"/>
    <cellStyle name="Followed Hyperlink" xfId="5519" builtinId="9" hidden="1"/>
    <cellStyle name="Followed Hyperlink" xfId="5521" builtinId="9" hidden="1"/>
    <cellStyle name="Followed Hyperlink" xfId="5523" builtinId="9" hidden="1"/>
    <cellStyle name="Followed Hyperlink" xfId="5525" builtinId="9" hidden="1"/>
    <cellStyle name="Followed Hyperlink" xfId="5527" builtinId="9" hidden="1"/>
    <cellStyle name="Followed Hyperlink" xfId="5529" builtinId="9" hidden="1"/>
    <cellStyle name="Followed Hyperlink" xfId="5531" builtinId="9" hidden="1"/>
    <cellStyle name="Followed Hyperlink" xfId="5533" builtinId="9" hidden="1"/>
    <cellStyle name="Followed Hyperlink" xfId="5535" builtinId="9" hidden="1"/>
    <cellStyle name="Followed Hyperlink" xfId="5537" builtinId="9" hidden="1"/>
    <cellStyle name="Followed Hyperlink" xfId="5539" builtinId="9" hidden="1"/>
    <cellStyle name="Followed Hyperlink" xfId="5541" builtinId="9" hidden="1"/>
    <cellStyle name="Followed Hyperlink" xfId="5543" builtinId="9" hidden="1"/>
    <cellStyle name="Followed Hyperlink" xfId="5545" builtinId="9" hidden="1"/>
    <cellStyle name="Followed Hyperlink" xfId="5547" builtinId="9" hidden="1"/>
    <cellStyle name="Followed Hyperlink" xfId="5549" builtinId="9" hidden="1"/>
    <cellStyle name="Followed Hyperlink" xfId="5551" builtinId="9" hidden="1"/>
    <cellStyle name="Followed Hyperlink" xfId="5553" builtinId="9" hidden="1"/>
    <cellStyle name="Followed Hyperlink" xfId="5555" builtinId="9" hidden="1"/>
    <cellStyle name="Followed Hyperlink" xfId="5557" builtinId="9" hidden="1"/>
    <cellStyle name="Followed Hyperlink" xfId="5559" builtinId="9" hidden="1"/>
    <cellStyle name="Followed Hyperlink" xfId="5561" builtinId="9" hidden="1"/>
    <cellStyle name="Followed Hyperlink" xfId="5563" builtinId="9" hidden="1"/>
    <cellStyle name="Followed Hyperlink" xfId="5565" builtinId="9" hidden="1"/>
    <cellStyle name="Followed Hyperlink" xfId="5567" builtinId="9" hidden="1"/>
    <cellStyle name="Followed Hyperlink" xfId="5569" builtinId="9" hidden="1"/>
    <cellStyle name="Followed Hyperlink" xfId="5571" builtinId="9" hidden="1"/>
    <cellStyle name="Followed Hyperlink" xfId="5573" builtinId="9" hidden="1"/>
    <cellStyle name="Followed Hyperlink" xfId="5575" builtinId="9" hidden="1"/>
    <cellStyle name="Followed Hyperlink" xfId="5577" builtinId="9" hidden="1"/>
    <cellStyle name="Followed Hyperlink" xfId="5579" builtinId="9" hidden="1"/>
    <cellStyle name="Followed Hyperlink" xfId="5581" builtinId="9" hidden="1"/>
    <cellStyle name="Followed Hyperlink" xfId="5583" builtinId="9" hidden="1"/>
    <cellStyle name="Followed Hyperlink" xfId="5585" builtinId="9" hidden="1"/>
    <cellStyle name="Followed Hyperlink" xfId="5587" builtinId="9" hidden="1"/>
    <cellStyle name="Followed Hyperlink" xfId="5589" builtinId="9" hidden="1"/>
    <cellStyle name="Followed Hyperlink" xfId="5591" builtinId="9" hidden="1"/>
    <cellStyle name="Followed Hyperlink" xfId="5593" builtinId="9" hidden="1"/>
    <cellStyle name="Followed Hyperlink" xfId="5595" builtinId="9" hidden="1"/>
    <cellStyle name="Followed Hyperlink" xfId="5597" builtinId="9" hidden="1"/>
    <cellStyle name="Followed Hyperlink" xfId="5599" builtinId="9" hidden="1"/>
    <cellStyle name="Followed Hyperlink" xfId="5601" builtinId="9" hidden="1"/>
    <cellStyle name="Followed Hyperlink" xfId="5603" builtinId="9" hidden="1"/>
    <cellStyle name="Followed Hyperlink" xfId="5605" builtinId="9" hidden="1"/>
    <cellStyle name="Followed Hyperlink" xfId="5607" builtinId="9" hidden="1"/>
    <cellStyle name="Followed Hyperlink" xfId="5609" builtinId="9" hidden="1"/>
    <cellStyle name="Followed Hyperlink" xfId="5611" builtinId="9" hidden="1"/>
    <cellStyle name="Followed Hyperlink" xfId="5613" builtinId="9" hidden="1"/>
    <cellStyle name="Followed Hyperlink" xfId="5615"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2820" builtinId="8" hidden="1"/>
    <cellStyle name="Hyperlink" xfId="2822" builtinId="8" hidden="1"/>
    <cellStyle name="Hyperlink" xfId="2824" builtinId="8" hidden="1"/>
    <cellStyle name="Hyperlink" xfId="2826" builtinId="8" hidden="1"/>
    <cellStyle name="Hyperlink" xfId="2828" builtinId="8" hidden="1"/>
    <cellStyle name="Hyperlink" xfId="2830" builtinId="8" hidden="1"/>
    <cellStyle name="Hyperlink" xfId="2832" builtinId="8" hidden="1"/>
    <cellStyle name="Hyperlink" xfId="2834" builtinId="8" hidden="1"/>
    <cellStyle name="Hyperlink" xfId="2836" builtinId="8" hidden="1"/>
    <cellStyle name="Hyperlink" xfId="2838" builtinId="8" hidden="1"/>
    <cellStyle name="Hyperlink" xfId="2840" builtinId="8" hidden="1"/>
    <cellStyle name="Hyperlink" xfId="2842" builtinId="8" hidden="1"/>
    <cellStyle name="Hyperlink" xfId="2844" builtinId="8" hidden="1"/>
    <cellStyle name="Hyperlink" xfId="2846" builtinId="8" hidden="1"/>
    <cellStyle name="Hyperlink" xfId="2848" builtinId="8" hidden="1"/>
    <cellStyle name="Hyperlink" xfId="2850" builtinId="8" hidden="1"/>
    <cellStyle name="Hyperlink" xfId="2852" builtinId="8" hidden="1"/>
    <cellStyle name="Hyperlink" xfId="2854"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866" builtinId="8" hidden="1"/>
    <cellStyle name="Hyperlink" xfId="2868" builtinId="8" hidden="1"/>
    <cellStyle name="Hyperlink" xfId="2870" builtinId="8" hidden="1"/>
    <cellStyle name="Hyperlink" xfId="2872" builtinId="8" hidden="1"/>
    <cellStyle name="Hyperlink" xfId="2874" builtinId="8" hidden="1"/>
    <cellStyle name="Hyperlink" xfId="2876" builtinId="8" hidden="1"/>
    <cellStyle name="Hyperlink" xfId="2878" builtinId="8" hidden="1"/>
    <cellStyle name="Hyperlink" xfId="2880" builtinId="8" hidden="1"/>
    <cellStyle name="Hyperlink" xfId="2882" builtinId="8" hidden="1"/>
    <cellStyle name="Hyperlink" xfId="2884" builtinId="8" hidden="1"/>
    <cellStyle name="Hyperlink" xfId="2886" builtinId="8" hidden="1"/>
    <cellStyle name="Hyperlink" xfId="2888" builtinId="8" hidden="1"/>
    <cellStyle name="Hyperlink" xfId="2890" builtinId="8" hidden="1"/>
    <cellStyle name="Hyperlink" xfId="2892" builtinId="8" hidden="1"/>
    <cellStyle name="Hyperlink" xfId="2894" builtinId="8" hidden="1"/>
    <cellStyle name="Hyperlink" xfId="2896" builtinId="8" hidden="1"/>
    <cellStyle name="Hyperlink" xfId="2898" builtinId="8" hidden="1"/>
    <cellStyle name="Hyperlink" xfId="2900" builtinId="8" hidden="1"/>
    <cellStyle name="Hyperlink" xfId="2902" builtinId="8" hidden="1"/>
    <cellStyle name="Hyperlink" xfId="2904" builtinId="8" hidden="1"/>
    <cellStyle name="Hyperlink" xfId="2906" builtinId="8" hidden="1"/>
    <cellStyle name="Hyperlink" xfId="2908" builtinId="8" hidden="1"/>
    <cellStyle name="Hyperlink" xfId="2910" builtinId="8" hidden="1"/>
    <cellStyle name="Hyperlink" xfId="2912" builtinId="8" hidden="1"/>
    <cellStyle name="Hyperlink" xfId="2914" builtinId="8" hidden="1"/>
    <cellStyle name="Hyperlink" xfId="2916" builtinId="8" hidden="1"/>
    <cellStyle name="Hyperlink" xfId="2918" builtinId="8" hidden="1"/>
    <cellStyle name="Hyperlink" xfId="2920" builtinId="8" hidden="1"/>
    <cellStyle name="Hyperlink" xfId="2922" builtinId="8" hidden="1"/>
    <cellStyle name="Hyperlink" xfId="2924" builtinId="8" hidden="1"/>
    <cellStyle name="Hyperlink" xfId="2926" builtinId="8" hidden="1"/>
    <cellStyle name="Hyperlink" xfId="2928" builtinId="8" hidden="1"/>
    <cellStyle name="Hyperlink" xfId="2930" builtinId="8" hidden="1"/>
    <cellStyle name="Hyperlink" xfId="2932" builtinId="8" hidden="1"/>
    <cellStyle name="Hyperlink" xfId="2934" builtinId="8" hidden="1"/>
    <cellStyle name="Hyperlink" xfId="2936" builtinId="8" hidden="1"/>
    <cellStyle name="Hyperlink" xfId="2938" builtinId="8" hidden="1"/>
    <cellStyle name="Hyperlink" xfId="2940" builtinId="8" hidden="1"/>
    <cellStyle name="Hyperlink" xfId="2942" builtinId="8" hidden="1"/>
    <cellStyle name="Hyperlink" xfId="2944" builtinId="8" hidden="1"/>
    <cellStyle name="Hyperlink" xfId="2946" builtinId="8" hidden="1"/>
    <cellStyle name="Hyperlink" xfId="2948" builtinId="8" hidden="1"/>
    <cellStyle name="Hyperlink" xfId="2950" builtinId="8" hidden="1"/>
    <cellStyle name="Hyperlink" xfId="2952" builtinId="8" hidden="1"/>
    <cellStyle name="Hyperlink" xfId="2954" builtinId="8" hidden="1"/>
    <cellStyle name="Hyperlink" xfId="2956" builtinId="8" hidden="1"/>
    <cellStyle name="Hyperlink" xfId="2958" builtinId="8" hidden="1"/>
    <cellStyle name="Hyperlink" xfId="2960" builtinId="8" hidden="1"/>
    <cellStyle name="Hyperlink" xfId="2962" builtinId="8" hidden="1"/>
    <cellStyle name="Hyperlink" xfId="2964" builtinId="8" hidden="1"/>
    <cellStyle name="Hyperlink" xfId="2966" builtinId="8" hidden="1"/>
    <cellStyle name="Hyperlink" xfId="2968" builtinId="8" hidden="1"/>
    <cellStyle name="Hyperlink" xfId="2970" builtinId="8" hidden="1"/>
    <cellStyle name="Hyperlink" xfId="2972" builtinId="8" hidden="1"/>
    <cellStyle name="Hyperlink" xfId="2974" builtinId="8" hidden="1"/>
    <cellStyle name="Hyperlink" xfId="2976" builtinId="8" hidden="1"/>
    <cellStyle name="Hyperlink" xfId="2978" builtinId="8" hidden="1"/>
    <cellStyle name="Hyperlink" xfId="2980" builtinId="8" hidden="1"/>
    <cellStyle name="Hyperlink" xfId="2982" builtinId="8" hidden="1"/>
    <cellStyle name="Hyperlink" xfId="2984" builtinId="8" hidden="1"/>
    <cellStyle name="Hyperlink" xfId="2986" builtinId="8" hidden="1"/>
    <cellStyle name="Hyperlink" xfId="2988" builtinId="8" hidden="1"/>
    <cellStyle name="Hyperlink" xfId="2990" builtinId="8" hidden="1"/>
    <cellStyle name="Hyperlink" xfId="2992" builtinId="8" hidden="1"/>
    <cellStyle name="Hyperlink" xfId="2994" builtinId="8" hidden="1"/>
    <cellStyle name="Hyperlink" xfId="2996" builtinId="8" hidden="1"/>
    <cellStyle name="Hyperlink" xfId="2998" builtinId="8" hidden="1"/>
    <cellStyle name="Hyperlink" xfId="3000" builtinId="8" hidden="1"/>
    <cellStyle name="Hyperlink" xfId="3002" builtinId="8" hidden="1"/>
    <cellStyle name="Hyperlink" xfId="3004" builtinId="8" hidden="1"/>
    <cellStyle name="Hyperlink" xfId="3006" builtinId="8" hidden="1"/>
    <cellStyle name="Hyperlink" xfId="3008" builtinId="8" hidden="1"/>
    <cellStyle name="Hyperlink" xfId="3010" builtinId="8" hidden="1"/>
    <cellStyle name="Hyperlink" xfId="3012" builtinId="8" hidden="1"/>
    <cellStyle name="Hyperlink" xfId="3014" builtinId="8" hidden="1"/>
    <cellStyle name="Hyperlink" xfId="3016" builtinId="8" hidden="1"/>
    <cellStyle name="Hyperlink" xfId="3018" builtinId="8" hidden="1"/>
    <cellStyle name="Hyperlink" xfId="3020" builtinId="8" hidden="1"/>
    <cellStyle name="Hyperlink" xfId="3022" builtinId="8" hidden="1"/>
    <cellStyle name="Hyperlink" xfId="3024" builtinId="8" hidden="1"/>
    <cellStyle name="Hyperlink" xfId="3026" builtinId="8" hidden="1"/>
    <cellStyle name="Hyperlink" xfId="3028" builtinId="8" hidden="1"/>
    <cellStyle name="Hyperlink" xfId="3030" builtinId="8" hidden="1"/>
    <cellStyle name="Hyperlink" xfId="3032" builtinId="8" hidden="1"/>
    <cellStyle name="Hyperlink" xfId="3034" builtinId="8" hidden="1"/>
    <cellStyle name="Hyperlink" xfId="3036" builtinId="8" hidden="1"/>
    <cellStyle name="Hyperlink" xfId="3038" builtinId="8" hidden="1"/>
    <cellStyle name="Hyperlink" xfId="3040" builtinId="8" hidden="1"/>
    <cellStyle name="Hyperlink" xfId="3042" builtinId="8" hidden="1"/>
    <cellStyle name="Hyperlink" xfId="3044"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200" builtinId="8" hidden="1"/>
    <cellStyle name="Hyperlink" xfId="3202" builtinId="8" hidden="1"/>
    <cellStyle name="Hyperlink" xfId="3204" builtinId="8" hidden="1"/>
    <cellStyle name="Hyperlink" xfId="3206" builtinId="8" hidden="1"/>
    <cellStyle name="Hyperlink" xfId="3208" builtinId="8" hidden="1"/>
    <cellStyle name="Hyperlink" xfId="3210" builtinId="8" hidden="1"/>
    <cellStyle name="Hyperlink" xfId="3212" builtinId="8" hidden="1"/>
    <cellStyle name="Hyperlink" xfId="3214" builtinId="8" hidden="1"/>
    <cellStyle name="Hyperlink" xfId="3216" builtinId="8" hidden="1"/>
    <cellStyle name="Hyperlink" xfId="3218" builtinId="8" hidden="1"/>
    <cellStyle name="Hyperlink" xfId="3220" builtinId="8" hidden="1"/>
    <cellStyle name="Hyperlink" xfId="3222" builtinId="8" hidden="1"/>
    <cellStyle name="Hyperlink" xfId="3224" builtinId="8" hidden="1"/>
    <cellStyle name="Hyperlink" xfId="3226" builtinId="8" hidden="1"/>
    <cellStyle name="Hyperlink" xfId="3228" builtinId="8" hidden="1"/>
    <cellStyle name="Hyperlink" xfId="3230" builtinId="8" hidden="1"/>
    <cellStyle name="Hyperlink" xfId="3232" builtinId="8" hidden="1"/>
    <cellStyle name="Hyperlink" xfId="3234" builtinId="8" hidden="1"/>
    <cellStyle name="Hyperlink" xfId="3236" builtinId="8" hidden="1"/>
    <cellStyle name="Hyperlink" xfId="3238" builtinId="8" hidden="1"/>
    <cellStyle name="Hyperlink" xfId="3240"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340" builtinId="8" hidden="1"/>
    <cellStyle name="Hyperlink" xfId="4342" builtinId="8" hidden="1"/>
    <cellStyle name="Hyperlink" xfId="4344" builtinId="8" hidden="1"/>
    <cellStyle name="Hyperlink" xfId="4346" builtinId="8" hidden="1"/>
    <cellStyle name="Hyperlink" xfId="4348" builtinId="8" hidden="1"/>
    <cellStyle name="Hyperlink" xfId="4350" builtinId="8" hidden="1"/>
    <cellStyle name="Hyperlink" xfId="4352" builtinId="8" hidden="1"/>
    <cellStyle name="Hyperlink" xfId="4354" builtinId="8" hidden="1"/>
    <cellStyle name="Hyperlink" xfId="4356" builtinId="8" hidden="1"/>
    <cellStyle name="Hyperlink" xfId="4358" builtinId="8" hidden="1"/>
    <cellStyle name="Hyperlink" xfId="4360" builtinId="8" hidden="1"/>
    <cellStyle name="Hyperlink" xfId="4362" builtinId="8" hidden="1"/>
    <cellStyle name="Hyperlink" xfId="4364" builtinId="8" hidden="1"/>
    <cellStyle name="Hyperlink" xfId="4366" builtinId="8" hidden="1"/>
    <cellStyle name="Hyperlink" xfId="4368" builtinId="8" hidden="1"/>
    <cellStyle name="Hyperlink" xfId="4370" builtinId="8" hidden="1"/>
    <cellStyle name="Hyperlink" xfId="4372" builtinId="8" hidden="1"/>
    <cellStyle name="Hyperlink" xfId="4374" builtinId="8" hidden="1"/>
    <cellStyle name="Hyperlink" xfId="4376" builtinId="8" hidden="1"/>
    <cellStyle name="Hyperlink" xfId="4378" builtinId="8" hidden="1"/>
    <cellStyle name="Hyperlink" xfId="4380" builtinId="8" hidden="1"/>
    <cellStyle name="Hyperlink" xfId="4382" builtinId="8" hidden="1"/>
    <cellStyle name="Hyperlink" xfId="4384" builtinId="8" hidden="1"/>
    <cellStyle name="Hyperlink" xfId="4386" builtinId="8" hidden="1"/>
    <cellStyle name="Hyperlink" xfId="4388" builtinId="8" hidden="1"/>
    <cellStyle name="Hyperlink" xfId="4390" builtinId="8" hidden="1"/>
    <cellStyle name="Hyperlink" xfId="4392" builtinId="8" hidden="1"/>
    <cellStyle name="Hyperlink" xfId="4394" builtinId="8" hidden="1"/>
    <cellStyle name="Hyperlink" xfId="4396" builtinId="8" hidden="1"/>
    <cellStyle name="Hyperlink" xfId="4398" builtinId="8" hidden="1"/>
    <cellStyle name="Hyperlink" xfId="4400" builtinId="8" hidden="1"/>
    <cellStyle name="Hyperlink" xfId="4402" builtinId="8" hidden="1"/>
    <cellStyle name="Hyperlink" xfId="4404" builtinId="8" hidden="1"/>
    <cellStyle name="Hyperlink" xfId="4406" builtinId="8" hidden="1"/>
    <cellStyle name="Hyperlink" xfId="4408" builtinId="8" hidden="1"/>
    <cellStyle name="Hyperlink" xfId="4410" builtinId="8" hidden="1"/>
    <cellStyle name="Hyperlink" xfId="4412" builtinId="8" hidden="1"/>
    <cellStyle name="Hyperlink" xfId="4414" builtinId="8" hidden="1"/>
    <cellStyle name="Hyperlink" xfId="4416" builtinId="8" hidden="1"/>
    <cellStyle name="Hyperlink" xfId="4418" builtinId="8" hidden="1"/>
    <cellStyle name="Hyperlink" xfId="4420" builtinId="8" hidden="1"/>
    <cellStyle name="Hyperlink" xfId="4422" builtinId="8" hidden="1"/>
    <cellStyle name="Hyperlink" xfId="4424" builtinId="8" hidden="1"/>
    <cellStyle name="Hyperlink" xfId="4426" builtinId="8" hidden="1"/>
    <cellStyle name="Hyperlink" xfId="4428" builtinId="8" hidden="1"/>
    <cellStyle name="Hyperlink" xfId="4430" builtinId="8" hidden="1"/>
    <cellStyle name="Hyperlink" xfId="4432" builtinId="8" hidden="1"/>
    <cellStyle name="Hyperlink" xfId="4434" builtinId="8" hidden="1"/>
    <cellStyle name="Hyperlink" xfId="4436" builtinId="8" hidden="1"/>
    <cellStyle name="Hyperlink" xfId="4438" builtinId="8" hidden="1"/>
    <cellStyle name="Hyperlink" xfId="4440" builtinId="8" hidden="1"/>
    <cellStyle name="Hyperlink" xfId="4442" builtinId="8" hidden="1"/>
    <cellStyle name="Hyperlink" xfId="4444" builtinId="8" hidden="1"/>
    <cellStyle name="Hyperlink" xfId="4446" builtinId="8" hidden="1"/>
    <cellStyle name="Hyperlink" xfId="4448" builtinId="8" hidden="1"/>
    <cellStyle name="Hyperlink" xfId="4450" builtinId="8" hidden="1"/>
    <cellStyle name="Hyperlink" xfId="4452" builtinId="8" hidden="1"/>
    <cellStyle name="Hyperlink" xfId="4454" builtinId="8" hidden="1"/>
    <cellStyle name="Hyperlink" xfId="4456" builtinId="8" hidden="1"/>
    <cellStyle name="Hyperlink" xfId="4458" builtinId="8" hidden="1"/>
    <cellStyle name="Hyperlink" xfId="4460" builtinId="8" hidden="1"/>
    <cellStyle name="Hyperlink" xfId="4462" builtinId="8" hidden="1"/>
    <cellStyle name="Hyperlink" xfId="4464" builtinId="8" hidden="1"/>
    <cellStyle name="Hyperlink" xfId="4466" builtinId="8" hidden="1"/>
    <cellStyle name="Hyperlink" xfId="4468" builtinId="8" hidden="1"/>
    <cellStyle name="Hyperlink" xfId="4470" builtinId="8" hidden="1"/>
    <cellStyle name="Hyperlink" xfId="4472" builtinId="8" hidden="1"/>
    <cellStyle name="Hyperlink" xfId="4474" builtinId="8" hidden="1"/>
    <cellStyle name="Hyperlink" xfId="4476" builtinId="8" hidden="1"/>
    <cellStyle name="Hyperlink" xfId="4478" builtinId="8" hidden="1"/>
    <cellStyle name="Hyperlink" xfId="4480" builtinId="8" hidden="1"/>
    <cellStyle name="Hyperlink" xfId="4482" builtinId="8" hidden="1"/>
    <cellStyle name="Hyperlink" xfId="4484" builtinId="8" hidden="1"/>
    <cellStyle name="Hyperlink" xfId="4486" builtinId="8" hidden="1"/>
    <cellStyle name="Hyperlink" xfId="4488" builtinId="8" hidden="1"/>
    <cellStyle name="Hyperlink" xfId="4490" builtinId="8" hidden="1"/>
    <cellStyle name="Hyperlink" xfId="4492" builtinId="8" hidden="1"/>
    <cellStyle name="Hyperlink" xfId="4494" builtinId="8" hidden="1"/>
    <cellStyle name="Hyperlink" xfId="4496" builtinId="8" hidden="1"/>
    <cellStyle name="Hyperlink" xfId="4498" builtinId="8" hidden="1"/>
    <cellStyle name="Hyperlink" xfId="4500" builtinId="8" hidden="1"/>
    <cellStyle name="Hyperlink" xfId="4502" builtinId="8" hidden="1"/>
    <cellStyle name="Hyperlink" xfId="4504" builtinId="8" hidden="1"/>
    <cellStyle name="Hyperlink" xfId="4506" builtinId="8" hidden="1"/>
    <cellStyle name="Hyperlink" xfId="4508" builtinId="8" hidden="1"/>
    <cellStyle name="Hyperlink" xfId="4510" builtinId="8" hidden="1"/>
    <cellStyle name="Hyperlink" xfId="4512" builtinId="8" hidden="1"/>
    <cellStyle name="Hyperlink" xfId="4514" builtinId="8" hidden="1"/>
    <cellStyle name="Hyperlink" xfId="4516" builtinId="8" hidden="1"/>
    <cellStyle name="Hyperlink" xfId="4518" builtinId="8" hidden="1"/>
    <cellStyle name="Hyperlink" xfId="4520" builtinId="8" hidden="1"/>
    <cellStyle name="Hyperlink" xfId="4522" builtinId="8" hidden="1"/>
    <cellStyle name="Hyperlink" xfId="4524" builtinId="8" hidden="1"/>
    <cellStyle name="Hyperlink" xfId="4526" builtinId="8" hidden="1"/>
    <cellStyle name="Hyperlink" xfId="4528" builtinId="8" hidden="1"/>
    <cellStyle name="Hyperlink" xfId="4530" builtinId="8" hidden="1"/>
    <cellStyle name="Hyperlink" xfId="4532" builtinId="8" hidden="1"/>
    <cellStyle name="Hyperlink" xfId="4534" builtinId="8" hidden="1"/>
    <cellStyle name="Hyperlink" xfId="4536" builtinId="8" hidden="1"/>
    <cellStyle name="Hyperlink" xfId="4538" builtinId="8" hidden="1"/>
    <cellStyle name="Hyperlink" xfId="4540" builtinId="8" hidden="1"/>
    <cellStyle name="Hyperlink" xfId="4542" builtinId="8" hidden="1"/>
    <cellStyle name="Hyperlink" xfId="4544" builtinId="8" hidden="1"/>
    <cellStyle name="Hyperlink" xfId="4546" builtinId="8" hidden="1"/>
    <cellStyle name="Hyperlink" xfId="4548" builtinId="8" hidden="1"/>
    <cellStyle name="Hyperlink" xfId="4550" builtinId="8" hidden="1"/>
    <cellStyle name="Hyperlink" xfId="4552" builtinId="8" hidden="1"/>
    <cellStyle name="Hyperlink" xfId="4554" builtinId="8" hidden="1"/>
    <cellStyle name="Hyperlink" xfId="4556" builtinId="8" hidden="1"/>
    <cellStyle name="Hyperlink" xfId="4558" builtinId="8" hidden="1"/>
    <cellStyle name="Hyperlink" xfId="4560" builtinId="8" hidden="1"/>
    <cellStyle name="Hyperlink" xfId="4562" builtinId="8" hidden="1"/>
    <cellStyle name="Hyperlink" xfId="4564" builtinId="8" hidden="1"/>
    <cellStyle name="Hyperlink" xfId="4566" builtinId="8" hidden="1"/>
    <cellStyle name="Hyperlink" xfId="4568" builtinId="8" hidden="1"/>
    <cellStyle name="Hyperlink" xfId="4570" builtinId="8" hidden="1"/>
    <cellStyle name="Hyperlink" xfId="4572" builtinId="8" hidden="1"/>
    <cellStyle name="Hyperlink" xfId="4574" builtinId="8" hidden="1"/>
    <cellStyle name="Hyperlink" xfId="4576" builtinId="8" hidden="1"/>
    <cellStyle name="Hyperlink" xfId="4578" builtinId="8" hidden="1"/>
    <cellStyle name="Hyperlink" xfId="4580" builtinId="8" hidden="1"/>
    <cellStyle name="Hyperlink" xfId="4582" builtinId="8" hidden="1"/>
    <cellStyle name="Hyperlink" xfId="4584" builtinId="8" hidden="1"/>
    <cellStyle name="Hyperlink" xfId="4586" builtinId="8" hidden="1"/>
    <cellStyle name="Hyperlink" xfId="4588" builtinId="8" hidden="1"/>
    <cellStyle name="Hyperlink" xfId="4590" builtinId="8" hidden="1"/>
    <cellStyle name="Hyperlink" xfId="4592" builtinId="8" hidden="1"/>
    <cellStyle name="Hyperlink" xfId="4594" builtinId="8" hidden="1"/>
    <cellStyle name="Hyperlink" xfId="4596" builtinId="8" hidden="1"/>
    <cellStyle name="Hyperlink" xfId="4598" builtinId="8" hidden="1"/>
    <cellStyle name="Hyperlink" xfId="4600" builtinId="8" hidden="1"/>
    <cellStyle name="Hyperlink" xfId="4602" builtinId="8" hidden="1"/>
    <cellStyle name="Hyperlink" xfId="4604" builtinId="8" hidden="1"/>
    <cellStyle name="Hyperlink" xfId="4606" builtinId="8" hidden="1"/>
    <cellStyle name="Hyperlink" xfId="4608" builtinId="8" hidden="1"/>
    <cellStyle name="Hyperlink" xfId="4610" builtinId="8" hidden="1"/>
    <cellStyle name="Hyperlink" xfId="4612" builtinId="8" hidden="1"/>
    <cellStyle name="Hyperlink" xfId="4614" builtinId="8" hidden="1"/>
    <cellStyle name="Hyperlink" xfId="4616" builtinId="8" hidden="1"/>
    <cellStyle name="Hyperlink" xfId="4618" builtinId="8" hidden="1"/>
    <cellStyle name="Hyperlink" xfId="4620" builtinId="8" hidden="1"/>
    <cellStyle name="Hyperlink" xfId="4622" builtinId="8" hidden="1"/>
    <cellStyle name="Hyperlink" xfId="4624" builtinId="8" hidden="1"/>
    <cellStyle name="Hyperlink" xfId="4626" builtinId="8" hidden="1"/>
    <cellStyle name="Hyperlink" xfId="4628" builtinId="8" hidden="1"/>
    <cellStyle name="Hyperlink" xfId="4630" builtinId="8" hidden="1"/>
    <cellStyle name="Hyperlink" xfId="4632" builtinId="8" hidden="1"/>
    <cellStyle name="Hyperlink" xfId="4634" builtinId="8" hidden="1"/>
    <cellStyle name="Hyperlink" xfId="4636" builtinId="8" hidden="1"/>
    <cellStyle name="Hyperlink" xfId="4638" builtinId="8" hidden="1"/>
    <cellStyle name="Hyperlink" xfId="4640" builtinId="8" hidden="1"/>
    <cellStyle name="Hyperlink" xfId="4642" builtinId="8" hidden="1"/>
    <cellStyle name="Hyperlink" xfId="4644" builtinId="8" hidden="1"/>
    <cellStyle name="Hyperlink" xfId="4646" builtinId="8" hidden="1"/>
    <cellStyle name="Hyperlink" xfId="4648" builtinId="8" hidden="1"/>
    <cellStyle name="Hyperlink" xfId="4650" builtinId="8" hidden="1"/>
    <cellStyle name="Hyperlink" xfId="4652" builtinId="8" hidden="1"/>
    <cellStyle name="Hyperlink" xfId="4654" builtinId="8" hidden="1"/>
    <cellStyle name="Hyperlink" xfId="4656" builtinId="8" hidden="1"/>
    <cellStyle name="Hyperlink" xfId="4658" builtinId="8" hidden="1"/>
    <cellStyle name="Hyperlink" xfId="4660" builtinId="8" hidden="1"/>
    <cellStyle name="Hyperlink" xfId="4662" builtinId="8" hidden="1"/>
    <cellStyle name="Hyperlink" xfId="4664" builtinId="8" hidden="1"/>
    <cellStyle name="Hyperlink" xfId="4666" builtinId="8" hidden="1"/>
    <cellStyle name="Hyperlink" xfId="4668" builtinId="8" hidden="1"/>
    <cellStyle name="Hyperlink" xfId="4670" builtinId="8" hidden="1"/>
    <cellStyle name="Hyperlink" xfId="4672" builtinId="8" hidden="1"/>
    <cellStyle name="Hyperlink" xfId="4674" builtinId="8" hidden="1"/>
    <cellStyle name="Hyperlink" xfId="4676" builtinId="8" hidden="1"/>
    <cellStyle name="Hyperlink" xfId="4678" builtinId="8" hidden="1"/>
    <cellStyle name="Hyperlink" xfId="4680" builtinId="8" hidden="1"/>
    <cellStyle name="Hyperlink" xfId="4682" builtinId="8" hidden="1"/>
    <cellStyle name="Hyperlink" xfId="4684" builtinId="8" hidden="1"/>
    <cellStyle name="Hyperlink" xfId="4686" builtinId="8" hidden="1"/>
    <cellStyle name="Hyperlink" xfId="4688" builtinId="8" hidden="1"/>
    <cellStyle name="Hyperlink" xfId="4690" builtinId="8" hidden="1"/>
    <cellStyle name="Hyperlink" xfId="4692" builtinId="8" hidden="1"/>
    <cellStyle name="Hyperlink" xfId="4694" builtinId="8" hidden="1"/>
    <cellStyle name="Hyperlink" xfId="4696" builtinId="8" hidden="1"/>
    <cellStyle name="Hyperlink" xfId="4698" builtinId="8" hidden="1"/>
    <cellStyle name="Hyperlink" xfId="4700" builtinId="8" hidden="1"/>
    <cellStyle name="Hyperlink" xfId="4702" builtinId="8" hidden="1"/>
    <cellStyle name="Hyperlink" xfId="4704" builtinId="8" hidden="1"/>
    <cellStyle name="Hyperlink" xfId="4706" builtinId="8" hidden="1"/>
    <cellStyle name="Hyperlink" xfId="4708" builtinId="8" hidden="1"/>
    <cellStyle name="Hyperlink" xfId="4710" builtinId="8" hidden="1"/>
    <cellStyle name="Hyperlink" xfId="4712" builtinId="8" hidden="1"/>
    <cellStyle name="Hyperlink" xfId="4714" builtinId="8" hidden="1"/>
    <cellStyle name="Hyperlink" xfId="4716" builtinId="8" hidden="1"/>
    <cellStyle name="Hyperlink" xfId="4718" builtinId="8" hidden="1"/>
    <cellStyle name="Hyperlink" xfId="4720" builtinId="8" hidden="1"/>
    <cellStyle name="Hyperlink" xfId="4722" builtinId="8" hidden="1"/>
    <cellStyle name="Hyperlink" xfId="4724" builtinId="8" hidden="1"/>
    <cellStyle name="Hyperlink" xfId="4726" builtinId="8" hidden="1"/>
    <cellStyle name="Hyperlink" xfId="4728" builtinId="8" hidden="1"/>
    <cellStyle name="Hyperlink" xfId="4730" builtinId="8" hidden="1"/>
    <cellStyle name="Hyperlink" xfId="4732" builtinId="8" hidden="1"/>
    <cellStyle name="Hyperlink" xfId="4734" builtinId="8" hidden="1"/>
    <cellStyle name="Hyperlink" xfId="4736" builtinId="8" hidden="1"/>
    <cellStyle name="Hyperlink" xfId="4738" builtinId="8" hidden="1"/>
    <cellStyle name="Hyperlink" xfId="4740" builtinId="8" hidden="1"/>
    <cellStyle name="Hyperlink" xfId="4742" builtinId="8" hidden="1"/>
    <cellStyle name="Hyperlink" xfId="4744" builtinId="8" hidden="1"/>
    <cellStyle name="Hyperlink" xfId="4746" builtinId="8" hidden="1"/>
    <cellStyle name="Hyperlink" xfId="4748" builtinId="8" hidden="1"/>
    <cellStyle name="Hyperlink" xfId="4750" builtinId="8" hidden="1"/>
    <cellStyle name="Hyperlink" xfId="4752" builtinId="8" hidden="1"/>
    <cellStyle name="Hyperlink" xfId="4754" builtinId="8" hidden="1"/>
    <cellStyle name="Hyperlink" xfId="4756" builtinId="8" hidden="1"/>
    <cellStyle name="Hyperlink" xfId="4758" builtinId="8" hidden="1"/>
    <cellStyle name="Hyperlink" xfId="4760" builtinId="8" hidden="1"/>
    <cellStyle name="Hyperlink" xfId="4762" builtinId="8" hidden="1"/>
    <cellStyle name="Hyperlink" xfId="4764" builtinId="8" hidden="1"/>
    <cellStyle name="Hyperlink" xfId="4766" builtinId="8" hidden="1"/>
    <cellStyle name="Hyperlink" xfId="4768" builtinId="8" hidden="1"/>
    <cellStyle name="Hyperlink" xfId="4770" builtinId="8" hidden="1"/>
    <cellStyle name="Hyperlink" xfId="4772" builtinId="8" hidden="1"/>
    <cellStyle name="Hyperlink" xfId="4774" builtinId="8" hidden="1"/>
    <cellStyle name="Hyperlink" xfId="4776" builtinId="8" hidden="1"/>
    <cellStyle name="Hyperlink" xfId="4778" builtinId="8" hidden="1"/>
    <cellStyle name="Hyperlink" xfId="4780" builtinId="8" hidden="1"/>
    <cellStyle name="Hyperlink" xfId="4782" builtinId="8" hidden="1"/>
    <cellStyle name="Hyperlink" xfId="4784" builtinId="8" hidden="1"/>
    <cellStyle name="Hyperlink" xfId="4786" builtinId="8" hidden="1"/>
    <cellStyle name="Hyperlink" xfId="4788" builtinId="8" hidden="1"/>
    <cellStyle name="Hyperlink" xfId="4790" builtinId="8" hidden="1"/>
    <cellStyle name="Hyperlink" xfId="4792" builtinId="8" hidden="1"/>
    <cellStyle name="Hyperlink" xfId="4794" builtinId="8" hidden="1"/>
    <cellStyle name="Hyperlink" xfId="4796" builtinId="8" hidden="1"/>
    <cellStyle name="Hyperlink" xfId="4798" builtinId="8" hidden="1"/>
    <cellStyle name="Hyperlink" xfId="4800" builtinId="8" hidden="1"/>
    <cellStyle name="Hyperlink" xfId="4802" builtinId="8" hidden="1"/>
    <cellStyle name="Hyperlink" xfId="4804" builtinId="8" hidden="1"/>
    <cellStyle name="Hyperlink" xfId="4806" builtinId="8" hidden="1"/>
    <cellStyle name="Hyperlink" xfId="4808" builtinId="8" hidden="1"/>
    <cellStyle name="Hyperlink" xfId="4810" builtinId="8" hidden="1"/>
    <cellStyle name="Hyperlink" xfId="4812" builtinId="8" hidden="1"/>
    <cellStyle name="Hyperlink" xfId="4814" builtinId="8" hidden="1"/>
    <cellStyle name="Hyperlink" xfId="4816" builtinId="8" hidden="1"/>
    <cellStyle name="Hyperlink" xfId="4818" builtinId="8" hidden="1"/>
    <cellStyle name="Hyperlink" xfId="4820" builtinId="8" hidden="1"/>
    <cellStyle name="Hyperlink" xfId="4822" builtinId="8" hidden="1"/>
    <cellStyle name="Hyperlink" xfId="4824" builtinId="8" hidden="1"/>
    <cellStyle name="Hyperlink" xfId="4826" builtinId="8" hidden="1"/>
    <cellStyle name="Hyperlink" xfId="4828" builtinId="8" hidden="1"/>
    <cellStyle name="Hyperlink" xfId="4830" builtinId="8" hidden="1"/>
    <cellStyle name="Hyperlink" xfId="4832" builtinId="8" hidden="1"/>
    <cellStyle name="Hyperlink" xfId="4834" builtinId="8" hidden="1"/>
    <cellStyle name="Hyperlink" xfId="4836" builtinId="8" hidden="1"/>
    <cellStyle name="Hyperlink" xfId="4838" builtinId="8" hidden="1"/>
    <cellStyle name="Hyperlink" xfId="4840" builtinId="8" hidden="1"/>
    <cellStyle name="Hyperlink" xfId="4842" builtinId="8" hidden="1"/>
    <cellStyle name="Hyperlink" xfId="4844" builtinId="8" hidden="1"/>
    <cellStyle name="Hyperlink" xfId="4846" builtinId="8" hidden="1"/>
    <cellStyle name="Hyperlink" xfId="4848" builtinId="8" hidden="1"/>
    <cellStyle name="Hyperlink" xfId="4850" builtinId="8" hidden="1"/>
    <cellStyle name="Hyperlink" xfId="4852" builtinId="8" hidden="1"/>
    <cellStyle name="Hyperlink" xfId="4854" builtinId="8" hidden="1"/>
    <cellStyle name="Hyperlink" xfId="4856" builtinId="8" hidden="1"/>
    <cellStyle name="Hyperlink" xfId="4858" builtinId="8" hidden="1"/>
    <cellStyle name="Hyperlink" xfId="4860" builtinId="8" hidden="1"/>
    <cellStyle name="Hyperlink" xfId="4862" builtinId="8" hidden="1"/>
    <cellStyle name="Hyperlink" xfId="4864" builtinId="8" hidden="1"/>
    <cellStyle name="Hyperlink" xfId="4866" builtinId="8" hidden="1"/>
    <cellStyle name="Hyperlink" xfId="4868" builtinId="8" hidden="1"/>
    <cellStyle name="Hyperlink" xfId="4870" builtinId="8" hidden="1"/>
    <cellStyle name="Hyperlink" xfId="4872" builtinId="8" hidden="1"/>
    <cellStyle name="Hyperlink" xfId="4874" builtinId="8" hidden="1"/>
    <cellStyle name="Hyperlink" xfId="4876" builtinId="8" hidden="1"/>
    <cellStyle name="Hyperlink" xfId="4878" builtinId="8" hidden="1"/>
    <cellStyle name="Hyperlink" xfId="4880" builtinId="8" hidden="1"/>
    <cellStyle name="Hyperlink" xfId="4882" builtinId="8" hidden="1"/>
    <cellStyle name="Hyperlink" xfId="4884" builtinId="8" hidden="1"/>
    <cellStyle name="Hyperlink" xfId="4886" builtinId="8" hidden="1"/>
    <cellStyle name="Hyperlink" xfId="4888" builtinId="8" hidden="1"/>
    <cellStyle name="Hyperlink" xfId="4890" builtinId="8" hidden="1"/>
    <cellStyle name="Hyperlink" xfId="4892" builtinId="8" hidden="1"/>
    <cellStyle name="Hyperlink" xfId="4894" builtinId="8" hidden="1"/>
    <cellStyle name="Hyperlink" xfId="4896" builtinId="8" hidden="1"/>
    <cellStyle name="Hyperlink" xfId="4898" builtinId="8" hidden="1"/>
    <cellStyle name="Hyperlink" xfId="4900" builtinId="8" hidden="1"/>
    <cellStyle name="Hyperlink" xfId="4902" builtinId="8" hidden="1"/>
    <cellStyle name="Hyperlink" xfId="4904" builtinId="8" hidden="1"/>
    <cellStyle name="Hyperlink" xfId="4906" builtinId="8" hidden="1"/>
    <cellStyle name="Hyperlink" xfId="4908" builtinId="8" hidden="1"/>
    <cellStyle name="Hyperlink" xfId="4910" builtinId="8" hidden="1"/>
    <cellStyle name="Hyperlink" xfId="4912" builtinId="8" hidden="1"/>
    <cellStyle name="Hyperlink" xfId="4914" builtinId="8" hidden="1"/>
    <cellStyle name="Hyperlink" xfId="4916" builtinId="8" hidden="1"/>
    <cellStyle name="Hyperlink" xfId="4918" builtinId="8" hidden="1"/>
    <cellStyle name="Hyperlink" xfId="4920" builtinId="8" hidden="1"/>
    <cellStyle name="Hyperlink" xfId="4922" builtinId="8" hidden="1"/>
    <cellStyle name="Hyperlink" xfId="4924" builtinId="8" hidden="1"/>
    <cellStyle name="Hyperlink" xfId="4926" builtinId="8" hidden="1"/>
    <cellStyle name="Hyperlink" xfId="4928" builtinId="8" hidden="1"/>
    <cellStyle name="Hyperlink" xfId="4930" builtinId="8" hidden="1"/>
    <cellStyle name="Hyperlink" xfId="4932" builtinId="8" hidden="1"/>
    <cellStyle name="Hyperlink" xfId="4934" builtinId="8" hidden="1"/>
    <cellStyle name="Hyperlink" xfId="4936" builtinId="8" hidden="1"/>
    <cellStyle name="Hyperlink" xfId="4938" builtinId="8" hidden="1"/>
    <cellStyle name="Hyperlink" xfId="4940" builtinId="8" hidden="1"/>
    <cellStyle name="Hyperlink" xfId="4942" builtinId="8" hidden="1"/>
    <cellStyle name="Hyperlink" xfId="4944" builtinId="8" hidden="1"/>
    <cellStyle name="Hyperlink" xfId="4946" builtinId="8" hidden="1"/>
    <cellStyle name="Hyperlink" xfId="4948" builtinId="8" hidden="1"/>
    <cellStyle name="Hyperlink" xfId="4950" builtinId="8" hidden="1"/>
    <cellStyle name="Hyperlink" xfId="4952" builtinId="8" hidden="1"/>
    <cellStyle name="Hyperlink" xfId="4954" builtinId="8" hidden="1"/>
    <cellStyle name="Hyperlink" xfId="4956" builtinId="8" hidden="1"/>
    <cellStyle name="Hyperlink" xfId="4958" builtinId="8" hidden="1"/>
    <cellStyle name="Hyperlink" xfId="4960" builtinId="8" hidden="1"/>
    <cellStyle name="Hyperlink" xfId="4962" builtinId="8" hidden="1"/>
    <cellStyle name="Hyperlink" xfId="4964" builtinId="8" hidden="1"/>
    <cellStyle name="Hyperlink" xfId="4966" builtinId="8" hidden="1"/>
    <cellStyle name="Hyperlink" xfId="4968" builtinId="8" hidden="1"/>
    <cellStyle name="Hyperlink" xfId="4970" builtinId="8" hidden="1"/>
    <cellStyle name="Hyperlink" xfId="4972" builtinId="8" hidden="1"/>
    <cellStyle name="Hyperlink" xfId="4974" builtinId="8" hidden="1"/>
    <cellStyle name="Hyperlink" xfId="4976" builtinId="8" hidden="1"/>
    <cellStyle name="Hyperlink" xfId="4978" builtinId="8" hidden="1"/>
    <cellStyle name="Hyperlink" xfId="4980" builtinId="8" hidden="1"/>
    <cellStyle name="Hyperlink" xfId="4982" builtinId="8" hidden="1"/>
    <cellStyle name="Hyperlink" xfId="4984" builtinId="8" hidden="1"/>
    <cellStyle name="Hyperlink" xfId="4986" builtinId="8" hidden="1"/>
    <cellStyle name="Hyperlink" xfId="4988" builtinId="8" hidden="1"/>
    <cellStyle name="Hyperlink" xfId="4990" builtinId="8" hidden="1"/>
    <cellStyle name="Hyperlink" xfId="4992" builtinId="8" hidden="1"/>
    <cellStyle name="Hyperlink" xfId="4994" builtinId="8" hidden="1"/>
    <cellStyle name="Hyperlink" xfId="4996" builtinId="8" hidden="1"/>
    <cellStyle name="Hyperlink" xfId="4998" builtinId="8" hidden="1"/>
    <cellStyle name="Hyperlink" xfId="5000" builtinId="8" hidden="1"/>
    <cellStyle name="Hyperlink" xfId="5002" builtinId="8" hidden="1"/>
    <cellStyle name="Hyperlink" xfId="5004" builtinId="8" hidden="1"/>
    <cellStyle name="Hyperlink" xfId="5006" builtinId="8" hidden="1"/>
    <cellStyle name="Hyperlink" xfId="5008" builtinId="8" hidden="1"/>
    <cellStyle name="Hyperlink" xfId="5010" builtinId="8" hidden="1"/>
    <cellStyle name="Hyperlink" xfId="5012" builtinId="8" hidden="1"/>
    <cellStyle name="Hyperlink" xfId="5014" builtinId="8" hidden="1"/>
    <cellStyle name="Hyperlink" xfId="5016" builtinId="8" hidden="1"/>
    <cellStyle name="Hyperlink" xfId="5018" builtinId="8" hidden="1"/>
    <cellStyle name="Hyperlink" xfId="5020" builtinId="8" hidden="1"/>
    <cellStyle name="Hyperlink" xfId="5022" builtinId="8" hidden="1"/>
    <cellStyle name="Hyperlink" xfId="5024" builtinId="8" hidden="1"/>
    <cellStyle name="Hyperlink" xfId="5026" builtinId="8" hidden="1"/>
    <cellStyle name="Hyperlink" xfId="5028" builtinId="8" hidden="1"/>
    <cellStyle name="Hyperlink" xfId="5030" builtinId="8" hidden="1"/>
    <cellStyle name="Hyperlink" xfId="5032" builtinId="8" hidden="1"/>
    <cellStyle name="Hyperlink" xfId="5034" builtinId="8" hidden="1"/>
    <cellStyle name="Hyperlink" xfId="5036" builtinId="8" hidden="1"/>
    <cellStyle name="Hyperlink" xfId="5038" builtinId="8" hidden="1"/>
    <cellStyle name="Hyperlink" xfId="5040" builtinId="8" hidden="1"/>
    <cellStyle name="Hyperlink" xfId="5042" builtinId="8" hidden="1"/>
    <cellStyle name="Hyperlink" xfId="5044" builtinId="8" hidden="1"/>
    <cellStyle name="Hyperlink" xfId="5046" builtinId="8" hidden="1"/>
    <cellStyle name="Hyperlink" xfId="5048" builtinId="8" hidden="1"/>
    <cellStyle name="Hyperlink" xfId="5050" builtinId="8" hidden="1"/>
    <cellStyle name="Hyperlink" xfId="5052" builtinId="8" hidden="1"/>
    <cellStyle name="Hyperlink" xfId="5054" builtinId="8" hidden="1"/>
    <cellStyle name="Hyperlink" xfId="5056" builtinId="8" hidden="1"/>
    <cellStyle name="Hyperlink" xfId="5058" builtinId="8" hidden="1"/>
    <cellStyle name="Hyperlink" xfId="5060" builtinId="8" hidden="1"/>
    <cellStyle name="Hyperlink" xfId="5062" builtinId="8" hidden="1"/>
    <cellStyle name="Hyperlink" xfId="5064" builtinId="8" hidden="1"/>
    <cellStyle name="Hyperlink" xfId="5066" builtinId="8" hidden="1"/>
    <cellStyle name="Hyperlink" xfId="5068" builtinId="8" hidden="1"/>
    <cellStyle name="Hyperlink" xfId="5070" builtinId="8" hidden="1"/>
    <cellStyle name="Hyperlink" xfId="5072" builtinId="8" hidden="1"/>
    <cellStyle name="Hyperlink" xfId="5074" builtinId="8" hidden="1"/>
    <cellStyle name="Hyperlink" xfId="5076" builtinId="8" hidden="1"/>
    <cellStyle name="Hyperlink" xfId="5078" builtinId="8" hidden="1"/>
    <cellStyle name="Hyperlink" xfId="5080" builtinId="8" hidden="1"/>
    <cellStyle name="Hyperlink" xfId="5082" builtinId="8" hidden="1"/>
    <cellStyle name="Hyperlink" xfId="5084" builtinId="8" hidden="1"/>
    <cellStyle name="Hyperlink" xfId="5086" builtinId="8" hidden="1"/>
    <cellStyle name="Hyperlink" xfId="5088" builtinId="8" hidden="1"/>
    <cellStyle name="Hyperlink" xfId="5090" builtinId="8" hidden="1"/>
    <cellStyle name="Hyperlink" xfId="5092" builtinId="8" hidden="1"/>
    <cellStyle name="Hyperlink" xfId="5094" builtinId="8" hidden="1"/>
    <cellStyle name="Hyperlink" xfId="5096" builtinId="8" hidden="1"/>
    <cellStyle name="Hyperlink" xfId="5098" builtinId="8" hidden="1"/>
    <cellStyle name="Hyperlink" xfId="5100" builtinId="8" hidden="1"/>
    <cellStyle name="Hyperlink" xfId="5102" builtinId="8" hidden="1"/>
    <cellStyle name="Hyperlink" xfId="5104" builtinId="8" hidden="1"/>
    <cellStyle name="Hyperlink" xfId="5106" builtinId="8" hidden="1"/>
    <cellStyle name="Hyperlink" xfId="5108" builtinId="8" hidden="1"/>
    <cellStyle name="Hyperlink" xfId="5110" builtinId="8" hidden="1"/>
    <cellStyle name="Hyperlink" xfId="5112" builtinId="8" hidden="1"/>
    <cellStyle name="Hyperlink" xfId="5114" builtinId="8" hidden="1"/>
    <cellStyle name="Hyperlink" xfId="5116" builtinId="8" hidden="1"/>
    <cellStyle name="Hyperlink" xfId="5118" builtinId="8" hidden="1"/>
    <cellStyle name="Hyperlink" xfId="5120" builtinId="8" hidden="1"/>
    <cellStyle name="Hyperlink" xfId="5122" builtinId="8" hidden="1"/>
    <cellStyle name="Hyperlink" xfId="5124" builtinId="8" hidden="1"/>
    <cellStyle name="Hyperlink" xfId="5126" builtinId="8" hidden="1"/>
    <cellStyle name="Hyperlink" xfId="5128" builtinId="8" hidden="1"/>
    <cellStyle name="Hyperlink" xfId="5130" builtinId="8" hidden="1"/>
    <cellStyle name="Hyperlink" xfId="5132" builtinId="8" hidden="1"/>
    <cellStyle name="Hyperlink" xfId="5134" builtinId="8" hidden="1"/>
    <cellStyle name="Hyperlink" xfId="5136" builtinId="8" hidden="1"/>
    <cellStyle name="Hyperlink" xfId="5138" builtinId="8" hidden="1"/>
    <cellStyle name="Hyperlink" xfId="5140" builtinId="8" hidden="1"/>
    <cellStyle name="Hyperlink" xfId="5142" builtinId="8" hidden="1"/>
    <cellStyle name="Hyperlink" xfId="5144" builtinId="8" hidden="1"/>
    <cellStyle name="Hyperlink" xfId="5146" builtinId="8" hidden="1"/>
    <cellStyle name="Hyperlink" xfId="5148" builtinId="8" hidden="1"/>
    <cellStyle name="Hyperlink" xfId="5150" builtinId="8" hidden="1"/>
    <cellStyle name="Hyperlink" xfId="5152" builtinId="8" hidden="1"/>
    <cellStyle name="Hyperlink" xfId="5154" builtinId="8" hidden="1"/>
    <cellStyle name="Hyperlink" xfId="5156" builtinId="8" hidden="1"/>
    <cellStyle name="Hyperlink" xfId="5158" builtinId="8" hidden="1"/>
    <cellStyle name="Hyperlink" xfId="5160" builtinId="8" hidden="1"/>
    <cellStyle name="Hyperlink" xfId="5162" builtinId="8" hidden="1"/>
    <cellStyle name="Hyperlink" xfId="5164" builtinId="8" hidden="1"/>
    <cellStyle name="Hyperlink" xfId="5166" builtinId="8" hidden="1"/>
    <cellStyle name="Hyperlink" xfId="5168" builtinId="8" hidden="1"/>
    <cellStyle name="Hyperlink" xfId="5170" builtinId="8" hidden="1"/>
    <cellStyle name="Hyperlink" xfId="5172" builtinId="8" hidden="1"/>
    <cellStyle name="Hyperlink" xfId="5174" builtinId="8" hidden="1"/>
    <cellStyle name="Hyperlink" xfId="5176" builtinId="8" hidden="1"/>
    <cellStyle name="Hyperlink" xfId="5178" builtinId="8" hidden="1"/>
    <cellStyle name="Hyperlink" xfId="5180" builtinId="8" hidden="1"/>
    <cellStyle name="Hyperlink" xfId="5182" builtinId="8" hidden="1"/>
    <cellStyle name="Hyperlink" xfId="5184" builtinId="8" hidden="1"/>
    <cellStyle name="Hyperlink" xfId="5186" builtinId="8" hidden="1"/>
    <cellStyle name="Hyperlink" xfId="5188" builtinId="8" hidden="1"/>
    <cellStyle name="Hyperlink" xfId="5190" builtinId="8" hidden="1"/>
    <cellStyle name="Hyperlink" xfId="5192" builtinId="8" hidden="1"/>
    <cellStyle name="Hyperlink" xfId="5194" builtinId="8" hidden="1"/>
    <cellStyle name="Hyperlink" xfId="5196" builtinId="8" hidden="1"/>
    <cellStyle name="Hyperlink" xfId="5198" builtinId="8" hidden="1"/>
    <cellStyle name="Hyperlink" xfId="5200" builtinId="8" hidden="1"/>
    <cellStyle name="Hyperlink" xfId="5202" builtinId="8" hidden="1"/>
    <cellStyle name="Hyperlink" xfId="5204" builtinId="8" hidden="1"/>
    <cellStyle name="Hyperlink" xfId="5206" builtinId="8" hidden="1"/>
    <cellStyle name="Hyperlink" xfId="5208" builtinId="8" hidden="1"/>
    <cellStyle name="Hyperlink" xfId="5210" builtinId="8" hidden="1"/>
    <cellStyle name="Hyperlink" xfId="5212" builtinId="8" hidden="1"/>
    <cellStyle name="Hyperlink" xfId="5214" builtinId="8" hidden="1"/>
    <cellStyle name="Hyperlink" xfId="5216" builtinId="8" hidden="1"/>
    <cellStyle name="Hyperlink" xfId="5218" builtinId="8" hidden="1"/>
    <cellStyle name="Hyperlink" xfId="5220" builtinId="8" hidden="1"/>
    <cellStyle name="Hyperlink" xfId="5222" builtinId="8" hidden="1"/>
    <cellStyle name="Hyperlink" xfId="5224" builtinId="8" hidden="1"/>
    <cellStyle name="Hyperlink" xfId="5226" builtinId="8" hidden="1"/>
    <cellStyle name="Hyperlink" xfId="5228" builtinId="8" hidden="1"/>
    <cellStyle name="Hyperlink" xfId="5230" builtinId="8" hidden="1"/>
    <cellStyle name="Hyperlink" xfId="5232" builtinId="8" hidden="1"/>
    <cellStyle name="Hyperlink" xfId="5234" builtinId="8" hidden="1"/>
    <cellStyle name="Hyperlink" xfId="5236" builtinId="8" hidden="1"/>
    <cellStyle name="Hyperlink" xfId="5238" builtinId="8" hidden="1"/>
    <cellStyle name="Hyperlink" xfId="5240" builtinId="8" hidden="1"/>
    <cellStyle name="Hyperlink" xfId="5242" builtinId="8" hidden="1"/>
    <cellStyle name="Hyperlink" xfId="5244" builtinId="8" hidden="1"/>
    <cellStyle name="Hyperlink" xfId="5246" builtinId="8" hidden="1"/>
    <cellStyle name="Hyperlink" xfId="5248" builtinId="8" hidden="1"/>
    <cellStyle name="Hyperlink" xfId="5250" builtinId="8" hidden="1"/>
    <cellStyle name="Hyperlink" xfId="5252" builtinId="8" hidden="1"/>
    <cellStyle name="Hyperlink" xfId="5254" builtinId="8" hidden="1"/>
    <cellStyle name="Hyperlink" xfId="5256" builtinId="8" hidden="1"/>
    <cellStyle name="Hyperlink" xfId="5258" builtinId="8" hidden="1"/>
    <cellStyle name="Hyperlink" xfId="5260" builtinId="8" hidden="1"/>
    <cellStyle name="Hyperlink" xfId="5262" builtinId="8" hidden="1"/>
    <cellStyle name="Hyperlink" xfId="5264" builtinId="8" hidden="1"/>
    <cellStyle name="Hyperlink" xfId="5266" builtinId="8" hidden="1"/>
    <cellStyle name="Hyperlink" xfId="5268" builtinId="8" hidden="1"/>
    <cellStyle name="Hyperlink" xfId="5270" builtinId="8" hidden="1"/>
    <cellStyle name="Hyperlink" xfId="5272" builtinId="8" hidden="1"/>
    <cellStyle name="Hyperlink" xfId="5274" builtinId="8" hidden="1"/>
    <cellStyle name="Hyperlink" xfId="5276" builtinId="8" hidden="1"/>
    <cellStyle name="Hyperlink" xfId="5278" builtinId="8" hidden="1"/>
    <cellStyle name="Hyperlink" xfId="5280" builtinId="8" hidden="1"/>
    <cellStyle name="Hyperlink" xfId="5282" builtinId="8" hidden="1"/>
    <cellStyle name="Hyperlink" xfId="5284" builtinId="8" hidden="1"/>
    <cellStyle name="Hyperlink" xfId="5286" builtinId="8" hidden="1"/>
    <cellStyle name="Hyperlink" xfId="5288" builtinId="8" hidden="1"/>
    <cellStyle name="Hyperlink" xfId="5290" builtinId="8" hidden="1"/>
    <cellStyle name="Hyperlink" xfId="5292" builtinId="8" hidden="1"/>
    <cellStyle name="Hyperlink" xfId="5294" builtinId="8" hidden="1"/>
    <cellStyle name="Hyperlink" xfId="5296" builtinId="8" hidden="1"/>
    <cellStyle name="Hyperlink" xfId="5298" builtinId="8" hidden="1"/>
    <cellStyle name="Hyperlink" xfId="5300" builtinId="8" hidden="1"/>
    <cellStyle name="Hyperlink" xfId="5302" builtinId="8" hidden="1"/>
    <cellStyle name="Hyperlink" xfId="5304" builtinId="8" hidden="1"/>
    <cellStyle name="Hyperlink" xfId="5306" builtinId="8" hidden="1"/>
    <cellStyle name="Hyperlink" xfId="5308" builtinId="8" hidden="1"/>
    <cellStyle name="Hyperlink" xfId="5310" builtinId="8" hidden="1"/>
    <cellStyle name="Hyperlink" xfId="5312" builtinId="8" hidden="1"/>
    <cellStyle name="Hyperlink" xfId="5314" builtinId="8" hidden="1"/>
    <cellStyle name="Hyperlink" xfId="5316" builtinId="8" hidden="1"/>
    <cellStyle name="Hyperlink" xfId="5318" builtinId="8" hidden="1"/>
    <cellStyle name="Hyperlink" xfId="5320" builtinId="8" hidden="1"/>
    <cellStyle name="Hyperlink" xfId="5322" builtinId="8" hidden="1"/>
    <cellStyle name="Hyperlink" xfId="5324" builtinId="8" hidden="1"/>
    <cellStyle name="Hyperlink" xfId="5326" builtinId="8" hidden="1"/>
    <cellStyle name="Hyperlink" xfId="5328" builtinId="8" hidden="1"/>
    <cellStyle name="Hyperlink" xfId="5330" builtinId="8" hidden="1"/>
    <cellStyle name="Hyperlink" xfId="5332" builtinId="8" hidden="1"/>
    <cellStyle name="Hyperlink" xfId="5334" builtinId="8" hidden="1"/>
    <cellStyle name="Hyperlink" xfId="5336" builtinId="8" hidden="1"/>
    <cellStyle name="Hyperlink" xfId="5338" builtinId="8" hidden="1"/>
    <cellStyle name="Hyperlink" xfId="5340" builtinId="8" hidden="1"/>
    <cellStyle name="Hyperlink" xfId="5342" builtinId="8" hidden="1"/>
    <cellStyle name="Hyperlink" xfId="5344" builtinId="8" hidden="1"/>
    <cellStyle name="Hyperlink" xfId="5346" builtinId="8" hidden="1"/>
    <cellStyle name="Hyperlink" xfId="5348" builtinId="8" hidden="1"/>
    <cellStyle name="Hyperlink" xfId="5350" builtinId="8" hidden="1"/>
    <cellStyle name="Hyperlink" xfId="5352" builtinId="8" hidden="1"/>
    <cellStyle name="Hyperlink" xfId="5354" builtinId="8" hidden="1"/>
    <cellStyle name="Hyperlink" xfId="5356" builtinId="8" hidden="1"/>
    <cellStyle name="Hyperlink" xfId="5358" builtinId="8" hidden="1"/>
    <cellStyle name="Hyperlink" xfId="5360" builtinId="8" hidden="1"/>
    <cellStyle name="Hyperlink" xfId="5362" builtinId="8" hidden="1"/>
    <cellStyle name="Hyperlink" xfId="5364" builtinId="8" hidden="1"/>
    <cellStyle name="Hyperlink" xfId="5366" builtinId="8" hidden="1"/>
    <cellStyle name="Hyperlink" xfId="5368" builtinId="8" hidden="1"/>
    <cellStyle name="Hyperlink" xfId="5370" builtinId="8" hidden="1"/>
    <cellStyle name="Hyperlink" xfId="5372" builtinId="8" hidden="1"/>
    <cellStyle name="Hyperlink" xfId="5374" builtinId="8" hidden="1"/>
    <cellStyle name="Hyperlink" xfId="5376" builtinId="8" hidden="1"/>
    <cellStyle name="Hyperlink" xfId="5378" builtinId="8" hidden="1"/>
    <cellStyle name="Hyperlink" xfId="5380" builtinId="8" hidden="1"/>
    <cellStyle name="Hyperlink" xfId="5382" builtinId="8" hidden="1"/>
    <cellStyle name="Hyperlink" xfId="5384" builtinId="8" hidden="1"/>
    <cellStyle name="Hyperlink" xfId="5386" builtinId="8" hidden="1"/>
    <cellStyle name="Hyperlink" xfId="5388" builtinId="8" hidden="1"/>
    <cellStyle name="Hyperlink" xfId="5390" builtinId="8" hidden="1"/>
    <cellStyle name="Hyperlink" xfId="5392" builtinId="8" hidden="1"/>
    <cellStyle name="Hyperlink" xfId="5394" builtinId="8" hidden="1"/>
    <cellStyle name="Hyperlink" xfId="5396" builtinId="8" hidden="1"/>
    <cellStyle name="Hyperlink" xfId="5398" builtinId="8" hidden="1"/>
    <cellStyle name="Hyperlink" xfId="5400" builtinId="8" hidden="1"/>
    <cellStyle name="Hyperlink" xfId="5402" builtinId="8" hidden="1"/>
    <cellStyle name="Hyperlink" xfId="5404" builtinId="8" hidden="1"/>
    <cellStyle name="Hyperlink" xfId="5406" builtinId="8" hidden="1"/>
    <cellStyle name="Hyperlink" xfId="5408" builtinId="8" hidden="1"/>
    <cellStyle name="Hyperlink" xfId="5410" builtinId="8" hidden="1"/>
    <cellStyle name="Hyperlink" xfId="5412" builtinId="8" hidden="1"/>
    <cellStyle name="Hyperlink" xfId="5414" builtinId="8" hidden="1"/>
    <cellStyle name="Hyperlink" xfId="5416" builtinId="8" hidden="1"/>
    <cellStyle name="Hyperlink" xfId="5418" builtinId="8" hidden="1"/>
    <cellStyle name="Hyperlink" xfId="5420" builtinId="8" hidden="1"/>
    <cellStyle name="Hyperlink" xfId="5422" builtinId="8" hidden="1"/>
    <cellStyle name="Hyperlink" xfId="5424" builtinId="8" hidden="1"/>
    <cellStyle name="Hyperlink" xfId="5426" builtinId="8" hidden="1"/>
    <cellStyle name="Hyperlink" xfId="5428" builtinId="8" hidden="1"/>
    <cellStyle name="Hyperlink" xfId="5430" builtinId="8" hidden="1"/>
    <cellStyle name="Hyperlink" xfId="5432" builtinId="8" hidden="1"/>
    <cellStyle name="Hyperlink" xfId="5434" builtinId="8" hidden="1"/>
    <cellStyle name="Hyperlink" xfId="5436" builtinId="8" hidden="1"/>
    <cellStyle name="Hyperlink" xfId="5438" builtinId="8" hidden="1"/>
    <cellStyle name="Hyperlink" xfId="5440" builtinId="8" hidden="1"/>
    <cellStyle name="Hyperlink" xfId="5442" builtinId="8" hidden="1"/>
    <cellStyle name="Hyperlink" xfId="5444" builtinId="8" hidden="1"/>
    <cellStyle name="Hyperlink" xfId="5446" builtinId="8" hidden="1"/>
    <cellStyle name="Hyperlink" xfId="5448" builtinId="8" hidden="1"/>
    <cellStyle name="Hyperlink" xfId="5450" builtinId="8" hidden="1"/>
    <cellStyle name="Hyperlink" xfId="5452" builtinId="8" hidden="1"/>
    <cellStyle name="Hyperlink" xfId="5454" builtinId="8" hidden="1"/>
    <cellStyle name="Hyperlink" xfId="5456" builtinId="8" hidden="1"/>
    <cellStyle name="Hyperlink" xfId="5458" builtinId="8" hidden="1"/>
    <cellStyle name="Hyperlink" xfId="5460" builtinId="8" hidden="1"/>
    <cellStyle name="Hyperlink" xfId="5462" builtinId="8" hidden="1"/>
    <cellStyle name="Hyperlink" xfId="5464" builtinId="8" hidden="1"/>
    <cellStyle name="Hyperlink" xfId="5466" builtinId="8" hidden="1"/>
    <cellStyle name="Hyperlink" xfId="5468" builtinId="8" hidden="1"/>
    <cellStyle name="Hyperlink" xfId="5470" builtinId="8" hidden="1"/>
    <cellStyle name="Hyperlink" xfId="5472" builtinId="8" hidden="1"/>
    <cellStyle name="Hyperlink" xfId="5474" builtinId="8" hidden="1"/>
    <cellStyle name="Hyperlink" xfId="5476" builtinId="8" hidden="1"/>
    <cellStyle name="Hyperlink" xfId="5478" builtinId="8" hidden="1"/>
    <cellStyle name="Hyperlink" xfId="5480" builtinId="8" hidden="1"/>
    <cellStyle name="Hyperlink" xfId="5482" builtinId="8" hidden="1"/>
    <cellStyle name="Hyperlink" xfId="5484" builtinId="8" hidden="1"/>
    <cellStyle name="Hyperlink" xfId="5486" builtinId="8" hidden="1"/>
    <cellStyle name="Hyperlink" xfId="5488" builtinId="8" hidden="1"/>
    <cellStyle name="Hyperlink" xfId="5490" builtinId="8" hidden="1"/>
    <cellStyle name="Hyperlink" xfId="5492" builtinId="8" hidden="1"/>
    <cellStyle name="Hyperlink" xfId="5494" builtinId="8" hidden="1"/>
    <cellStyle name="Hyperlink" xfId="5496" builtinId="8" hidden="1"/>
    <cellStyle name="Hyperlink" xfId="5498" builtinId="8" hidden="1"/>
    <cellStyle name="Hyperlink" xfId="5500" builtinId="8" hidden="1"/>
    <cellStyle name="Hyperlink" xfId="5502" builtinId="8" hidden="1"/>
    <cellStyle name="Hyperlink" xfId="5504" builtinId="8" hidden="1"/>
    <cellStyle name="Hyperlink" xfId="5506" builtinId="8" hidden="1"/>
    <cellStyle name="Hyperlink" xfId="5508" builtinId="8" hidden="1"/>
    <cellStyle name="Hyperlink" xfId="5510" builtinId="8" hidden="1"/>
    <cellStyle name="Hyperlink" xfId="5512" builtinId="8" hidden="1"/>
    <cellStyle name="Hyperlink" xfId="5514" builtinId="8" hidden="1"/>
    <cellStyle name="Hyperlink" xfId="5516" builtinId="8" hidden="1"/>
    <cellStyle name="Hyperlink" xfId="5518" builtinId="8" hidden="1"/>
    <cellStyle name="Hyperlink" xfId="5520" builtinId="8" hidden="1"/>
    <cellStyle name="Hyperlink" xfId="5522" builtinId="8" hidden="1"/>
    <cellStyle name="Hyperlink" xfId="5524" builtinId="8" hidden="1"/>
    <cellStyle name="Hyperlink" xfId="5526" builtinId="8" hidden="1"/>
    <cellStyle name="Hyperlink" xfId="5528" builtinId="8" hidden="1"/>
    <cellStyle name="Hyperlink" xfId="5530" builtinId="8" hidden="1"/>
    <cellStyle name="Hyperlink" xfId="5532" builtinId="8" hidden="1"/>
    <cellStyle name="Hyperlink" xfId="5534" builtinId="8" hidden="1"/>
    <cellStyle name="Hyperlink" xfId="5536" builtinId="8" hidden="1"/>
    <cellStyle name="Hyperlink" xfId="5538" builtinId="8" hidden="1"/>
    <cellStyle name="Hyperlink" xfId="5540" builtinId="8" hidden="1"/>
    <cellStyle name="Hyperlink" xfId="5542" builtinId="8" hidden="1"/>
    <cellStyle name="Hyperlink" xfId="5544" builtinId="8" hidden="1"/>
    <cellStyle name="Hyperlink" xfId="5546" builtinId="8" hidden="1"/>
    <cellStyle name="Hyperlink" xfId="5548" builtinId="8" hidden="1"/>
    <cellStyle name="Hyperlink" xfId="5550" builtinId="8" hidden="1"/>
    <cellStyle name="Hyperlink" xfId="5552" builtinId="8" hidden="1"/>
    <cellStyle name="Hyperlink" xfId="5554" builtinId="8" hidden="1"/>
    <cellStyle name="Hyperlink" xfId="5556" builtinId="8" hidden="1"/>
    <cellStyle name="Hyperlink" xfId="5558" builtinId="8" hidden="1"/>
    <cellStyle name="Hyperlink" xfId="5560" builtinId="8" hidden="1"/>
    <cellStyle name="Hyperlink" xfId="5562" builtinId="8" hidden="1"/>
    <cellStyle name="Hyperlink" xfId="5564" builtinId="8" hidden="1"/>
    <cellStyle name="Hyperlink" xfId="5566" builtinId="8" hidden="1"/>
    <cellStyle name="Hyperlink" xfId="5568" builtinId="8" hidden="1"/>
    <cellStyle name="Hyperlink" xfId="5570" builtinId="8" hidden="1"/>
    <cellStyle name="Hyperlink" xfId="5572" builtinId="8" hidden="1"/>
    <cellStyle name="Hyperlink" xfId="5574" builtinId="8" hidden="1"/>
    <cellStyle name="Hyperlink" xfId="5576" builtinId="8" hidden="1"/>
    <cellStyle name="Hyperlink" xfId="5578" builtinId="8" hidden="1"/>
    <cellStyle name="Hyperlink" xfId="5580" builtinId="8" hidden="1"/>
    <cellStyle name="Hyperlink" xfId="5582" builtinId="8" hidden="1"/>
    <cellStyle name="Hyperlink" xfId="5584" builtinId="8" hidden="1"/>
    <cellStyle name="Hyperlink" xfId="5586" builtinId="8" hidden="1"/>
    <cellStyle name="Hyperlink" xfId="5588" builtinId="8" hidden="1"/>
    <cellStyle name="Hyperlink" xfId="5590" builtinId="8" hidden="1"/>
    <cellStyle name="Hyperlink" xfId="5592" builtinId="8" hidden="1"/>
    <cellStyle name="Hyperlink" xfId="5594" builtinId="8" hidden="1"/>
    <cellStyle name="Hyperlink" xfId="5596" builtinId="8" hidden="1"/>
    <cellStyle name="Hyperlink" xfId="5598" builtinId="8" hidden="1"/>
    <cellStyle name="Hyperlink" xfId="5600" builtinId="8" hidden="1"/>
    <cellStyle name="Hyperlink" xfId="5602" builtinId="8" hidden="1"/>
    <cellStyle name="Hyperlink" xfId="5604" builtinId="8" hidden="1"/>
    <cellStyle name="Hyperlink" xfId="5606" builtinId="8" hidden="1"/>
    <cellStyle name="Hyperlink" xfId="5608" builtinId="8" hidden="1"/>
    <cellStyle name="Hyperlink" xfId="5610" builtinId="8" hidden="1"/>
    <cellStyle name="Hyperlink" xfId="5612" builtinId="8" hidden="1"/>
    <cellStyle name="Hyperlink" xfId="5614" builtinId="8" hidden="1"/>
    <cellStyle name="Normal" xfId="0" builtinId="0"/>
    <cellStyle name="Normal 2 9" xfId="144"/>
    <cellStyle name="Normal 4" xfId="5616"/>
    <cellStyle name="Normal_FY04_BAM_Prelim_June11" xfId="142"/>
    <cellStyle name="Normal_FY05_BAM_v023" xfId="143"/>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a:t>Model FY18 </a:t>
            </a:r>
            <a:r>
              <a:rPr lang="en-US" sz="1800" baseline="0"/>
              <a:t> </a:t>
            </a:r>
            <a:r>
              <a:rPr lang="en-US" sz="1800"/>
              <a:t>Allocation (Blue) compared to FY18 Historical </a:t>
            </a:r>
            <a:r>
              <a:rPr lang="en-US" sz="1800" baseline="0"/>
              <a:t>Adjusted Initial Budget</a:t>
            </a:r>
            <a:endParaRPr lang="en-US" sz="1800"/>
          </a:p>
        </c:rich>
      </c:tx>
      <c:layout>
        <c:manualLayout>
          <c:xMode val="edge"/>
          <c:yMode val="edge"/>
          <c:x val="0.26437778484087099"/>
          <c:y val="1.1925042589437799E-2"/>
        </c:manualLayout>
      </c:layout>
      <c:overlay val="0"/>
    </c:title>
    <c:autoTitleDeleted val="0"/>
    <c:plotArea>
      <c:layout/>
      <c:barChart>
        <c:barDir val="col"/>
        <c:grouping val="clustered"/>
        <c:varyColors val="0"/>
        <c:ser>
          <c:idx val="0"/>
          <c:order val="0"/>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Allocation'!$AB$7:$AB$22</c:f>
              <c:numCache>
                <c:formatCode>_(* #,##0_);_(* \(#,##0\);_(* "-"??_);_(@_)</c:formatCode>
                <c:ptCount val="16"/>
                <c:pt idx="0">
                  <c:v>25251080.653743565</c:v>
                </c:pt>
                <c:pt idx="1">
                  <c:v>20560560.064390406</c:v>
                </c:pt>
                <c:pt idx="2">
                  <c:v>64761554.961694747</c:v>
                </c:pt>
                <c:pt idx="3">
                  <c:v>9195643.4326616675</c:v>
                </c:pt>
                <c:pt idx="4">
                  <c:v>19399629.473356012</c:v>
                </c:pt>
                <c:pt idx="5">
                  <c:v>4710030.6052281586</c:v>
                </c:pt>
                <c:pt idx="6">
                  <c:v>46552740.84674415</c:v>
                </c:pt>
                <c:pt idx="7">
                  <c:v>13922883.385676662</c:v>
                </c:pt>
                <c:pt idx="8">
                  <c:v>12680723.591873774</c:v>
                </c:pt>
                <c:pt idx="9">
                  <c:v>42524687.582767554</c:v>
                </c:pt>
                <c:pt idx="10">
                  <c:v>25234458.289048038</c:v>
                </c:pt>
                <c:pt idx="11">
                  <c:v>3118551.8819559645</c:v>
                </c:pt>
                <c:pt idx="12">
                  <c:v>1205528.075254363</c:v>
                </c:pt>
                <c:pt idx="13">
                  <c:v>11790037.252126154</c:v>
                </c:pt>
                <c:pt idx="14">
                  <c:v>18786975</c:v>
                </c:pt>
                <c:pt idx="15">
                  <c:v>3296000</c:v>
                </c:pt>
              </c:numCache>
            </c:numRef>
          </c:val>
          <c:extLst>
            <c:ext xmlns:c16="http://schemas.microsoft.com/office/drawing/2014/chart" uri="{C3380CC4-5D6E-409C-BE32-E72D297353CC}">
              <c16:uniqueId val="{00000000-FC6B-4BE3-B214-3F77CE60AAC6}"/>
            </c:ext>
          </c:extLst>
        </c:ser>
        <c:ser>
          <c:idx val="1"/>
          <c:order val="1"/>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Allocation'!$AC$7:$AC$22</c:f>
              <c:numCache>
                <c:formatCode>_(* #,##0_);_(* \(#,##0\);_(* "-"??_);_(@_)</c:formatCode>
                <c:ptCount val="16"/>
                <c:pt idx="0">
                  <c:v>24160078</c:v>
                </c:pt>
                <c:pt idx="1">
                  <c:v>20462422</c:v>
                </c:pt>
                <c:pt idx="2">
                  <c:v>61306607</c:v>
                </c:pt>
                <c:pt idx="3">
                  <c:v>9355600</c:v>
                </c:pt>
                <c:pt idx="4">
                  <c:v>20440194</c:v>
                </c:pt>
                <c:pt idx="5">
                  <c:v>4806568</c:v>
                </c:pt>
                <c:pt idx="6">
                  <c:v>45894131</c:v>
                </c:pt>
                <c:pt idx="7">
                  <c:v>14831995</c:v>
                </c:pt>
                <c:pt idx="8">
                  <c:v>12737398</c:v>
                </c:pt>
                <c:pt idx="9">
                  <c:v>41127158</c:v>
                </c:pt>
                <c:pt idx="10">
                  <c:v>24909417</c:v>
                </c:pt>
                <c:pt idx="11">
                  <c:v>2839964</c:v>
                </c:pt>
                <c:pt idx="12">
                  <c:v>833083</c:v>
                </c:pt>
                <c:pt idx="13">
                  <c:v>11354618</c:v>
                </c:pt>
                <c:pt idx="14">
                  <c:v>18786975</c:v>
                </c:pt>
                <c:pt idx="15">
                  <c:v>3296000</c:v>
                </c:pt>
              </c:numCache>
            </c:numRef>
          </c:val>
          <c:extLst>
            <c:ext xmlns:c16="http://schemas.microsoft.com/office/drawing/2014/chart" uri="{C3380CC4-5D6E-409C-BE32-E72D297353CC}">
              <c16:uniqueId val="{00000001-FC6B-4BE3-B214-3F77CE60AAC6}"/>
            </c:ext>
          </c:extLst>
        </c:ser>
        <c:dLbls>
          <c:showLegendKey val="0"/>
          <c:showVal val="0"/>
          <c:showCatName val="0"/>
          <c:showSerName val="0"/>
          <c:showPercent val="0"/>
          <c:showBubbleSize val="0"/>
        </c:dLbls>
        <c:gapWidth val="150"/>
        <c:axId val="2125132400"/>
        <c:axId val="2125135328"/>
      </c:barChart>
      <c:catAx>
        <c:axId val="2125132400"/>
        <c:scaling>
          <c:orientation val="minMax"/>
        </c:scaling>
        <c:delete val="0"/>
        <c:axPos val="b"/>
        <c:numFmt formatCode="General" sourceLinked="0"/>
        <c:majorTickMark val="none"/>
        <c:minorTickMark val="none"/>
        <c:tickLblPos val="nextTo"/>
        <c:crossAx val="2125135328"/>
        <c:crosses val="autoZero"/>
        <c:auto val="1"/>
        <c:lblAlgn val="ctr"/>
        <c:lblOffset val="100"/>
        <c:noMultiLvlLbl val="0"/>
      </c:catAx>
      <c:valAx>
        <c:axId val="2125135328"/>
        <c:scaling>
          <c:orientation val="minMax"/>
        </c:scaling>
        <c:delete val="0"/>
        <c:axPos val="l"/>
        <c:majorGridlines/>
        <c:numFmt formatCode="_(* #,##0_);_(* \(#,##0\);_(* &quot;-&quot;??_);_(@_)" sourceLinked="1"/>
        <c:majorTickMark val="none"/>
        <c:minorTickMark val="none"/>
        <c:tickLblPos val="nextTo"/>
        <c:crossAx val="2125132400"/>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Gap--Model Minus</a:t>
            </a:r>
            <a:r>
              <a:rPr lang="en-US" baseline="0"/>
              <a:t> FY18 Adjusted Actual</a:t>
            </a:r>
          </a:p>
        </c:rich>
      </c:tx>
      <c:overlay val="0"/>
    </c:title>
    <c:autoTitleDeleted val="0"/>
    <c:plotArea>
      <c:layout/>
      <c:barChart>
        <c:barDir val="col"/>
        <c:grouping val="clustered"/>
        <c:varyColors val="0"/>
        <c:ser>
          <c:idx val="0"/>
          <c:order val="0"/>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Allocation'!$AD$7:$AD$22</c:f>
              <c:numCache>
                <c:formatCode>_(* #,##0_);_(* \(#,##0\);_(* "-"??_);_(@_)</c:formatCode>
                <c:ptCount val="16"/>
                <c:pt idx="0">
                  <c:v>1091002.6537435651</c:v>
                </c:pt>
                <c:pt idx="1">
                  <c:v>98138.064390406013</c:v>
                </c:pt>
                <c:pt idx="2">
                  <c:v>3454947.9616947472</c:v>
                </c:pt>
                <c:pt idx="3">
                  <c:v>-159956.56733833253</c:v>
                </c:pt>
                <c:pt idx="4">
                  <c:v>-1040564.5266439877</c:v>
                </c:pt>
                <c:pt idx="5">
                  <c:v>-96537.394771841355</c:v>
                </c:pt>
                <c:pt idx="6">
                  <c:v>658609.84674414992</c:v>
                </c:pt>
                <c:pt idx="7">
                  <c:v>-909111.61432333849</c:v>
                </c:pt>
                <c:pt idx="8">
                  <c:v>-56674.408126225695</c:v>
                </c:pt>
                <c:pt idx="9">
                  <c:v>1397529.5827675536</c:v>
                </c:pt>
                <c:pt idx="10">
                  <c:v>325041.28904803842</c:v>
                </c:pt>
                <c:pt idx="11">
                  <c:v>278587.88195596449</c:v>
                </c:pt>
                <c:pt idx="12">
                  <c:v>372445.07525436301</c:v>
                </c:pt>
                <c:pt idx="13">
                  <c:v>435419.25212615356</c:v>
                </c:pt>
                <c:pt idx="14">
                  <c:v>0</c:v>
                </c:pt>
                <c:pt idx="15">
                  <c:v>0</c:v>
                </c:pt>
              </c:numCache>
            </c:numRef>
          </c:val>
          <c:extLst>
            <c:ext xmlns:c16="http://schemas.microsoft.com/office/drawing/2014/chart" uri="{C3380CC4-5D6E-409C-BE32-E72D297353CC}">
              <c16:uniqueId val="{00000000-9863-4AEC-8A81-F627AA28BAD9}"/>
            </c:ext>
          </c:extLst>
        </c:ser>
        <c:dLbls>
          <c:showLegendKey val="0"/>
          <c:showVal val="0"/>
          <c:showCatName val="0"/>
          <c:showSerName val="0"/>
          <c:showPercent val="0"/>
          <c:showBubbleSize val="0"/>
        </c:dLbls>
        <c:gapWidth val="150"/>
        <c:axId val="2125165120"/>
        <c:axId val="2125168064"/>
      </c:barChart>
      <c:catAx>
        <c:axId val="2125165120"/>
        <c:scaling>
          <c:orientation val="minMax"/>
        </c:scaling>
        <c:delete val="0"/>
        <c:axPos val="b"/>
        <c:numFmt formatCode="General" sourceLinked="0"/>
        <c:majorTickMark val="out"/>
        <c:minorTickMark val="none"/>
        <c:tickLblPos val="nextTo"/>
        <c:crossAx val="2125168064"/>
        <c:crosses val="autoZero"/>
        <c:auto val="1"/>
        <c:lblAlgn val="ctr"/>
        <c:lblOffset val="100"/>
        <c:noMultiLvlLbl val="0"/>
      </c:catAx>
      <c:valAx>
        <c:axId val="2125168064"/>
        <c:scaling>
          <c:orientation val="minMax"/>
        </c:scaling>
        <c:delete val="0"/>
        <c:axPos val="l"/>
        <c:majorGridlines/>
        <c:numFmt formatCode="_(* #,##0_);_(* \(#,##0\);_(* &quot;-&quot;??_);_(@_)" sourceLinked="1"/>
        <c:majorTickMark val="out"/>
        <c:minorTickMark val="none"/>
        <c:tickLblPos val="nextTo"/>
        <c:crossAx val="2125165120"/>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'Service and Support Allocation'!$AA$32:$AA$52</c:f>
              <c:strCache>
                <c:ptCount val="21"/>
                <c:pt idx="0">
                  <c:v>    Summer Session</c:v>
                </c:pt>
                <c:pt idx="1">
                  <c:v>    International Programs </c:v>
                </c:pt>
                <c:pt idx="2">
                  <c:v>    University Libraries</c:v>
                </c:pt>
                <c:pt idx="3">
                  <c:v>    Office of the President</c:v>
                </c:pt>
                <c:pt idx="4">
                  <c:v>    University Relations &amp; Marketing</c:v>
                </c:pt>
                <c:pt idx="5">
                  <c:v>    Provost</c:v>
                </c:pt>
                <c:pt idx="6">
                  <c:v>    Provost - Pass-through</c:v>
                </c:pt>
                <c:pt idx="7">
                  <c:v>    Enrollment Management</c:v>
                </c:pt>
                <c:pt idx="8">
                  <c:v>Undergraduate Studies</c:v>
                </c:pt>
                <c:pt idx="9">
                  <c:v>    Academic Affairs</c:v>
                </c:pt>
                <c:pt idx="10">
                  <c:v>    Information Services </c:v>
                </c:pt>
                <c:pt idx="11">
                  <c:v>    Graduate SchoolAdministration</c:v>
                </c:pt>
                <c:pt idx="12">
                  <c:v>    Outreach &amp; Engagement</c:v>
                </c:pt>
                <c:pt idx="13">
                  <c:v>    Research Administration</c:v>
                </c:pt>
                <c:pt idx="14">
                  <c:v>    Student Affairs</c:v>
                </c:pt>
                <c:pt idx="15">
                  <c:v>    University Business Centers    </c:v>
                </c:pt>
                <c:pt idx="16">
                  <c:v>    Finance and Administration</c:v>
                </c:pt>
                <c:pt idx="17">
                  <c:v>    Facilities Services</c:v>
                </c:pt>
                <c:pt idx="18">
                  <c:v>    Risk Management</c:v>
                </c:pt>
                <c:pt idx="19">
                  <c:v>Capital Planning and Development</c:v>
                </c:pt>
                <c:pt idx="20">
                  <c:v>    Energy Operations</c:v>
                </c:pt>
              </c:strCache>
            </c:strRef>
          </c:cat>
          <c:val>
            <c:numRef>
              <c:f>'Service and Support Allocation'!$AB$32:$AB$52</c:f>
              <c:numCache>
                <c:formatCode>_(* #,##0_);_(* \(#,##0\);_(* "-"??_);_(@_)</c:formatCode>
                <c:ptCount val="21"/>
                <c:pt idx="0">
                  <c:v>535112.03073288093</c:v>
                </c:pt>
                <c:pt idx="1">
                  <c:v>4697910.0306345625</c:v>
                </c:pt>
                <c:pt idx="2">
                  <c:v>14395598.191832963</c:v>
                </c:pt>
                <c:pt idx="3">
                  <c:v>8390980.8901681937</c:v>
                </c:pt>
                <c:pt idx="4">
                  <c:v>3921595.722203155</c:v>
                </c:pt>
                <c:pt idx="5">
                  <c:v>1441801</c:v>
                </c:pt>
                <c:pt idx="6">
                  <c:v>7948710</c:v>
                </c:pt>
                <c:pt idx="7">
                  <c:v>9619195.5771910213</c:v>
                </c:pt>
                <c:pt idx="8">
                  <c:v>4972158.6469286196</c:v>
                </c:pt>
                <c:pt idx="9">
                  <c:v>3597301.1172417118</c:v>
                </c:pt>
                <c:pt idx="10">
                  <c:v>19526422.413185891</c:v>
                </c:pt>
                <c:pt idx="11">
                  <c:v>4478576.5193162952</c:v>
                </c:pt>
                <c:pt idx="12">
                  <c:v>1500790.5299174413</c:v>
                </c:pt>
                <c:pt idx="13">
                  <c:v>7525709.2859814875</c:v>
                </c:pt>
                <c:pt idx="14">
                  <c:v>7605397.4548346</c:v>
                </c:pt>
                <c:pt idx="15">
                  <c:v>12069695.356448947</c:v>
                </c:pt>
                <c:pt idx="16">
                  <c:v>24978281.048056472</c:v>
                </c:pt>
                <c:pt idx="17">
                  <c:v>17717915.391630206</c:v>
                </c:pt>
                <c:pt idx="18">
                  <c:v>3405402.9865202676</c:v>
                </c:pt>
                <c:pt idx="19">
                  <c:v>2332414.5337746036</c:v>
                </c:pt>
                <c:pt idx="20">
                  <c:v>12290233.01687951</c:v>
                </c:pt>
              </c:numCache>
            </c:numRef>
          </c:val>
          <c:extLst>
            <c:ext xmlns:c16="http://schemas.microsoft.com/office/drawing/2014/chart" uri="{C3380CC4-5D6E-409C-BE32-E72D297353CC}">
              <c16:uniqueId val="{00000000-86BC-4D04-8D3E-004AF070C106}"/>
            </c:ext>
          </c:extLst>
        </c:ser>
        <c:ser>
          <c:idx val="1"/>
          <c:order val="1"/>
          <c:invertIfNegative val="0"/>
          <c:cat>
            <c:strRef>
              <c:f>'Service and Support Allocation'!$AA$32:$AA$52</c:f>
              <c:strCache>
                <c:ptCount val="21"/>
                <c:pt idx="0">
                  <c:v>    Summer Session</c:v>
                </c:pt>
                <c:pt idx="1">
                  <c:v>    International Programs </c:v>
                </c:pt>
                <c:pt idx="2">
                  <c:v>    University Libraries</c:v>
                </c:pt>
                <c:pt idx="3">
                  <c:v>    Office of the President</c:v>
                </c:pt>
                <c:pt idx="4">
                  <c:v>    University Relations &amp; Marketing</c:v>
                </c:pt>
                <c:pt idx="5">
                  <c:v>    Provost</c:v>
                </c:pt>
                <c:pt idx="6">
                  <c:v>    Provost - Pass-through</c:v>
                </c:pt>
                <c:pt idx="7">
                  <c:v>    Enrollment Management</c:v>
                </c:pt>
                <c:pt idx="8">
                  <c:v>Undergraduate Studies</c:v>
                </c:pt>
                <c:pt idx="9">
                  <c:v>    Academic Affairs</c:v>
                </c:pt>
                <c:pt idx="10">
                  <c:v>    Information Services </c:v>
                </c:pt>
                <c:pt idx="11">
                  <c:v>    Graduate SchoolAdministration</c:v>
                </c:pt>
                <c:pt idx="12">
                  <c:v>    Outreach &amp; Engagement</c:v>
                </c:pt>
                <c:pt idx="13">
                  <c:v>    Research Administration</c:v>
                </c:pt>
                <c:pt idx="14">
                  <c:v>    Student Affairs</c:v>
                </c:pt>
                <c:pt idx="15">
                  <c:v>    University Business Centers    </c:v>
                </c:pt>
                <c:pt idx="16">
                  <c:v>    Finance and Administration</c:v>
                </c:pt>
                <c:pt idx="17">
                  <c:v>    Facilities Services</c:v>
                </c:pt>
                <c:pt idx="18">
                  <c:v>    Risk Management</c:v>
                </c:pt>
                <c:pt idx="19">
                  <c:v>Capital Planning and Development</c:v>
                </c:pt>
                <c:pt idx="20">
                  <c:v>    Energy Operations</c:v>
                </c:pt>
              </c:strCache>
            </c:strRef>
          </c:cat>
          <c:val>
            <c:numRef>
              <c:f>'Service and Support Allocation'!$AC$32:$AC$52</c:f>
              <c:numCache>
                <c:formatCode>_(* #,##0_);_(* \(#,##0\);_(* "-"??_);_(@_)</c:formatCode>
                <c:ptCount val="21"/>
                <c:pt idx="0">
                  <c:v>543366</c:v>
                </c:pt>
                <c:pt idx="1">
                  <c:v>4706010</c:v>
                </c:pt>
                <c:pt idx="2">
                  <c:v>14579074</c:v>
                </c:pt>
                <c:pt idx="3">
                  <c:v>8388275</c:v>
                </c:pt>
                <c:pt idx="4">
                  <c:v>3982978</c:v>
                </c:pt>
                <c:pt idx="5">
                  <c:v>1441801</c:v>
                </c:pt>
                <c:pt idx="6">
                  <c:v>7948710</c:v>
                </c:pt>
                <c:pt idx="7">
                  <c:v>9724870</c:v>
                </c:pt>
                <c:pt idx="8">
                  <c:v>5000049</c:v>
                </c:pt>
                <c:pt idx="9">
                  <c:v>3643184</c:v>
                </c:pt>
                <c:pt idx="10">
                  <c:v>19774816</c:v>
                </c:pt>
                <c:pt idx="11">
                  <c:v>4507186</c:v>
                </c:pt>
                <c:pt idx="12">
                  <c:v>1522413</c:v>
                </c:pt>
                <c:pt idx="13">
                  <c:v>7582890</c:v>
                </c:pt>
                <c:pt idx="14">
                  <c:v>7705927</c:v>
                </c:pt>
                <c:pt idx="15">
                  <c:v>12221894</c:v>
                </c:pt>
                <c:pt idx="16">
                  <c:v>25322352</c:v>
                </c:pt>
                <c:pt idx="17">
                  <c:v>17924002</c:v>
                </c:pt>
                <c:pt idx="18">
                  <c:v>3458422</c:v>
                </c:pt>
                <c:pt idx="19">
                  <c:v>2369486</c:v>
                </c:pt>
                <c:pt idx="20">
                  <c:v>12402374</c:v>
                </c:pt>
              </c:numCache>
            </c:numRef>
          </c:val>
          <c:extLst>
            <c:ext xmlns:c16="http://schemas.microsoft.com/office/drawing/2014/chart" uri="{C3380CC4-5D6E-409C-BE32-E72D297353CC}">
              <c16:uniqueId val="{00000001-86BC-4D04-8D3E-004AF070C106}"/>
            </c:ext>
          </c:extLst>
        </c:ser>
        <c:dLbls>
          <c:showLegendKey val="0"/>
          <c:showVal val="0"/>
          <c:showCatName val="0"/>
          <c:showSerName val="0"/>
          <c:showPercent val="0"/>
          <c:showBubbleSize val="0"/>
        </c:dLbls>
        <c:gapWidth val="150"/>
        <c:axId val="2125217008"/>
        <c:axId val="2125220064"/>
      </c:barChart>
      <c:catAx>
        <c:axId val="2125217008"/>
        <c:scaling>
          <c:orientation val="minMax"/>
        </c:scaling>
        <c:delete val="0"/>
        <c:axPos val="b"/>
        <c:numFmt formatCode="General" sourceLinked="0"/>
        <c:majorTickMark val="out"/>
        <c:minorTickMark val="none"/>
        <c:tickLblPos val="nextTo"/>
        <c:crossAx val="2125220064"/>
        <c:crosses val="autoZero"/>
        <c:auto val="1"/>
        <c:lblAlgn val="ctr"/>
        <c:lblOffset val="100"/>
        <c:noMultiLvlLbl val="0"/>
      </c:catAx>
      <c:valAx>
        <c:axId val="2125220064"/>
        <c:scaling>
          <c:orientation val="minMax"/>
        </c:scaling>
        <c:delete val="0"/>
        <c:axPos val="l"/>
        <c:majorGridlines/>
        <c:numFmt formatCode="_(* #,##0_);_(* \(#,##0\);_(* &quot;-&quot;??_);_(@_)" sourceLinked="1"/>
        <c:majorTickMark val="out"/>
        <c:minorTickMark val="none"/>
        <c:tickLblPos val="nextTo"/>
        <c:crossAx val="2125217008"/>
        <c:crosses val="autoZero"/>
        <c:crossBetween val="between"/>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Gap--Model Minus</a:t>
            </a:r>
            <a:r>
              <a:rPr lang="en-US" baseline="0"/>
              <a:t> FY15 Adjusted Actual</a:t>
            </a:r>
          </a:p>
        </c:rich>
      </c:tx>
      <c:overlay val="0"/>
    </c:title>
    <c:autoTitleDeleted val="0"/>
    <c:plotArea>
      <c:layout/>
      <c:barChart>
        <c:barDir val="col"/>
        <c:grouping val="clustered"/>
        <c:varyColors val="0"/>
        <c:ser>
          <c:idx val="0"/>
          <c:order val="0"/>
          <c:invertIfNegative val="0"/>
          <c:cat>
            <c:strRef>
              <c:f>'Service and Support Allocation'!$AA$35:$AA$52</c:f>
              <c:strCache>
                <c:ptCount val="18"/>
                <c:pt idx="0">
                  <c:v>    Office of the President</c:v>
                </c:pt>
                <c:pt idx="1">
                  <c:v>    University Relations &amp; Marketing</c:v>
                </c:pt>
                <c:pt idx="2">
                  <c:v>    Provost</c:v>
                </c:pt>
                <c:pt idx="3">
                  <c:v>    Provost - Pass-through</c:v>
                </c:pt>
                <c:pt idx="4">
                  <c:v>    Enrollment Management</c:v>
                </c:pt>
                <c:pt idx="5">
                  <c:v>Undergraduate Studies</c:v>
                </c:pt>
                <c:pt idx="6">
                  <c:v>    Academic Affairs</c:v>
                </c:pt>
                <c:pt idx="7">
                  <c:v>    Information Services </c:v>
                </c:pt>
                <c:pt idx="8">
                  <c:v>    Graduate SchoolAdministration</c:v>
                </c:pt>
                <c:pt idx="9">
                  <c:v>    Outreach &amp; Engagement</c:v>
                </c:pt>
                <c:pt idx="10">
                  <c:v>    Research Administration</c:v>
                </c:pt>
                <c:pt idx="11">
                  <c:v>    Student Affairs</c:v>
                </c:pt>
                <c:pt idx="12">
                  <c:v>    University Business Centers    </c:v>
                </c:pt>
                <c:pt idx="13">
                  <c:v>    Finance and Administration</c:v>
                </c:pt>
                <c:pt idx="14">
                  <c:v>    Facilities Services</c:v>
                </c:pt>
                <c:pt idx="15">
                  <c:v>    Risk Management</c:v>
                </c:pt>
                <c:pt idx="16">
                  <c:v>Capital Planning and Development</c:v>
                </c:pt>
                <c:pt idx="17">
                  <c:v>    Energy Operations</c:v>
                </c:pt>
              </c:strCache>
            </c:strRef>
          </c:cat>
          <c:val>
            <c:numRef>
              <c:f>'Service and Support Allocation'!$AD$35:$AD$52</c:f>
              <c:numCache>
                <c:formatCode>_(* #,##0_);_(* \(#,##0\);_(* "-"??_);_(@_)</c:formatCode>
                <c:ptCount val="18"/>
                <c:pt idx="0">
                  <c:v>2705.8901681937277</c:v>
                </c:pt>
                <c:pt idx="1">
                  <c:v>-61382.277796844952</c:v>
                </c:pt>
                <c:pt idx="2">
                  <c:v>0</c:v>
                </c:pt>
                <c:pt idx="3">
                  <c:v>0</c:v>
                </c:pt>
                <c:pt idx="4">
                  <c:v>-105674.42280897871</c:v>
                </c:pt>
                <c:pt idx="5">
                  <c:v>-27890.353071380407</c:v>
                </c:pt>
                <c:pt idx="6">
                  <c:v>-45882.882758288179</c:v>
                </c:pt>
                <c:pt idx="7">
                  <c:v>-248393.58681410924</c:v>
                </c:pt>
                <c:pt idx="8">
                  <c:v>-28609.480683704838</c:v>
                </c:pt>
                <c:pt idx="9">
                  <c:v>-21622.470082558692</c:v>
                </c:pt>
                <c:pt idx="10">
                  <c:v>-57180.714018512517</c:v>
                </c:pt>
                <c:pt idx="11">
                  <c:v>-100529.54516540002</c:v>
                </c:pt>
                <c:pt idx="12">
                  <c:v>-152198.64355105348</c:v>
                </c:pt>
                <c:pt idx="13">
                  <c:v>-344070.95194352791</c:v>
                </c:pt>
                <c:pt idx="14">
                  <c:v>-206086.60836979374</c:v>
                </c:pt>
                <c:pt idx="15">
                  <c:v>-53019.013479732443</c:v>
                </c:pt>
                <c:pt idx="16">
                  <c:v>-37071.466225396376</c:v>
                </c:pt>
                <c:pt idx="17">
                  <c:v>-112140.98312048987</c:v>
                </c:pt>
              </c:numCache>
            </c:numRef>
          </c:val>
          <c:extLst>
            <c:ext xmlns:c16="http://schemas.microsoft.com/office/drawing/2014/chart" uri="{C3380CC4-5D6E-409C-BE32-E72D297353CC}">
              <c16:uniqueId val="{00000000-0349-465A-BF88-F46DEBD85C6B}"/>
            </c:ext>
          </c:extLst>
        </c:ser>
        <c:dLbls>
          <c:showLegendKey val="0"/>
          <c:showVal val="0"/>
          <c:showCatName val="0"/>
          <c:showSerName val="0"/>
          <c:showPercent val="0"/>
          <c:showBubbleSize val="0"/>
        </c:dLbls>
        <c:gapWidth val="150"/>
        <c:axId val="2125247440"/>
        <c:axId val="2125250432"/>
      </c:barChart>
      <c:catAx>
        <c:axId val="2125247440"/>
        <c:scaling>
          <c:orientation val="minMax"/>
        </c:scaling>
        <c:delete val="0"/>
        <c:axPos val="b"/>
        <c:numFmt formatCode="General" sourceLinked="0"/>
        <c:majorTickMark val="out"/>
        <c:minorTickMark val="none"/>
        <c:tickLblPos val="nextTo"/>
        <c:crossAx val="2125250432"/>
        <c:crosses val="autoZero"/>
        <c:auto val="1"/>
        <c:lblAlgn val="ctr"/>
        <c:lblOffset val="1000"/>
        <c:noMultiLvlLbl val="0"/>
      </c:catAx>
      <c:valAx>
        <c:axId val="2125250432"/>
        <c:scaling>
          <c:orientation val="minMax"/>
          <c:max val="200000"/>
          <c:min val="-200000"/>
        </c:scaling>
        <c:delete val="0"/>
        <c:axPos val="l"/>
        <c:majorGridlines/>
        <c:numFmt formatCode="_(* #,##0_);_(* \(#,##0\);_(* &quot;-&quot;??_);_(@_)" sourceLinked="1"/>
        <c:majorTickMark val="out"/>
        <c:minorTickMark val="none"/>
        <c:tickLblPos val="nextTo"/>
        <c:crossAx val="2125247440"/>
        <c:crosses val="autoZero"/>
        <c:crossBetween val="between"/>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200"/>
              <a:t>Distribution of undergrad completion pool</a:t>
            </a:r>
          </a:p>
        </c:rich>
      </c:tx>
      <c:overlay val="0"/>
    </c:title>
    <c:autoTitleDeleted val="0"/>
    <c:plotArea>
      <c:layout/>
      <c:scatterChart>
        <c:scatterStyle val="lineMarker"/>
        <c:varyColors val="0"/>
        <c:ser>
          <c:idx val="0"/>
          <c:order val="0"/>
          <c:spPr>
            <a:ln w="47625">
              <a:noFill/>
            </a:ln>
          </c:spPr>
          <c:trendline>
            <c:trendlineType val="linear"/>
            <c:dispRSqr val="0"/>
            <c:dispEq val="0"/>
          </c:trendline>
          <c:xVal>
            <c:numRef>
              <c:f>'Undergrad Completions'!$F$70:$F$81</c:f>
              <c:numCache>
                <c:formatCode>0.00%</c:formatCode>
                <c:ptCount val="12"/>
                <c:pt idx="0">
                  <c:v>0.10317316392370419</c:v>
                </c:pt>
                <c:pt idx="1">
                  <c:v>0.12836867491120668</c:v>
                </c:pt>
                <c:pt idx="2">
                  <c:v>1.2447034470798674E-2</c:v>
                </c:pt>
                <c:pt idx="3">
                  <c:v>4.0074978604820517E-2</c:v>
                </c:pt>
                <c:pt idx="4">
                  <c:v>0</c:v>
                </c:pt>
                <c:pt idx="5">
                  <c:v>0.13180775635604364</c:v>
                </c:pt>
                <c:pt idx="6">
                  <c:v>3.0024108157886455E-5</c:v>
                </c:pt>
                <c:pt idx="7">
                  <c:v>0.17687154077237863</c:v>
                </c:pt>
                <c:pt idx="8">
                  <c:v>0</c:v>
                </c:pt>
                <c:pt idx="9">
                  <c:v>0.23513536429211201</c:v>
                </c:pt>
                <c:pt idx="10">
                  <c:v>0.13892322979659749</c:v>
                </c:pt>
                <c:pt idx="11">
                  <c:v>3.3168232764180329E-2</c:v>
                </c:pt>
              </c:numCache>
            </c:numRef>
          </c:xVal>
          <c:yVal>
            <c:numRef>
              <c:f>'Undergrad Completions'!$G$70:$G$81</c:f>
              <c:numCache>
                <c:formatCode>0.00%</c:formatCode>
                <c:ptCount val="12"/>
                <c:pt idx="0">
                  <c:v>8.7119284504576608E-2</c:v>
                </c:pt>
                <c:pt idx="1">
                  <c:v>0.13898374257389956</c:v>
                </c:pt>
                <c:pt idx="2">
                  <c:v>5.9445650013092196E-4</c:v>
                </c:pt>
                <c:pt idx="3">
                  <c:v>2.8873601434930493E-2</c:v>
                </c:pt>
                <c:pt idx="4">
                  <c:v>0</c:v>
                </c:pt>
                <c:pt idx="5">
                  <c:v>0.17244315129555429</c:v>
                </c:pt>
                <c:pt idx="6">
                  <c:v>0</c:v>
                </c:pt>
                <c:pt idx="7">
                  <c:v>0.15444932033163467</c:v>
                </c:pt>
                <c:pt idx="8">
                  <c:v>0</c:v>
                </c:pt>
                <c:pt idx="9">
                  <c:v>0.31174880341065031</c:v>
                </c:pt>
                <c:pt idx="10">
                  <c:v>8.7306499701046397E-2</c:v>
                </c:pt>
                <c:pt idx="11">
                  <c:v>1.8481140247576744E-2</c:v>
                </c:pt>
              </c:numCache>
            </c:numRef>
          </c:yVal>
          <c:smooth val="0"/>
          <c:extLst>
            <c:ext xmlns:c16="http://schemas.microsoft.com/office/drawing/2014/chart" uri="{C3380CC4-5D6E-409C-BE32-E72D297353CC}">
              <c16:uniqueId val="{00000000-4E4E-4290-A1C7-3742BAB9B42B}"/>
            </c:ext>
          </c:extLst>
        </c:ser>
        <c:dLbls>
          <c:showLegendKey val="0"/>
          <c:showVal val="0"/>
          <c:showCatName val="0"/>
          <c:showSerName val="0"/>
          <c:showPercent val="0"/>
          <c:showBubbleSize val="0"/>
        </c:dLbls>
        <c:axId val="2124714592"/>
        <c:axId val="2124709728"/>
      </c:scatterChart>
      <c:valAx>
        <c:axId val="2124714592"/>
        <c:scaling>
          <c:orientation val="minMax"/>
        </c:scaling>
        <c:delete val="0"/>
        <c:axPos val="b"/>
        <c:title>
          <c:tx>
            <c:rich>
              <a:bodyPr/>
              <a:lstStyle/>
              <a:p>
                <a:pPr>
                  <a:defRPr sz="1200"/>
                </a:pPr>
                <a:r>
                  <a:rPr lang="en-US" sz="1200"/>
                  <a:t>Share of Weighted Degrees</a:t>
                </a:r>
              </a:p>
            </c:rich>
          </c:tx>
          <c:overlay val="0"/>
        </c:title>
        <c:numFmt formatCode="0.00%" sourceLinked="1"/>
        <c:majorTickMark val="none"/>
        <c:minorTickMark val="none"/>
        <c:tickLblPos val="nextTo"/>
        <c:crossAx val="2124709728"/>
        <c:crosses val="autoZero"/>
        <c:crossBetween val="midCat"/>
      </c:valAx>
      <c:valAx>
        <c:axId val="2124709728"/>
        <c:scaling>
          <c:orientation val="minMax"/>
        </c:scaling>
        <c:delete val="0"/>
        <c:axPos val="l"/>
        <c:majorGridlines/>
        <c:title>
          <c:tx>
            <c:rich>
              <a:bodyPr/>
              <a:lstStyle/>
              <a:p>
                <a:pPr>
                  <a:defRPr sz="1200"/>
                </a:pPr>
                <a:r>
                  <a:rPr lang="en-US" sz="1200"/>
                  <a:t>Share of Weight UD SCH</a:t>
                </a:r>
              </a:p>
              <a:p>
                <a:pPr>
                  <a:defRPr sz="1200"/>
                </a:pPr>
                <a:endParaRPr lang="en-US" sz="1200"/>
              </a:p>
            </c:rich>
          </c:tx>
          <c:overlay val="0"/>
        </c:title>
        <c:numFmt formatCode="0.00%" sourceLinked="1"/>
        <c:majorTickMark val="none"/>
        <c:minorTickMark val="none"/>
        <c:tickLblPos val="nextTo"/>
        <c:crossAx val="2124714592"/>
        <c:crosses val="autoZero"/>
        <c:crossBetween val="midCat"/>
      </c:valAx>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Shares of Graduate Completion</a:t>
            </a:r>
            <a:r>
              <a:rPr lang="en-US" baseline="0"/>
              <a:t> Pool</a:t>
            </a:r>
            <a:endParaRPr lang="en-US"/>
          </a:p>
        </c:rich>
      </c:tx>
      <c:overlay val="0"/>
    </c:title>
    <c:autoTitleDeleted val="0"/>
    <c:plotArea>
      <c:layout/>
      <c:scatterChart>
        <c:scatterStyle val="lineMarker"/>
        <c:varyColors val="0"/>
        <c:ser>
          <c:idx val="0"/>
          <c:order val="0"/>
          <c:spPr>
            <a:ln w="47625">
              <a:noFill/>
            </a:ln>
          </c:spPr>
          <c:xVal>
            <c:numRef>
              <c:f>'Graduate Completions'!$B$114:$B$125</c:f>
              <c:numCache>
                <c:formatCode>0.00%</c:formatCode>
                <c:ptCount val="12"/>
                <c:pt idx="0">
                  <c:v>0.11676310023808248</c:v>
                </c:pt>
                <c:pt idx="1">
                  <c:v>5.844962363500826E-2</c:v>
                </c:pt>
                <c:pt idx="2">
                  <c:v>5.485900492343284E-2</c:v>
                </c:pt>
                <c:pt idx="3">
                  <c:v>4.9457441430718507E-2</c:v>
                </c:pt>
                <c:pt idx="4">
                  <c:v>7.831133146150214E-2</c:v>
                </c:pt>
                <c:pt idx="5">
                  <c:v>8.7924413867524698E-2</c:v>
                </c:pt>
                <c:pt idx="6">
                  <c:v>1.5420344498446342E-2</c:v>
                </c:pt>
                <c:pt idx="7">
                  <c:v>7.1711095280632409E-2</c:v>
                </c:pt>
                <c:pt idx="8">
                  <c:v>5.1574370958554529E-2</c:v>
                </c:pt>
                <c:pt idx="9">
                  <c:v>0.29481540705636594</c:v>
                </c:pt>
                <c:pt idx="10">
                  <c:v>6.9715857790043079E-2</c:v>
                </c:pt>
                <c:pt idx="11">
                  <c:v>5.0998008859688866E-2</c:v>
                </c:pt>
              </c:numCache>
            </c:numRef>
          </c:xVal>
          <c:yVal>
            <c:numRef>
              <c:f>'Graduate Completions'!$C$114:$C$125</c:f>
              <c:numCache>
                <c:formatCode>0.00%</c:formatCode>
                <c:ptCount val="12"/>
                <c:pt idx="0">
                  <c:v>9.0791163332326758E-2</c:v>
                </c:pt>
                <c:pt idx="1">
                  <c:v>2.6693021956825349E-2</c:v>
                </c:pt>
                <c:pt idx="2">
                  <c:v>8.1349469088539111E-3</c:v>
                </c:pt>
                <c:pt idx="3">
                  <c:v>2.9471086143206635E-2</c:v>
                </c:pt>
                <c:pt idx="4">
                  <c:v>0.16098331006113545</c:v>
                </c:pt>
                <c:pt idx="5">
                  <c:v>0.12905966198761112</c:v>
                </c:pt>
                <c:pt idx="6">
                  <c:v>2.4427072751697886E-2</c:v>
                </c:pt>
                <c:pt idx="7">
                  <c:v>4.9473854599360441E-2</c:v>
                </c:pt>
                <c:pt idx="8">
                  <c:v>0.11104408827271108</c:v>
                </c:pt>
                <c:pt idx="9">
                  <c:v>0.28279476449419855</c:v>
                </c:pt>
                <c:pt idx="10">
                  <c:v>4.7448038873316167E-2</c:v>
                </c:pt>
                <c:pt idx="11">
                  <c:v>3.9678990618756661E-2</c:v>
                </c:pt>
              </c:numCache>
            </c:numRef>
          </c:yVal>
          <c:smooth val="0"/>
          <c:extLst>
            <c:ext xmlns:c16="http://schemas.microsoft.com/office/drawing/2014/chart" uri="{C3380CC4-5D6E-409C-BE32-E72D297353CC}">
              <c16:uniqueId val="{00000000-7C34-4C16-9FBC-C04A7491511B}"/>
            </c:ext>
          </c:extLst>
        </c:ser>
        <c:dLbls>
          <c:showLegendKey val="0"/>
          <c:showVal val="0"/>
          <c:showCatName val="0"/>
          <c:showSerName val="0"/>
          <c:showPercent val="0"/>
          <c:showBubbleSize val="0"/>
        </c:dLbls>
        <c:axId val="2124661712"/>
        <c:axId val="2124656752"/>
      </c:scatterChart>
      <c:valAx>
        <c:axId val="2124661712"/>
        <c:scaling>
          <c:orientation val="minMax"/>
        </c:scaling>
        <c:delete val="0"/>
        <c:axPos val="b"/>
        <c:title>
          <c:tx>
            <c:rich>
              <a:bodyPr/>
              <a:lstStyle/>
              <a:p>
                <a:pPr>
                  <a:defRPr/>
                </a:pPr>
                <a:r>
                  <a:rPr lang="en-US"/>
                  <a:t>Shares by Degrees</a:t>
                </a:r>
              </a:p>
            </c:rich>
          </c:tx>
          <c:overlay val="0"/>
        </c:title>
        <c:numFmt formatCode="0.00%" sourceLinked="1"/>
        <c:majorTickMark val="none"/>
        <c:minorTickMark val="none"/>
        <c:tickLblPos val="nextTo"/>
        <c:crossAx val="2124656752"/>
        <c:crosses val="autoZero"/>
        <c:crossBetween val="midCat"/>
      </c:valAx>
      <c:valAx>
        <c:axId val="2124656752"/>
        <c:scaling>
          <c:orientation val="minMax"/>
        </c:scaling>
        <c:delete val="0"/>
        <c:axPos val="l"/>
        <c:majorGridlines/>
        <c:title>
          <c:tx>
            <c:rich>
              <a:bodyPr/>
              <a:lstStyle/>
              <a:p>
                <a:pPr>
                  <a:defRPr/>
                </a:pPr>
                <a:r>
                  <a:rPr lang="en-US"/>
                  <a:t>Shares by Credit Hours</a:t>
                </a:r>
              </a:p>
              <a:p>
                <a:pPr>
                  <a:defRPr/>
                </a:pPr>
                <a:endParaRPr lang="en-US"/>
              </a:p>
            </c:rich>
          </c:tx>
          <c:overlay val="0"/>
        </c:title>
        <c:numFmt formatCode="0.00%" sourceLinked="1"/>
        <c:majorTickMark val="none"/>
        <c:minorTickMark val="none"/>
        <c:tickLblPos val="nextTo"/>
        <c:crossAx val="2124661712"/>
        <c:crosses val="autoZero"/>
        <c:crossBetween val="midCat"/>
      </c:valAx>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t>Shares of Graduate Completion</a:t>
            </a:r>
            <a:r>
              <a:rPr lang="en-US" sz="1400" baseline="0"/>
              <a:t> Pool (w/o Vet, Pharm</a:t>
            </a:r>
            <a:r>
              <a:rPr lang="en-US" baseline="0"/>
              <a:t>)</a:t>
            </a:r>
            <a:endParaRPr lang="en-US"/>
          </a:p>
        </c:rich>
      </c:tx>
      <c:overlay val="0"/>
    </c:title>
    <c:autoTitleDeleted val="0"/>
    <c:plotArea>
      <c:layout/>
      <c:scatterChart>
        <c:scatterStyle val="lineMarker"/>
        <c:varyColors val="0"/>
        <c:ser>
          <c:idx val="0"/>
          <c:order val="0"/>
          <c:spPr>
            <a:ln w="47625">
              <a:noFill/>
            </a:ln>
          </c:spPr>
          <c:xVal>
            <c:numRef>
              <c:f>'Graduate Completions'!$B$133:$B$144</c:f>
              <c:numCache>
                <c:formatCode>0.00%</c:formatCode>
                <c:ptCount val="12"/>
                <c:pt idx="0">
                  <c:v>0.11676310023808248</c:v>
                </c:pt>
                <c:pt idx="1">
                  <c:v>5.844962363500826E-2</c:v>
                </c:pt>
                <c:pt idx="2">
                  <c:v>5.485900492343284E-2</c:v>
                </c:pt>
                <c:pt idx="3">
                  <c:v>4.9457441430718507E-2</c:v>
                </c:pt>
                <c:pt idx="5">
                  <c:v>8.7924413867524698E-2</c:v>
                </c:pt>
                <c:pt idx="6">
                  <c:v>1.5420344498446342E-2</c:v>
                </c:pt>
                <c:pt idx="7">
                  <c:v>7.1711095280632409E-2</c:v>
                </c:pt>
                <c:pt idx="9">
                  <c:v>0.29481540705636594</c:v>
                </c:pt>
                <c:pt idx="10">
                  <c:v>6.9715857790043079E-2</c:v>
                </c:pt>
                <c:pt idx="11">
                  <c:v>5.0998008859688866E-2</c:v>
                </c:pt>
              </c:numCache>
            </c:numRef>
          </c:xVal>
          <c:yVal>
            <c:numRef>
              <c:f>'Graduate Completions'!$C$133:$C$144</c:f>
              <c:numCache>
                <c:formatCode>0.00%</c:formatCode>
                <c:ptCount val="12"/>
                <c:pt idx="0">
                  <c:v>9.0791163332326758E-2</c:v>
                </c:pt>
                <c:pt idx="1">
                  <c:v>2.6693021956825349E-2</c:v>
                </c:pt>
                <c:pt idx="2">
                  <c:v>8.1349469088539111E-3</c:v>
                </c:pt>
                <c:pt idx="3">
                  <c:v>2.9471086143206635E-2</c:v>
                </c:pt>
                <c:pt idx="5">
                  <c:v>0.12905966198761112</c:v>
                </c:pt>
                <c:pt idx="6">
                  <c:v>2.4427072751697886E-2</c:v>
                </c:pt>
                <c:pt idx="7">
                  <c:v>4.9473854599360441E-2</c:v>
                </c:pt>
                <c:pt idx="9">
                  <c:v>0.28279476449419855</c:v>
                </c:pt>
                <c:pt idx="10">
                  <c:v>4.7448038873316167E-2</c:v>
                </c:pt>
                <c:pt idx="11">
                  <c:v>3.9678990618756661E-2</c:v>
                </c:pt>
              </c:numCache>
            </c:numRef>
          </c:yVal>
          <c:smooth val="0"/>
          <c:extLst>
            <c:ext xmlns:c16="http://schemas.microsoft.com/office/drawing/2014/chart" uri="{C3380CC4-5D6E-409C-BE32-E72D297353CC}">
              <c16:uniqueId val="{00000000-1B38-4FDC-B589-BDC615078135}"/>
            </c:ext>
          </c:extLst>
        </c:ser>
        <c:dLbls>
          <c:showLegendKey val="0"/>
          <c:showVal val="0"/>
          <c:showCatName val="0"/>
          <c:showSerName val="0"/>
          <c:showPercent val="0"/>
          <c:showBubbleSize val="0"/>
        </c:dLbls>
        <c:axId val="2124627344"/>
        <c:axId val="2124622384"/>
      </c:scatterChart>
      <c:valAx>
        <c:axId val="2124627344"/>
        <c:scaling>
          <c:orientation val="minMax"/>
        </c:scaling>
        <c:delete val="0"/>
        <c:axPos val="b"/>
        <c:title>
          <c:tx>
            <c:rich>
              <a:bodyPr/>
              <a:lstStyle/>
              <a:p>
                <a:pPr>
                  <a:defRPr/>
                </a:pPr>
                <a:r>
                  <a:rPr lang="en-US"/>
                  <a:t>Shares by Degrees</a:t>
                </a:r>
              </a:p>
            </c:rich>
          </c:tx>
          <c:overlay val="0"/>
        </c:title>
        <c:numFmt formatCode="0.00%" sourceLinked="1"/>
        <c:majorTickMark val="none"/>
        <c:minorTickMark val="none"/>
        <c:tickLblPos val="nextTo"/>
        <c:crossAx val="2124622384"/>
        <c:crosses val="autoZero"/>
        <c:crossBetween val="midCat"/>
      </c:valAx>
      <c:valAx>
        <c:axId val="2124622384"/>
        <c:scaling>
          <c:orientation val="minMax"/>
        </c:scaling>
        <c:delete val="0"/>
        <c:axPos val="l"/>
        <c:majorGridlines/>
        <c:title>
          <c:tx>
            <c:rich>
              <a:bodyPr/>
              <a:lstStyle/>
              <a:p>
                <a:pPr>
                  <a:defRPr/>
                </a:pPr>
                <a:r>
                  <a:rPr lang="en-US"/>
                  <a:t>Shares by Credit Hours</a:t>
                </a:r>
              </a:p>
              <a:p>
                <a:pPr>
                  <a:defRPr/>
                </a:pPr>
                <a:endParaRPr lang="en-US"/>
              </a:p>
            </c:rich>
          </c:tx>
          <c:overlay val="0"/>
        </c:title>
        <c:numFmt formatCode="0.00%" sourceLinked="1"/>
        <c:majorTickMark val="none"/>
        <c:minorTickMark val="none"/>
        <c:tickLblPos val="nextTo"/>
        <c:crossAx val="2124627344"/>
        <c:crosses val="autoZero"/>
        <c:crossBetween val="midCat"/>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88900</xdr:colOff>
      <xdr:row>2</xdr:row>
      <xdr:rowOff>355600</xdr:rowOff>
    </xdr:from>
    <xdr:to>
      <xdr:col>24</xdr:col>
      <xdr:colOff>330200</xdr:colOff>
      <xdr:row>43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95250</xdr:colOff>
      <xdr:row>43</xdr:row>
      <xdr:rowOff>177800</xdr:rowOff>
    </xdr:from>
    <xdr:to>
      <xdr:col>24</xdr:col>
      <xdr:colOff>114300</xdr:colOff>
      <xdr:row>59</xdr:row>
      <xdr:rowOff>177800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869950</xdr:colOff>
      <xdr:row>3</xdr:row>
      <xdr:rowOff>127000</xdr:rowOff>
    </xdr:from>
    <xdr:to>
      <xdr:col>21</xdr:col>
      <xdr:colOff>317500</xdr:colOff>
      <xdr:row>28</xdr:row>
      <xdr:rowOff>63500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869950</xdr:colOff>
      <xdr:row>30</xdr:row>
      <xdr:rowOff>38100</xdr:rowOff>
    </xdr:from>
    <xdr:to>
      <xdr:col>21</xdr:col>
      <xdr:colOff>355600</xdr:colOff>
      <xdr:row>46</xdr:row>
      <xdr:rowOff>88900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127000</xdr:colOff>
      <xdr:row>29</xdr:row>
      <xdr:rowOff>127000</xdr:rowOff>
    </xdr:from>
    <xdr:to>
      <xdr:col>14</xdr:col>
      <xdr:colOff>1143000</xdr:colOff>
      <xdr:row>40</xdr:row>
      <xdr:rowOff>101600</xdr:rowOff>
    </xdr:to>
    <xdr:cxnSp macro="">
      <xdr:nvCxnSpPr>
        <xdr:cNvPr id="3" name="Straight Arrow Connector 2"/>
        <xdr:cNvCxnSpPr/>
      </xdr:nvCxnSpPr>
      <xdr:spPr>
        <a:xfrm flipV="1">
          <a:off x="8585200" y="6096000"/>
          <a:ext cx="1016000" cy="2209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139700</xdr:colOff>
      <xdr:row>43</xdr:row>
      <xdr:rowOff>139700</xdr:rowOff>
    </xdr:from>
    <xdr:to>
      <xdr:col>14</xdr:col>
      <xdr:colOff>1104900</xdr:colOff>
      <xdr:row>52</xdr:row>
      <xdr:rowOff>88900</xdr:rowOff>
    </xdr:to>
    <xdr:cxnSp macro="">
      <xdr:nvCxnSpPr>
        <xdr:cNvPr id="5" name="Straight Arrow Connector 4"/>
        <xdr:cNvCxnSpPr/>
      </xdr:nvCxnSpPr>
      <xdr:spPr>
        <a:xfrm>
          <a:off x="8597900" y="8953500"/>
          <a:ext cx="965200" cy="1828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698500</xdr:colOff>
      <xdr:row>64</xdr:row>
      <xdr:rowOff>165100</xdr:rowOff>
    </xdr:from>
    <xdr:to>
      <xdr:col>15</xdr:col>
      <xdr:colOff>1193800</xdr:colOff>
      <xdr:row>84</xdr:row>
      <xdr:rowOff>25400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110</xdr:row>
      <xdr:rowOff>12700</xdr:rowOff>
    </xdr:from>
    <xdr:to>
      <xdr:col>9</xdr:col>
      <xdr:colOff>749300</xdr:colOff>
      <xdr:row>127</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546100</xdr:colOff>
      <xdr:row>129</xdr:row>
      <xdr:rowOff>25400</xdr:rowOff>
    </xdr:from>
    <xdr:to>
      <xdr:col>9</xdr:col>
      <xdr:colOff>622300</xdr:colOff>
      <xdr:row>146</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1"/>
  <sheetViews>
    <sheetView tabSelected="1" zoomScale="80" zoomScaleNormal="80" zoomScalePageLayoutView="80" workbookViewId="0">
      <selection activeCell="A7" sqref="A7"/>
    </sheetView>
  </sheetViews>
  <sheetFormatPr defaultColWidth="10.875" defaultRowHeight="15.75"/>
  <cols>
    <col min="1" max="1" width="31.125" style="329" customWidth="1"/>
    <col min="2" max="2" width="38.375" style="329" customWidth="1"/>
    <col min="3" max="5" width="14" style="329" customWidth="1"/>
    <col min="6" max="6" width="15.5" style="329" customWidth="1"/>
    <col min="7" max="7" width="11" style="329" customWidth="1"/>
    <col min="8" max="8" width="10.625" style="329" customWidth="1"/>
    <col min="9" max="9" width="11.375" style="329" customWidth="1"/>
    <col min="10" max="10" width="12" style="329" bestFit="1" customWidth="1"/>
    <col min="11" max="16384" width="10.875" style="329"/>
  </cols>
  <sheetData>
    <row r="1" spans="1:20" ht="38.1" customHeight="1" thickBot="1">
      <c r="A1" s="1070" t="s">
        <v>1167</v>
      </c>
      <c r="B1" s="328"/>
      <c r="D1" s="1436" t="s">
        <v>221</v>
      </c>
      <c r="E1" s="1437">
        <f>'Pools, Rates, Reference'!B23+C59</f>
        <v>218807101.46807224</v>
      </c>
      <c r="F1" s="1438" t="str">
        <f>IF((E1=E2),"OK","ERROR")</f>
        <v>OK</v>
      </c>
      <c r="G1" s="361"/>
      <c r="H1" s="1572" t="s">
        <v>1272</v>
      </c>
      <c r="I1" s="1573"/>
      <c r="J1" s="1573"/>
      <c r="K1" s="1573"/>
      <c r="L1" s="1574"/>
      <c r="M1" s="1035" t="s">
        <v>220</v>
      </c>
      <c r="P1" s="370"/>
      <c r="Q1"/>
      <c r="R1"/>
      <c r="S1"/>
      <c r="T1"/>
    </row>
    <row r="2" spans="1:20" ht="29.1" customHeight="1" thickBot="1">
      <c r="A2" s="1039">
        <v>42946</v>
      </c>
      <c r="D2" s="1439" t="s">
        <v>351</v>
      </c>
      <c r="E2" s="1440">
        <f>D52</f>
        <v>218807101.46807224</v>
      </c>
      <c r="F2" s="1441"/>
      <c r="H2" s="1575" t="s">
        <v>1273</v>
      </c>
      <c r="I2" s="1576"/>
      <c r="J2" s="1576"/>
      <c r="K2" s="1576"/>
      <c r="L2" s="1577"/>
      <c r="M2" s="1035" t="s">
        <v>486</v>
      </c>
      <c r="N2" s="370"/>
      <c r="O2" s="370"/>
      <c r="P2" s="370"/>
      <c r="Q2" s="370"/>
      <c r="R2" s="370"/>
      <c r="S2" s="370"/>
      <c r="T2" s="370"/>
    </row>
    <row r="3" spans="1:20" ht="30" customHeight="1">
      <c r="A3" s="1587" t="s">
        <v>1484</v>
      </c>
      <c r="B3" s="1588"/>
      <c r="C3" s="1588"/>
      <c r="D3" s="1588"/>
      <c r="E3" s="1588"/>
      <c r="F3" s="1588"/>
      <c r="K3"/>
      <c r="L3"/>
      <c r="M3"/>
      <c r="N3"/>
      <c r="O3"/>
      <c r="P3"/>
      <c r="Q3" s="370"/>
      <c r="R3" s="370"/>
      <c r="S3" s="370"/>
      <c r="T3" s="370"/>
    </row>
    <row r="4" spans="1:20" ht="16.5" thickBot="1">
      <c r="A4" s="333"/>
      <c r="B4" s="333"/>
      <c r="C4" s="333"/>
      <c r="D4" s="333"/>
      <c r="E4" s="333"/>
      <c r="F4" s="333"/>
    </row>
    <row r="5" spans="1:20">
      <c r="A5" s="1671" t="s">
        <v>1491</v>
      </c>
      <c r="B5" s="1065"/>
      <c r="C5" s="1106">
        <f>'Pools, Rates, Reference'!B6</f>
        <v>553011959</v>
      </c>
      <c r="D5" s="333"/>
    </row>
    <row r="6" spans="1:20" ht="16.5" thickBot="1">
      <c r="A6" s="1672" t="s">
        <v>1492</v>
      </c>
      <c r="B6" s="1066"/>
      <c r="C6" s="1107">
        <f>'Step 7 FY16 Final Model'!T57</f>
        <v>553011959</v>
      </c>
      <c r="D6" s="333"/>
    </row>
    <row r="7" spans="1:20" ht="15" customHeight="1">
      <c r="A7" s="333"/>
      <c r="B7" s="333"/>
      <c r="C7" s="333"/>
      <c r="D7" s="333"/>
    </row>
    <row r="8" spans="1:20" ht="17.100000000000001" customHeight="1">
      <c r="A8" s="333"/>
      <c r="B8" s="333"/>
      <c r="C8" s="333"/>
      <c r="D8" s="333"/>
    </row>
    <row r="9" spans="1:20" ht="15" customHeight="1">
      <c r="A9" s="333"/>
      <c r="B9" s="333"/>
      <c r="C9" s="333"/>
      <c r="D9" s="333"/>
    </row>
    <row r="10" spans="1:20" ht="19.5" thickBot="1">
      <c r="A10" s="375" t="s">
        <v>346</v>
      </c>
      <c r="B10" s="335"/>
      <c r="C10" s="333"/>
      <c r="D10" s="333"/>
      <c r="E10" s="1053" t="s">
        <v>978</v>
      </c>
      <c r="F10" s="1053"/>
      <c r="G10" s="1053"/>
      <c r="H10" s="1053"/>
    </row>
    <row r="11" spans="1:20" ht="15.95" customHeight="1">
      <c r="A11" s="333"/>
      <c r="B11" s="333"/>
      <c r="C11" s="333"/>
      <c r="D11" s="333"/>
      <c r="E11" s="1042" t="str">
        <f>'Allocation by Category'!A43</f>
        <v>Undergraduate revenues:</v>
      </c>
      <c r="F11" s="1043"/>
      <c r="G11" s="1044">
        <f>'Allocation by Category'!C43</f>
        <v>0.68653407705058334</v>
      </c>
      <c r="H11" s="1045">
        <f>'Allocation by Category'!D43</f>
        <v>0.78278423830083022</v>
      </c>
    </row>
    <row r="12" spans="1:20" ht="18.95" customHeight="1">
      <c r="A12" s="1589" t="s">
        <v>327</v>
      </c>
      <c r="B12" s="1590"/>
      <c r="C12" s="1543">
        <v>0.65</v>
      </c>
      <c r="D12" s="333"/>
      <c r="E12" s="1046" t="str">
        <f>'Allocation by Category'!A44</f>
        <v>Graduate revenues:</v>
      </c>
      <c r="F12" s="1047"/>
      <c r="G12" s="1048">
        <f>'Allocation by Category'!C44</f>
        <v>0.18051009477355623</v>
      </c>
      <c r="H12" s="1049">
        <f>'Allocation by Category'!D44</f>
        <v>0.20581710619517868</v>
      </c>
    </row>
    <row r="13" spans="1:20" ht="18.95" customHeight="1">
      <c r="A13" s="1068" t="s">
        <v>1279</v>
      </c>
      <c r="B13" s="1069"/>
      <c r="C13" s="1067">
        <f>IF(C21="no",2%,3%)</f>
        <v>0.03</v>
      </c>
      <c r="D13" s="333"/>
      <c r="E13" s="1046" t="str">
        <f>'Allocation by Category'!A45</f>
        <v>General research revenues:</v>
      </c>
      <c r="F13" s="1047"/>
      <c r="G13" s="1048">
        <f>'Allocation by Category'!C45</f>
        <v>9.9970912202280247E-3</v>
      </c>
      <c r="H13" s="1049">
        <f>'Allocation by Category'!D45</f>
        <v>1.1398655503991143E-2</v>
      </c>
    </row>
    <row r="14" spans="1:20" ht="20.100000000000001" customHeight="1" thickBot="1">
      <c r="A14" s="1068" t="s">
        <v>1280</v>
      </c>
      <c r="B14" s="1069"/>
      <c r="C14" s="1067">
        <v>0.02</v>
      </c>
      <c r="D14" s="333"/>
      <c r="E14" s="1050" t="str">
        <f>'Allocation by Category'!A46</f>
        <v>Earmarked revenues:</v>
      </c>
      <c r="F14" s="1051"/>
      <c r="G14" s="1052">
        <f>'Allocation by Category'!C46</f>
        <v>0.12295873695563246</v>
      </c>
      <c r="H14" s="1115">
        <f>'Allocation by Category'!D46</f>
        <v>0</v>
      </c>
    </row>
    <row r="15" spans="1:20" ht="18.95" customHeight="1">
      <c r="A15" s="1068" t="s">
        <v>204</v>
      </c>
      <c r="B15" s="1069"/>
      <c r="C15" s="1067">
        <v>7.3999999999999996E-2</v>
      </c>
      <c r="D15" s="333"/>
    </row>
    <row r="16" spans="1:20" ht="18.95" customHeight="1" thickBot="1">
      <c r="A16"/>
      <c r="B16"/>
      <c r="C16"/>
      <c r="D16" s="333"/>
      <c r="E16" s="1053" t="s">
        <v>979</v>
      </c>
      <c r="F16" s="1053"/>
      <c r="G16" s="1053"/>
      <c r="H16" s="1053"/>
    </row>
    <row r="17" spans="1:9" ht="18.95" customHeight="1">
      <c r="A17"/>
      <c r="B17"/>
      <c r="C17"/>
      <c r="E17" s="1054" t="str">
        <f>'Allocation by Category'!A68</f>
        <v>Foundation Credit Hour Measures</v>
      </c>
      <c r="F17" s="1055"/>
      <c r="G17" s="1056">
        <f>'Allocation by Category'!C68</f>
        <v>0.3504063978769032</v>
      </c>
      <c r="H17" s="1057"/>
    </row>
    <row r="18" spans="1:9" ht="18.95" customHeight="1">
      <c r="A18"/>
      <c r="B18"/>
      <c r="C18"/>
      <c r="D18" s="333"/>
      <c r="E18" s="1058"/>
      <c r="F18" s="1040"/>
      <c r="G18" s="1059"/>
      <c r="H18" s="1060"/>
    </row>
    <row r="19" spans="1:9" ht="18.95" customHeight="1">
      <c r="A19"/>
      <c r="B19"/>
      <c r="C19"/>
      <c r="D19" s="374"/>
      <c r="E19" s="1058" t="str">
        <f>'Allocation by Category'!A70</f>
        <v>Undergraduate Allocations</v>
      </c>
      <c r="F19" s="1040"/>
      <c r="G19" s="1041">
        <f>'Allocation by Category'!C70</f>
        <v>0.74051656189350512</v>
      </c>
      <c r="H19" s="1060"/>
    </row>
    <row r="20" spans="1:9" ht="16.5" thickBot="1">
      <c r="A20"/>
      <c r="B20"/>
      <c r="C20"/>
      <c r="D20" s="333"/>
      <c r="E20" s="1058" t="str">
        <f>'Allocation by Category'!A71</f>
        <v>Graduate Allocations</v>
      </c>
      <c r="F20" s="1040"/>
      <c r="G20" s="1041">
        <f>'Allocation by Category'!C71</f>
        <v>0.22139578616335337</v>
      </c>
      <c r="H20" s="1060"/>
    </row>
    <row r="21" spans="1:9" ht="16.5" thickBot="1">
      <c r="A21" s="372" t="s">
        <v>1136</v>
      </c>
      <c r="B21" s="373"/>
      <c r="C21" s="1542" t="s">
        <v>220</v>
      </c>
      <c r="D21" s="333"/>
      <c r="E21" s="1061" t="str">
        <f>'Allocation by Category'!A72</f>
        <v>Research Allocations</v>
      </c>
      <c r="F21" s="1062"/>
      <c r="G21" s="1063">
        <f>'Allocation by Category'!C72</f>
        <v>3.8087651943141648E-2</v>
      </c>
      <c r="H21" s="1064"/>
    </row>
    <row r="22" spans="1:9">
      <c r="A22" s="1072" t="s">
        <v>203</v>
      </c>
      <c r="B22" s="1073"/>
      <c r="C22" s="1071"/>
      <c r="D22" s="333"/>
    </row>
    <row r="23" spans="1:9">
      <c r="A23" s="1208" t="s">
        <v>188</v>
      </c>
      <c r="B23" s="1074"/>
      <c r="C23" s="1442">
        <v>0</v>
      </c>
      <c r="D23" s="333"/>
    </row>
    <row r="24" spans="1:9">
      <c r="A24" s="1208" t="s">
        <v>807</v>
      </c>
      <c r="B24" s="1074"/>
      <c r="C24" s="1442">
        <v>1</v>
      </c>
      <c r="D24" s="334"/>
    </row>
    <row r="25" spans="1:9">
      <c r="A25" s="1209" t="s">
        <v>591</v>
      </c>
      <c r="B25" s="1075"/>
      <c r="C25" s="1112">
        <f>100%-C23-C24</f>
        <v>0</v>
      </c>
      <c r="D25" s="334"/>
    </row>
    <row r="26" spans="1:9">
      <c r="A26" s="333"/>
      <c r="B26" s="333"/>
      <c r="C26" s="333"/>
      <c r="D26" s="334"/>
    </row>
    <row r="27" spans="1:9" ht="18.75">
      <c r="A27" s="375" t="s">
        <v>361</v>
      </c>
      <c r="B27" s="333"/>
      <c r="C27" s="333"/>
      <c r="D27" s="334"/>
    </row>
    <row r="28" spans="1:9" ht="16.5" thickBot="1">
      <c r="A28" s="333"/>
      <c r="B28" s="333"/>
      <c r="C28" s="333"/>
      <c r="D28" s="333"/>
    </row>
    <row r="29" spans="1:9" ht="16.5" thickBot="1">
      <c r="A29" s="788" t="s">
        <v>348</v>
      </c>
      <c r="B29" s="789" t="s">
        <v>296</v>
      </c>
      <c r="C29" s="791" t="s">
        <v>349</v>
      </c>
      <c r="D29" s="790" t="s">
        <v>350</v>
      </c>
      <c r="E29"/>
      <c r="F29"/>
      <c r="G29" s="379"/>
    </row>
    <row r="30" spans="1:9">
      <c r="A30" s="337" t="s">
        <v>299</v>
      </c>
      <c r="B30" s="783" t="s">
        <v>352</v>
      </c>
      <c r="C30" s="1585">
        <v>0.45</v>
      </c>
      <c r="D30" s="1584">
        <f>C30*(E$1-D$38-D$39)</f>
        <v>75004638.510632515</v>
      </c>
      <c r="E30"/>
      <c r="F30"/>
      <c r="G30" s="379"/>
    </row>
    <row r="31" spans="1:9">
      <c r="A31" s="371"/>
      <c r="B31" s="784" t="s">
        <v>463</v>
      </c>
      <c r="C31" s="1586"/>
      <c r="D31" s="1582"/>
      <c r="E31"/>
      <c r="F31"/>
      <c r="G31" s="379"/>
      <c r="I31" s="336"/>
    </row>
    <row r="32" spans="1:9">
      <c r="A32" s="371"/>
      <c r="B32" s="784" t="s">
        <v>464</v>
      </c>
      <c r="C32" s="1586"/>
      <c r="D32" s="1582"/>
      <c r="E32"/>
      <c r="F32"/>
    </row>
    <row r="33" spans="1:10" ht="17.100000000000001" customHeight="1" thickBot="1">
      <c r="A33" s="339"/>
      <c r="B33" s="785" t="s">
        <v>301</v>
      </c>
      <c r="C33" s="1443">
        <v>5.0000000000000001E-3</v>
      </c>
      <c r="D33" s="1113">
        <f>C33*(E$1-D$38-D$39)</f>
        <v>833384.87234036124</v>
      </c>
      <c r="E33"/>
      <c r="F33"/>
      <c r="G33" s="380"/>
      <c r="I33" s="338"/>
    </row>
    <row r="34" spans="1:10" ht="17.100000000000001" customHeight="1">
      <c r="A34" s="337" t="s">
        <v>347</v>
      </c>
      <c r="B34" s="783" t="s">
        <v>222</v>
      </c>
      <c r="C34" s="1444">
        <v>0.15</v>
      </c>
      <c r="D34" s="1114">
        <f>C34*(E$1-D$38-D$39)</f>
        <v>25001546.170210835</v>
      </c>
      <c r="E34"/>
      <c r="F34"/>
      <c r="G34" s="380"/>
      <c r="I34" s="338"/>
    </row>
    <row r="35" spans="1:10" ht="17.100000000000001" customHeight="1" thickBot="1">
      <c r="A35" s="339"/>
      <c r="B35" s="785" t="s">
        <v>300</v>
      </c>
      <c r="C35" s="1443">
        <v>0.1</v>
      </c>
      <c r="D35" s="1113">
        <f>C35*(E$1-D$38-D$39)</f>
        <v>16667697.446807224</v>
      </c>
      <c r="E35"/>
      <c r="F35"/>
      <c r="G35" s="380"/>
      <c r="I35" s="338"/>
    </row>
    <row r="36" spans="1:10">
      <c r="A36" s="337" t="s">
        <v>302</v>
      </c>
      <c r="B36" s="783" t="s">
        <v>16</v>
      </c>
      <c r="C36" s="1444">
        <v>0.12</v>
      </c>
      <c r="D36" s="1114">
        <f>C36*(E$1-D$38-D$39)</f>
        <v>20001236.936168667</v>
      </c>
      <c r="E36"/>
      <c r="F36"/>
      <c r="I36" s="338"/>
    </row>
    <row r="37" spans="1:10" ht="16.5" thickBot="1">
      <c r="A37" s="339"/>
      <c r="B37" s="786" t="s">
        <v>202</v>
      </c>
      <c r="C37" s="1443">
        <v>0.08</v>
      </c>
      <c r="D37" s="1113">
        <f>C37*(E$1-D$38-D$39)</f>
        <v>13334157.95744578</v>
      </c>
      <c r="E37"/>
      <c r="F37"/>
      <c r="G37" s="381"/>
      <c r="H37" s="381"/>
      <c r="I37" s="338"/>
    </row>
    <row r="38" spans="1:10" ht="16.5" thickBot="1">
      <c r="A38" s="1591" t="s">
        <v>364</v>
      </c>
      <c r="B38" s="783" t="s">
        <v>878</v>
      </c>
      <c r="C38" s="1110"/>
      <c r="D38" s="1108">
        <f>IF(C19="yes",'Pools, Rates, Reference'!E6,'Pools, Rates, Reference'!E10)</f>
        <v>44024041.549888454</v>
      </c>
      <c r="E38"/>
      <c r="F38"/>
      <c r="I38" s="338"/>
    </row>
    <row r="39" spans="1:10">
      <c r="A39" s="1592"/>
      <c r="B39" s="784" t="s">
        <v>879</v>
      </c>
      <c r="C39" s="1111"/>
      <c r="D39" s="1108">
        <f>IF(C19="yes",'Pools, Rates, Reference'!E7,'Pools, Rates, Reference'!E11)</f>
        <v>8106085.4501115456</v>
      </c>
      <c r="E39"/>
      <c r="F39"/>
      <c r="G39" s="341"/>
      <c r="I39" s="338"/>
      <c r="J39" s="341"/>
    </row>
    <row r="40" spans="1:10">
      <c r="A40" s="1592"/>
      <c r="B40" s="784" t="s">
        <v>800</v>
      </c>
      <c r="C40" s="1111"/>
      <c r="D40" s="1109">
        <f>'Step 6 Acad Productivity+Floor'!J28</f>
        <v>0</v>
      </c>
      <c r="E40"/>
      <c r="F40"/>
      <c r="G40" s="341"/>
    </row>
    <row r="41" spans="1:10" ht="16.5" thickBot="1">
      <c r="A41" s="1593"/>
      <c r="B41" s="786" t="s">
        <v>303</v>
      </c>
      <c r="C41" s="1082">
        <v>0</v>
      </c>
      <c r="D41" s="1083">
        <f>C41*E$1</f>
        <v>0</v>
      </c>
      <c r="E41"/>
      <c r="F41"/>
    </row>
    <row r="42" spans="1:10" ht="16.5" thickBot="1">
      <c r="A42" s="342" t="s">
        <v>336</v>
      </c>
      <c r="B42" s="787" t="s">
        <v>203</v>
      </c>
      <c r="C42" s="1544">
        <v>0.05</v>
      </c>
      <c r="D42" s="1113">
        <f>C42*(E$1-D$38-D$39)</f>
        <v>8333848.7234036122</v>
      </c>
      <c r="E42"/>
      <c r="F42"/>
    </row>
    <row r="43" spans="1:10" ht="15" customHeight="1">
      <c r="A43" s="1077" t="s">
        <v>337</v>
      </c>
      <c r="B43" s="1078" t="s">
        <v>801</v>
      </c>
      <c r="C43" s="1578">
        <v>0.04</v>
      </c>
      <c r="D43" s="1581">
        <f>C43*(E1-D38-D39)</f>
        <v>6667078.9787228899</v>
      </c>
      <c r="E43"/>
      <c r="F43" t="s">
        <v>1281</v>
      </c>
    </row>
    <row r="44" spans="1:10">
      <c r="A44" s="1079" t="s">
        <v>804</v>
      </c>
      <c r="B44" s="1546">
        <v>1.4</v>
      </c>
      <c r="C44" s="1579"/>
      <c r="D44" s="1582"/>
      <c r="E44"/>
      <c r="F44"/>
    </row>
    <row r="45" spans="1:10">
      <c r="A45" s="1079" t="s">
        <v>802</v>
      </c>
      <c r="B45" s="1546">
        <v>1.2</v>
      </c>
      <c r="C45" s="1579"/>
      <c r="D45" s="1582"/>
      <c r="E45"/>
      <c r="F45"/>
    </row>
    <row r="46" spans="1:10" ht="21.95" customHeight="1">
      <c r="A46" s="1566" t="s">
        <v>721</v>
      </c>
      <c r="B46" s="1546">
        <v>0.3</v>
      </c>
      <c r="C46" s="1579"/>
      <c r="D46" s="1582"/>
      <c r="E46"/>
      <c r="F46"/>
    </row>
    <row r="47" spans="1:10">
      <c r="A47" s="1079" t="s">
        <v>803</v>
      </c>
      <c r="B47" s="1076">
        <v>0</v>
      </c>
      <c r="C47" s="1579"/>
      <c r="D47" s="1582"/>
      <c r="E47"/>
      <c r="F47"/>
    </row>
    <row r="48" spans="1:10" ht="16.5" thickBot="1">
      <c r="A48" s="1079" t="s">
        <v>187</v>
      </c>
      <c r="B48" s="1076">
        <v>0</v>
      </c>
      <c r="C48" s="1580"/>
      <c r="D48" s="1583"/>
      <c r="E48"/>
      <c r="F48"/>
    </row>
    <row r="49" spans="1:6" ht="16.5" thickBot="1">
      <c r="A49" s="1080" t="s">
        <v>805</v>
      </c>
      <c r="B49" s="1081"/>
      <c r="C49" s="1545">
        <v>5.0000000000000001E-3</v>
      </c>
      <c r="D49" s="1113">
        <f>C49*(E$1-D$38-D$39)</f>
        <v>833384.87234036124</v>
      </c>
      <c r="E49"/>
      <c r="F49"/>
    </row>
    <row r="50" spans="1:6">
      <c r="A50"/>
      <c r="B50"/>
      <c r="C50"/>
      <c r="D50"/>
      <c r="E50"/>
      <c r="F50"/>
    </row>
    <row r="51" spans="1:6">
      <c r="A51" s="333"/>
      <c r="B51" s="333"/>
      <c r="D51" s="333"/>
      <c r="E51" s="333"/>
      <c r="F51" s="333"/>
    </row>
    <row r="52" spans="1:6">
      <c r="A52" s="343" t="s">
        <v>15</v>
      </c>
      <c r="B52" s="344"/>
      <c r="C52" s="345">
        <f>SUM(C30:C49)</f>
        <v>1</v>
      </c>
      <c r="D52" s="346">
        <f>SUM(D30:D49)</f>
        <v>218807101.46807224</v>
      </c>
      <c r="E52" s="333"/>
      <c r="F52" s="333"/>
    </row>
    <row r="53" spans="1:6">
      <c r="A53" s="333"/>
      <c r="B53" s="333"/>
      <c r="C53" s="333"/>
      <c r="D53" s="362"/>
      <c r="E53" s="333"/>
      <c r="F53" s="362"/>
    </row>
    <row r="54" spans="1:6">
      <c r="A54" s="333"/>
      <c r="B54" s="347"/>
      <c r="C54" s="333"/>
      <c r="D54" s="362"/>
      <c r="E54" s="348"/>
      <c r="F54" s="349"/>
    </row>
    <row r="55" spans="1:6" ht="18.75">
      <c r="A55" s="375" t="s">
        <v>980</v>
      </c>
      <c r="D55" s="333"/>
      <c r="E55" s="350"/>
      <c r="F55" s="349"/>
    </row>
    <row r="56" spans="1:6">
      <c r="A56" s="329" t="s">
        <v>368</v>
      </c>
      <c r="D56" s="362"/>
      <c r="E56" s="351"/>
      <c r="F56" s="333"/>
    </row>
    <row r="57" spans="1:6">
      <c r="E57" s="351"/>
      <c r="F57" s="352"/>
    </row>
    <row r="58" spans="1:6">
      <c r="A58" s="353" t="s">
        <v>362</v>
      </c>
      <c r="B58" s="353"/>
      <c r="C58" s="1207">
        <f>'Step 4 Productivity Split'!C22</f>
        <v>117865909.07792778</v>
      </c>
      <c r="D58" s="333"/>
      <c r="E58" s="333"/>
      <c r="F58" s="333"/>
    </row>
    <row r="59" spans="1:6">
      <c r="A59" s="353" t="s">
        <v>363</v>
      </c>
      <c r="B59" s="353"/>
      <c r="C59" s="1207">
        <f>'Pools, Rates, Reference'!B24-'Dashboard-Academic Allocation'!C58</f>
        <v>-30355.386827781796</v>
      </c>
      <c r="D59" s="333"/>
    </row>
    <row r="60" spans="1:6">
      <c r="A60"/>
      <c r="B60"/>
      <c r="C60"/>
      <c r="D60"/>
      <c r="E60"/>
      <c r="F60"/>
    </row>
    <row r="61" spans="1:6">
      <c r="A61"/>
      <c r="B61"/>
      <c r="C61"/>
      <c r="D61"/>
      <c r="E61"/>
      <c r="F61"/>
    </row>
    <row r="62" spans="1:6">
      <c r="A62"/>
      <c r="B62"/>
      <c r="C62"/>
      <c r="D62"/>
      <c r="E62"/>
      <c r="F62"/>
    </row>
    <row r="63" spans="1:6">
      <c r="A63"/>
      <c r="B63"/>
      <c r="C63"/>
      <c r="D63"/>
      <c r="E63"/>
      <c r="F63"/>
    </row>
    <row r="64" spans="1:6">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A72"/>
      <c r="B72"/>
      <c r="C72"/>
      <c r="D72"/>
      <c r="E72"/>
      <c r="F72"/>
    </row>
    <row r="73" spans="1:6">
      <c r="A73"/>
      <c r="B73"/>
      <c r="C73"/>
      <c r="D73"/>
      <c r="E73"/>
      <c r="F73"/>
    </row>
    <row r="74" spans="1:6">
      <c r="A74"/>
      <c r="B74"/>
      <c r="C74"/>
      <c r="D74"/>
      <c r="E74"/>
      <c r="F74"/>
    </row>
    <row r="75" spans="1:6">
      <c r="A75"/>
      <c r="B75"/>
      <c r="C75"/>
      <c r="D75"/>
      <c r="E75"/>
      <c r="F75"/>
    </row>
    <row r="76" spans="1:6">
      <c r="A76"/>
      <c r="B76"/>
      <c r="C76"/>
      <c r="D76"/>
      <c r="E76"/>
      <c r="F76"/>
    </row>
    <row r="77" spans="1:6">
      <c r="A77"/>
      <c r="B77"/>
      <c r="C77"/>
      <c r="D77"/>
      <c r="E77"/>
      <c r="F77"/>
    </row>
    <row r="78" spans="1:6">
      <c r="A78"/>
      <c r="B78"/>
      <c r="C78"/>
      <c r="D78"/>
      <c r="E78"/>
      <c r="F78"/>
    </row>
    <row r="79" spans="1:6">
      <c r="A79"/>
      <c r="B79"/>
      <c r="C79"/>
      <c r="D79"/>
      <c r="E79"/>
      <c r="F79"/>
    </row>
    <row r="80" spans="1:6">
      <c r="A80"/>
      <c r="B80"/>
      <c r="C80"/>
      <c r="D80"/>
      <c r="E80"/>
      <c r="F80"/>
    </row>
    <row r="81" spans="1:6">
      <c r="A81"/>
      <c r="B81"/>
      <c r="C81"/>
      <c r="D81"/>
      <c r="E81"/>
      <c r="F81"/>
    </row>
  </sheetData>
  <sheetProtection formatCells="0"/>
  <mergeCells count="9">
    <mergeCell ref="H1:L1"/>
    <mergeCell ref="H2:L2"/>
    <mergeCell ref="C43:C48"/>
    <mergeCell ref="D43:D48"/>
    <mergeCell ref="D30:D32"/>
    <mergeCell ref="C30:C32"/>
    <mergeCell ref="A3:F3"/>
    <mergeCell ref="A12:B12"/>
    <mergeCell ref="A38:A41"/>
  </mergeCells>
  <phoneticPr fontId="62" type="noConversion"/>
  <dataValidations xWindow="343" yWindow="861" count="5">
    <dataValidation type="decimal" allowBlank="1" showInputMessage="1" showErrorMessage="1" error="Must be 0% to 5%" prompt="Between 0% and 5%" sqref="C33">
      <formula1>0</formula1>
      <formula2>0.05</formula2>
    </dataValidation>
    <dataValidation type="decimal" allowBlank="1" showInputMessage="1" showErrorMessage="1" error="Must be 0% to 30%" prompt="Must be 0% to 30%" sqref="C36:C37">
      <formula1>0</formula1>
      <formula2>0.3</formula2>
    </dataValidation>
    <dataValidation type="decimal" allowBlank="1" showInputMessage="1" showErrorMessage="1" error="Must be 0% to 30%" prompt="Must be 0% to 30%" sqref="C35">
      <formula1>0</formula1>
      <formula2>0.35</formula2>
    </dataValidation>
    <dataValidation type="decimal" allowBlank="1" showInputMessage="1" showErrorMessage="1" error="Must be 0% to 35%" prompt="Must be 0% to 35%" sqref="C34:C35">
      <formula1>0</formula1>
      <formula2>0.35</formula2>
    </dataValidation>
    <dataValidation type="decimal" allowBlank="1" showInputMessage="1" showErrorMessage="1" error="Must be 0% to 8%" prompt="Must be beween 0% and 8%" sqref="C49 C42">
      <formula1>0</formula1>
      <formula2>0.08</formula2>
    </dataValidation>
  </dataValidations>
  <printOptions headings="1"/>
  <pageMargins left="0.75" right="0.75" top="1" bottom="1" header="0.5" footer="0.5"/>
  <pageSetup scale="25" orientation="portrait" horizontalDpi="4294967292" verticalDpi="429496729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61"/>
  <sheetViews>
    <sheetView topLeftCell="A37" zoomScale="110" zoomScaleNormal="110" zoomScalePageLayoutView="110" workbookViewId="0">
      <selection activeCell="V57" sqref="V57"/>
    </sheetView>
  </sheetViews>
  <sheetFormatPr defaultColWidth="11" defaultRowHeight="15.75"/>
  <cols>
    <col min="1" max="1" width="36.125" customWidth="1"/>
    <col min="2" max="2" width="11.125" customWidth="1"/>
    <col min="3" max="3" width="11.5" customWidth="1"/>
    <col min="4" max="4" width="15.625" customWidth="1"/>
    <col min="5" max="5" width="3.375" customWidth="1"/>
    <col min="6" max="9" width="11" customWidth="1"/>
    <col min="10" max="10" width="3.625" customWidth="1"/>
    <col min="11" max="11" width="16.125" customWidth="1"/>
    <col min="12" max="12" width="5.375" customWidth="1"/>
    <col min="13" max="13" width="12.625" customWidth="1"/>
    <col min="14" max="17" width="11" customWidth="1"/>
    <col min="18" max="18" width="12" customWidth="1"/>
    <col min="19" max="19" width="3.125" customWidth="1"/>
    <col min="20" max="20" width="13.875" customWidth="1"/>
    <col min="21" max="21" width="7.875" customWidth="1"/>
    <col min="22" max="22" width="12.875" customWidth="1"/>
    <col min="23" max="23" width="13.625" bestFit="1" customWidth="1"/>
    <col min="24" max="24" width="11.625" bestFit="1" customWidth="1"/>
  </cols>
  <sheetData>
    <row r="1" spans="1:24" ht="16.5" thickBot="1">
      <c r="A1" s="210" t="s">
        <v>77</v>
      </c>
      <c r="B1" s="210"/>
      <c r="C1" s="210"/>
      <c r="D1" s="210"/>
      <c r="E1" s="210"/>
      <c r="F1" s="210"/>
      <c r="G1" s="210"/>
      <c r="H1" s="210"/>
      <c r="I1" s="210"/>
      <c r="J1" s="210"/>
      <c r="K1" s="210"/>
      <c r="L1" s="210"/>
      <c r="M1" s="225"/>
      <c r="N1" s="210"/>
      <c r="O1" s="210"/>
      <c r="P1" s="210"/>
      <c r="Q1" s="210" t="s">
        <v>212</v>
      </c>
      <c r="S1" s="210"/>
      <c r="T1" s="210"/>
      <c r="U1" s="210"/>
      <c r="V1" s="210"/>
      <c r="W1" s="210"/>
      <c r="X1" s="210"/>
    </row>
    <row r="2" spans="1:24">
      <c r="A2" s="210" t="s">
        <v>1171</v>
      </c>
      <c r="B2" s="210"/>
      <c r="C2" s="210"/>
      <c r="D2" s="210"/>
      <c r="E2" s="210"/>
      <c r="F2" s="210"/>
      <c r="G2" s="210"/>
      <c r="H2" s="210"/>
      <c r="I2" s="210"/>
      <c r="J2" s="210"/>
      <c r="K2" s="210"/>
      <c r="L2" s="210"/>
      <c r="M2" s="930"/>
      <c r="N2" s="210"/>
      <c r="O2" s="210"/>
      <c r="P2" s="210"/>
      <c r="Q2" s="210"/>
      <c r="R2" s="210"/>
      <c r="S2" s="210"/>
      <c r="T2" s="238" t="s">
        <v>218</v>
      </c>
      <c r="U2" s="239"/>
      <c r="V2" s="243">
        <f>'Step 0 FY18 Revenue'!L60</f>
        <v>553011959</v>
      </c>
      <c r="W2" s="210"/>
      <c r="X2" s="210"/>
    </row>
    <row r="3" spans="1:24" ht="16.5" thickBot="1">
      <c r="A3" s="210"/>
      <c r="B3" s="468"/>
      <c r="C3" s="210"/>
      <c r="D3" s="210"/>
      <c r="E3" s="210"/>
      <c r="F3" s="210"/>
      <c r="G3" s="210"/>
      <c r="H3" s="210"/>
      <c r="I3" s="210"/>
      <c r="J3" s="210"/>
      <c r="K3" s="210"/>
      <c r="L3" s="210"/>
      <c r="M3" s="210"/>
      <c r="N3" s="210"/>
      <c r="O3" s="210"/>
      <c r="P3" s="210"/>
      <c r="Q3" s="210"/>
      <c r="R3" s="210"/>
      <c r="S3" s="210"/>
      <c r="T3" s="240" t="s">
        <v>219</v>
      </c>
      <c r="U3" s="241"/>
      <c r="V3" s="242">
        <f>V2-SUM(B57:R57)</f>
        <v>498942286.84000003</v>
      </c>
      <c r="W3" s="210"/>
      <c r="X3" s="210"/>
    </row>
    <row r="4" spans="1:24">
      <c r="A4" s="211"/>
      <c r="B4" s="1614" t="s">
        <v>207</v>
      </c>
      <c r="C4" s="1614"/>
      <c r="D4" s="1614"/>
      <c r="E4" s="231"/>
      <c r="F4" s="1615" t="s">
        <v>208</v>
      </c>
      <c r="G4" s="1615"/>
      <c r="H4" s="1615"/>
      <c r="I4" s="1615"/>
      <c r="J4" s="231"/>
      <c r="K4" s="230" t="s">
        <v>209</v>
      </c>
      <c r="L4" s="211"/>
      <c r="M4" s="1616" t="s">
        <v>193</v>
      </c>
      <c r="N4" s="1616"/>
      <c r="O4" s="1616"/>
      <c r="P4" s="1616"/>
      <c r="Q4" s="1616"/>
      <c r="R4" s="1616"/>
      <c r="S4" s="211"/>
      <c r="T4" s="211"/>
      <c r="U4" s="211"/>
      <c r="V4" s="290">
        <v>46776781.609999999</v>
      </c>
      <c r="W4" s="290">
        <v>50726880.609999999</v>
      </c>
      <c r="X4" s="211"/>
    </row>
    <row r="5" spans="1:24" s="223" customFormat="1" ht="51">
      <c r="A5" s="221" t="s">
        <v>90</v>
      </c>
      <c r="B5" s="270" t="s">
        <v>215</v>
      </c>
      <c r="C5" s="270" t="s">
        <v>868</v>
      </c>
      <c r="D5" s="270" t="s">
        <v>867</v>
      </c>
      <c r="E5" s="270"/>
      <c r="F5" s="270" t="s">
        <v>198</v>
      </c>
      <c r="G5" s="270" t="s">
        <v>199</v>
      </c>
      <c r="H5" s="270" t="s">
        <v>200</v>
      </c>
      <c r="I5" s="270" t="s">
        <v>201</v>
      </c>
      <c r="J5" s="270"/>
      <c r="K5" s="270" t="s">
        <v>194</v>
      </c>
      <c r="L5" s="270"/>
      <c r="M5" s="270" t="s">
        <v>206</v>
      </c>
      <c r="N5" s="270" t="s">
        <v>195</v>
      </c>
      <c r="O5" s="270" t="s">
        <v>216</v>
      </c>
      <c r="P5" s="270" t="s">
        <v>196</v>
      </c>
      <c r="Q5" s="270" t="s">
        <v>197</v>
      </c>
      <c r="R5" s="270" t="s">
        <v>217</v>
      </c>
      <c r="S5" s="1323"/>
      <c r="T5" s="270" t="s">
        <v>1282</v>
      </c>
      <c r="U5" s="1445"/>
      <c r="V5" s="1446" t="s">
        <v>1283</v>
      </c>
      <c r="W5" s="270" t="s">
        <v>1284</v>
      </c>
    </row>
    <row r="6" spans="1:24">
      <c r="A6" s="212" t="s">
        <v>548</v>
      </c>
      <c r="B6" s="63">
        <f>'Step 1a IM Summary'!B8</f>
        <v>4544301.7949999999</v>
      </c>
      <c r="C6" s="63"/>
      <c r="D6" s="63"/>
      <c r="E6" s="63"/>
      <c r="F6" s="63"/>
      <c r="G6" s="63"/>
      <c r="H6" s="63"/>
      <c r="I6" s="63"/>
      <c r="J6" s="63"/>
      <c r="K6" s="63"/>
      <c r="L6" s="63"/>
      <c r="M6" s="63"/>
      <c r="N6" s="62"/>
      <c r="O6" s="62"/>
      <c r="P6" s="63"/>
      <c r="Q6" s="64"/>
      <c r="R6" s="201"/>
      <c r="T6" s="63">
        <f>SUM(B6:R6)</f>
        <v>4544301.7949999999</v>
      </c>
      <c r="U6" s="202"/>
      <c r="V6" s="1594">
        <v>61119672</v>
      </c>
      <c r="W6" s="1594">
        <v>61119672</v>
      </c>
    </row>
    <row r="7" spans="1:24">
      <c r="A7" s="212" t="s">
        <v>547</v>
      </c>
      <c r="B7" s="63">
        <f>'Step 1a IM Summary'!B11</f>
        <v>-3508451.7949999999</v>
      </c>
      <c r="C7" s="63"/>
      <c r="D7" s="63"/>
      <c r="E7" s="63"/>
      <c r="F7" s="63"/>
      <c r="G7" s="63"/>
      <c r="H7" s="63"/>
      <c r="I7" s="63"/>
      <c r="J7" s="63"/>
      <c r="K7" s="63"/>
      <c r="L7" s="63"/>
      <c r="M7" s="63"/>
      <c r="N7" s="62"/>
      <c r="O7" s="62"/>
      <c r="P7" s="63"/>
      <c r="Q7" s="64"/>
      <c r="R7" s="201"/>
      <c r="T7" s="63">
        <f t="shared" ref="T7:T12" si="0">SUM(B7:R7)</f>
        <v>-3508451.7949999999</v>
      </c>
      <c r="U7" s="202"/>
      <c r="V7" s="1595"/>
      <c r="W7" s="1595"/>
    </row>
    <row r="8" spans="1:24">
      <c r="A8" s="212" t="s">
        <v>864</v>
      </c>
      <c r="B8" s="63">
        <v>0</v>
      </c>
      <c r="C8" s="63"/>
      <c r="D8" s="63"/>
      <c r="E8" s="63"/>
      <c r="F8" s="63"/>
      <c r="G8" s="63"/>
      <c r="H8" s="63"/>
      <c r="I8" s="63"/>
      <c r="J8" s="63"/>
      <c r="K8" s="63"/>
      <c r="L8" s="63"/>
      <c r="M8" s="63"/>
      <c r="N8" s="62"/>
      <c r="O8" s="62"/>
      <c r="P8" s="63"/>
      <c r="Q8" s="64"/>
      <c r="R8" s="201"/>
      <c r="T8" s="63">
        <f t="shared" si="0"/>
        <v>0</v>
      </c>
      <c r="U8" s="202"/>
      <c r="V8" s="1595"/>
      <c r="W8" s="1595"/>
    </row>
    <row r="9" spans="1:24">
      <c r="A9" s="212" t="s">
        <v>899</v>
      </c>
      <c r="B9" s="63">
        <f>'Step 1a IM Summary'!B18</f>
        <v>5000000</v>
      </c>
      <c r="C9" s="63"/>
      <c r="D9" s="63"/>
      <c r="E9" s="63"/>
      <c r="F9" s="63"/>
      <c r="G9" s="63"/>
      <c r="H9" s="63"/>
      <c r="I9" s="63"/>
      <c r="J9" s="63"/>
      <c r="K9" s="63"/>
      <c r="L9" s="63"/>
      <c r="M9" s="63"/>
      <c r="N9" s="62"/>
      <c r="O9" s="62"/>
      <c r="P9" s="63"/>
      <c r="Q9" s="64"/>
      <c r="R9" s="201"/>
      <c r="T9" s="63">
        <f t="shared" si="0"/>
        <v>5000000</v>
      </c>
      <c r="U9" s="202"/>
      <c r="V9" s="1595"/>
      <c r="W9" s="1595"/>
    </row>
    <row r="10" spans="1:24">
      <c r="A10" s="212" t="s">
        <v>549</v>
      </c>
      <c r="B10" s="63">
        <f>'Step 1a IM Summary'!B20</f>
        <v>21345070</v>
      </c>
      <c r="C10" s="63"/>
      <c r="D10" s="63"/>
      <c r="E10" s="63"/>
      <c r="F10" s="63"/>
      <c r="G10" s="63"/>
      <c r="H10" s="63"/>
      <c r="I10" s="63"/>
      <c r="J10" s="63"/>
      <c r="K10" s="63"/>
      <c r="L10" s="63"/>
      <c r="M10" s="63"/>
      <c r="N10" s="62"/>
      <c r="O10" s="62"/>
      <c r="P10" s="63"/>
      <c r="Q10" s="64"/>
      <c r="R10" s="201"/>
      <c r="T10" s="63">
        <f t="shared" si="0"/>
        <v>21345070</v>
      </c>
      <c r="U10" s="202"/>
      <c r="V10" s="1595"/>
      <c r="W10" s="1595"/>
    </row>
    <row r="11" spans="1:24">
      <c r="A11" s="212" t="s">
        <v>550</v>
      </c>
      <c r="B11" s="63">
        <f>'Step 1a IM Summary'!B23</f>
        <v>4025000</v>
      </c>
      <c r="C11" s="63"/>
      <c r="D11" s="63"/>
      <c r="E11" s="63"/>
      <c r="F11" s="63"/>
      <c r="G11" s="63"/>
      <c r="H11" s="63"/>
      <c r="I11" s="63"/>
      <c r="J11" s="63"/>
      <c r="K11" s="63"/>
      <c r="L11" s="63"/>
      <c r="M11" s="63"/>
      <c r="N11" s="62"/>
      <c r="O11" s="62"/>
      <c r="P11" s="63"/>
      <c r="Q11" s="64"/>
      <c r="R11" s="201"/>
      <c r="T11" s="63">
        <f t="shared" si="0"/>
        <v>4025000</v>
      </c>
      <c r="U11" s="202"/>
      <c r="V11" s="1595"/>
      <c r="W11" s="1595"/>
    </row>
    <row r="12" spans="1:24">
      <c r="A12" s="212" t="s">
        <v>551</v>
      </c>
      <c r="B12" s="63">
        <f>'Step 1a IM Summary'!B14</f>
        <v>22663752.16</v>
      </c>
      <c r="C12" s="63"/>
      <c r="D12" s="63"/>
      <c r="E12" s="63"/>
      <c r="F12" s="63"/>
      <c r="G12" s="63"/>
      <c r="H12" s="63"/>
      <c r="I12" s="63"/>
      <c r="J12" s="63"/>
      <c r="K12" s="63"/>
      <c r="L12" s="63"/>
      <c r="M12" s="63"/>
      <c r="N12" s="62"/>
      <c r="O12" s="62"/>
      <c r="P12" s="63"/>
      <c r="Q12" s="64"/>
      <c r="R12" s="201"/>
      <c r="T12" s="63">
        <f t="shared" si="0"/>
        <v>22663752.16</v>
      </c>
      <c r="U12" s="202"/>
      <c r="V12" s="1595"/>
      <c r="W12" s="1595"/>
    </row>
    <row r="13" spans="1:24">
      <c r="A13" s="203"/>
      <c r="B13" s="68"/>
      <c r="C13" s="68"/>
      <c r="D13" s="68"/>
      <c r="E13" s="68"/>
      <c r="F13" s="68"/>
      <c r="G13" s="68"/>
      <c r="H13" s="68"/>
      <c r="I13" s="68"/>
      <c r="J13" s="68"/>
      <c r="K13" s="68"/>
      <c r="L13" s="68"/>
      <c r="M13" s="68"/>
      <c r="N13" s="68"/>
      <c r="O13" s="213"/>
      <c r="P13" s="68"/>
      <c r="Q13" s="69"/>
      <c r="R13" s="203"/>
      <c r="T13" s="68"/>
      <c r="U13" s="203"/>
      <c r="V13" s="68"/>
      <c r="W13" s="68"/>
    </row>
    <row r="14" spans="1:24">
      <c r="A14" s="71" t="s">
        <v>101</v>
      </c>
      <c r="B14" s="42"/>
      <c r="C14" s="42"/>
      <c r="D14" s="42"/>
      <c r="E14" s="42"/>
      <c r="F14" s="42"/>
      <c r="G14" s="42"/>
      <c r="H14" s="42"/>
      <c r="I14" s="42"/>
      <c r="J14" s="42"/>
      <c r="K14" s="42"/>
      <c r="L14" s="42"/>
      <c r="M14" s="42"/>
      <c r="N14" s="72"/>
      <c r="O14" s="213"/>
      <c r="P14" s="42"/>
      <c r="Q14" s="42"/>
      <c r="R14" s="202"/>
      <c r="T14" s="42"/>
      <c r="U14" s="202"/>
      <c r="V14" s="42"/>
      <c r="W14" s="73"/>
    </row>
    <row r="15" spans="1:24">
      <c r="A15" s="214" t="s">
        <v>102</v>
      </c>
      <c r="B15" s="63"/>
      <c r="C15" s="63"/>
      <c r="D15" s="63"/>
      <c r="E15" s="63"/>
      <c r="F15" s="63"/>
      <c r="G15" s="63"/>
      <c r="H15" s="63"/>
      <c r="I15" s="63"/>
      <c r="J15" s="63"/>
      <c r="K15" s="217"/>
      <c r="L15" s="63"/>
      <c r="M15" s="217"/>
      <c r="N15" s="62"/>
      <c r="O15" s="205"/>
      <c r="P15" s="63"/>
      <c r="Q15" s="63"/>
      <c r="R15" s="63"/>
      <c r="T15" s="63">
        <f t="shared" ref="T15:T33" si="1">SUM(B15:R15)</f>
        <v>0</v>
      </c>
      <c r="U15" s="203"/>
      <c r="V15" s="290">
        <v>24160078</v>
      </c>
      <c r="W15" s="63">
        <v>24160078</v>
      </c>
    </row>
    <row r="16" spans="1:24">
      <c r="A16" s="76" t="s">
        <v>103</v>
      </c>
      <c r="B16" s="68"/>
      <c r="C16" s="68"/>
      <c r="D16" s="68"/>
      <c r="E16" s="68"/>
      <c r="F16" s="68"/>
      <c r="G16" s="68"/>
      <c r="H16" s="68"/>
      <c r="I16" s="68"/>
      <c r="J16" s="68"/>
      <c r="K16" s="218"/>
      <c r="L16" s="68"/>
      <c r="M16" s="218"/>
      <c r="N16" s="78"/>
      <c r="O16" s="207"/>
      <c r="P16" s="68"/>
      <c r="Q16" s="68"/>
      <c r="R16" s="68"/>
      <c r="T16" s="68">
        <f t="shared" si="1"/>
        <v>0</v>
      </c>
      <c r="U16" s="203"/>
      <c r="V16" s="960">
        <v>20462422</v>
      </c>
      <c r="W16" s="68">
        <v>20462422</v>
      </c>
    </row>
    <row r="17" spans="1:23">
      <c r="A17" s="213" t="s">
        <v>104</v>
      </c>
      <c r="B17" s="68"/>
      <c r="C17" s="68"/>
      <c r="D17" s="68"/>
      <c r="E17" s="68"/>
      <c r="F17" s="68"/>
      <c r="G17" s="68"/>
      <c r="H17" s="68"/>
      <c r="I17" s="68"/>
      <c r="J17" s="68"/>
      <c r="K17" s="218"/>
      <c r="L17" s="68"/>
      <c r="M17" s="218"/>
      <c r="N17" s="78"/>
      <c r="O17" s="207"/>
      <c r="P17" s="68"/>
      <c r="Q17" s="68"/>
      <c r="R17" s="68"/>
      <c r="T17" s="68">
        <f t="shared" si="1"/>
        <v>0</v>
      </c>
      <c r="U17" s="203"/>
      <c r="V17" s="960">
        <v>61306607</v>
      </c>
      <c r="W17" s="68">
        <v>61306607</v>
      </c>
    </row>
    <row r="18" spans="1:23">
      <c r="A18" s="214" t="s">
        <v>105</v>
      </c>
      <c r="B18" s="63"/>
      <c r="C18" s="63"/>
      <c r="D18" s="63"/>
      <c r="E18" s="63"/>
      <c r="F18" s="63"/>
      <c r="G18" s="63"/>
      <c r="H18" s="63"/>
      <c r="I18" s="63"/>
      <c r="J18" s="63"/>
      <c r="K18" s="217"/>
      <c r="L18" s="63"/>
      <c r="M18" s="217"/>
      <c r="N18" s="62"/>
      <c r="O18" s="205"/>
      <c r="P18" s="63"/>
      <c r="Q18" s="62"/>
      <c r="R18" s="62"/>
      <c r="T18" s="63">
        <f t="shared" si="1"/>
        <v>0</v>
      </c>
      <c r="U18" s="203"/>
      <c r="V18" s="290">
        <v>9355600</v>
      </c>
      <c r="W18" s="63">
        <v>9355600</v>
      </c>
    </row>
    <row r="19" spans="1:23">
      <c r="A19" s="76" t="s">
        <v>106</v>
      </c>
      <c r="B19" s="68"/>
      <c r="C19" s="68"/>
      <c r="D19" s="68"/>
      <c r="E19" s="68"/>
      <c r="F19" s="68"/>
      <c r="G19" s="68"/>
      <c r="H19" s="68"/>
      <c r="I19" s="68"/>
      <c r="J19" s="68"/>
      <c r="K19" s="218"/>
      <c r="L19" s="68"/>
      <c r="M19" s="218"/>
      <c r="N19" s="78"/>
      <c r="O19" s="207"/>
      <c r="P19" s="68"/>
      <c r="Q19" s="68"/>
      <c r="R19" s="68"/>
      <c r="T19" s="68">
        <f t="shared" si="1"/>
        <v>0</v>
      </c>
      <c r="U19" s="203"/>
      <c r="V19" s="960">
        <v>20440194</v>
      </c>
      <c r="W19" s="68">
        <v>20440194</v>
      </c>
    </row>
    <row r="20" spans="1:23">
      <c r="A20" s="213" t="s">
        <v>107</v>
      </c>
      <c r="B20" s="68"/>
      <c r="C20" s="68"/>
      <c r="D20" s="68"/>
      <c r="E20" s="68"/>
      <c r="F20" s="68"/>
      <c r="G20" s="68"/>
      <c r="H20" s="68"/>
      <c r="I20" s="68"/>
      <c r="J20" s="68"/>
      <c r="K20" s="218"/>
      <c r="L20" s="68"/>
      <c r="M20" s="218"/>
      <c r="N20" s="78"/>
      <c r="O20" s="207"/>
      <c r="P20" s="68"/>
      <c r="Q20" s="68"/>
      <c r="R20" s="68"/>
      <c r="T20" s="68">
        <f t="shared" si="1"/>
        <v>0</v>
      </c>
      <c r="U20" s="203"/>
      <c r="V20" s="960">
        <v>4806568</v>
      </c>
      <c r="W20" s="68">
        <v>4806568</v>
      </c>
    </row>
    <row r="21" spans="1:23">
      <c r="A21" s="214" t="s">
        <v>108</v>
      </c>
      <c r="B21" s="63"/>
      <c r="C21" s="63"/>
      <c r="D21" s="63"/>
      <c r="E21" s="63"/>
      <c r="F21" s="63"/>
      <c r="G21" s="63"/>
      <c r="H21" s="63"/>
      <c r="I21" s="63"/>
      <c r="J21" s="63"/>
      <c r="K21" s="217"/>
      <c r="L21" s="63"/>
      <c r="M21" s="217"/>
      <c r="N21" s="62"/>
      <c r="O21" s="205"/>
      <c r="P21" s="63"/>
      <c r="Q21" s="62"/>
      <c r="R21" s="62"/>
      <c r="T21" s="63">
        <f t="shared" si="1"/>
        <v>0</v>
      </c>
      <c r="U21" s="203"/>
      <c r="V21" s="290">
        <v>45894131</v>
      </c>
      <c r="W21" s="63">
        <v>45894131</v>
      </c>
    </row>
    <row r="22" spans="1:23">
      <c r="A22" s="213" t="s">
        <v>109</v>
      </c>
      <c r="B22" s="68"/>
      <c r="C22" s="68"/>
      <c r="D22" s="68"/>
      <c r="E22" s="68"/>
      <c r="F22" s="68"/>
      <c r="G22" s="68"/>
      <c r="H22" s="68"/>
      <c r="I22" s="68"/>
      <c r="J22" s="68"/>
      <c r="K22" s="218"/>
      <c r="L22" s="68"/>
      <c r="M22" s="218"/>
      <c r="N22" s="78"/>
      <c r="O22" s="207"/>
      <c r="P22" s="68"/>
      <c r="Q22" s="68"/>
      <c r="R22" s="68"/>
      <c r="T22" s="68">
        <f t="shared" si="1"/>
        <v>0</v>
      </c>
      <c r="U22" s="203"/>
      <c r="V22" s="960">
        <v>14831995</v>
      </c>
      <c r="W22" s="68">
        <v>14831995</v>
      </c>
    </row>
    <row r="23" spans="1:23">
      <c r="A23" s="213" t="s">
        <v>110</v>
      </c>
      <c r="B23" s="78"/>
      <c r="C23" s="78"/>
      <c r="D23" s="78"/>
      <c r="E23" s="78"/>
      <c r="F23" s="78"/>
      <c r="G23" s="78"/>
      <c r="H23" s="78"/>
      <c r="I23" s="78"/>
      <c r="J23" s="78"/>
      <c r="K23" s="219"/>
      <c r="L23" s="78"/>
      <c r="M23" s="219"/>
      <c r="N23" s="78"/>
      <c r="O23" s="207"/>
      <c r="P23" s="68"/>
      <c r="Q23" s="68"/>
      <c r="R23" s="68"/>
      <c r="T23" s="78">
        <f t="shared" si="1"/>
        <v>0</v>
      </c>
      <c r="U23" s="203"/>
      <c r="V23" s="960">
        <v>12737398</v>
      </c>
      <c r="W23" s="68">
        <v>12737398</v>
      </c>
    </row>
    <row r="24" spans="1:23">
      <c r="A24" s="214" t="s">
        <v>111</v>
      </c>
      <c r="B24" s="63"/>
      <c r="C24" s="63"/>
      <c r="D24" s="63"/>
      <c r="E24" s="63"/>
      <c r="F24" s="63"/>
      <c r="G24" s="63"/>
      <c r="H24" s="63"/>
      <c r="I24" s="63"/>
      <c r="J24" s="63"/>
      <c r="K24" s="217"/>
      <c r="L24" s="63"/>
      <c r="M24" s="217"/>
      <c r="N24" s="62"/>
      <c r="O24" s="205"/>
      <c r="P24" s="63"/>
      <c r="Q24" s="62"/>
      <c r="R24" s="62"/>
      <c r="T24" s="63">
        <f t="shared" si="1"/>
        <v>0</v>
      </c>
      <c r="U24" s="203"/>
      <c r="V24" s="290">
        <v>41127158</v>
      </c>
      <c r="W24" s="63">
        <v>41127158</v>
      </c>
    </row>
    <row r="25" spans="1:23">
      <c r="A25" s="213" t="s">
        <v>112</v>
      </c>
      <c r="B25" s="78"/>
      <c r="C25" s="78"/>
      <c r="D25" s="78"/>
      <c r="E25" s="78"/>
      <c r="F25" s="78"/>
      <c r="G25" s="78"/>
      <c r="H25" s="78"/>
      <c r="I25" s="78"/>
      <c r="J25" s="78"/>
      <c r="K25" s="219"/>
      <c r="L25" s="78"/>
      <c r="M25" s="219"/>
      <c r="N25" s="78"/>
      <c r="O25" s="207"/>
      <c r="P25" s="68"/>
      <c r="Q25" s="78"/>
      <c r="R25" s="68"/>
      <c r="T25" s="78">
        <f t="shared" si="1"/>
        <v>0</v>
      </c>
      <c r="U25" s="203"/>
      <c r="V25" s="960">
        <v>24909417</v>
      </c>
      <c r="W25" s="68">
        <v>24909417</v>
      </c>
    </row>
    <row r="26" spans="1:23">
      <c r="A26" s="213" t="s">
        <v>113</v>
      </c>
      <c r="B26" s="68"/>
      <c r="C26" s="68"/>
      <c r="D26" s="68"/>
      <c r="E26" s="68"/>
      <c r="F26" s="68"/>
      <c r="G26" s="68"/>
      <c r="H26" s="68"/>
      <c r="I26" s="68"/>
      <c r="J26" s="68"/>
      <c r="K26" s="218"/>
      <c r="L26" s="68"/>
      <c r="M26" s="218"/>
      <c r="N26" s="78"/>
      <c r="O26" s="207"/>
      <c r="P26" s="78"/>
      <c r="Q26" s="78"/>
      <c r="R26" s="78"/>
      <c r="T26" s="68">
        <f t="shared" si="1"/>
        <v>0</v>
      </c>
      <c r="U26" s="203"/>
      <c r="V26" s="960">
        <v>543366</v>
      </c>
      <c r="W26" s="68">
        <v>543366</v>
      </c>
    </row>
    <row r="27" spans="1:23">
      <c r="A27" s="214" t="s">
        <v>114</v>
      </c>
      <c r="B27" s="63"/>
      <c r="C27" s="63"/>
      <c r="D27" s="63"/>
      <c r="E27" s="63"/>
      <c r="F27" s="63"/>
      <c r="G27" s="63"/>
      <c r="H27" s="63"/>
      <c r="I27" s="63"/>
      <c r="J27" s="63"/>
      <c r="K27" s="217"/>
      <c r="L27" s="63"/>
      <c r="M27" s="217"/>
      <c r="N27" s="62"/>
      <c r="O27" s="205"/>
      <c r="P27" s="63"/>
      <c r="Q27" s="62"/>
      <c r="R27" s="62"/>
      <c r="T27" s="63">
        <f t="shared" si="1"/>
        <v>0</v>
      </c>
      <c r="U27" s="203"/>
      <c r="V27" s="290">
        <v>2839964</v>
      </c>
      <c r="W27" s="63">
        <v>2839964</v>
      </c>
    </row>
    <row r="28" spans="1:23">
      <c r="A28" s="76" t="s">
        <v>116</v>
      </c>
      <c r="B28" s="78"/>
      <c r="C28" s="78"/>
      <c r="D28" s="78"/>
      <c r="E28" s="78"/>
      <c r="F28" s="78"/>
      <c r="G28" s="78"/>
      <c r="H28" s="78"/>
      <c r="I28" s="78"/>
      <c r="J28" s="78"/>
      <c r="K28" s="219"/>
      <c r="L28" s="78"/>
      <c r="M28" s="219"/>
      <c r="N28" s="78"/>
      <c r="O28" s="78"/>
      <c r="P28" s="78"/>
      <c r="Q28" s="78"/>
      <c r="R28" s="78"/>
      <c r="T28" s="78">
        <f t="shared" si="1"/>
        <v>0</v>
      </c>
      <c r="U28" s="203"/>
      <c r="V28" s="960">
        <v>18786975</v>
      </c>
      <c r="W28" s="68">
        <v>18786975</v>
      </c>
    </row>
    <row r="29" spans="1:23">
      <c r="A29" s="213" t="s">
        <v>117</v>
      </c>
      <c r="B29" s="68"/>
      <c r="C29" s="68"/>
      <c r="D29" s="68"/>
      <c r="E29" s="68"/>
      <c r="F29" s="68"/>
      <c r="G29" s="68"/>
      <c r="H29" s="68"/>
      <c r="I29" s="68"/>
      <c r="J29" s="68"/>
      <c r="K29" s="218"/>
      <c r="L29" s="68"/>
      <c r="M29" s="218"/>
      <c r="N29" s="78"/>
      <c r="O29" s="207"/>
      <c r="P29" s="68"/>
      <c r="Q29" s="78"/>
      <c r="R29" s="78"/>
      <c r="S29" s="66"/>
      <c r="T29" s="68">
        <f t="shared" si="1"/>
        <v>0</v>
      </c>
      <c r="U29" s="203"/>
      <c r="V29" s="290">
        <v>3296000</v>
      </c>
      <c r="W29" s="63">
        <v>3296000</v>
      </c>
    </row>
    <row r="30" spans="1:23">
      <c r="A30" s="438" t="s">
        <v>523</v>
      </c>
      <c r="B30" s="266"/>
      <c r="C30" s="266"/>
      <c r="D30" s="266"/>
      <c r="E30" s="266"/>
      <c r="F30" s="266"/>
      <c r="G30" s="266"/>
      <c r="H30" s="266"/>
      <c r="I30" s="266"/>
      <c r="J30" s="266"/>
      <c r="K30" s="263"/>
      <c r="L30" s="266"/>
      <c r="M30" s="263"/>
      <c r="N30" s="267"/>
      <c r="O30" s="267"/>
      <c r="P30" s="266"/>
      <c r="Q30" s="267"/>
      <c r="R30" s="264"/>
      <c r="S30" s="263"/>
      <c r="T30" s="266">
        <f>SUM(B30:R30)</f>
        <v>0</v>
      </c>
      <c r="U30" s="203"/>
      <c r="V30" s="960">
        <v>4706010</v>
      </c>
      <c r="W30" s="68">
        <v>4706010</v>
      </c>
    </row>
    <row r="31" spans="1:23">
      <c r="A31" s="437" t="s">
        <v>524</v>
      </c>
      <c r="B31" s="78"/>
      <c r="C31" s="78"/>
      <c r="D31" s="78"/>
      <c r="E31" s="78"/>
      <c r="F31" s="78"/>
      <c r="G31" s="78"/>
      <c r="H31" s="78"/>
      <c r="I31" s="78"/>
      <c r="J31" s="78"/>
      <c r="K31" s="66"/>
      <c r="L31" s="78"/>
      <c r="M31" s="66"/>
      <c r="N31" s="78"/>
      <c r="O31" s="78"/>
      <c r="P31" s="78"/>
      <c r="Q31" s="78"/>
      <c r="R31" s="78"/>
      <c r="S31" s="66"/>
      <c r="T31" s="78">
        <f t="shared" si="1"/>
        <v>0</v>
      </c>
      <c r="U31" s="203"/>
      <c r="V31" s="960">
        <v>833083</v>
      </c>
      <c r="W31" s="68">
        <v>14579074</v>
      </c>
    </row>
    <row r="32" spans="1:23">
      <c r="A32" s="213" t="s">
        <v>118</v>
      </c>
      <c r="B32" s="68"/>
      <c r="C32" s="68"/>
      <c r="D32" s="68"/>
      <c r="E32" s="68"/>
      <c r="F32" s="68"/>
      <c r="G32" s="68"/>
      <c r="H32" s="68"/>
      <c r="I32" s="68"/>
      <c r="J32" s="68"/>
      <c r="K32" s="218"/>
      <c r="L32" s="68"/>
      <c r="M32" s="218"/>
      <c r="N32" s="78"/>
      <c r="O32" s="207"/>
      <c r="P32" s="68"/>
      <c r="Q32" s="78"/>
      <c r="R32" s="78"/>
      <c r="S32" s="66"/>
      <c r="T32" s="68">
        <f t="shared" si="1"/>
        <v>0</v>
      </c>
      <c r="U32" s="203"/>
      <c r="V32" s="290">
        <v>14579074</v>
      </c>
      <c r="W32" s="63">
        <v>11354618</v>
      </c>
    </row>
    <row r="33" spans="1:23">
      <c r="A33" s="438" t="s">
        <v>119</v>
      </c>
      <c r="B33" s="266"/>
      <c r="C33" s="266"/>
      <c r="D33" s="266"/>
      <c r="E33" s="266"/>
      <c r="F33" s="266"/>
      <c r="G33" s="266"/>
      <c r="H33" s="266"/>
      <c r="I33" s="266"/>
      <c r="J33" s="266"/>
      <c r="K33" s="439"/>
      <c r="L33" s="266"/>
      <c r="M33" s="439"/>
      <c r="N33" s="267"/>
      <c r="O33" s="440"/>
      <c r="P33" s="266"/>
      <c r="Q33" s="266"/>
      <c r="R33" s="264"/>
      <c r="S33" s="263"/>
      <c r="T33" s="266">
        <f t="shared" si="1"/>
        <v>0</v>
      </c>
      <c r="U33" s="203"/>
      <c r="V33" s="960">
        <v>11354618</v>
      </c>
      <c r="W33" s="68">
        <v>833083</v>
      </c>
    </row>
    <row r="34" spans="1:23">
      <c r="A34" s="441" t="s">
        <v>120</v>
      </c>
      <c r="B34" s="442">
        <f>SUM(B15:B33)</f>
        <v>0</v>
      </c>
      <c r="C34" s="442">
        <f>SUM(C15:C33)</f>
        <v>0</v>
      </c>
      <c r="D34" s="442">
        <f>SUM(D15:D33)</f>
        <v>0</v>
      </c>
      <c r="E34" s="442"/>
      <c r="F34" s="442">
        <f>SUM(F15:F33)</f>
        <v>0</v>
      </c>
      <c r="G34" s="442">
        <f>SUM(G15:G33)</f>
        <v>0</v>
      </c>
      <c r="H34" s="442">
        <f>SUM(H15:H33)</f>
        <v>0</v>
      </c>
      <c r="I34" s="442">
        <f>SUM(I15:I33)</f>
        <v>0</v>
      </c>
      <c r="J34" s="442"/>
      <c r="K34" s="442">
        <f>SUM(K15:K33)</f>
        <v>0</v>
      </c>
      <c r="L34" s="442"/>
      <c r="M34" s="442">
        <f t="shared" ref="M34:R34" si="2">SUM(M15:M33)</f>
        <v>0</v>
      </c>
      <c r="N34" s="442">
        <f t="shared" si="2"/>
        <v>0</v>
      </c>
      <c r="O34" s="442">
        <f t="shared" si="2"/>
        <v>0</v>
      </c>
      <c r="P34" s="442">
        <f t="shared" si="2"/>
        <v>0</v>
      </c>
      <c r="Q34" s="442">
        <f t="shared" si="2"/>
        <v>0</v>
      </c>
      <c r="R34" s="442">
        <f t="shared" si="2"/>
        <v>0</v>
      </c>
      <c r="S34" s="443"/>
      <c r="T34" s="442">
        <f>SUM(T15:T33)</f>
        <v>0</v>
      </c>
      <c r="U34" s="203"/>
      <c r="V34" s="442">
        <v>336970658</v>
      </c>
      <c r="W34" s="442">
        <v>336970658</v>
      </c>
    </row>
    <row r="35" spans="1:23">
      <c r="A35" s="213"/>
      <c r="B35" s="66"/>
      <c r="C35" s="66"/>
      <c r="D35" s="66"/>
      <c r="E35" s="66"/>
      <c r="F35" s="66"/>
      <c r="G35" s="66"/>
      <c r="H35" s="66"/>
      <c r="I35" s="66"/>
      <c r="J35" s="66"/>
      <c r="K35" s="66"/>
      <c r="L35" s="66"/>
      <c r="M35" s="66"/>
      <c r="N35" s="66"/>
      <c r="O35" s="66"/>
      <c r="P35" s="66"/>
      <c r="Q35" s="66"/>
      <c r="R35" s="66"/>
      <c r="S35" s="66"/>
      <c r="T35" s="66"/>
      <c r="U35" s="203"/>
      <c r="V35" s="62"/>
      <c r="W35" s="63"/>
    </row>
    <row r="36" spans="1:23">
      <c r="A36" s="203"/>
      <c r="U36" s="208"/>
      <c r="V36" s="208"/>
      <c r="W36" s="68"/>
    </row>
    <row r="37" spans="1:23">
      <c r="A37" s="76" t="s">
        <v>121</v>
      </c>
      <c r="B37" s="78"/>
      <c r="C37" s="78"/>
      <c r="D37" s="78"/>
      <c r="E37" s="78"/>
      <c r="F37" s="78"/>
      <c r="G37" s="78"/>
      <c r="H37" s="78"/>
      <c r="I37" s="78"/>
      <c r="J37" s="78"/>
      <c r="K37" s="78"/>
      <c r="L37" s="78"/>
      <c r="M37" s="78"/>
      <c r="N37" s="78"/>
      <c r="O37" s="78"/>
      <c r="P37" s="78"/>
      <c r="Q37" s="78"/>
      <c r="R37" s="78"/>
      <c r="T37" s="78"/>
      <c r="U37" s="203"/>
      <c r="V37" s="78"/>
      <c r="W37" s="68"/>
    </row>
    <row r="38" spans="1:23">
      <c r="A38" s="214" t="s">
        <v>122</v>
      </c>
      <c r="B38" s="63"/>
      <c r="C38" s="63"/>
      <c r="D38" s="217"/>
      <c r="E38" s="217"/>
      <c r="F38" s="217"/>
      <c r="G38" s="217"/>
      <c r="H38" s="217"/>
      <c r="I38" s="217"/>
      <c r="J38" s="217"/>
      <c r="K38" s="217"/>
      <c r="L38" s="63"/>
      <c r="M38" s="217"/>
      <c r="N38" s="62"/>
      <c r="O38" s="205"/>
      <c r="P38" s="63"/>
      <c r="Q38" s="62"/>
      <c r="R38" s="62"/>
      <c r="T38" s="63">
        <f t="shared" ref="T38:T55" si="3">SUM(B38:R38)</f>
        <v>0</v>
      </c>
      <c r="U38" s="203"/>
      <c r="V38" s="290">
        <v>8388275</v>
      </c>
      <c r="W38" s="63">
        <v>8388275</v>
      </c>
    </row>
    <row r="39" spans="1:23">
      <c r="A39" s="213" t="s">
        <v>123</v>
      </c>
      <c r="B39" s="78"/>
      <c r="C39" s="78"/>
      <c r="D39" s="78"/>
      <c r="E39" s="78"/>
      <c r="F39" s="78"/>
      <c r="G39" s="78"/>
      <c r="H39" s="78"/>
      <c r="I39" s="78"/>
      <c r="J39" s="78"/>
      <c r="K39" s="219"/>
      <c r="L39" s="78"/>
      <c r="M39" s="219"/>
      <c r="N39" s="78"/>
      <c r="O39" s="216"/>
      <c r="P39" s="68"/>
      <c r="Q39" s="68"/>
      <c r="R39" s="208"/>
      <c r="T39" s="78">
        <f t="shared" si="3"/>
        <v>0</v>
      </c>
      <c r="U39" s="203"/>
      <c r="V39" s="960">
        <v>3982978</v>
      </c>
      <c r="W39" s="68">
        <v>3982978</v>
      </c>
    </row>
    <row r="40" spans="1:23">
      <c r="A40" s="76" t="s">
        <v>124</v>
      </c>
      <c r="B40" s="78"/>
      <c r="C40" s="78"/>
      <c r="D40" s="219"/>
      <c r="E40" s="219"/>
      <c r="F40" s="219"/>
      <c r="G40" s="219"/>
      <c r="H40" s="219"/>
      <c r="I40" s="219"/>
      <c r="J40" s="219"/>
      <c r="K40" s="219"/>
      <c r="L40" s="78"/>
      <c r="M40" s="219"/>
      <c r="N40" s="78"/>
      <c r="O40" s="78"/>
      <c r="P40" s="78"/>
      <c r="Q40" s="78"/>
      <c r="R40" s="78"/>
      <c r="T40" s="78">
        <f t="shared" si="3"/>
        <v>0</v>
      </c>
      <c r="U40" s="203"/>
      <c r="V40" s="960">
        <v>1441801</v>
      </c>
      <c r="W40" s="68">
        <v>1441801</v>
      </c>
    </row>
    <row r="41" spans="1:23">
      <c r="A41" s="214" t="s">
        <v>125</v>
      </c>
      <c r="B41" s="63"/>
      <c r="C41" s="63"/>
      <c r="D41" s="217"/>
      <c r="E41" s="217"/>
      <c r="F41" s="217"/>
      <c r="G41" s="217"/>
      <c r="H41" s="217"/>
      <c r="I41" s="217"/>
      <c r="J41" s="217"/>
      <c r="K41" s="217"/>
      <c r="L41" s="63"/>
      <c r="M41" s="217"/>
      <c r="N41" s="62"/>
      <c r="O41" s="205"/>
      <c r="P41" s="63"/>
      <c r="Q41" s="62"/>
      <c r="R41" s="62"/>
      <c r="T41" s="63">
        <f t="shared" si="3"/>
        <v>0</v>
      </c>
      <c r="U41" s="203"/>
      <c r="V41" s="290">
        <v>7948710</v>
      </c>
      <c r="W41" s="63">
        <v>7948710</v>
      </c>
    </row>
    <row r="42" spans="1:23">
      <c r="A42" s="213" t="s">
        <v>126</v>
      </c>
      <c r="B42" s="78"/>
      <c r="C42" s="78"/>
      <c r="D42" s="78"/>
      <c r="E42" s="78"/>
      <c r="F42" s="78"/>
      <c r="G42" s="78"/>
      <c r="H42" s="78"/>
      <c r="I42" s="78"/>
      <c r="J42" s="78"/>
      <c r="K42" s="219"/>
      <c r="L42" s="78"/>
      <c r="M42" s="219"/>
      <c r="N42" s="78"/>
      <c r="O42" s="216"/>
      <c r="P42" s="68"/>
      <c r="Q42" s="68"/>
      <c r="R42" s="208"/>
      <c r="T42" s="78">
        <f t="shared" si="3"/>
        <v>0</v>
      </c>
      <c r="U42" s="203"/>
      <c r="V42" s="960">
        <v>9724870</v>
      </c>
      <c r="W42" s="68">
        <v>9724870</v>
      </c>
    </row>
    <row r="43" spans="1:23">
      <c r="A43" s="437" t="s">
        <v>552</v>
      </c>
      <c r="B43" s="78"/>
      <c r="C43" s="78"/>
      <c r="D43" s="78"/>
      <c r="E43" s="78"/>
      <c r="F43" s="78"/>
      <c r="G43" s="78"/>
      <c r="H43" s="78"/>
      <c r="I43" s="78"/>
      <c r="J43" s="78"/>
      <c r="K43" s="219"/>
      <c r="L43" s="78"/>
      <c r="M43" s="219"/>
      <c r="N43" s="78"/>
      <c r="O43" s="216"/>
      <c r="P43" s="68"/>
      <c r="Q43" s="68"/>
      <c r="R43" s="208"/>
      <c r="T43" s="78"/>
      <c r="U43" s="203"/>
      <c r="V43" s="960">
        <v>5000049</v>
      </c>
      <c r="W43" s="68">
        <v>5000049</v>
      </c>
    </row>
    <row r="44" spans="1:23">
      <c r="A44" s="213" t="s">
        <v>127</v>
      </c>
      <c r="B44" s="78"/>
      <c r="C44" s="78"/>
      <c r="D44" s="78"/>
      <c r="E44" s="78"/>
      <c r="F44" s="78"/>
      <c r="G44" s="78"/>
      <c r="H44" s="78"/>
      <c r="I44" s="78"/>
      <c r="J44" s="78"/>
      <c r="K44" s="219"/>
      <c r="L44" s="78"/>
      <c r="M44" s="219"/>
      <c r="N44" s="78"/>
      <c r="O44" s="216"/>
      <c r="P44" s="68"/>
      <c r="Q44" s="68"/>
      <c r="R44" s="208"/>
      <c r="T44" s="78">
        <f t="shared" si="3"/>
        <v>0</v>
      </c>
      <c r="U44" s="203"/>
      <c r="V44" s="960">
        <v>3643184</v>
      </c>
      <c r="W44" s="68">
        <v>3643184</v>
      </c>
    </row>
    <row r="45" spans="1:23">
      <c r="A45" s="214" t="s">
        <v>128</v>
      </c>
      <c r="B45" s="63"/>
      <c r="C45" s="63"/>
      <c r="D45" s="63"/>
      <c r="E45" s="63"/>
      <c r="F45" s="63"/>
      <c r="G45" s="63"/>
      <c r="H45" s="63"/>
      <c r="I45" s="63"/>
      <c r="J45" s="63"/>
      <c r="K45" s="217"/>
      <c r="L45" s="63"/>
      <c r="M45" s="217"/>
      <c r="N45" s="62"/>
      <c r="O45" s="205"/>
      <c r="P45" s="63"/>
      <c r="Q45" s="62"/>
      <c r="R45" s="62"/>
      <c r="T45" s="63">
        <f t="shared" si="3"/>
        <v>0</v>
      </c>
      <c r="U45" s="203"/>
      <c r="V45" s="290">
        <v>19774816</v>
      </c>
      <c r="W45" s="63">
        <v>19774816</v>
      </c>
    </row>
    <row r="46" spans="1:23">
      <c r="A46" s="213" t="s">
        <v>553</v>
      </c>
      <c r="B46" s="78"/>
      <c r="C46" s="78"/>
      <c r="D46" s="78"/>
      <c r="E46" s="78"/>
      <c r="F46" s="78"/>
      <c r="G46" s="78"/>
      <c r="H46" s="78"/>
      <c r="I46" s="78"/>
      <c r="J46" s="78"/>
      <c r="K46" s="219"/>
      <c r="L46" s="78"/>
      <c r="M46" s="219"/>
      <c r="N46" s="78"/>
      <c r="O46" s="216"/>
      <c r="P46" s="68"/>
      <c r="Q46" s="68"/>
      <c r="R46" s="208"/>
      <c r="T46" s="78">
        <f t="shared" si="3"/>
        <v>0</v>
      </c>
      <c r="U46" s="203"/>
      <c r="V46" s="960">
        <v>4507186</v>
      </c>
      <c r="W46" s="68">
        <v>4507186</v>
      </c>
    </row>
    <row r="47" spans="1:23">
      <c r="A47" s="76" t="s">
        <v>115</v>
      </c>
      <c r="B47" s="78"/>
      <c r="C47" s="78"/>
      <c r="D47" s="78"/>
      <c r="E47" s="78"/>
      <c r="F47" s="78"/>
      <c r="G47" s="78"/>
      <c r="H47" s="78"/>
      <c r="I47" s="78"/>
      <c r="J47" s="78"/>
      <c r="K47" s="219"/>
      <c r="L47" s="78"/>
      <c r="M47" s="219"/>
      <c r="N47" s="78"/>
      <c r="O47" s="216"/>
      <c r="P47" s="68"/>
      <c r="Q47" s="68"/>
      <c r="R47" s="208"/>
      <c r="T47" s="78"/>
      <c r="U47" s="203"/>
      <c r="V47" s="960">
        <v>1522413</v>
      </c>
      <c r="W47" s="68">
        <v>1522413</v>
      </c>
    </row>
    <row r="48" spans="1:23">
      <c r="A48" s="213" t="s">
        <v>129</v>
      </c>
      <c r="B48" s="78"/>
      <c r="C48" s="78"/>
      <c r="D48" s="78"/>
      <c r="E48" s="78"/>
      <c r="F48" s="78"/>
      <c r="G48" s="78"/>
      <c r="H48" s="78"/>
      <c r="I48" s="78"/>
      <c r="J48" s="78"/>
      <c r="K48" s="219"/>
      <c r="L48" s="78"/>
      <c r="M48" s="219"/>
      <c r="N48" s="78"/>
      <c r="O48" s="216"/>
      <c r="P48" s="68"/>
      <c r="Q48" s="68"/>
      <c r="R48" s="208"/>
      <c r="T48" s="78">
        <f t="shared" si="3"/>
        <v>0</v>
      </c>
      <c r="U48" s="203"/>
      <c r="V48" s="290">
        <v>7582890</v>
      </c>
      <c r="W48" s="63">
        <v>7582890</v>
      </c>
    </row>
    <row r="49" spans="1:24">
      <c r="A49" s="214" t="s">
        <v>130</v>
      </c>
      <c r="B49" s="63"/>
      <c r="C49" s="63"/>
      <c r="D49" s="63"/>
      <c r="E49" s="63"/>
      <c r="F49" s="63"/>
      <c r="G49" s="63"/>
      <c r="H49" s="63"/>
      <c r="I49" s="63"/>
      <c r="J49" s="63"/>
      <c r="K49" s="217"/>
      <c r="L49" s="63"/>
      <c r="M49" s="217"/>
      <c r="N49" s="62"/>
      <c r="O49" s="205"/>
      <c r="P49" s="63"/>
      <c r="Q49" s="62"/>
      <c r="R49" s="62"/>
      <c r="T49" s="63">
        <f t="shared" si="3"/>
        <v>0</v>
      </c>
      <c r="U49" s="203"/>
      <c r="V49" s="960">
        <v>7705927</v>
      </c>
      <c r="W49" s="68">
        <v>7705927</v>
      </c>
    </row>
    <row r="50" spans="1:24">
      <c r="A50" s="213" t="s">
        <v>131</v>
      </c>
      <c r="B50" s="78"/>
      <c r="C50" s="78"/>
      <c r="D50" s="78"/>
      <c r="E50" s="78"/>
      <c r="F50" s="78"/>
      <c r="G50" s="78"/>
      <c r="H50" s="78"/>
      <c r="I50" s="78"/>
      <c r="J50" s="78"/>
      <c r="K50" s="219"/>
      <c r="L50" s="78"/>
      <c r="M50" s="219"/>
      <c r="N50" s="78"/>
      <c r="O50" s="216"/>
      <c r="P50" s="68"/>
      <c r="Q50" s="68"/>
      <c r="R50" s="208"/>
      <c r="T50" s="78">
        <f t="shared" si="3"/>
        <v>0</v>
      </c>
      <c r="U50" s="203"/>
      <c r="V50" s="960">
        <v>12221894</v>
      </c>
      <c r="W50" s="68">
        <v>12221894</v>
      </c>
    </row>
    <row r="51" spans="1:24">
      <c r="A51" s="213" t="s">
        <v>132</v>
      </c>
      <c r="B51" s="78"/>
      <c r="C51" s="78"/>
      <c r="D51" s="78"/>
      <c r="E51" s="78"/>
      <c r="F51" s="78"/>
      <c r="G51" s="78"/>
      <c r="H51" s="78"/>
      <c r="I51" s="78"/>
      <c r="J51" s="78"/>
      <c r="K51" s="219"/>
      <c r="L51" s="78"/>
      <c r="M51" s="219"/>
      <c r="N51" s="78"/>
      <c r="O51" s="216"/>
      <c r="P51" s="68"/>
      <c r="Q51" s="68"/>
      <c r="R51" s="208"/>
      <c r="T51" s="78">
        <f t="shared" si="3"/>
        <v>0</v>
      </c>
      <c r="U51" s="203"/>
      <c r="V51" s="290">
        <v>25322352</v>
      </c>
      <c r="W51" s="63">
        <v>25322352</v>
      </c>
    </row>
    <row r="52" spans="1:24">
      <c r="A52" s="214" t="s">
        <v>133</v>
      </c>
      <c r="B52" s="63"/>
      <c r="C52" s="63"/>
      <c r="D52" s="63"/>
      <c r="E52" s="63"/>
      <c r="F52" s="63"/>
      <c r="G52" s="63"/>
      <c r="H52" s="63"/>
      <c r="I52" s="63"/>
      <c r="J52" s="63"/>
      <c r="K52" s="217"/>
      <c r="L52" s="63"/>
      <c r="M52" s="217"/>
      <c r="N52" s="62"/>
      <c r="O52" s="205"/>
      <c r="P52" s="63"/>
      <c r="Q52" s="62"/>
      <c r="R52" s="62"/>
      <c r="T52" s="63">
        <f t="shared" si="3"/>
        <v>0</v>
      </c>
      <c r="U52" s="203"/>
      <c r="V52" s="960">
        <v>17924002</v>
      </c>
      <c r="W52" s="68">
        <v>17924002</v>
      </c>
    </row>
    <row r="53" spans="1:24">
      <c r="A53" s="213" t="s">
        <v>521</v>
      </c>
      <c r="B53" s="68"/>
      <c r="C53" s="68"/>
      <c r="D53" s="68"/>
      <c r="E53" s="68"/>
      <c r="F53" s="68"/>
      <c r="G53" s="68"/>
      <c r="H53" s="68"/>
      <c r="I53" s="68"/>
      <c r="J53" s="68"/>
      <c r="K53" s="218"/>
      <c r="L53" s="68"/>
      <c r="M53" s="218"/>
      <c r="N53" s="78"/>
      <c r="O53" s="207"/>
      <c r="P53" s="68"/>
      <c r="Q53" s="78"/>
      <c r="R53" s="78"/>
      <c r="S53" s="66"/>
      <c r="T53" s="68"/>
      <c r="U53" s="203"/>
      <c r="V53" s="960">
        <v>3458422</v>
      </c>
      <c r="W53" s="68">
        <v>3458422</v>
      </c>
    </row>
    <row r="54" spans="1:24">
      <c r="A54" s="437" t="s">
        <v>554</v>
      </c>
      <c r="B54" s="68"/>
      <c r="C54" s="68"/>
      <c r="D54" s="68"/>
      <c r="E54" s="68"/>
      <c r="F54" s="68"/>
      <c r="G54" s="68"/>
      <c r="H54" s="68"/>
      <c r="I54" s="68"/>
      <c r="J54" s="68"/>
      <c r="K54" s="218"/>
      <c r="L54" s="68"/>
      <c r="M54" s="218"/>
      <c r="N54" s="78"/>
      <c r="O54" s="207"/>
      <c r="P54" s="68"/>
      <c r="Q54" s="78"/>
      <c r="R54" s="78"/>
      <c r="S54" s="66"/>
      <c r="T54" s="68"/>
      <c r="U54" s="203"/>
      <c r="V54" s="290">
        <v>2369486</v>
      </c>
      <c r="W54" s="63">
        <v>2369486</v>
      </c>
    </row>
    <row r="55" spans="1:24">
      <c r="A55" s="213" t="s">
        <v>134</v>
      </c>
      <c r="B55" s="78"/>
      <c r="C55" s="78"/>
      <c r="D55" s="78"/>
      <c r="E55" s="78"/>
      <c r="F55" s="78"/>
      <c r="G55" s="78"/>
      <c r="H55" s="78"/>
      <c r="I55" s="78"/>
      <c r="J55" s="78"/>
      <c r="K55" s="219"/>
      <c r="L55" s="78"/>
      <c r="M55" s="219"/>
      <c r="N55" s="78"/>
      <c r="O55" s="216"/>
      <c r="P55" s="68"/>
      <c r="Q55" s="68"/>
      <c r="R55" s="208"/>
      <c r="T55" s="78">
        <f t="shared" si="3"/>
        <v>0</v>
      </c>
      <c r="U55" s="203"/>
      <c r="V55" s="960">
        <v>12402374</v>
      </c>
      <c r="W55" s="68">
        <v>12402374</v>
      </c>
    </row>
    <row r="56" spans="1:24">
      <c r="A56" s="445" t="s">
        <v>135</v>
      </c>
      <c r="B56" s="446">
        <f>SUM(B38:B55)</f>
        <v>0</v>
      </c>
      <c r="C56" s="446">
        <f>SUM(C38:C55)</f>
        <v>0</v>
      </c>
      <c r="D56" s="446">
        <f>SUM(D38:D55)</f>
        <v>0</v>
      </c>
      <c r="E56" s="446"/>
      <c r="F56" s="446">
        <f>SUM(F38:F55)</f>
        <v>0</v>
      </c>
      <c r="G56" s="446">
        <f>SUM(G38:G55)</f>
        <v>0</v>
      </c>
      <c r="H56" s="446">
        <f>SUM(H38:H55)</f>
        <v>0</v>
      </c>
      <c r="I56" s="446">
        <f>SUM(I38:I55)</f>
        <v>0</v>
      </c>
      <c r="J56" s="446"/>
      <c r="K56" s="446">
        <f t="shared" ref="K56:P56" si="4">SUM(K38:K55)</f>
        <v>0</v>
      </c>
      <c r="L56" s="446"/>
      <c r="M56" s="446">
        <f>SUM(M38:M55)</f>
        <v>0</v>
      </c>
      <c r="N56" s="446">
        <f t="shared" si="4"/>
        <v>0</v>
      </c>
      <c r="O56" s="446">
        <f t="shared" si="4"/>
        <v>0</v>
      </c>
      <c r="P56" s="446">
        <f t="shared" si="4"/>
        <v>0</v>
      </c>
      <c r="Q56" s="446">
        <f>SUM(Q38:Q55)</f>
        <v>0</v>
      </c>
      <c r="R56" s="446">
        <f>SUM(R38:R55)</f>
        <v>0</v>
      </c>
      <c r="S56" s="443"/>
      <c r="T56" s="446">
        <f>SUM(T38:T55)</f>
        <v>0</v>
      </c>
      <c r="U56" s="203"/>
      <c r="V56" s="446">
        <v>154921629</v>
      </c>
      <c r="W56" s="446">
        <v>154921629</v>
      </c>
    </row>
    <row r="57" spans="1:24" ht="16.5" thickBot="1">
      <c r="A57" s="447" t="s">
        <v>136</v>
      </c>
      <c r="B57" s="448">
        <f>B6+B7+B8+B9+B10+B11+B12+B34+B56</f>
        <v>54069672.159999996</v>
      </c>
      <c r="C57" s="448">
        <f>C6+C7+C10+C11+C12+C34+C56+C8</f>
        <v>0</v>
      </c>
      <c r="D57" s="448">
        <f>D6+D7+D10+D11+D12+D34+D56+D8</f>
        <v>0</v>
      </c>
      <c r="E57" s="448"/>
      <c r="F57" s="448">
        <f>F6+F7+F10+F11+F12+F34+F56</f>
        <v>0</v>
      </c>
      <c r="G57" s="448">
        <f>G6+G7+G10+G11+G12+G34+G56</f>
        <v>0</v>
      </c>
      <c r="H57" s="448">
        <f>H6+H7+H10+H11+H12+H34+H56</f>
        <v>0</v>
      </c>
      <c r="I57" s="448">
        <f>I6+I7+I10+I11+I12+I34+I56</f>
        <v>0</v>
      </c>
      <c r="J57" s="448"/>
      <c r="K57" s="448">
        <f>K6+K7+K10+K11+K12+K34+K56</f>
        <v>0</v>
      </c>
      <c r="L57" s="448"/>
      <c r="M57" s="448">
        <f t="shared" ref="M57:R57" si="5">M56+M34+M6</f>
        <v>0</v>
      </c>
      <c r="N57" s="448">
        <f t="shared" si="5"/>
        <v>0</v>
      </c>
      <c r="O57" s="449">
        <f t="shared" si="5"/>
        <v>0</v>
      </c>
      <c r="P57" s="448">
        <f t="shared" si="5"/>
        <v>0</v>
      </c>
      <c r="Q57" s="448">
        <f t="shared" si="5"/>
        <v>0</v>
      </c>
      <c r="R57" s="448">
        <f t="shared" si="5"/>
        <v>0</v>
      </c>
      <c r="S57" s="450"/>
      <c r="T57" s="448">
        <f>T6+T7+T8+T9+T10+T11+T12+T34+T56</f>
        <v>54069672.159999996</v>
      </c>
      <c r="U57" s="780"/>
      <c r="V57" s="448">
        <v>553011959.38800001</v>
      </c>
      <c r="W57" s="448">
        <v>553011959.38800001</v>
      </c>
    </row>
    <row r="58" spans="1:24" ht="17.25" thickTop="1" thickBot="1">
      <c r="A58" s="213"/>
      <c r="B58" s="213"/>
      <c r="C58" s="213"/>
      <c r="D58" s="213"/>
      <c r="E58" s="213"/>
      <c r="F58" s="213"/>
      <c r="G58" s="213"/>
      <c r="H58" s="213"/>
      <c r="I58" s="213"/>
      <c r="J58" s="213"/>
      <c r="K58" s="207"/>
      <c r="L58" s="207"/>
      <c r="M58" s="78"/>
      <c r="N58" s="78"/>
      <c r="O58" s="78"/>
      <c r="P58" s="78"/>
      <c r="Q58" s="78"/>
      <c r="R58" s="208"/>
      <c r="S58" s="208"/>
      <c r="T58" s="206">
        <f>B57+C57+K57+M57+N57+O57+P57+Q57+R57+D57+F57+G57+H57+I57</f>
        <v>54069672.159999996</v>
      </c>
      <c r="U58" s="203"/>
      <c r="V58" s="86">
        <v>553011959</v>
      </c>
      <c r="W58" s="203"/>
    </row>
    <row r="59" spans="1:24" ht="16.5" thickTop="1">
      <c r="A59" s="202"/>
      <c r="B59" s="202"/>
      <c r="C59" s="202"/>
      <c r="D59" s="202"/>
      <c r="E59" s="202"/>
      <c r="F59" s="202"/>
      <c r="G59" s="202"/>
      <c r="H59" s="202"/>
      <c r="I59" s="202"/>
      <c r="J59" s="202"/>
      <c r="K59" s="204"/>
      <c r="L59" s="204"/>
      <c r="M59" s="204"/>
      <c r="N59" s="204"/>
      <c r="O59" s="204"/>
      <c r="P59" s="204"/>
      <c r="Q59" s="204"/>
      <c r="R59" s="204"/>
      <c r="S59" s="202"/>
      <c r="T59" s="204">
        <f>SUM(B57:R57)</f>
        <v>54069672.159999996</v>
      </c>
      <c r="U59" s="202"/>
      <c r="V59" s="204">
        <f>V34+V56+V6+V7+V8+V11+V12</f>
        <v>553011959</v>
      </c>
      <c r="W59" s="202"/>
      <c r="X59" s="202"/>
    </row>
    <row r="60" spans="1:24">
      <c r="A60" s="202"/>
      <c r="B60" s="202"/>
      <c r="C60" s="202"/>
      <c r="D60" s="202"/>
      <c r="E60" s="202"/>
      <c r="F60" s="202"/>
      <c r="G60" s="202"/>
      <c r="H60" s="202"/>
      <c r="I60" s="202"/>
      <c r="J60" s="202"/>
      <c r="K60" s="204"/>
      <c r="L60" s="202"/>
      <c r="M60" s="202"/>
      <c r="N60" s="202"/>
      <c r="O60" s="202"/>
      <c r="P60" s="202"/>
      <c r="Q60" s="202"/>
      <c r="R60" s="202"/>
      <c r="S60" s="202"/>
      <c r="T60" s="202"/>
      <c r="U60" s="202"/>
      <c r="V60" s="202"/>
      <c r="W60" s="202"/>
      <c r="X60" s="202"/>
    </row>
    <row r="61" spans="1:24">
      <c r="A61" s="202"/>
      <c r="B61" s="202"/>
      <c r="C61" s="202"/>
      <c r="D61" s="202"/>
      <c r="E61" s="202"/>
      <c r="F61" s="202"/>
      <c r="G61" s="202"/>
      <c r="H61" s="202"/>
      <c r="I61" s="202"/>
      <c r="J61" s="202"/>
      <c r="K61" s="220"/>
      <c r="L61" s="202"/>
      <c r="M61" s="202"/>
      <c r="N61" s="202"/>
      <c r="O61" s="202"/>
      <c r="P61" s="202"/>
      <c r="Q61" s="202"/>
      <c r="R61" s="204">
        <f>SUM(K59:R59)</f>
        <v>0</v>
      </c>
      <c r="S61" s="202"/>
      <c r="T61" s="204">
        <f>V59-T59</f>
        <v>498942286.84000003</v>
      </c>
      <c r="U61" s="202"/>
      <c r="V61" s="202"/>
      <c r="W61" s="202"/>
      <c r="X61" s="202"/>
    </row>
  </sheetData>
  <mergeCells count="5">
    <mergeCell ref="B4:D4"/>
    <mergeCell ref="F4:I4"/>
    <mergeCell ref="M4:R4"/>
    <mergeCell ref="W6:W12"/>
    <mergeCell ref="V6:V12"/>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A64"/>
  <sheetViews>
    <sheetView zoomScale="110" zoomScaleNormal="110" zoomScalePageLayoutView="110" workbookViewId="0">
      <selection activeCell="N21" sqref="N21:O21"/>
    </sheetView>
  </sheetViews>
  <sheetFormatPr defaultColWidth="11" defaultRowHeight="15.75"/>
  <cols>
    <col min="1" max="1" width="36.125" customWidth="1"/>
    <col min="2" max="2" width="11.125" customWidth="1"/>
    <col min="3" max="3" width="11.5" customWidth="1"/>
    <col min="4" max="4" width="15.625" customWidth="1"/>
    <col min="5" max="5" width="3.375" customWidth="1"/>
    <col min="6" max="9" width="11" customWidth="1"/>
    <col min="10" max="10" width="3.625" customWidth="1"/>
    <col min="11" max="11" width="16.125" customWidth="1"/>
    <col min="12" max="12" width="5.375" customWidth="1"/>
    <col min="13" max="13" width="12.625" customWidth="1"/>
    <col min="14" max="17" width="11" customWidth="1"/>
    <col min="18" max="18" width="12" customWidth="1"/>
    <col min="19" max="19" width="3.125" customWidth="1"/>
    <col min="20" max="20" width="13.875" customWidth="1"/>
    <col min="21" max="21" width="7.875" customWidth="1"/>
    <col min="22" max="22" width="12.875" customWidth="1"/>
    <col min="23" max="23" width="13.625" bestFit="1" customWidth="1"/>
    <col min="24" max="24" width="11.625" bestFit="1" customWidth="1"/>
    <col min="25" max="25" width="11.5" bestFit="1" customWidth="1"/>
    <col min="26" max="26" width="11.625" bestFit="1" customWidth="1"/>
  </cols>
  <sheetData>
    <row r="1" spans="1:27" ht="16.5" thickBot="1">
      <c r="A1" s="210" t="s">
        <v>77</v>
      </c>
      <c r="B1" s="210"/>
      <c r="C1" s="210"/>
      <c r="D1" s="210"/>
      <c r="E1" s="210"/>
      <c r="F1" s="210"/>
      <c r="G1" s="210"/>
      <c r="H1" s="210"/>
      <c r="I1" s="210"/>
      <c r="J1" s="210"/>
      <c r="K1" s="210" t="s">
        <v>865</v>
      </c>
      <c r="L1" s="210"/>
      <c r="M1" s="932">
        <f>'Dashboard-Academic Allocation'!C14</f>
        <v>0.02</v>
      </c>
      <c r="N1" s="210"/>
      <c r="O1" s="210"/>
      <c r="P1" s="210"/>
      <c r="Q1" s="210" t="s">
        <v>212</v>
      </c>
      <c r="S1" s="210"/>
      <c r="T1" s="210"/>
      <c r="U1" s="210"/>
      <c r="V1" s="210"/>
      <c r="W1" s="210"/>
      <c r="X1" s="210"/>
      <c r="Y1" s="200"/>
      <c r="Z1" s="200"/>
    </row>
    <row r="2" spans="1:27">
      <c r="A2" s="210" t="s">
        <v>1172</v>
      </c>
      <c r="B2" s="210"/>
      <c r="C2" s="210"/>
      <c r="D2" s="210"/>
      <c r="E2" s="210"/>
      <c r="F2" s="210"/>
      <c r="G2" s="210"/>
      <c r="H2" s="210"/>
      <c r="I2" s="210"/>
      <c r="J2" s="210"/>
      <c r="K2" s="210" t="s">
        <v>866</v>
      </c>
      <c r="L2" s="210"/>
      <c r="M2" s="932">
        <f>'Dashboard-Academic Allocation'!C13</f>
        <v>0.03</v>
      </c>
      <c r="N2" s="210"/>
      <c r="O2" s="210"/>
      <c r="P2" s="210"/>
      <c r="Q2" s="210"/>
      <c r="R2" s="210"/>
      <c r="S2" s="210"/>
      <c r="T2" s="238" t="s">
        <v>218</v>
      </c>
      <c r="U2" s="239"/>
      <c r="V2" s="243">
        <f>'Step 1 Contract and Reserves'!V2</f>
        <v>553011959</v>
      </c>
      <c r="W2" s="210"/>
      <c r="X2" s="210"/>
      <c r="Y2" s="200"/>
      <c r="Z2" s="200"/>
    </row>
    <row r="3" spans="1:27" ht="16.5" thickBot="1">
      <c r="A3" s="210"/>
      <c r="B3" s="210"/>
      <c r="C3" s="210"/>
      <c r="D3" s="210"/>
      <c r="E3" s="210"/>
      <c r="F3" s="210"/>
      <c r="G3" s="210"/>
      <c r="H3" s="210"/>
      <c r="I3" s="210"/>
      <c r="J3" s="210"/>
      <c r="N3" s="210"/>
      <c r="O3" s="210"/>
      <c r="P3" s="210"/>
      <c r="Q3" s="210"/>
      <c r="R3" s="210"/>
      <c r="S3" s="210"/>
      <c r="T3" s="240" t="s">
        <v>219</v>
      </c>
      <c r="U3" s="241"/>
      <c r="V3" s="242">
        <f>V2-T57</f>
        <v>459722622.88999999</v>
      </c>
      <c r="W3" s="210"/>
      <c r="X3" s="210"/>
      <c r="Y3" s="200"/>
      <c r="Z3" s="200"/>
    </row>
    <row r="4" spans="1:27">
      <c r="A4" s="211"/>
      <c r="B4" s="1614" t="s">
        <v>207</v>
      </c>
      <c r="C4" s="1614"/>
      <c r="D4" s="1614"/>
      <c r="E4" s="231"/>
      <c r="F4" s="1615" t="s">
        <v>208</v>
      </c>
      <c r="G4" s="1615"/>
      <c r="H4" s="1615"/>
      <c r="I4" s="1615"/>
      <c r="J4" s="231"/>
      <c r="K4" s="230" t="s">
        <v>209</v>
      </c>
      <c r="L4" s="211"/>
      <c r="M4" s="1616" t="s">
        <v>193</v>
      </c>
      <c r="N4" s="1616"/>
      <c r="O4" s="1616"/>
      <c r="P4" s="1616"/>
      <c r="Q4" s="1616"/>
      <c r="R4" s="1616"/>
      <c r="S4" s="211"/>
      <c r="T4" s="211"/>
      <c r="U4" s="211"/>
      <c r="V4" s="211"/>
      <c r="W4" s="211"/>
      <c r="X4" s="211"/>
      <c r="Y4" s="200"/>
      <c r="Z4" s="200"/>
    </row>
    <row r="5" spans="1:27" s="223" customFormat="1" ht="51.75">
      <c r="A5" s="221" t="s">
        <v>90</v>
      </c>
      <c r="B5" s="222" t="s">
        <v>215</v>
      </c>
      <c r="C5" s="222" t="s">
        <v>868</v>
      </c>
      <c r="D5" s="222" t="s">
        <v>869</v>
      </c>
      <c r="E5" s="222"/>
      <c r="F5" s="222" t="s">
        <v>198</v>
      </c>
      <c r="G5" s="222" t="s">
        <v>199</v>
      </c>
      <c r="H5" s="222" t="s">
        <v>200</v>
      </c>
      <c r="I5" s="222" t="s">
        <v>201</v>
      </c>
      <c r="J5" s="222"/>
      <c r="K5" s="222" t="s">
        <v>194</v>
      </c>
      <c r="L5" s="222"/>
      <c r="M5" s="222" t="s">
        <v>206</v>
      </c>
      <c r="N5" s="222" t="s">
        <v>195</v>
      </c>
      <c r="O5" s="222" t="s">
        <v>216</v>
      </c>
      <c r="P5" s="222" t="s">
        <v>196</v>
      </c>
      <c r="Q5" s="222" t="s">
        <v>197</v>
      </c>
      <c r="R5" s="222" t="s">
        <v>217</v>
      </c>
      <c r="T5" s="270" t="s">
        <v>1282</v>
      </c>
      <c r="U5" s="1445"/>
      <c r="V5" s="1446" t="s">
        <v>1283</v>
      </c>
      <c r="W5" s="270" t="s">
        <v>1284</v>
      </c>
      <c r="AA5" s="224"/>
    </row>
    <row r="6" spans="1:27">
      <c r="A6" s="212" t="s">
        <v>548</v>
      </c>
      <c r="B6" s="63">
        <f>'Step 1 Contract and Reserves'!B6</f>
        <v>4544301.7949999999</v>
      </c>
      <c r="C6" s="63"/>
      <c r="D6" s="63"/>
      <c r="E6" s="63"/>
      <c r="F6" s="63"/>
      <c r="G6" s="63"/>
      <c r="H6" s="63"/>
      <c r="I6" s="63"/>
      <c r="J6" s="63"/>
      <c r="K6" s="63"/>
      <c r="L6" s="63"/>
      <c r="M6" s="63"/>
      <c r="N6" s="62"/>
      <c r="O6" s="62"/>
      <c r="P6" s="63"/>
      <c r="Q6" s="64"/>
      <c r="R6" s="201"/>
      <c r="T6" s="63">
        <f t="shared" ref="T6:T12" si="0">SUM(B6:R6)</f>
        <v>4544301.7949999999</v>
      </c>
      <c r="U6" s="202"/>
      <c r="V6" s="1594">
        <f>'Step 1 Contract and Reserves'!V6:V12</f>
        <v>61119672</v>
      </c>
      <c r="W6" s="1594">
        <f>'Step 1 Contract and Reserves'!W6:W12</f>
        <v>61119672</v>
      </c>
      <c r="Y6" s="12"/>
      <c r="AA6" s="202"/>
    </row>
    <row r="7" spans="1:27">
      <c r="A7" s="212" t="s">
        <v>555</v>
      </c>
      <c r="B7" s="63">
        <f>'Step 1 Contract and Reserves'!B7</f>
        <v>-3508451.7949999999</v>
      </c>
      <c r="C7" s="63">
        <f>'Step 1a IM Summary'!B17</f>
        <v>3000000</v>
      </c>
      <c r="D7" s="931"/>
      <c r="E7" s="63"/>
      <c r="F7" s="63"/>
      <c r="G7" s="63"/>
      <c r="H7" s="63"/>
      <c r="I7" s="63"/>
      <c r="J7" s="63"/>
      <c r="K7" s="63"/>
      <c r="L7" s="63"/>
      <c r="M7" s="63"/>
      <c r="N7" s="62"/>
      <c r="O7" s="62"/>
      <c r="P7" s="63"/>
      <c r="Q7" s="64"/>
      <c r="R7" s="201"/>
      <c r="T7" s="63">
        <f t="shared" si="0"/>
        <v>-508451.79499999993</v>
      </c>
      <c r="U7" s="202"/>
      <c r="V7" s="1595"/>
      <c r="W7" s="1595"/>
      <c r="Y7" s="12"/>
      <c r="AA7" s="202"/>
    </row>
    <row r="8" spans="1:27">
      <c r="A8" s="212" t="s">
        <v>864</v>
      </c>
      <c r="B8" s="63">
        <f>'Step 1 Contract and Reserves'!B8</f>
        <v>0</v>
      </c>
      <c r="C8" s="63">
        <f>M1*V58-C7-C34-C56</f>
        <v>139144.1799999997</v>
      </c>
      <c r="D8" s="63">
        <f>M2*V58</f>
        <v>16590358.77</v>
      </c>
      <c r="E8" s="63"/>
      <c r="F8" s="63"/>
      <c r="G8" s="63"/>
      <c r="H8" s="63"/>
      <c r="I8" s="63"/>
      <c r="J8" s="63"/>
      <c r="K8" s="63"/>
      <c r="L8" s="63"/>
      <c r="M8" s="63"/>
      <c r="N8" s="62"/>
      <c r="O8" s="62"/>
      <c r="P8" s="63"/>
      <c r="Q8" s="64"/>
      <c r="R8" s="201"/>
      <c r="T8" s="63">
        <f t="shared" si="0"/>
        <v>16729502.949999999</v>
      </c>
      <c r="U8" s="202"/>
      <c r="V8" s="1595"/>
      <c r="W8" s="1595"/>
      <c r="Y8" s="12"/>
      <c r="AA8" s="202"/>
    </row>
    <row r="9" spans="1:27">
      <c r="A9" s="212" t="s">
        <v>899</v>
      </c>
      <c r="B9" s="63">
        <f>'Step 1 Contract and Reserves'!B9</f>
        <v>5000000</v>
      </c>
      <c r="C9" s="63">
        <f>M3*W57</f>
        <v>0</v>
      </c>
      <c r="D9" s="63"/>
      <c r="E9" s="63"/>
      <c r="F9" s="63"/>
      <c r="G9" s="63"/>
      <c r="H9" s="63"/>
      <c r="I9" s="63"/>
      <c r="J9" s="63"/>
      <c r="K9" s="63"/>
      <c r="L9" s="63"/>
      <c r="M9" s="63"/>
      <c r="N9" s="62"/>
      <c r="O9" s="62"/>
      <c r="P9" s="63"/>
      <c r="Q9" s="64"/>
      <c r="R9" s="201"/>
      <c r="T9" s="63">
        <f t="shared" si="0"/>
        <v>5000000</v>
      </c>
      <c r="U9" s="202"/>
      <c r="V9" s="1595"/>
      <c r="W9" s="1595"/>
      <c r="Y9" s="12"/>
      <c r="AA9" s="202"/>
    </row>
    <row r="10" spans="1:27">
      <c r="A10" s="212" t="s">
        <v>549</v>
      </c>
      <c r="B10" s="63">
        <f>'Step 1 Contract and Reserves'!B10</f>
        <v>21345070</v>
      </c>
      <c r="C10" s="63"/>
      <c r="D10" s="63"/>
      <c r="E10" s="63"/>
      <c r="F10" s="63"/>
      <c r="G10" s="63"/>
      <c r="H10" s="63"/>
      <c r="I10" s="63"/>
      <c r="J10" s="63"/>
      <c r="K10" s="63"/>
      <c r="L10" s="63"/>
      <c r="M10" s="63"/>
      <c r="N10" s="62"/>
      <c r="O10" s="62"/>
      <c r="P10" s="63"/>
      <c r="Q10" s="64"/>
      <c r="R10" s="201"/>
      <c r="T10" s="63">
        <f t="shared" si="0"/>
        <v>21345070</v>
      </c>
      <c r="U10" s="202"/>
      <c r="V10" s="1595"/>
      <c r="W10" s="1595"/>
      <c r="Y10" s="12"/>
      <c r="AA10" s="202"/>
    </row>
    <row r="11" spans="1:27">
      <c r="A11" s="212" t="s">
        <v>550</v>
      </c>
      <c r="B11" s="63">
        <f>'Step 1 Contract and Reserves'!B11</f>
        <v>4025000</v>
      </c>
      <c r="C11" s="63"/>
      <c r="D11" s="63"/>
      <c r="E11" s="63"/>
      <c r="F11" s="63"/>
      <c r="G11" s="63"/>
      <c r="H11" s="63"/>
      <c r="I11" s="63"/>
      <c r="J11" s="63"/>
      <c r="K11" s="63"/>
      <c r="L11" s="63"/>
      <c r="M11" s="63"/>
      <c r="N11" s="62"/>
      <c r="O11" s="62"/>
      <c r="P11" s="63"/>
      <c r="Q11" s="64"/>
      <c r="R11" s="201"/>
      <c r="T11" s="63">
        <f t="shared" si="0"/>
        <v>4025000</v>
      </c>
      <c r="U11" s="202"/>
      <c r="V11" s="1595"/>
      <c r="W11" s="1595"/>
      <c r="Y11" s="12"/>
      <c r="AA11" s="202"/>
    </row>
    <row r="12" spans="1:27">
      <c r="A12" s="212" t="s">
        <v>551</v>
      </c>
      <c r="B12" s="63">
        <f>'Step 1 Contract and Reserves'!B12</f>
        <v>22663752.16</v>
      </c>
      <c r="C12" s="63"/>
      <c r="D12" s="63"/>
      <c r="E12" s="63"/>
      <c r="F12" s="63"/>
      <c r="G12" s="63"/>
      <c r="H12" s="63"/>
      <c r="I12" s="63"/>
      <c r="J12" s="63"/>
      <c r="K12" s="63"/>
      <c r="L12" s="63"/>
      <c r="M12" s="63"/>
      <c r="N12" s="62"/>
      <c r="O12" s="62"/>
      <c r="P12" s="63"/>
      <c r="Q12" s="64"/>
      <c r="R12" s="201"/>
      <c r="T12" s="63">
        <f t="shared" si="0"/>
        <v>22663752.16</v>
      </c>
      <c r="U12" s="202"/>
      <c r="V12" s="1595"/>
      <c r="W12" s="1595"/>
      <c r="Y12" s="12"/>
      <c r="AA12" s="202"/>
    </row>
    <row r="13" spans="1:27">
      <c r="A13" s="203"/>
      <c r="B13" s="68"/>
      <c r="C13" s="68"/>
      <c r="D13" s="68"/>
      <c r="E13" s="68"/>
      <c r="F13" s="68"/>
      <c r="G13" s="68"/>
      <c r="H13" s="68"/>
      <c r="I13" s="68"/>
      <c r="J13" s="68"/>
      <c r="K13" s="68"/>
      <c r="L13" s="68"/>
      <c r="M13" s="68"/>
      <c r="N13" s="68"/>
      <c r="O13" s="213"/>
      <c r="P13" s="68"/>
      <c r="Q13" s="69"/>
      <c r="R13" s="203"/>
      <c r="T13" s="68"/>
      <c r="U13" s="203"/>
      <c r="V13" s="68"/>
      <c r="W13" s="68"/>
      <c r="Y13" s="12"/>
      <c r="AA13" s="202"/>
    </row>
    <row r="14" spans="1:27">
      <c r="A14" s="71" t="s">
        <v>101</v>
      </c>
      <c r="B14" s="42"/>
      <c r="C14" s="42"/>
      <c r="D14" s="42"/>
      <c r="E14" s="42"/>
      <c r="F14" s="42"/>
      <c r="G14" s="42"/>
      <c r="H14" s="42"/>
      <c r="I14" s="42"/>
      <c r="J14" s="42"/>
      <c r="K14" s="42"/>
      <c r="L14" s="42"/>
      <c r="M14" s="42"/>
      <c r="N14" s="72"/>
      <c r="O14" s="213"/>
      <c r="P14" s="42"/>
      <c r="Q14" s="42"/>
      <c r="R14" s="202"/>
      <c r="T14" s="42"/>
      <c r="U14" s="202"/>
      <c r="V14" s="42"/>
      <c r="W14" s="73"/>
      <c r="AA14" s="202"/>
    </row>
    <row r="15" spans="1:27">
      <c r="A15" s="214" t="s">
        <v>102</v>
      </c>
      <c r="B15" s="63"/>
      <c r="C15" s="63">
        <f>'Step 1b.  FY18  Revised'!E10</f>
        <v>0</v>
      </c>
      <c r="D15" s="63"/>
      <c r="E15" s="63"/>
      <c r="F15" s="63"/>
      <c r="G15" s="63"/>
      <c r="H15" s="63"/>
      <c r="I15" s="63"/>
      <c r="J15" s="63"/>
      <c r="K15" s="217"/>
      <c r="L15" s="63"/>
      <c r="M15" s="217"/>
      <c r="N15" s="62"/>
      <c r="O15" s="205"/>
      <c r="P15" s="63"/>
      <c r="Q15" s="63"/>
      <c r="R15" s="63"/>
      <c r="T15" s="63">
        <f t="shared" ref="T15:T33" si="1">SUM(B15:R15)</f>
        <v>0</v>
      </c>
      <c r="U15" s="203"/>
      <c r="V15" s="290">
        <f>'Step 1 Contract and Reserves'!V15</f>
        <v>24160078</v>
      </c>
      <c r="W15" s="63">
        <f>'Step 1 Contract and Reserves'!W15</f>
        <v>24160078</v>
      </c>
      <c r="Y15" s="215"/>
      <c r="AA15" s="202"/>
    </row>
    <row r="16" spans="1:27">
      <c r="A16" s="76" t="s">
        <v>103</v>
      </c>
      <c r="B16" s="68"/>
      <c r="C16" s="68">
        <f>'Step 1b.  FY18  Revised'!E11</f>
        <v>0</v>
      </c>
      <c r="D16" s="68"/>
      <c r="E16" s="68"/>
      <c r="F16" s="68"/>
      <c r="G16" s="68"/>
      <c r="H16" s="68"/>
      <c r="I16" s="68"/>
      <c r="J16" s="68"/>
      <c r="K16" s="218"/>
      <c r="L16" s="68"/>
      <c r="M16" s="218"/>
      <c r="N16" s="78"/>
      <c r="O16" s="207"/>
      <c r="P16" s="68"/>
      <c r="Q16" s="68"/>
      <c r="R16" s="68"/>
      <c r="T16" s="68">
        <f t="shared" si="1"/>
        <v>0</v>
      </c>
      <c r="U16" s="203"/>
      <c r="V16" s="960">
        <f>'Step 1 Contract and Reserves'!V16</f>
        <v>20462422</v>
      </c>
      <c r="W16" s="68">
        <f>'Step 1 Contract and Reserves'!W16</f>
        <v>20462422</v>
      </c>
      <c r="Y16" s="215"/>
      <c r="AA16" s="202"/>
    </row>
    <row r="17" spans="1:27">
      <c r="A17" s="213" t="s">
        <v>104</v>
      </c>
      <c r="B17" s="68"/>
      <c r="C17" s="68">
        <f>'Step 1b.  FY18  Revised'!E12</f>
        <v>0</v>
      </c>
      <c r="D17" s="68"/>
      <c r="E17" s="68"/>
      <c r="F17" s="68"/>
      <c r="G17" s="68"/>
      <c r="H17" s="68"/>
      <c r="I17" s="68"/>
      <c r="J17" s="68"/>
      <c r="K17" s="218"/>
      <c r="L17" s="68"/>
      <c r="M17" s="218"/>
      <c r="N17" s="78"/>
      <c r="O17" s="207"/>
      <c r="P17" s="68"/>
      <c r="Q17" s="68"/>
      <c r="R17" s="68"/>
      <c r="T17" s="68">
        <f t="shared" si="1"/>
        <v>0</v>
      </c>
      <c r="U17" s="203"/>
      <c r="V17" s="960">
        <f>'Step 1 Contract and Reserves'!V17</f>
        <v>61306607</v>
      </c>
      <c r="W17" s="68">
        <f>'Step 1 Contract and Reserves'!W17</f>
        <v>61306607</v>
      </c>
      <c r="Y17" s="215"/>
      <c r="AA17" s="202"/>
    </row>
    <row r="18" spans="1:27">
      <c r="A18" s="214" t="s">
        <v>105</v>
      </c>
      <c r="B18" s="63"/>
      <c r="C18" s="63">
        <f>'Step 1b.  FY18  Revised'!E13</f>
        <v>0</v>
      </c>
      <c r="D18" s="63"/>
      <c r="E18" s="63"/>
      <c r="F18" s="63"/>
      <c r="G18" s="63"/>
      <c r="H18" s="63"/>
      <c r="I18" s="63"/>
      <c r="J18" s="63"/>
      <c r="K18" s="217"/>
      <c r="L18" s="63"/>
      <c r="M18" s="217"/>
      <c r="N18" s="62"/>
      <c r="O18" s="205"/>
      <c r="P18" s="63"/>
      <c r="Q18" s="62"/>
      <c r="R18" s="62"/>
      <c r="T18" s="63">
        <f t="shared" si="1"/>
        <v>0</v>
      </c>
      <c r="U18" s="203"/>
      <c r="V18" s="290">
        <f>'Step 1 Contract and Reserves'!V18</f>
        <v>9355600</v>
      </c>
      <c r="W18" s="63">
        <f>'Step 1 Contract and Reserves'!W18</f>
        <v>9355600</v>
      </c>
      <c r="Y18" s="215"/>
      <c r="AA18" s="202"/>
    </row>
    <row r="19" spans="1:27">
      <c r="A19" s="76" t="s">
        <v>106</v>
      </c>
      <c r="B19" s="68"/>
      <c r="C19" s="68">
        <f>'Step 1b.  FY18  Revised'!E14</f>
        <v>0</v>
      </c>
      <c r="D19" s="68"/>
      <c r="E19" s="68"/>
      <c r="F19" s="68"/>
      <c r="G19" s="68"/>
      <c r="H19" s="68"/>
      <c r="I19" s="68"/>
      <c r="J19" s="68"/>
      <c r="K19" s="218"/>
      <c r="L19" s="68"/>
      <c r="M19" s="218"/>
      <c r="N19" s="78"/>
      <c r="O19" s="207"/>
      <c r="P19" s="68"/>
      <c r="Q19" s="68"/>
      <c r="R19" s="68"/>
      <c r="T19" s="68">
        <f t="shared" si="1"/>
        <v>0</v>
      </c>
      <c r="U19" s="203"/>
      <c r="V19" s="960">
        <f>'Step 1 Contract and Reserves'!V19</f>
        <v>20440194</v>
      </c>
      <c r="W19" s="68">
        <f>'Step 1 Contract and Reserves'!W19</f>
        <v>20440194</v>
      </c>
      <c r="Y19" s="215"/>
      <c r="AA19" s="202"/>
    </row>
    <row r="20" spans="1:27">
      <c r="A20" s="213" t="s">
        <v>107</v>
      </c>
      <c r="B20" s="68"/>
      <c r="C20" s="68">
        <f>'Step 1b.  FY18  Revised'!E15</f>
        <v>0</v>
      </c>
      <c r="D20" s="68"/>
      <c r="E20" s="68"/>
      <c r="F20" s="68"/>
      <c r="G20" s="68"/>
      <c r="H20" s="68"/>
      <c r="I20" s="68"/>
      <c r="J20" s="68"/>
      <c r="K20" s="218"/>
      <c r="L20" s="68"/>
      <c r="M20" s="218"/>
      <c r="N20" s="78"/>
      <c r="O20" s="207"/>
      <c r="P20" s="68"/>
      <c r="Q20" s="68"/>
      <c r="R20" s="68"/>
      <c r="T20" s="68">
        <f t="shared" si="1"/>
        <v>0</v>
      </c>
      <c r="U20" s="203"/>
      <c r="V20" s="960">
        <f>'Step 1 Contract and Reserves'!V20</f>
        <v>4806568</v>
      </c>
      <c r="W20" s="68">
        <f>'Step 1 Contract and Reserves'!W20</f>
        <v>4806568</v>
      </c>
      <c r="Y20" s="215"/>
      <c r="AA20" s="202"/>
    </row>
    <row r="21" spans="1:27">
      <c r="A21" s="214" t="s">
        <v>108</v>
      </c>
      <c r="B21" s="63"/>
      <c r="C21" s="63">
        <f>'Step 1b.  FY18  Revised'!E16</f>
        <v>75000</v>
      </c>
      <c r="D21" s="63"/>
      <c r="E21" s="63"/>
      <c r="F21" s="63"/>
      <c r="G21" s="63"/>
      <c r="H21" s="63"/>
      <c r="I21" s="63"/>
      <c r="J21" s="63"/>
      <c r="K21" s="217"/>
      <c r="L21" s="63"/>
      <c r="M21" s="217"/>
      <c r="N21" s="62"/>
      <c r="O21" s="205"/>
      <c r="P21" s="63"/>
      <c r="Q21" s="62"/>
      <c r="R21" s="62"/>
      <c r="T21" s="63">
        <f t="shared" si="1"/>
        <v>75000</v>
      </c>
      <c r="U21" s="203"/>
      <c r="V21" s="290">
        <f>'Step 1 Contract and Reserves'!V21</f>
        <v>45894131</v>
      </c>
      <c r="W21" s="63">
        <f>'Step 1 Contract and Reserves'!W21</f>
        <v>45894131</v>
      </c>
      <c r="Y21" s="215"/>
      <c r="AA21" s="202"/>
    </row>
    <row r="22" spans="1:27">
      <c r="A22" s="213" t="s">
        <v>109</v>
      </c>
      <c r="B22" s="68"/>
      <c r="C22" s="68">
        <f>'Step 1b.  FY18  Revised'!E17</f>
        <v>10875</v>
      </c>
      <c r="D22" s="68"/>
      <c r="E22" s="68"/>
      <c r="F22" s="68"/>
      <c r="G22" s="68"/>
      <c r="H22" s="68"/>
      <c r="I22" s="68"/>
      <c r="J22" s="68"/>
      <c r="K22" s="218"/>
      <c r="L22" s="68"/>
      <c r="M22" s="218"/>
      <c r="N22" s="78"/>
      <c r="O22" s="207"/>
      <c r="P22" s="68"/>
      <c r="Q22" s="68"/>
      <c r="R22" s="68"/>
      <c r="T22" s="68">
        <f t="shared" si="1"/>
        <v>10875</v>
      </c>
      <c r="U22" s="203"/>
      <c r="V22" s="960">
        <f>'Step 1 Contract and Reserves'!V22</f>
        <v>14831995</v>
      </c>
      <c r="W22" s="68">
        <f>'Step 1 Contract and Reserves'!W22</f>
        <v>14831995</v>
      </c>
      <c r="Y22" s="215"/>
      <c r="AA22" s="202"/>
    </row>
    <row r="23" spans="1:27">
      <c r="A23" s="213" t="s">
        <v>110</v>
      </c>
      <c r="B23" s="78"/>
      <c r="C23" s="78">
        <f>'Step 1b.  FY18  Revised'!E18</f>
        <v>0</v>
      </c>
      <c r="D23" s="78"/>
      <c r="E23" s="78"/>
      <c r="F23" s="78"/>
      <c r="G23" s="78"/>
      <c r="H23" s="78"/>
      <c r="I23" s="78"/>
      <c r="J23" s="78"/>
      <c r="K23" s="219"/>
      <c r="L23" s="78"/>
      <c r="M23" s="219"/>
      <c r="N23" s="78"/>
      <c r="O23" s="207"/>
      <c r="P23" s="68"/>
      <c r="Q23" s="68"/>
      <c r="R23" s="68"/>
      <c r="T23" s="78">
        <f t="shared" si="1"/>
        <v>0</v>
      </c>
      <c r="U23" s="203"/>
      <c r="V23" s="960">
        <f>'Step 1 Contract and Reserves'!V23</f>
        <v>12737398</v>
      </c>
      <c r="W23" s="68">
        <f>'Step 1 Contract and Reserves'!W23</f>
        <v>12737398</v>
      </c>
      <c r="Y23" s="215"/>
      <c r="AA23" s="202"/>
    </row>
    <row r="24" spans="1:27">
      <c r="A24" s="214" t="s">
        <v>111</v>
      </c>
      <c r="B24" s="63"/>
      <c r="C24" s="63">
        <f>'Step 1b.  FY18  Revised'!E19</f>
        <v>0</v>
      </c>
      <c r="D24" s="63"/>
      <c r="E24" s="63"/>
      <c r="F24" s="63"/>
      <c r="G24" s="63"/>
      <c r="H24" s="63"/>
      <c r="I24" s="63"/>
      <c r="J24" s="63"/>
      <c r="K24" s="217"/>
      <c r="L24" s="63"/>
      <c r="M24" s="217"/>
      <c r="N24" s="62"/>
      <c r="O24" s="205"/>
      <c r="P24" s="63"/>
      <c r="Q24" s="62"/>
      <c r="R24" s="62"/>
      <c r="T24" s="63">
        <f t="shared" si="1"/>
        <v>0</v>
      </c>
      <c r="U24" s="203"/>
      <c r="V24" s="290">
        <f>'Step 1 Contract and Reserves'!V24</f>
        <v>41127158</v>
      </c>
      <c r="W24" s="63">
        <f>'Step 1 Contract and Reserves'!W24</f>
        <v>41127158</v>
      </c>
      <c r="Y24" s="215"/>
      <c r="AA24" s="202"/>
    </row>
    <row r="25" spans="1:27">
      <c r="A25" s="213" t="s">
        <v>112</v>
      </c>
      <c r="B25" s="78"/>
      <c r="C25" s="78">
        <f>'Step 1b.  FY18  Revised'!E20</f>
        <v>-48085</v>
      </c>
      <c r="D25" s="78"/>
      <c r="E25" s="78"/>
      <c r="F25" s="78"/>
      <c r="G25" s="78"/>
      <c r="H25" s="78"/>
      <c r="I25" s="78"/>
      <c r="J25" s="78"/>
      <c r="K25" s="219"/>
      <c r="L25" s="78"/>
      <c r="M25" s="219"/>
      <c r="N25" s="78"/>
      <c r="O25" s="207"/>
      <c r="P25" s="68"/>
      <c r="Q25" s="78"/>
      <c r="R25" s="68"/>
      <c r="T25" s="78">
        <f t="shared" si="1"/>
        <v>-48085</v>
      </c>
      <c r="U25" s="203"/>
      <c r="V25" s="960">
        <f>'Step 1 Contract and Reserves'!V25</f>
        <v>24909417</v>
      </c>
      <c r="W25" s="68">
        <f>'Step 1 Contract and Reserves'!W25</f>
        <v>24909417</v>
      </c>
      <c r="Y25" s="215"/>
      <c r="AA25" s="202"/>
    </row>
    <row r="26" spans="1:27">
      <c r="A26" s="213" t="s">
        <v>113</v>
      </c>
      <c r="B26" s="68"/>
      <c r="C26" s="68">
        <f>'Step 1b.  FY18  Revised'!E21</f>
        <v>0</v>
      </c>
      <c r="D26" s="68"/>
      <c r="E26" s="68"/>
      <c r="F26" s="68"/>
      <c r="G26" s="68"/>
      <c r="H26" s="68"/>
      <c r="I26" s="68"/>
      <c r="J26" s="68"/>
      <c r="K26" s="218"/>
      <c r="L26" s="68"/>
      <c r="M26" s="218"/>
      <c r="N26" s="78"/>
      <c r="O26" s="207"/>
      <c r="P26" s="78"/>
      <c r="Q26" s="78"/>
      <c r="R26" s="78"/>
      <c r="T26" s="68">
        <f t="shared" si="1"/>
        <v>0</v>
      </c>
      <c r="U26" s="203"/>
      <c r="V26" s="960">
        <f>'Step 1 Contract and Reserves'!V26</f>
        <v>543366</v>
      </c>
      <c r="W26" s="68">
        <f>'Step 1 Contract and Reserves'!W26</f>
        <v>543366</v>
      </c>
      <c r="Y26" s="215"/>
      <c r="Z26" s="12"/>
      <c r="AA26" s="202"/>
    </row>
    <row r="27" spans="1:27">
      <c r="A27" s="214" t="s">
        <v>114</v>
      </c>
      <c r="B27" s="63"/>
      <c r="C27" s="63">
        <f>'Step 1b.  FY18  Revised'!E22</f>
        <v>0</v>
      </c>
      <c r="D27" s="63"/>
      <c r="E27" s="63"/>
      <c r="F27" s="63"/>
      <c r="G27" s="63"/>
      <c r="H27" s="63"/>
      <c r="I27" s="63"/>
      <c r="J27" s="63"/>
      <c r="K27" s="217"/>
      <c r="L27" s="63"/>
      <c r="M27" s="217"/>
      <c r="N27" s="62"/>
      <c r="O27" s="205"/>
      <c r="P27" s="63"/>
      <c r="Q27" s="62"/>
      <c r="R27" s="62"/>
      <c r="T27" s="63">
        <f t="shared" si="1"/>
        <v>0</v>
      </c>
      <c r="U27" s="203"/>
      <c r="V27" s="290">
        <f>'Step 1 Contract and Reserves'!V27</f>
        <v>2839964</v>
      </c>
      <c r="W27" s="63">
        <f>'Step 1 Contract and Reserves'!W27</f>
        <v>2839964</v>
      </c>
      <c r="Y27" s="215"/>
      <c r="Z27" s="12"/>
      <c r="AA27" s="202"/>
    </row>
    <row r="28" spans="1:27">
      <c r="A28" s="76" t="s">
        <v>116</v>
      </c>
      <c r="B28" s="78"/>
      <c r="C28" s="78">
        <f>'Step 1b.  FY18  Revised'!E23</f>
        <v>0</v>
      </c>
      <c r="D28" s="78"/>
      <c r="E28" s="78"/>
      <c r="F28" s="78"/>
      <c r="G28" s="78"/>
      <c r="H28" s="78"/>
      <c r="I28" s="78"/>
      <c r="J28" s="78"/>
      <c r="K28" s="219"/>
      <c r="L28" s="78"/>
      <c r="M28" s="219"/>
      <c r="N28" s="78"/>
      <c r="O28" s="78"/>
      <c r="P28" s="78"/>
      <c r="Q28" s="78"/>
      <c r="R28" s="78"/>
      <c r="T28" s="78">
        <f t="shared" si="1"/>
        <v>0</v>
      </c>
      <c r="U28" s="203"/>
      <c r="V28" s="960">
        <f>'Step 1 Contract and Reserves'!V28</f>
        <v>18786975</v>
      </c>
      <c r="W28" s="68">
        <f>'Step 1 Contract and Reserves'!W28</f>
        <v>18786975</v>
      </c>
      <c r="Y28" s="215"/>
      <c r="Z28" s="12"/>
      <c r="AA28" s="202"/>
    </row>
    <row r="29" spans="1:27">
      <c r="A29" s="213" t="s">
        <v>117</v>
      </c>
      <c r="B29" s="68"/>
      <c r="C29" s="68">
        <f>'Step 1b.  FY18  Revised'!E24</f>
        <v>0</v>
      </c>
      <c r="D29" s="68"/>
      <c r="E29" s="68"/>
      <c r="F29" s="68"/>
      <c r="G29" s="68"/>
      <c r="H29" s="68"/>
      <c r="I29" s="68"/>
      <c r="J29" s="68"/>
      <c r="K29" s="218"/>
      <c r="L29" s="68"/>
      <c r="M29" s="218"/>
      <c r="N29" s="78"/>
      <c r="O29" s="207"/>
      <c r="P29" s="68"/>
      <c r="Q29" s="78"/>
      <c r="R29" s="78"/>
      <c r="S29" s="66"/>
      <c r="T29" s="68">
        <f t="shared" si="1"/>
        <v>0</v>
      </c>
      <c r="U29" s="203"/>
      <c r="V29" s="290">
        <f>'Step 1 Contract and Reserves'!V29</f>
        <v>3296000</v>
      </c>
      <c r="W29" s="63">
        <f>'Step 1 Contract and Reserves'!W29</f>
        <v>3296000</v>
      </c>
      <c r="Y29" s="215"/>
      <c r="Z29" s="12"/>
      <c r="AA29" s="202"/>
    </row>
    <row r="30" spans="1:27">
      <c r="A30" s="438" t="s">
        <v>523</v>
      </c>
      <c r="B30" s="266"/>
      <c r="C30" s="266">
        <f>'Step 1b.  FY18  Revised'!E25</f>
        <v>0</v>
      </c>
      <c r="D30" s="266"/>
      <c r="E30" s="266"/>
      <c r="F30" s="266"/>
      <c r="G30" s="266"/>
      <c r="H30" s="266"/>
      <c r="I30" s="266"/>
      <c r="J30" s="266"/>
      <c r="K30" s="263"/>
      <c r="L30" s="266"/>
      <c r="M30" s="263"/>
      <c r="N30" s="267"/>
      <c r="O30" s="267"/>
      <c r="P30" s="266"/>
      <c r="Q30" s="267"/>
      <c r="R30" s="264"/>
      <c r="S30" s="263"/>
      <c r="T30" s="266">
        <f>SUM(B30:R30)</f>
        <v>0</v>
      </c>
      <c r="U30" s="203"/>
      <c r="V30" s="960">
        <f>'Step 1 Contract and Reserves'!V30</f>
        <v>4706010</v>
      </c>
      <c r="W30" s="68">
        <f>'Step 1 Contract and Reserves'!W30</f>
        <v>4706010</v>
      </c>
      <c r="Y30" s="215"/>
      <c r="AA30" s="202"/>
    </row>
    <row r="31" spans="1:27">
      <c r="A31" s="437" t="s">
        <v>524</v>
      </c>
      <c r="B31" s="78"/>
      <c r="C31" s="78">
        <f>'Step 1b.  FY18  Revised'!E26</f>
        <v>0</v>
      </c>
      <c r="D31" s="78"/>
      <c r="E31" s="78"/>
      <c r="F31" s="78"/>
      <c r="G31" s="78"/>
      <c r="H31" s="78"/>
      <c r="I31" s="78"/>
      <c r="J31" s="78"/>
      <c r="K31" s="66"/>
      <c r="L31" s="78"/>
      <c r="M31" s="66"/>
      <c r="N31" s="78"/>
      <c r="O31" s="78"/>
      <c r="P31" s="78"/>
      <c r="Q31" s="78"/>
      <c r="R31" s="78"/>
      <c r="S31" s="66"/>
      <c r="T31" s="78">
        <f t="shared" si="1"/>
        <v>0</v>
      </c>
      <c r="U31" s="203"/>
      <c r="V31" s="960">
        <f>'Step 1 Contract and Reserves'!V31</f>
        <v>833083</v>
      </c>
      <c r="W31" s="68">
        <f>'Step 1 Contract and Reserves'!W31</f>
        <v>14579074</v>
      </c>
      <c r="Y31" s="215"/>
      <c r="AA31" s="202"/>
    </row>
    <row r="32" spans="1:27">
      <c r="A32" s="213" t="s">
        <v>118</v>
      </c>
      <c r="B32" s="68"/>
      <c r="C32" s="68">
        <f>'Step 1b.  FY18  Revised'!E27</f>
        <v>0</v>
      </c>
      <c r="D32" s="68"/>
      <c r="E32" s="68"/>
      <c r="F32" s="68"/>
      <c r="G32" s="68"/>
      <c r="H32" s="68"/>
      <c r="I32" s="68"/>
      <c r="J32" s="68"/>
      <c r="K32" s="218"/>
      <c r="L32" s="68"/>
      <c r="M32" s="218"/>
      <c r="N32" s="78"/>
      <c r="O32" s="207"/>
      <c r="P32" s="68"/>
      <c r="Q32" s="78"/>
      <c r="R32" s="78"/>
      <c r="S32" s="66"/>
      <c r="T32" s="68">
        <f t="shared" si="1"/>
        <v>0</v>
      </c>
      <c r="U32" s="203"/>
      <c r="V32" s="290">
        <f>'Step 1 Contract and Reserves'!V32</f>
        <v>14579074</v>
      </c>
      <c r="W32" s="63">
        <f>'Step 1 Contract and Reserves'!W32</f>
        <v>11354618</v>
      </c>
      <c r="Y32" s="215"/>
      <c r="AA32" s="202"/>
    </row>
    <row r="33" spans="1:27">
      <c r="A33" s="438" t="s">
        <v>119</v>
      </c>
      <c r="B33" s="266"/>
      <c r="C33" s="68">
        <f>'Step 1b.  FY18  Revised'!E28</f>
        <v>0</v>
      </c>
      <c r="D33" s="266"/>
      <c r="E33" s="266"/>
      <c r="F33" s="266"/>
      <c r="G33" s="266"/>
      <c r="H33" s="266"/>
      <c r="I33" s="266"/>
      <c r="J33" s="266"/>
      <c r="K33" s="439"/>
      <c r="L33" s="266"/>
      <c r="M33" s="439"/>
      <c r="N33" s="267"/>
      <c r="O33" s="440"/>
      <c r="P33" s="266"/>
      <c r="Q33" s="266"/>
      <c r="R33" s="264"/>
      <c r="S33" s="263"/>
      <c r="T33" s="266">
        <f t="shared" si="1"/>
        <v>0</v>
      </c>
      <c r="U33" s="203"/>
      <c r="V33" s="960">
        <f>'Step 1 Contract and Reserves'!V33</f>
        <v>11354618</v>
      </c>
      <c r="W33" s="68">
        <f>'Step 1 Contract and Reserves'!W33</f>
        <v>833083</v>
      </c>
      <c r="Y33" s="215"/>
      <c r="AA33" s="202"/>
    </row>
    <row r="34" spans="1:27">
      <c r="A34" s="441" t="s">
        <v>120</v>
      </c>
      <c r="B34" s="442">
        <f>SUM(B15:B33)</f>
        <v>0</v>
      </c>
      <c r="C34" s="952">
        <f>SUM(C15:C33)</f>
        <v>37790</v>
      </c>
      <c r="D34" s="442">
        <f>SUM(D15:D33)</f>
        <v>0</v>
      </c>
      <c r="E34" s="442"/>
      <c r="F34" s="442">
        <f>SUM(F15:F33)</f>
        <v>0</v>
      </c>
      <c r="G34" s="442">
        <f>SUM(G15:G33)</f>
        <v>0</v>
      </c>
      <c r="H34" s="442">
        <f>SUM(H15:H33)</f>
        <v>0</v>
      </c>
      <c r="I34" s="442">
        <f>SUM(I15:I33)</f>
        <v>0</v>
      </c>
      <c r="J34" s="442"/>
      <c r="K34" s="442">
        <f>SUM(K15:K33)</f>
        <v>0</v>
      </c>
      <c r="L34" s="442"/>
      <c r="M34" s="442">
        <f t="shared" ref="M34:R34" si="2">SUM(M15:M33)</f>
        <v>0</v>
      </c>
      <c r="N34" s="442">
        <f t="shared" si="2"/>
        <v>0</v>
      </c>
      <c r="O34" s="442">
        <f t="shared" si="2"/>
        <v>0</v>
      </c>
      <c r="P34" s="442">
        <f t="shared" si="2"/>
        <v>0</v>
      </c>
      <c r="Q34" s="442">
        <f t="shared" si="2"/>
        <v>0</v>
      </c>
      <c r="R34" s="442">
        <f t="shared" si="2"/>
        <v>0</v>
      </c>
      <c r="S34" s="443"/>
      <c r="T34" s="442">
        <f>SUM(T15:T33)</f>
        <v>37790</v>
      </c>
      <c r="U34" s="203"/>
      <c r="V34" s="442">
        <f>'Step 1 Contract and Reserves'!V34</f>
        <v>336970658</v>
      </c>
      <c r="W34" s="442">
        <f>'Step 1 Contract and Reserves'!W34</f>
        <v>336970658</v>
      </c>
      <c r="Y34" s="215"/>
      <c r="AA34" s="202"/>
    </row>
    <row r="35" spans="1:27">
      <c r="A35" s="213"/>
      <c r="B35" s="66"/>
      <c r="C35" s="68"/>
      <c r="D35" s="66"/>
      <c r="E35" s="66"/>
      <c r="F35" s="66"/>
      <c r="G35" s="66"/>
      <c r="H35" s="66"/>
      <c r="I35" s="66"/>
      <c r="J35" s="66"/>
      <c r="K35" s="66"/>
      <c r="L35" s="66"/>
      <c r="M35" s="66"/>
      <c r="N35" s="66"/>
      <c r="O35" s="66"/>
      <c r="P35" s="66"/>
      <c r="Q35" s="66"/>
      <c r="R35" s="66"/>
      <c r="S35" s="66"/>
      <c r="T35" s="66"/>
      <c r="U35" s="203"/>
      <c r="V35" s="62"/>
      <c r="W35" s="63"/>
      <c r="AA35" s="202"/>
    </row>
    <row r="36" spans="1:27">
      <c r="A36" s="203"/>
      <c r="C36" s="68"/>
      <c r="U36" s="208"/>
      <c r="V36" s="208"/>
      <c r="W36" s="68"/>
      <c r="AA36" s="202"/>
    </row>
    <row r="37" spans="1:27">
      <c r="A37" s="76" t="s">
        <v>121</v>
      </c>
      <c r="B37" s="78"/>
      <c r="C37" s="78"/>
      <c r="D37" s="78"/>
      <c r="E37" s="78"/>
      <c r="F37" s="78"/>
      <c r="G37" s="78"/>
      <c r="H37" s="78"/>
      <c r="I37" s="78"/>
      <c r="J37" s="78"/>
      <c r="K37" s="78"/>
      <c r="L37" s="78"/>
      <c r="M37" s="78"/>
      <c r="N37" s="78"/>
      <c r="O37" s="78"/>
      <c r="P37" s="78"/>
      <c r="Q37" s="78"/>
      <c r="R37" s="78"/>
      <c r="T37" s="78"/>
      <c r="U37" s="203"/>
      <c r="V37" s="78"/>
      <c r="W37" s="68"/>
      <c r="AA37" s="202"/>
    </row>
    <row r="38" spans="1:27">
      <c r="A38" s="214" t="s">
        <v>122</v>
      </c>
      <c r="B38" s="63"/>
      <c r="C38" s="63">
        <f>'Step 1b.  FY18  Revised'!E33</f>
        <v>20000</v>
      </c>
      <c r="D38" s="205">
        <f>'Step 1b.  FY18  Revised'!N33-C38</f>
        <v>8368275</v>
      </c>
      <c r="E38" s="217"/>
      <c r="F38" s="217"/>
      <c r="G38" s="217"/>
      <c r="H38" s="217"/>
      <c r="I38" s="217"/>
      <c r="J38" s="217"/>
      <c r="K38" s="217"/>
      <c r="L38" s="63"/>
      <c r="M38" s="217"/>
      <c r="N38" s="62"/>
      <c r="O38" s="205"/>
      <c r="P38" s="63"/>
      <c r="Q38" s="62"/>
      <c r="R38" s="62"/>
      <c r="T38" s="63">
        <f t="shared" ref="T38:T55" si="3">SUM(B38:R38)</f>
        <v>8388275</v>
      </c>
      <c r="U38" s="203"/>
      <c r="V38" s="290">
        <f>'Step 1 Contract and Reserves'!V38</f>
        <v>8388275</v>
      </c>
      <c r="W38" s="63">
        <f>'Step 1 Contract and Reserves'!W38</f>
        <v>8388275</v>
      </c>
      <c r="AA38" s="202"/>
    </row>
    <row r="39" spans="1:27">
      <c r="A39" s="213" t="s">
        <v>123</v>
      </c>
      <c r="B39" s="78"/>
      <c r="C39" s="78">
        <f>'Step 1b.  FY18  Revised'!E34</f>
        <v>26585</v>
      </c>
      <c r="D39" s="78"/>
      <c r="E39" s="78"/>
      <c r="F39" s="78"/>
      <c r="G39" s="78"/>
      <c r="H39" s="78"/>
      <c r="I39" s="78"/>
      <c r="J39" s="78"/>
      <c r="K39" s="219"/>
      <c r="L39" s="78"/>
      <c r="M39" s="219"/>
      <c r="N39" s="78"/>
      <c r="O39" s="216"/>
      <c r="P39" s="68"/>
      <c r="Q39" s="68"/>
      <c r="R39" s="208"/>
      <c r="T39" s="78">
        <f t="shared" si="3"/>
        <v>26585</v>
      </c>
      <c r="U39" s="203"/>
      <c r="V39" s="960">
        <f>'Step 1 Contract and Reserves'!V39</f>
        <v>3982978</v>
      </c>
      <c r="W39" s="68">
        <f>'Step 1 Contract and Reserves'!W39</f>
        <v>3982978</v>
      </c>
      <c r="Y39" s="215"/>
      <c r="AA39" s="202"/>
    </row>
    <row r="40" spans="1:27">
      <c r="A40" s="76" t="s">
        <v>124</v>
      </c>
      <c r="B40" s="78"/>
      <c r="C40" s="78">
        <f>'Step 1b.  FY18  Revised'!E35</f>
        <v>0</v>
      </c>
      <c r="D40" s="216">
        <v>1441801</v>
      </c>
      <c r="E40" s="219"/>
      <c r="F40" s="219"/>
      <c r="G40" s="219"/>
      <c r="H40" s="219"/>
      <c r="I40" s="219"/>
      <c r="J40" s="219"/>
      <c r="K40" s="219"/>
      <c r="L40" s="78"/>
      <c r="M40" s="219"/>
      <c r="N40" s="78"/>
      <c r="O40" s="78"/>
      <c r="P40" s="78"/>
      <c r="Q40" s="78"/>
      <c r="R40" s="78"/>
      <c r="T40" s="78">
        <f t="shared" si="3"/>
        <v>1441801</v>
      </c>
      <c r="U40" s="203"/>
      <c r="V40" s="960">
        <f>'Step 1 Contract and Reserves'!V40</f>
        <v>1441801</v>
      </c>
      <c r="W40" s="68">
        <f>'Step 1 Contract and Reserves'!W40</f>
        <v>1441801</v>
      </c>
      <c r="Y40" s="215"/>
      <c r="AA40" s="202"/>
    </row>
    <row r="41" spans="1:27">
      <c r="A41" s="214" t="s">
        <v>125</v>
      </c>
      <c r="B41" s="63"/>
      <c r="C41" s="63">
        <f>'Step 1b.  FY18  Revised'!E36</f>
        <v>5900000</v>
      </c>
      <c r="D41" s="205">
        <f>'Step 1b.  FY18  Revised'!N36-C41</f>
        <v>2048710</v>
      </c>
      <c r="E41" s="217"/>
      <c r="F41" s="217"/>
      <c r="G41" s="217"/>
      <c r="H41" s="217"/>
      <c r="I41" s="217"/>
      <c r="J41" s="217"/>
      <c r="K41" s="217"/>
      <c r="L41" s="63"/>
      <c r="M41" s="217"/>
      <c r="N41" s="62"/>
      <c r="O41" s="205"/>
      <c r="P41" s="63"/>
      <c r="Q41" s="62"/>
      <c r="R41" s="62"/>
      <c r="T41" s="63">
        <f t="shared" si="3"/>
        <v>7948710</v>
      </c>
      <c r="U41" s="203"/>
      <c r="V41" s="290">
        <f>'Step 1 Contract and Reserves'!V41</f>
        <v>7948710</v>
      </c>
      <c r="W41" s="63">
        <f>'Step 1 Contract and Reserves'!W41</f>
        <v>7948710</v>
      </c>
      <c r="Y41" s="215"/>
      <c r="AA41" s="202"/>
    </row>
    <row r="42" spans="1:27">
      <c r="A42" s="213" t="s">
        <v>126</v>
      </c>
      <c r="B42" s="78"/>
      <c r="C42" s="78">
        <f>'Step 1b.  FY18  Revised'!E37</f>
        <v>0</v>
      </c>
      <c r="D42" s="78"/>
      <c r="E42" s="78"/>
      <c r="F42" s="78"/>
      <c r="G42" s="78"/>
      <c r="H42" s="78"/>
      <c r="I42" s="78"/>
      <c r="J42" s="78"/>
      <c r="K42" s="219"/>
      <c r="L42" s="78"/>
      <c r="M42" s="219"/>
      <c r="N42" s="78"/>
      <c r="O42" s="216"/>
      <c r="P42" s="68"/>
      <c r="Q42" s="68"/>
      <c r="R42" s="208"/>
      <c r="T42" s="78">
        <f t="shared" si="3"/>
        <v>0</v>
      </c>
      <c r="U42" s="203"/>
      <c r="V42" s="960">
        <f>'Step 1 Contract and Reserves'!V42</f>
        <v>9724870</v>
      </c>
      <c r="W42" s="68">
        <f>'Step 1 Contract and Reserves'!W42</f>
        <v>9724870</v>
      </c>
      <c r="Y42" s="215"/>
      <c r="AA42" s="202"/>
    </row>
    <row r="43" spans="1:27">
      <c r="A43" s="437" t="s">
        <v>552</v>
      </c>
      <c r="B43" s="78"/>
      <c r="C43" s="78">
        <f>'Step 1b.  FY18  Revised'!E38</f>
        <v>0</v>
      </c>
      <c r="D43" s="78"/>
      <c r="E43" s="78"/>
      <c r="F43" s="78"/>
      <c r="G43" s="78"/>
      <c r="H43" s="78"/>
      <c r="I43" s="78"/>
      <c r="J43" s="78"/>
      <c r="K43" s="219"/>
      <c r="L43" s="78"/>
      <c r="M43" s="219"/>
      <c r="N43" s="78"/>
      <c r="O43" s="216"/>
      <c r="P43" s="68"/>
      <c r="Q43" s="68"/>
      <c r="R43" s="208"/>
      <c r="T43" s="78"/>
      <c r="U43" s="203"/>
      <c r="V43" s="960">
        <f>'Step 1 Contract and Reserves'!V43</f>
        <v>5000049</v>
      </c>
      <c r="W43" s="68">
        <f>'Step 1 Contract and Reserves'!W43</f>
        <v>5000049</v>
      </c>
      <c r="Y43" s="215"/>
      <c r="AA43" s="202"/>
    </row>
    <row r="44" spans="1:27">
      <c r="A44" s="213" t="s">
        <v>127</v>
      </c>
      <c r="B44" s="78"/>
      <c r="C44" s="78">
        <f>'Step 1b.  FY18  Revised'!E39</f>
        <v>0</v>
      </c>
      <c r="D44" s="78"/>
      <c r="E44" s="78"/>
      <c r="F44" s="78"/>
      <c r="G44" s="78"/>
      <c r="H44" s="78"/>
      <c r="I44" s="78"/>
      <c r="J44" s="78"/>
      <c r="K44" s="219"/>
      <c r="L44" s="78"/>
      <c r="M44" s="219"/>
      <c r="N44" s="78"/>
      <c r="O44" s="216"/>
      <c r="P44" s="68"/>
      <c r="Q44" s="68"/>
      <c r="R44" s="208"/>
      <c r="T44" s="78">
        <f t="shared" si="3"/>
        <v>0</v>
      </c>
      <c r="U44" s="203"/>
      <c r="V44" s="960">
        <f>'Step 1 Contract and Reserves'!V44</f>
        <v>3643184</v>
      </c>
      <c r="W44" s="68">
        <f>'Step 1 Contract and Reserves'!W44</f>
        <v>3643184</v>
      </c>
      <c r="Y44" s="215"/>
      <c r="AA44" s="202"/>
    </row>
    <row r="45" spans="1:27">
      <c r="A45" s="214" t="s">
        <v>128</v>
      </c>
      <c r="B45" s="63"/>
      <c r="C45" s="63">
        <f>'Step 1b.  FY18  Revised'!E40</f>
        <v>150000</v>
      </c>
      <c r="D45" s="63"/>
      <c r="E45" s="63"/>
      <c r="F45" s="63"/>
      <c r="G45" s="63"/>
      <c r="H45" s="63"/>
      <c r="I45" s="63"/>
      <c r="J45" s="63"/>
      <c r="K45" s="217"/>
      <c r="L45" s="63"/>
      <c r="M45" s="217"/>
      <c r="N45" s="62"/>
      <c r="O45" s="205"/>
      <c r="P45" s="63"/>
      <c r="Q45" s="62"/>
      <c r="R45" s="62"/>
      <c r="T45" s="63">
        <f t="shared" si="3"/>
        <v>150000</v>
      </c>
      <c r="U45" s="203"/>
      <c r="V45" s="290">
        <f>'Step 1 Contract and Reserves'!V45</f>
        <v>19774816</v>
      </c>
      <c r="W45" s="63">
        <f>'Step 1 Contract and Reserves'!W45</f>
        <v>19774816</v>
      </c>
      <c r="Y45" s="215"/>
      <c r="AA45" s="202"/>
    </row>
    <row r="46" spans="1:27">
      <c r="A46" s="213" t="s">
        <v>553</v>
      </c>
      <c r="B46" s="78"/>
      <c r="C46" s="78">
        <f>'Step 1b.  FY18  Revised'!E41</f>
        <v>1030000</v>
      </c>
      <c r="D46" s="78"/>
      <c r="E46" s="78"/>
      <c r="F46" s="78"/>
      <c r="G46" s="78"/>
      <c r="H46" s="78"/>
      <c r="I46" s="78"/>
      <c r="J46" s="78"/>
      <c r="K46" s="219"/>
      <c r="L46" s="78"/>
      <c r="M46" s="219"/>
      <c r="N46" s="78"/>
      <c r="O46" s="216"/>
      <c r="P46" s="68"/>
      <c r="Q46" s="68"/>
      <c r="R46" s="208"/>
      <c r="T46" s="78">
        <f t="shared" si="3"/>
        <v>1030000</v>
      </c>
      <c r="U46" s="203"/>
      <c r="V46" s="960">
        <f>'Step 1 Contract and Reserves'!V46</f>
        <v>4507186</v>
      </c>
      <c r="W46" s="68">
        <f>'Step 1 Contract and Reserves'!W46</f>
        <v>4507186</v>
      </c>
      <c r="Y46" s="215"/>
      <c r="AA46" s="202"/>
    </row>
    <row r="47" spans="1:27">
      <c r="A47" s="76" t="s">
        <v>115</v>
      </c>
      <c r="B47" s="78"/>
      <c r="C47" s="78">
        <f>'Step 1b.  FY18  Revised'!E42</f>
        <v>0</v>
      </c>
      <c r="D47" s="78"/>
      <c r="E47" s="78"/>
      <c r="F47" s="78"/>
      <c r="G47" s="78"/>
      <c r="H47" s="78"/>
      <c r="I47" s="78"/>
      <c r="J47" s="78"/>
      <c r="K47" s="219"/>
      <c r="L47" s="78"/>
      <c r="M47" s="219"/>
      <c r="N47" s="78"/>
      <c r="O47" s="216"/>
      <c r="P47" s="68"/>
      <c r="Q47" s="68"/>
      <c r="R47" s="208"/>
      <c r="T47" s="78">
        <f t="shared" si="3"/>
        <v>0</v>
      </c>
      <c r="U47" s="203"/>
      <c r="V47" s="960">
        <f>'Step 1 Contract and Reserves'!V47</f>
        <v>1522413</v>
      </c>
      <c r="W47" s="68">
        <f>'Step 1 Contract and Reserves'!W47</f>
        <v>1522413</v>
      </c>
      <c r="Y47" s="215"/>
      <c r="AA47" s="202"/>
    </row>
    <row r="48" spans="1:27">
      <c r="A48" s="438" t="s">
        <v>129</v>
      </c>
      <c r="B48" s="267"/>
      <c r="C48" s="267">
        <f>'Step 1b.  FY18  Revised'!E43</f>
        <v>427000</v>
      </c>
      <c r="D48" s="267"/>
      <c r="E48" s="267"/>
      <c r="F48" s="267"/>
      <c r="G48" s="267"/>
      <c r="H48" s="267"/>
      <c r="I48" s="267"/>
      <c r="J48" s="267"/>
      <c r="K48" s="456"/>
      <c r="L48" s="267"/>
      <c r="M48" s="456"/>
      <c r="N48" s="267"/>
      <c r="O48" s="440"/>
      <c r="P48" s="266"/>
      <c r="Q48" s="266"/>
      <c r="R48" s="264"/>
      <c r="S48" s="263"/>
      <c r="T48" s="267">
        <f t="shared" si="3"/>
        <v>427000</v>
      </c>
      <c r="U48" s="203"/>
      <c r="V48" s="290">
        <f>'Step 1 Contract and Reserves'!V48</f>
        <v>7582890</v>
      </c>
      <c r="W48" s="63">
        <f>'Step 1 Contract and Reserves'!W48</f>
        <v>7582890</v>
      </c>
      <c r="Y48" s="215"/>
      <c r="AA48" s="202"/>
    </row>
    <row r="49" spans="1:27">
      <c r="A49" s="213" t="s">
        <v>130</v>
      </c>
      <c r="B49" s="68"/>
      <c r="C49" s="68">
        <f>'Step 1b.  FY18  Revised'!E44</f>
        <v>0</v>
      </c>
      <c r="D49" s="68"/>
      <c r="E49" s="68"/>
      <c r="F49" s="68"/>
      <c r="G49" s="68"/>
      <c r="H49" s="68"/>
      <c r="I49" s="68"/>
      <c r="J49" s="68"/>
      <c r="K49" s="218"/>
      <c r="L49" s="68"/>
      <c r="M49" s="218"/>
      <c r="N49" s="78"/>
      <c r="O49" s="207"/>
      <c r="P49" s="68"/>
      <c r="Q49" s="78"/>
      <c r="R49" s="78"/>
      <c r="S49" s="66"/>
      <c r="T49" s="68">
        <f t="shared" si="3"/>
        <v>0</v>
      </c>
      <c r="U49" s="203"/>
      <c r="V49" s="960">
        <f>'Step 1 Contract and Reserves'!V49</f>
        <v>7705927</v>
      </c>
      <c r="W49" s="68">
        <f>'Step 1 Contract and Reserves'!W49</f>
        <v>7705927</v>
      </c>
      <c r="Y49" s="215"/>
      <c r="AA49" s="202"/>
    </row>
    <row r="50" spans="1:27">
      <c r="A50" s="213" t="s">
        <v>131</v>
      </c>
      <c r="B50" s="78"/>
      <c r="C50" s="78">
        <f>'Step 1b.  FY18  Revised'!E45</f>
        <v>0</v>
      </c>
      <c r="D50" s="78"/>
      <c r="E50" s="78"/>
      <c r="F50" s="78"/>
      <c r="G50" s="78"/>
      <c r="H50" s="78"/>
      <c r="I50" s="78"/>
      <c r="J50" s="78"/>
      <c r="K50" s="219"/>
      <c r="L50" s="78"/>
      <c r="M50" s="219"/>
      <c r="N50" s="78"/>
      <c r="O50" s="216"/>
      <c r="P50" s="68"/>
      <c r="Q50" s="68"/>
      <c r="R50" s="208"/>
      <c r="S50" s="66"/>
      <c r="T50" s="78">
        <f t="shared" si="3"/>
        <v>0</v>
      </c>
      <c r="U50" s="203"/>
      <c r="V50" s="960">
        <f>'Step 1 Contract and Reserves'!V50</f>
        <v>12221894</v>
      </c>
      <c r="W50" s="68">
        <f>'Step 1 Contract and Reserves'!W50</f>
        <v>12221894</v>
      </c>
      <c r="Y50" s="215"/>
      <c r="AA50" s="202"/>
    </row>
    <row r="51" spans="1:27">
      <c r="A51" s="438" t="s">
        <v>132</v>
      </c>
      <c r="B51" s="267"/>
      <c r="C51" s="267">
        <f>'Step 1b.  FY18  Revised'!E46</f>
        <v>40000</v>
      </c>
      <c r="D51" s="267"/>
      <c r="E51" s="267"/>
      <c r="F51" s="267"/>
      <c r="G51" s="267"/>
      <c r="H51" s="267"/>
      <c r="I51" s="267"/>
      <c r="J51" s="267"/>
      <c r="K51" s="456"/>
      <c r="L51" s="267"/>
      <c r="M51" s="456"/>
      <c r="N51" s="267"/>
      <c r="O51" s="440"/>
      <c r="P51" s="266"/>
      <c r="Q51" s="266"/>
      <c r="R51" s="264"/>
      <c r="S51" s="263"/>
      <c r="T51" s="267">
        <f t="shared" si="3"/>
        <v>40000</v>
      </c>
      <c r="U51" s="203"/>
      <c r="V51" s="290">
        <f>'Step 1 Contract and Reserves'!V51</f>
        <v>25322352</v>
      </c>
      <c r="W51" s="63">
        <f>'Step 1 Contract and Reserves'!W51</f>
        <v>25322352</v>
      </c>
      <c r="Y51" s="215"/>
      <c r="AA51" s="202"/>
    </row>
    <row r="52" spans="1:27">
      <c r="A52" s="213" t="s">
        <v>133</v>
      </c>
      <c r="B52" s="68"/>
      <c r="C52" s="68">
        <f>'Step 1b.  FY18  Revised'!E47</f>
        <v>0</v>
      </c>
      <c r="D52" s="68"/>
      <c r="E52" s="68"/>
      <c r="F52" s="68"/>
      <c r="G52" s="68"/>
      <c r="H52" s="68"/>
      <c r="I52" s="68"/>
      <c r="J52" s="68"/>
      <c r="K52" s="218"/>
      <c r="L52" s="68"/>
      <c r="M52" s="218"/>
      <c r="N52" s="78"/>
      <c r="O52" s="207"/>
      <c r="P52" s="68"/>
      <c r="Q52" s="78"/>
      <c r="R52" s="78"/>
      <c r="S52" s="66"/>
      <c r="T52" s="68">
        <f t="shared" si="3"/>
        <v>0</v>
      </c>
      <c r="U52" s="203"/>
      <c r="V52" s="960">
        <f>'Step 1 Contract and Reserves'!V52</f>
        <v>17924002</v>
      </c>
      <c r="W52" s="68">
        <f>'Step 1 Contract and Reserves'!W52</f>
        <v>17924002</v>
      </c>
      <c r="Y52" s="215"/>
      <c r="AA52" s="202"/>
    </row>
    <row r="53" spans="1:27">
      <c r="A53" s="213" t="s">
        <v>521</v>
      </c>
      <c r="B53" s="68"/>
      <c r="C53" s="68">
        <f>'Step 1b.  FY18  Revised'!E48</f>
        <v>0</v>
      </c>
      <c r="D53" s="68"/>
      <c r="E53" s="68"/>
      <c r="F53" s="68"/>
      <c r="G53" s="68"/>
      <c r="H53" s="68"/>
      <c r="I53" s="68"/>
      <c r="J53" s="68"/>
      <c r="K53" s="218"/>
      <c r="L53" s="68"/>
      <c r="M53" s="218"/>
      <c r="N53" s="78"/>
      <c r="O53" s="207"/>
      <c r="P53" s="68"/>
      <c r="Q53" s="78"/>
      <c r="R53" s="78"/>
      <c r="S53" s="66"/>
      <c r="T53" s="68"/>
      <c r="U53" s="203"/>
      <c r="V53" s="960">
        <f>'Step 1 Contract and Reserves'!V53</f>
        <v>3458422</v>
      </c>
      <c r="W53" s="68">
        <f>'Step 1 Contract and Reserves'!W53</f>
        <v>3458422</v>
      </c>
      <c r="AA53" s="202"/>
    </row>
    <row r="54" spans="1:27">
      <c r="A54" s="457" t="s">
        <v>554</v>
      </c>
      <c r="B54" s="266"/>
      <c r="C54" s="266">
        <f>'Step 1b.  FY18  Revised'!E49</f>
        <v>289720</v>
      </c>
      <c r="D54" s="266"/>
      <c r="E54" s="266"/>
      <c r="F54" s="266"/>
      <c r="G54" s="266"/>
      <c r="H54" s="266"/>
      <c r="I54" s="266"/>
      <c r="J54" s="266"/>
      <c r="K54" s="439"/>
      <c r="L54" s="266"/>
      <c r="M54" s="439"/>
      <c r="N54" s="267"/>
      <c r="O54" s="458"/>
      <c r="P54" s="266"/>
      <c r="Q54" s="267"/>
      <c r="R54" s="267"/>
      <c r="S54" s="263"/>
      <c r="T54" s="266"/>
      <c r="U54" s="203"/>
      <c r="V54" s="290">
        <f>'Step 1 Contract and Reserves'!V54</f>
        <v>2369486</v>
      </c>
      <c r="W54" s="63">
        <f>'Step 1 Contract and Reserves'!W54</f>
        <v>2369486</v>
      </c>
      <c r="AA54" s="202"/>
    </row>
    <row r="55" spans="1:27">
      <c r="A55" s="213" t="s">
        <v>134</v>
      </c>
      <c r="B55" s="78"/>
      <c r="C55" s="78">
        <f>'Step 1b.  FY18  Revised'!E50</f>
        <v>0</v>
      </c>
      <c r="D55" s="78"/>
      <c r="E55" s="78"/>
      <c r="F55" s="78"/>
      <c r="G55" s="78"/>
      <c r="H55" s="78"/>
      <c r="I55" s="78"/>
      <c r="J55" s="78"/>
      <c r="K55" s="219"/>
      <c r="L55" s="78"/>
      <c r="M55" s="219"/>
      <c r="N55" s="78"/>
      <c r="O55" s="216"/>
      <c r="P55" s="68"/>
      <c r="Q55" s="68"/>
      <c r="R55" s="208"/>
      <c r="T55" s="78">
        <f t="shared" si="3"/>
        <v>0</v>
      </c>
      <c r="U55" s="203"/>
      <c r="V55" s="960">
        <f>'Step 1 Contract and Reserves'!V55</f>
        <v>12402374</v>
      </c>
      <c r="W55" s="68">
        <f>'Step 1 Contract and Reserves'!W55</f>
        <v>12402374</v>
      </c>
      <c r="AA55" s="202"/>
    </row>
    <row r="56" spans="1:27">
      <c r="A56" s="445" t="s">
        <v>135</v>
      </c>
      <c r="B56" s="446">
        <f>SUM(B38:B55)</f>
        <v>0</v>
      </c>
      <c r="C56" s="952">
        <f>SUM(C38:C55)</f>
        <v>7883305</v>
      </c>
      <c r="D56" s="446">
        <f>SUM(D38:D55)</f>
        <v>11858786</v>
      </c>
      <c r="E56" s="446"/>
      <c r="F56" s="446">
        <f>SUM(F38:F55)</f>
        <v>0</v>
      </c>
      <c r="G56" s="446">
        <f>SUM(G38:G55)</f>
        <v>0</v>
      </c>
      <c r="H56" s="446">
        <f>SUM(H38:H55)</f>
        <v>0</v>
      </c>
      <c r="I56" s="446">
        <f>SUM(I38:I55)</f>
        <v>0</v>
      </c>
      <c r="J56" s="446"/>
      <c r="K56" s="446">
        <f t="shared" ref="K56:P56" si="4">SUM(K38:K55)</f>
        <v>0</v>
      </c>
      <c r="L56" s="446"/>
      <c r="M56" s="446">
        <f>SUM(M38:M55)</f>
        <v>0</v>
      </c>
      <c r="N56" s="446">
        <f t="shared" si="4"/>
        <v>0</v>
      </c>
      <c r="O56" s="446">
        <f t="shared" si="4"/>
        <v>0</v>
      </c>
      <c r="P56" s="446">
        <f t="shared" si="4"/>
        <v>0</v>
      </c>
      <c r="Q56" s="446">
        <f>SUM(Q38:Q55)</f>
        <v>0</v>
      </c>
      <c r="R56" s="446">
        <f>SUM(R38:R55)</f>
        <v>0</v>
      </c>
      <c r="S56" s="443"/>
      <c r="T56" s="446">
        <f>SUM(T38:T55)</f>
        <v>19452371</v>
      </c>
      <c r="U56" s="203"/>
      <c r="V56" s="446">
        <f>'Step 1 Contract and Reserves'!V56</f>
        <v>154921629</v>
      </c>
      <c r="W56" s="446">
        <f>'Step 1 Contract and Reserves'!W56</f>
        <v>154921629</v>
      </c>
      <c r="X56" s="202"/>
      <c r="Y56" s="202"/>
      <c r="Z56" s="202"/>
      <c r="AA56" s="202"/>
    </row>
    <row r="57" spans="1:27" ht="16.5" thickBot="1">
      <c r="A57" s="447" t="s">
        <v>136</v>
      </c>
      <c r="B57" s="448">
        <f>B6+B7+B8+B9+B10+B11+B12+B34+B56</f>
        <v>54069672.159999996</v>
      </c>
      <c r="C57" s="448">
        <f>C6+C7+C8+C9+C10+C11+C12+C34+C56</f>
        <v>11060239.18</v>
      </c>
      <c r="D57" s="448">
        <f>D6+D7+D8+D9+D10+D11+D12+D34+D56</f>
        <v>28449144.77</v>
      </c>
      <c r="E57" s="448"/>
      <c r="F57" s="448">
        <f>F6+F7+F8+F9+F10+F11+F12+F34+F56</f>
        <v>0</v>
      </c>
      <c r="G57" s="448">
        <f>G6+G7+G8+G9+G10+G11+G12+G34+G56</f>
        <v>0</v>
      </c>
      <c r="H57" s="448">
        <f>H6+H7+H8+H9+H10+H11+H12+H34+H56</f>
        <v>0</v>
      </c>
      <c r="I57" s="448">
        <f>I6+I7+I8+I9+I10+I11+I12+I34+I56</f>
        <v>0</v>
      </c>
      <c r="J57" s="448"/>
      <c r="K57" s="448">
        <f>K6+K7+K8+K9+K10+K11+K12+K34+K56</f>
        <v>0</v>
      </c>
      <c r="L57" s="448"/>
      <c r="M57" s="448">
        <f t="shared" ref="M57:R57" si="5">M6+M7+M8+M9+M10+M11+M12+M34+M56</f>
        <v>0</v>
      </c>
      <c r="N57" s="448">
        <f t="shared" si="5"/>
        <v>0</v>
      </c>
      <c r="O57" s="448">
        <f t="shared" si="5"/>
        <v>0</v>
      </c>
      <c r="P57" s="448">
        <f t="shared" si="5"/>
        <v>0</v>
      </c>
      <c r="Q57" s="448">
        <f t="shared" si="5"/>
        <v>0</v>
      </c>
      <c r="R57" s="448">
        <f t="shared" si="5"/>
        <v>0</v>
      </c>
      <c r="S57" s="450"/>
      <c r="T57" s="448">
        <f>T6+T7+T8+T9+T10+T11+T12+T34+T56</f>
        <v>93289336.109999999</v>
      </c>
      <c r="U57" s="780"/>
      <c r="V57" s="448">
        <f>'Step 1 Contract and Reserves'!V57</f>
        <v>553011959.38800001</v>
      </c>
      <c r="W57" s="448">
        <f>'Step 1 Contract and Reserves'!W57</f>
        <v>553011959.38800001</v>
      </c>
      <c r="X57" s="202"/>
      <c r="Y57" s="202"/>
      <c r="Z57" s="202"/>
      <c r="AA57" s="202"/>
    </row>
    <row r="58" spans="1:27" ht="17.25" thickTop="1" thickBot="1">
      <c r="A58" s="213"/>
      <c r="B58" s="213"/>
      <c r="C58" s="213"/>
      <c r="D58" s="213"/>
      <c r="E58" s="213"/>
      <c r="F58" s="213"/>
      <c r="G58" s="213"/>
      <c r="H58" s="213"/>
      <c r="I58" s="213"/>
      <c r="J58" s="213"/>
      <c r="K58" s="207"/>
      <c r="L58" s="207"/>
      <c r="M58" s="78"/>
      <c r="N58" s="78"/>
      <c r="O58" s="78"/>
      <c r="P58" s="78"/>
      <c r="Q58" s="78"/>
      <c r="R58" s="208"/>
      <c r="S58" s="208"/>
      <c r="T58" s="206">
        <f>B57+C57+K57+M57+N57+O57+P57+Q57+R57+D57+F57+G57+H57+I57</f>
        <v>93579056.109999999</v>
      </c>
      <c r="U58" s="203"/>
      <c r="V58" s="86">
        <v>553011959</v>
      </c>
      <c r="W58" s="203"/>
      <c r="X58" s="202"/>
      <c r="Y58" s="202"/>
      <c r="Z58" s="202"/>
      <c r="AA58" s="202"/>
    </row>
    <row r="59" spans="1:27" ht="16.5" thickTop="1">
      <c r="A59" s="202"/>
      <c r="B59" s="202"/>
      <c r="C59" s="202"/>
      <c r="D59" s="202"/>
      <c r="E59" s="202"/>
      <c r="F59" s="202"/>
      <c r="G59" s="202"/>
      <c r="H59" s="202"/>
      <c r="I59" s="202"/>
      <c r="J59" s="202"/>
      <c r="K59" s="204"/>
      <c r="L59" s="204"/>
      <c r="M59" s="204"/>
      <c r="N59" s="204"/>
      <c r="O59" s="204"/>
      <c r="P59" s="204"/>
      <c r="Q59" s="204"/>
      <c r="R59" s="204"/>
      <c r="S59" s="202"/>
      <c r="T59" s="204">
        <f>SUM(B57:R57)</f>
        <v>93579056.109999999</v>
      </c>
      <c r="U59" s="202"/>
      <c r="V59" s="204">
        <f>V34+V56+V6+V7+V8+V11+V12</f>
        <v>553011959</v>
      </c>
      <c r="W59" s="202"/>
      <c r="X59" s="202"/>
      <c r="Y59" s="202"/>
      <c r="Z59" s="202"/>
      <c r="AA59" s="202"/>
    </row>
    <row r="60" spans="1:27">
      <c r="A60" s="202"/>
      <c r="B60" s="202"/>
      <c r="C60" s="204"/>
      <c r="D60" s="268"/>
      <c r="E60" s="202"/>
      <c r="F60" s="202"/>
      <c r="G60" s="202"/>
      <c r="H60" s="202"/>
      <c r="I60" s="202"/>
      <c r="J60" s="202"/>
      <c r="K60" s="204"/>
      <c r="L60" s="202"/>
      <c r="M60" s="202"/>
      <c r="N60" s="202"/>
      <c r="O60" s="202"/>
      <c r="P60" s="202"/>
      <c r="Q60" s="202"/>
      <c r="R60" s="202"/>
      <c r="S60" s="202"/>
      <c r="T60" s="202"/>
      <c r="U60" s="202"/>
      <c r="V60" s="202"/>
      <c r="W60" s="202"/>
      <c r="X60" s="202"/>
      <c r="Y60" s="202"/>
      <c r="Z60" s="202"/>
      <c r="AA60" s="202"/>
    </row>
    <row r="61" spans="1:27">
      <c r="A61" s="202"/>
      <c r="B61" s="202"/>
      <c r="C61" s="202"/>
      <c r="D61" s="202"/>
      <c r="E61" s="202"/>
      <c r="F61" s="202"/>
      <c r="G61" s="202"/>
      <c r="H61" s="202"/>
      <c r="I61" s="202"/>
      <c r="J61" s="202"/>
      <c r="K61" s="220"/>
      <c r="L61" s="202"/>
      <c r="M61" s="202"/>
      <c r="N61" s="202"/>
      <c r="O61" s="202"/>
      <c r="P61" s="202"/>
      <c r="Q61" s="202"/>
      <c r="R61" s="204">
        <f>SUM(K59:R59)</f>
        <v>0</v>
      </c>
      <c r="S61" s="202"/>
      <c r="T61" s="204">
        <f>V59-T59</f>
        <v>459432902.88999999</v>
      </c>
      <c r="U61" s="202"/>
      <c r="V61" s="202"/>
      <c r="W61" s="202"/>
      <c r="X61" s="202"/>
      <c r="Y61" s="202"/>
      <c r="Z61" s="202"/>
      <c r="AA61" s="202"/>
    </row>
    <row r="62" spans="1:27">
      <c r="A62" s="202"/>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row>
    <row r="63" spans="1:27">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row>
    <row r="64" spans="1:27">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row>
  </sheetData>
  <mergeCells count="5">
    <mergeCell ref="B4:D4"/>
    <mergeCell ref="F4:I4"/>
    <mergeCell ref="M4:R4"/>
    <mergeCell ref="V6:V12"/>
    <mergeCell ref="W6:W12"/>
  </mergeCells>
  <pageMargins left="0.75" right="0.75" top="1" bottom="1" header="0.5" footer="0.5"/>
  <pageSetup orientation="portrait" horizontalDpi="4294967292" verticalDpi="4294967292"/>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C68"/>
  <sheetViews>
    <sheetView topLeftCell="P1" zoomScale="120" zoomScaleNormal="120" zoomScalePageLayoutView="120" workbookViewId="0">
      <selection activeCell="M16" sqref="M16:R16"/>
    </sheetView>
  </sheetViews>
  <sheetFormatPr defaultColWidth="11" defaultRowHeight="15.75"/>
  <cols>
    <col min="1" max="1" width="36.125" customWidth="1"/>
    <col min="2" max="2" width="11.125" customWidth="1"/>
    <col min="3" max="3" width="11.5" customWidth="1"/>
    <col min="4" max="4" width="15.625" customWidth="1"/>
    <col min="5" max="5" width="3.375" customWidth="1"/>
    <col min="6" max="9" width="11" customWidth="1"/>
    <col min="10" max="10" width="3.625" customWidth="1"/>
    <col min="11" max="11" width="16.125" customWidth="1"/>
    <col min="12" max="12" width="5.375" customWidth="1"/>
    <col min="13" max="13" width="12.625" customWidth="1"/>
    <col min="14" max="15" width="11" customWidth="1"/>
    <col min="16" max="16" width="12.375" customWidth="1"/>
    <col min="17" max="17" width="11" customWidth="1"/>
    <col min="18" max="18" width="12" customWidth="1"/>
    <col min="19" max="19" width="3.125" customWidth="1"/>
    <col min="20" max="20" width="13.875" customWidth="1"/>
    <col min="21" max="21" width="7.875" customWidth="1"/>
    <col min="22" max="22" width="12.875" customWidth="1"/>
    <col min="23" max="23" width="13.625" bestFit="1" customWidth="1"/>
    <col min="24" max="24" width="11.625" bestFit="1" customWidth="1"/>
    <col min="25" max="25" width="20.375" customWidth="1"/>
    <col min="26" max="26" width="11.625" bestFit="1" customWidth="1"/>
    <col min="28" max="28" width="2.125" customWidth="1"/>
  </cols>
  <sheetData>
    <row r="1" spans="1:29" ht="16.5" thickBot="1">
      <c r="A1" s="210" t="s">
        <v>77</v>
      </c>
      <c r="B1" s="210"/>
      <c r="C1" s="210"/>
      <c r="D1" s="210"/>
      <c r="E1" s="210"/>
      <c r="F1" s="210"/>
      <c r="G1" s="210"/>
      <c r="H1" s="210"/>
      <c r="I1" s="210"/>
      <c r="J1" s="210"/>
      <c r="K1" s="953" t="s">
        <v>900</v>
      </c>
      <c r="L1" s="954"/>
      <c r="M1" s="955">
        <f>'Dashboard-Academic Allocation'!C15</f>
        <v>7.3999999999999996E-2</v>
      </c>
      <c r="N1" s="210"/>
      <c r="O1" s="210"/>
      <c r="P1" s="210"/>
      <c r="Q1" s="210" t="s">
        <v>212</v>
      </c>
      <c r="S1" s="210"/>
      <c r="T1" s="210"/>
      <c r="U1" s="210"/>
      <c r="V1" s="210"/>
      <c r="W1" s="210"/>
      <c r="X1" s="210"/>
      <c r="Y1" s="200"/>
      <c r="Z1" s="200"/>
    </row>
    <row r="2" spans="1:29">
      <c r="A2" s="210" t="s">
        <v>1173</v>
      </c>
      <c r="B2" s="210"/>
      <c r="C2" s="210"/>
      <c r="D2" s="210"/>
      <c r="E2" s="210"/>
      <c r="F2" s="210"/>
      <c r="G2" s="210"/>
      <c r="H2" s="210"/>
      <c r="I2" s="210"/>
      <c r="J2" s="210"/>
      <c r="K2" s="210"/>
      <c r="L2" s="210"/>
      <c r="M2" s="1250"/>
      <c r="N2" s="210"/>
      <c r="O2" s="468"/>
      <c r="P2" s="210"/>
      <c r="Q2" s="210"/>
      <c r="R2" s="210"/>
      <c r="S2" s="210"/>
      <c r="T2" s="238" t="s">
        <v>218</v>
      </c>
      <c r="U2" s="239"/>
      <c r="V2" s="243">
        <f>'Step 2 Exec and Strategic'!V2</f>
        <v>553011959</v>
      </c>
      <c r="W2" s="210"/>
      <c r="X2" s="210"/>
      <c r="Y2" s="200"/>
      <c r="Z2" s="200"/>
    </row>
    <row r="3" spans="1:29" ht="16.5" thickBot="1">
      <c r="A3" s="210"/>
      <c r="B3" s="210"/>
      <c r="C3" s="210"/>
      <c r="D3" s="210"/>
      <c r="E3" s="210"/>
      <c r="F3" s="210"/>
      <c r="G3" s="210"/>
      <c r="H3" s="210"/>
      <c r="I3" s="210"/>
      <c r="J3" s="210"/>
      <c r="K3" s="210"/>
      <c r="L3" s="210"/>
      <c r="M3" s="210"/>
      <c r="N3" s="1405">
        <f>M1</f>
        <v>7.3999999999999996E-2</v>
      </c>
      <c r="O3" s="1405">
        <v>0</v>
      </c>
      <c r="P3" s="1405">
        <f>M1</f>
        <v>7.3999999999999996E-2</v>
      </c>
      <c r="Q3" s="1405">
        <f>M1</f>
        <v>7.3999999999999996E-2</v>
      </c>
      <c r="R3" s="1405">
        <v>0</v>
      </c>
      <c r="S3" s="210"/>
      <c r="T3" s="240" t="s">
        <v>219</v>
      </c>
      <c r="U3" s="241"/>
      <c r="V3" s="242">
        <f>V2-T57</f>
        <v>336673010.546</v>
      </c>
      <c r="W3" s="210"/>
      <c r="X3" s="210"/>
      <c r="Y3" s="200"/>
      <c r="Z3" s="200"/>
    </row>
    <row r="4" spans="1:29">
      <c r="A4" s="211"/>
      <c r="B4" s="1614" t="s">
        <v>207</v>
      </c>
      <c r="C4" s="1614"/>
      <c r="D4" s="1614"/>
      <c r="E4" s="231"/>
      <c r="F4" s="1615" t="s">
        <v>208</v>
      </c>
      <c r="G4" s="1615"/>
      <c r="H4" s="1615"/>
      <c r="I4" s="1615"/>
      <c r="J4" s="231"/>
      <c r="K4" s="230" t="s">
        <v>209</v>
      </c>
      <c r="L4" s="211"/>
      <c r="M4" s="1616" t="s">
        <v>193</v>
      </c>
      <c r="N4" s="1616"/>
      <c r="O4" s="1616"/>
      <c r="P4" s="1616"/>
      <c r="Q4" s="1616"/>
      <c r="R4" s="1616"/>
      <c r="S4" s="211"/>
      <c r="T4" s="211"/>
      <c r="U4" s="211"/>
      <c r="V4" s="1372"/>
      <c r="W4" s="211"/>
      <c r="X4" s="211"/>
      <c r="Y4" s="200"/>
      <c r="Z4" s="200"/>
    </row>
    <row r="5" spans="1:29" s="223" customFormat="1" ht="63.75">
      <c r="A5" s="221" t="s">
        <v>90</v>
      </c>
      <c r="B5" s="270" t="s">
        <v>215</v>
      </c>
      <c r="C5" s="270" t="s">
        <v>868</v>
      </c>
      <c r="D5" s="270" t="s">
        <v>869</v>
      </c>
      <c r="E5" s="270"/>
      <c r="F5" s="270" t="s">
        <v>198</v>
      </c>
      <c r="G5" s="270" t="s">
        <v>199</v>
      </c>
      <c r="H5" s="270" t="s">
        <v>200</v>
      </c>
      <c r="I5" s="270" t="s">
        <v>201</v>
      </c>
      <c r="J5" s="270"/>
      <c r="K5" s="270" t="s">
        <v>194</v>
      </c>
      <c r="L5" s="270"/>
      <c r="M5" s="270" t="s">
        <v>206</v>
      </c>
      <c r="N5" s="270" t="s">
        <v>195</v>
      </c>
      <c r="O5" s="270" t="s">
        <v>1080</v>
      </c>
      <c r="P5" s="270" t="s">
        <v>196</v>
      </c>
      <c r="Q5" s="270" t="s">
        <v>197</v>
      </c>
      <c r="R5" s="270" t="s">
        <v>217</v>
      </c>
      <c r="T5" s="270" t="s">
        <v>1282</v>
      </c>
      <c r="U5" s="1445"/>
      <c r="V5" s="1446" t="s">
        <v>1283</v>
      </c>
      <c r="W5" s="270" t="s">
        <v>1284</v>
      </c>
      <c r="AA5" s="224"/>
    </row>
    <row r="6" spans="1:29">
      <c r="A6" s="212" t="s">
        <v>548</v>
      </c>
      <c r="B6" s="63">
        <f>'Step 2 Exec and Strategic'!B6</f>
        <v>4544301.7949999999</v>
      </c>
      <c r="C6" s="63">
        <f>'Step 2 Exec and Strategic'!C6</f>
        <v>0</v>
      </c>
      <c r="D6" s="63">
        <f>'Step 2 Exec and Strategic'!D6</f>
        <v>0</v>
      </c>
      <c r="E6" s="63"/>
      <c r="F6" s="63"/>
      <c r="G6" s="63"/>
      <c r="H6" s="63"/>
      <c r="I6" s="63"/>
      <c r="J6" s="63"/>
      <c r="K6" s="63"/>
      <c r="L6" s="63"/>
      <c r="M6" s="63"/>
      <c r="N6" s="62"/>
      <c r="O6" s="62"/>
      <c r="P6" s="63"/>
      <c r="Q6" s="64"/>
      <c r="R6" s="201"/>
      <c r="T6" s="63">
        <f t="shared" ref="T6:T12" si="0">SUM(B6:R6)</f>
        <v>4544301.7949999999</v>
      </c>
      <c r="U6" s="202"/>
      <c r="V6" s="1594">
        <f>'Step 1 Contract and Reserves'!V6:V12</f>
        <v>61119672</v>
      </c>
      <c r="W6" s="1594">
        <f>'Step 1 Contract and Reserves'!W6:W12</f>
        <v>61119672</v>
      </c>
      <c r="X6" s="12"/>
      <c r="Y6" s="12"/>
      <c r="AA6" s="202"/>
    </row>
    <row r="7" spans="1:29">
      <c r="A7" s="212" t="s">
        <v>555</v>
      </c>
      <c r="B7" s="63">
        <f>'Step 2 Exec and Strategic'!B7</f>
        <v>-3508451.7949999999</v>
      </c>
      <c r="C7" s="63">
        <f>'Step 2 Exec and Strategic'!C7</f>
        <v>3000000</v>
      </c>
      <c r="D7" s="63">
        <f>'Step 2 Exec and Strategic'!D7</f>
        <v>0</v>
      </c>
      <c r="E7" s="63"/>
      <c r="F7" s="63"/>
      <c r="G7" s="63"/>
      <c r="H7" s="63"/>
      <c r="I7" s="63"/>
      <c r="J7" s="63"/>
      <c r="K7" s="63"/>
      <c r="L7" s="63"/>
      <c r="M7" s="63"/>
      <c r="N7" s="62"/>
      <c r="O7" s="62"/>
      <c r="P7" s="63"/>
      <c r="Q7" s="64"/>
      <c r="R7" s="201"/>
      <c r="T7" s="63">
        <f t="shared" si="0"/>
        <v>-508451.79499999993</v>
      </c>
      <c r="U7" s="202"/>
      <c r="V7" s="1595"/>
      <c r="W7" s="1595"/>
      <c r="X7" s="12"/>
      <c r="Y7" s="12"/>
      <c r="AA7" s="202"/>
    </row>
    <row r="8" spans="1:29">
      <c r="A8" s="212" t="s">
        <v>864</v>
      </c>
      <c r="B8" s="63">
        <f>'Step 2 Exec and Strategic'!B8</f>
        <v>0</v>
      </c>
      <c r="C8" s="63">
        <f>'Step 2 Exec and Strategic'!C8</f>
        <v>139144.1799999997</v>
      </c>
      <c r="D8" s="63">
        <f>'Step 2 Exec and Strategic'!D8</f>
        <v>16590358.77</v>
      </c>
      <c r="E8" s="63"/>
      <c r="F8" s="63"/>
      <c r="G8" s="63"/>
      <c r="H8" s="63"/>
      <c r="I8" s="63"/>
      <c r="J8" s="63"/>
      <c r="K8" s="63"/>
      <c r="L8" s="63"/>
      <c r="M8" s="62">
        <f>-P3*P8</f>
        <v>-299700</v>
      </c>
      <c r="N8" s="62"/>
      <c r="O8" s="62"/>
      <c r="P8" s="452">
        <v>4050000</v>
      </c>
      <c r="Q8" s="64"/>
      <c r="R8" s="201"/>
      <c r="T8" s="63">
        <f>SUM(B8:R8)</f>
        <v>20479802.949999999</v>
      </c>
      <c r="U8" s="202"/>
      <c r="V8" s="1595"/>
      <c r="W8" s="1595"/>
      <c r="Y8" s="12"/>
      <c r="AA8" s="202"/>
    </row>
    <row r="9" spans="1:29">
      <c r="A9" s="212" t="s">
        <v>899</v>
      </c>
      <c r="B9" s="63">
        <f>'Step 2 Exec and Strategic'!B9</f>
        <v>5000000</v>
      </c>
      <c r="C9" s="63">
        <f>'Step 2 Exec and Strategic'!C9</f>
        <v>0</v>
      </c>
      <c r="D9" s="63">
        <f>'Step 2 Exec and Strategic'!D9</f>
        <v>0</v>
      </c>
      <c r="E9" s="63"/>
      <c r="F9" s="63"/>
      <c r="G9" s="63"/>
      <c r="H9" s="63"/>
      <c r="I9" s="63"/>
      <c r="J9" s="63"/>
      <c r="K9" s="63"/>
      <c r="L9" s="63"/>
      <c r="M9" s="62"/>
      <c r="N9" s="62"/>
      <c r="O9" s="62"/>
      <c r="P9" s="452"/>
      <c r="Q9" s="64"/>
      <c r="R9" s="201"/>
      <c r="T9" s="63">
        <f t="shared" si="0"/>
        <v>5000000</v>
      </c>
      <c r="U9" s="202"/>
      <c r="V9" s="1595"/>
      <c r="W9" s="1595"/>
      <c r="Y9" s="12"/>
      <c r="AA9" s="202"/>
    </row>
    <row r="10" spans="1:29" ht="16.5" thickBot="1">
      <c r="A10" s="212" t="s">
        <v>549</v>
      </c>
      <c r="B10" s="63">
        <f>'Step 2 Exec and Strategic'!B10</f>
        <v>21345070</v>
      </c>
      <c r="C10" s="63">
        <f>'Step 2 Exec and Strategic'!C10</f>
        <v>0</v>
      </c>
      <c r="D10" s="63">
        <f>'Step 2 Exec and Strategic'!D10</f>
        <v>0</v>
      </c>
      <c r="E10" s="63"/>
      <c r="F10" s="63"/>
      <c r="G10" s="63"/>
      <c r="H10" s="63"/>
      <c r="I10" s="63"/>
      <c r="J10" s="63"/>
      <c r="K10" s="63"/>
      <c r="L10" s="63"/>
      <c r="M10" s="62"/>
      <c r="N10" s="62"/>
      <c r="O10" s="62"/>
      <c r="P10" s="452"/>
      <c r="Q10" s="64"/>
      <c r="R10" s="201"/>
      <c r="T10" s="63">
        <f t="shared" si="0"/>
        <v>21345070</v>
      </c>
      <c r="U10" s="202"/>
      <c r="V10" s="1595"/>
      <c r="W10" s="1595"/>
      <c r="Z10" t="s">
        <v>1252</v>
      </c>
      <c r="AA10" s="384" t="s">
        <v>961</v>
      </c>
      <c r="AC10" s="384" t="s">
        <v>1253</v>
      </c>
    </row>
    <row r="11" spans="1:29" ht="16.5" thickBot="1">
      <c r="A11" s="212" t="s">
        <v>550</v>
      </c>
      <c r="B11" s="63">
        <f>'Step 2 Exec and Strategic'!B11</f>
        <v>4025000</v>
      </c>
      <c r="C11" s="63">
        <f>'Step 2 Exec and Strategic'!C11</f>
        <v>0</v>
      </c>
      <c r="D11" s="63">
        <f>'Step 2 Exec and Strategic'!D11</f>
        <v>0</v>
      </c>
      <c r="E11" s="63"/>
      <c r="F11" s="63"/>
      <c r="G11" s="63"/>
      <c r="H11" s="63"/>
      <c r="I11" s="63"/>
      <c r="J11" s="63"/>
      <c r="K11" s="63"/>
      <c r="L11" s="63"/>
      <c r="M11" s="63"/>
      <c r="N11" s="62"/>
      <c r="O11" s="62"/>
      <c r="P11" s="63"/>
      <c r="Q11" s="64"/>
      <c r="R11" s="201"/>
      <c r="T11" s="63">
        <f t="shared" si="0"/>
        <v>4025000</v>
      </c>
      <c r="U11" s="202"/>
      <c r="V11" s="1595"/>
      <c r="W11" s="1595"/>
      <c r="Y11" s="321" t="s">
        <v>397</v>
      </c>
      <c r="Z11" s="322">
        <v>0</v>
      </c>
      <c r="AA11" s="322">
        <v>1.4E-2</v>
      </c>
      <c r="AC11" s="322">
        <v>0.1891891891891892</v>
      </c>
    </row>
    <row r="12" spans="1:29" ht="16.5" thickBot="1">
      <c r="A12" s="212" t="s">
        <v>551</v>
      </c>
      <c r="B12" s="63">
        <f>'Step 2 Exec and Strategic'!B12</f>
        <v>22663752.16</v>
      </c>
      <c r="C12" s="63">
        <f>'Step 2 Exec and Strategic'!C12</f>
        <v>0</v>
      </c>
      <c r="D12" s="63">
        <f>'Step 2 Exec and Strategic'!D12</f>
        <v>0</v>
      </c>
      <c r="E12" s="63"/>
      <c r="F12" s="63"/>
      <c r="G12" s="63"/>
      <c r="H12" s="63"/>
      <c r="I12" s="63"/>
      <c r="J12" s="63"/>
      <c r="K12" s="63"/>
      <c r="L12" s="63"/>
      <c r="M12" s="63"/>
      <c r="N12" s="62"/>
      <c r="O12" s="62"/>
      <c r="P12" s="63"/>
      <c r="Q12" s="64"/>
      <c r="R12" s="201"/>
      <c r="T12" s="63">
        <f t="shared" si="0"/>
        <v>22663752.16</v>
      </c>
      <c r="U12" s="202"/>
      <c r="V12" s="1595"/>
      <c r="W12" s="1595"/>
      <c r="Y12" s="323" t="s">
        <v>181</v>
      </c>
      <c r="Z12" s="324">
        <v>2.1999999999999999E-2</v>
      </c>
      <c r="AA12" s="324">
        <v>2.1999999999999999E-2</v>
      </c>
      <c r="AC12" s="322">
        <v>0.29729729729729731</v>
      </c>
    </row>
    <row r="13" spans="1:29" ht="16.5" thickBot="1">
      <c r="A13" s="203"/>
      <c r="B13" s="68"/>
      <c r="C13" s="68"/>
      <c r="D13" s="68"/>
      <c r="E13" s="68"/>
      <c r="F13" s="68"/>
      <c r="G13" s="68"/>
      <c r="H13" s="68"/>
      <c r="I13" s="68"/>
      <c r="J13" s="68"/>
      <c r="K13" s="68"/>
      <c r="L13" s="68"/>
      <c r="M13" s="68"/>
      <c r="N13" s="68"/>
      <c r="O13" s="213"/>
      <c r="P13" s="68"/>
      <c r="Q13" s="69"/>
      <c r="R13" s="203"/>
      <c r="T13" s="68"/>
      <c r="U13" s="203"/>
      <c r="V13" s="68"/>
      <c r="W13" s="68"/>
      <c r="Y13" s="323" t="s">
        <v>14</v>
      </c>
      <c r="Z13" s="324">
        <v>0</v>
      </c>
      <c r="AA13" s="324">
        <v>5.0000000000000001E-3</v>
      </c>
      <c r="AC13" s="322">
        <v>6.7567567567567571E-2</v>
      </c>
    </row>
    <row r="14" spans="1:29" ht="16.5" thickBot="1">
      <c r="A14" s="71" t="s">
        <v>101</v>
      </c>
      <c r="B14" s="42"/>
      <c r="C14" s="42"/>
      <c r="D14" s="42"/>
      <c r="E14" s="42"/>
      <c r="F14" s="42"/>
      <c r="G14" s="42"/>
      <c r="H14" s="42"/>
      <c r="I14" s="42"/>
      <c r="J14" s="42"/>
      <c r="K14" s="42"/>
      <c r="L14" s="42"/>
      <c r="M14" s="42"/>
      <c r="N14" s="72"/>
      <c r="O14" s="213"/>
      <c r="P14" s="42"/>
      <c r="Q14" s="42"/>
      <c r="R14" s="202"/>
      <c r="T14" s="42"/>
      <c r="U14" s="202"/>
      <c r="V14" s="42"/>
      <c r="W14" s="73"/>
      <c r="Y14" s="323" t="s">
        <v>458</v>
      </c>
      <c r="Z14" s="324">
        <v>0</v>
      </c>
      <c r="AA14" s="324">
        <v>5.0000000000000001E-3</v>
      </c>
      <c r="AC14" s="322">
        <v>6.7567567567567571E-2</v>
      </c>
    </row>
    <row r="15" spans="1:29" ht="16.5" thickBot="1">
      <c r="A15" s="214" t="s">
        <v>102</v>
      </c>
      <c r="B15" s="63"/>
      <c r="C15" s="63">
        <f>'Step 2 Exec and Strategic'!C15</f>
        <v>0</v>
      </c>
      <c r="D15" s="63"/>
      <c r="E15" s="63"/>
      <c r="F15" s="63"/>
      <c r="G15" s="63"/>
      <c r="H15" s="63"/>
      <c r="I15" s="63"/>
      <c r="J15" s="63"/>
      <c r="K15" s="217"/>
      <c r="L15" s="63"/>
      <c r="M15" s="62">
        <f>-N$3*N15-O$3*O15-P$3*P15-Q$3*Q15-R$3*R15</f>
        <v>-132207.80799999999</v>
      </c>
      <c r="N15" s="62">
        <v>1101355</v>
      </c>
      <c r="O15" s="62"/>
      <c r="P15" s="63">
        <v>406000</v>
      </c>
      <c r="Q15" s="63">
        <v>279237</v>
      </c>
      <c r="R15" s="62">
        <v>1900000</v>
      </c>
      <c r="T15" s="63">
        <f t="shared" ref="T15:T33" si="1">SUM(B15:R15)</f>
        <v>3554384.1919999998</v>
      </c>
      <c r="U15" s="203"/>
      <c r="V15" s="290">
        <f>'Step 1 Contract and Reserves'!V15</f>
        <v>24160078</v>
      </c>
      <c r="W15" s="63">
        <f>'Step 1 Contract and Reserves'!W15</f>
        <v>24160078</v>
      </c>
      <c r="Y15" s="323" t="s">
        <v>433</v>
      </c>
      <c r="Z15" s="324">
        <v>1.0999999999999999E-2</v>
      </c>
      <c r="AA15" s="324">
        <v>1.0999999999999999E-2</v>
      </c>
      <c r="AC15" s="322">
        <v>0.14864864864864866</v>
      </c>
    </row>
    <row r="16" spans="1:29" ht="16.5" thickBot="1">
      <c r="A16" s="76" t="s">
        <v>103</v>
      </c>
      <c r="B16" s="68"/>
      <c r="C16" s="68">
        <f>'Step 2 Exec and Strategic'!C16</f>
        <v>0</v>
      </c>
      <c r="D16" s="68"/>
      <c r="E16" s="68"/>
      <c r="F16" s="68"/>
      <c r="G16" s="68"/>
      <c r="H16" s="68"/>
      <c r="I16" s="68"/>
      <c r="J16" s="68"/>
      <c r="K16" s="218"/>
      <c r="L16" s="68"/>
      <c r="M16" s="78">
        <f t="shared" ref="M16:M33" si="2">-N$3*N16-O$3*O16-P$3*P16-Q$3*Q16-R$3*R16</f>
        <v>-27905.178</v>
      </c>
      <c r="N16" s="78">
        <v>0</v>
      </c>
      <c r="O16" s="78">
        <v>2938981.6440000003</v>
      </c>
      <c r="P16" s="68">
        <v>225000</v>
      </c>
      <c r="Q16" s="68">
        <v>152097</v>
      </c>
      <c r="R16" s="78">
        <v>2800</v>
      </c>
      <c r="T16" s="68">
        <f t="shared" si="1"/>
        <v>3290973.4660000005</v>
      </c>
      <c r="U16" s="203"/>
      <c r="V16" s="960">
        <f>'Step 1 Contract and Reserves'!V16</f>
        <v>20462422</v>
      </c>
      <c r="W16" s="68">
        <f>'Step 1 Contract and Reserves'!W16</f>
        <v>20462422</v>
      </c>
      <c r="Y16" s="323" t="s">
        <v>459</v>
      </c>
      <c r="Z16" s="324">
        <v>1.0999999999999999E-2</v>
      </c>
      <c r="AA16" s="324">
        <v>1.0999999999999999E-2</v>
      </c>
      <c r="AC16" s="322">
        <v>0.14864864864864866</v>
      </c>
    </row>
    <row r="17" spans="1:29">
      <c r="A17" s="213" t="s">
        <v>104</v>
      </c>
      <c r="B17" s="68"/>
      <c r="C17" s="68">
        <f>'Step 2 Exec and Strategic'!C17</f>
        <v>0</v>
      </c>
      <c r="D17" s="68"/>
      <c r="E17" s="68"/>
      <c r="F17" s="68"/>
      <c r="G17" s="68"/>
      <c r="H17" s="68"/>
      <c r="I17" s="68"/>
      <c r="J17" s="68"/>
      <c r="K17" s="218"/>
      <c r="L17" s="68"/>
      <c r="M17" s="78">
        <f t="shared" si="2"/>
        <v>-632693.11800000002</v>
      </c>
      <c r="N17" s="78">
        <v>7041395</v>
      </c>
      <c r="O17" s="78">
        <v>9442061.1300000008</v>
      </c>
      <c r="P17" s="68">
        <v>1431500</v>
      </c>
      <c r="Q17" s="68">
        <v>77012</v>
      </c>
      <c r="R17" s="78">
        <v>2400000</v>
      </c>
      <c r="T17" s="68">
        <f>SUM(B17:R17)</f>
        <v>19759275.012000002</v>
      </c>
      <c r="U17" s="203"/>
      <c r="V17" s="960">
        <f>'Step 1 Contract and Reserves'!V17</f>
        <v>61306607</v>
      </c>
      <c r="W17" s="68">
        <f>'Step 1 Contract and Reserves'!W17</f>
        <v>61306607</v>
      </c>
      <c r="Y17" s="323" t="s">
        <v>446</v>
      </c>
      <c r="Z17" s="324">
        <v>6.0000000000000001E-3</v>
      </c>
      <c r="AA17" s="324">
        <v>6.0000000000000001E-3</v>
      </c>
      <c r="AC17" s="322">
        <v>8.1081081081081086E-2</v>
      </c>
    </row>
    <row r="18" spans="1:29" ht="16.5" thickBot="1">
      <c r="A18" s="214" t="s">
        <v>105</v>
      </c>
      <c r="B18" s="63"/>
      <c r="C18" s="63">
        <f>'Step 2 Exec and Strategic'!C18</f>
        <v>0</v>
      </c>
      <c r="D18" s="63"/>
      <c r="E18" s="63"/>
      <c r="F18" s="63"/>
      <c r="G18" s="63"/>
      <c r="H18" s="63"/>
      <c r="I18" s="63"/>
      <c r="J18" s="63"/>
      <c r="K18" s="217"/>
      <c r="L18" s="63"/>
      <c r="M18" s="62">
        <f t="shared" si="2"/>
        <v>-201043.052</v>
      </c>
      <c r="N18" s="62">
        <v>1743717</v>
      </c>
      <c r="O18" s="62">
        <v>119880.22</v>
      </c>
      <c r="P18" s="63">
        <v>538000</v>
      </c>
      <c r="Q18" s="63">
        <v>435081</v>
      </c>
      <c r="R18" s="62">
        <v>500000</v>
      </c>
      <c r="T18" s="63">
        <f t="shared" si="1"/>
        <v>3135635.1680000001</v>
      </c>
      <c r="U18" s="203"/>
      <c r="V18" s="290">
        <f>'Step 1 Contract and Reserves'!V18</f>
        <v>9355600</v>
      </c>
      <c r="W18" s="63">
        <f>'Step 1 Contract and Reserves'!W18</f>
        <v>9355600</v>
      </c>
      <c r="Y18" s="325"/>
      <c r="Z18" s="326">
        <v>4.9999999999999996E-2</v>
      </c>
      <c r="AA18" s="326">
        <v>7.3999999999999996E-2</v>
      </c>
      <c r="AC18" s="326">
        <v>1</v>
      </c>
    </row>
    <row r="19" spans="1:29">
      <c r="A19" s="76" t="s">
        <v>106</v>
      </c>
      <c r="B19" s="68"/>
      <c r="C19" s="68">
        <f>'Step 2 Exec and Strategic'!C19</f>
        <v>0</v>
      </c>
      <c r="D19" s="68"/>
      <c r="E19" s="68"/>
      <c r="F19" s="68"/>
      <c r="G19" s="68"/>
      <c r="H19" s="68"/>
      <c r="I19" s="68"/>
      <c r="J19" s="68"/>
      <c r="K19" s="218"/>
      <c r="L19" s="68"/>
      <c r="M19" s="78">
        <f t="shared" si="2"/>
        <v>-96783.046000000002</v>
      </c>
      <c r="N19" s="78">
        <v>0</v>
      </c>
      <c r="O19" s="78">
        <v>128949.62999999999</v>
      </c>
      <c r="P19" s="68">
        <v>1195000</v>
      </c>
      <c r="Q19" s="68">
        <v>112879</v>
      </c>
      <c r="R19" s="78">
        <v>900000</v>
      </c>
      <c r="T19" s="68">
        <f>SUM(B19:R19)</f>
        <v>2240045.5839999998</v>
      </c>
      <c r="U19" s="203"/>
      <c r="V19" s="960">
        <f>'Step 1 Contract and Reserves'!V19</f>
        <v>20440194</v>
      </c>
      <c r="W19" s="68">
        <f>'Step 1 Contract and Reserves'!W19</f>
        <v>20440194</v>
      </c>
      <c r="Y19" s="215"/>
      <c r="AA19" s="202"/>
    </row>
    <row r="20" spans="1:29">
      <c r="A20" s="213" t="s">
        <v>107</v>
      </c>
      <c r="B20" s="68"/>
      <c r="C20" s="68">
        <f>'Step 2 Exec and Strategic'!C20</f>
        <v>0</v>
      </c>
      <c r="D20" s="68"/>
      <c r="E20" s="68"/>
      <c r="F20" s="68"/>
      <c r="G20" s="68"/>
      <c r="H20" s="68"/>
      <c r="I20" s="68"/>
      <c r="J20" s="68"/>
      <c r="K20" s="218"/>
      <c r="L20" s="68"/>
      <c r="M20" s="78">
        <f t="shared" si="2"/>
        <v>-5550.5919999999996</v>
      </c>
      <c r="N20" s="78">
        <v>0</v>
      </c>
      <c r="O20" s="78"/>
      <c r="P20" s="68">
        <v>75008</v>
      </c>
      <c r="Q20" s="68"/>
      <c r="R20" s="78">
        <v>15786</v>
      </c>
      <c r="T20" s="68">
        <f t="shared" si="1"/>
        <v>85243.407999999996</v>
      </c>
      <c r="U20" s="203"/>
      <c r="V20" s="960">
        <f>'Step 1 Contract and Reserves'!V20</f>
        <v>4806568</v>
      </c>
      <c r="W20" s="68">
        <f>'Step 1 Contract and Reserves'!W20</f>
        <v>4806568</v>
      </c>
      <c r="Y20" s="215"/>
      <c r="AA20" s="202"/>
    </row>
    <row r="21" spans="1:29">
      <c r="A21" s="214" t="s">
        <v>108</v>
      </c>
      <c r="B21" s="63"/>
      <c r="C21" s="63">
        <f>'Step 2 Exec and Strategic'!C21</f>
        <v>75000</v>
      </c>
      <c r="D21" s="63"/>
      <c r="E21" s="63"/>
      <c r="F21" s="63"/>
      <c r="G21" s="63"/>
      <c r="H21" s="63"/>
      <c r="I21" s="63"/>
      <c r="J21" s="63"/>
      <c r="K21" s="217"/>
      <c r="L21" s="63"/>
      <c r="M21" s="62">
        <f t="shared" si="2"/>
        <v>-126370.466</v>
      </c>
      <c r="N21" s="62">
        <v>0</v>
      </c>
      <c r="O21" s="62"/>
      <c r="P21" s="63">
        <v>1375000</v>
      </c>
      <c r="Q21" s="63">
        <v>332709</v>
      </c>
      <c r="R21" s="62">
        <v>99500</v>
      </c>
      <c r="T21" s="63">
        <f t="shared" si="1"/>
        <v>1755838.534</v>
      </c>
      <c r="U21" s="203"/>
      <c r="V21" s="290">
        <f>'Step 1 Contract and Reserves'!V21</f>
        <v>45894131</v>
      </c>
      <c r="W21" s="63">
        <f>'Step 1 Contract and Reserves'!W21</f>
        <v>45894131</v>
      </c>
      <c r="Y21" s="215"/>
      <c r="AA21" s="202"/>
    </row>
    <row r="22" spans="1:29">
      <c r="A22" s="213" t="s">
        <v>109</v>
      </c>
      <c r="B22" s="68"/>
      <c r="C22" s="68">
        <f>'Step 2 Exec and Strategic'!C22</f>
        <v>10875</v>
      </c>
      <c r="D22" s="68"/>
      <c r="E22" s="68"/>
      <c r="F22" s="68"/>
      <c r="G22" s="68"/>
      <c r="H22" s="68"/>
      <c r="I22" s="68"/>
      <c r="J22" s="68"/>
      <c r="K22" s="218"/>
      <c r="L22" s="68"/>
      <c r="M22" s="78">
        <f t="shared" si="2"/>
        <v>-62400.944000000003</v>
      </c>
      <c r="N22" s="78">
        <v>615599</v>
      </c>
      <c r="O22" s="78"/>
      <c r="P22" s="68">
        <v>208000</v>
      </c>
      <c r="Q22" s="68">
        <v>19657</v>
      </c>
      <c r="R22" s="78">
        <v>2900000</v>
      </c>
      <c r="T22" s="68">
        <f t="shared" si="1"/>
        <v>3691730.0559999999</v>
      </c>
      <c r="U22" s="203"/>
      <c r="V22" s="960">
        <f>'Step 1 Contract and Reserves'!V22</f>
        <v>14831995</v>
      </c>
      <c r="W22" s="68">
        <f>'Step 1 Contract and Reserves'!W22</f>
        <v>14831995</v>
      </c>
      <c r="Y22" s="215"/>
      <c r="AA22" s="202"/>
    </row>
    <row r="23" spans="1:29">
      <c r="A23" s="213" t="s">
        <v>110</v>
      </c>
      <c r="B23" s="78"/>
      <c r="C23" s="78">
        <f>'Step 2 Exec and Strategic'!C23</f>
        <v>0</v>
      </c>
      <c r="D23" s="78"/>
      <c r="E23" s="78"/>
      <c r="F23" s="78"/>
      <c r="G23" s="78"/>
      <c r="H23" s="78"/>
      <c r="I23" s="78"/>
      <c r="J23" s="78"/>
      <c r="K23" s="219"/>
      <c r="L23" s="78"/>
      <c r="M23" s="78">
        <f t="shared" si="2"/>
        <v>-106069.01</v>
      </c>
      <c r="N23" s="78">
        <v>1098365</v>
      </c>
      <c r="O23" s="78">
        <v>3558513.7199999997</v>
      </c>
      <c r="P23" s="68">
        <v>335000</v>
      </c>
      <c r="Q23" s="68">
        <v>0</v>
      </c>
      <c r="R23" s="78">
        <v>200000</v>
      </c>
      <c r="T23" s="78">
        <f t="shared" si="1"/>
        <v>5085809.71</v>
      </c>
      <c r="U23" s="203"/>
      <c r="V23" s="960">
        <f>'Step 1 Contract and Reserves'!V23</f>
        <v>12737398</v>
      </c>
      <c r="W23" s="68">
        <f>'Step 1 Contract and Reserves'!W23</f>
        <v>12737398</v>
      </c>
      <c r="Y23" s="215"/>
      <c r="AA23" s="202"/>
    </row>
    <row r="24" spans="1:29">
      <c r="A24" s="214" t="s">
        <v>111</v>
      </c>
      <c r="B24" s="63"/>
      <c r="C24" s="63">
        <f>'Step 2 Exec and Strategic'!C24</f>
        <v>0</v>
      </c>
      <c r="D24" s="63"/>
      <c r="E24" s="63"/>
      <c r="F24" s="63"/>
      <c r="G24" s="63"/>
      <c r="H24" s="63"/>
      <c r="I24" s="63"/>
      <c r="J24" s="63"/>
      <c r="K24" s="217"/>
      <c r="L24" s="63"/>
      <c r="M24" s="62">
        <f t="shared" si="2"/>
        <v>-114048.57799999999</v>
      </c>
      <c r="N24" s="62">
        <v>0</v>
      </c>
      <c r="O24" s="62"/>
      <c r="P24" s="63">
        <v>1315000</v>
      </c>
      <c r="Q24" s="63">
        <v>226197</v>
      </c>
      <c r="R24" s="62">
        <v>780000</v>
      </c>
      <c r="T24" s="63">
        <f t="shared" si="1"/>
        <v>2207148.4220000003</v>
      </c>
      <c r="U24" s="203"/>
      <c r="V24" s="290">
        <f>'Step 1 Contract and Reserves'!V24</f>
        <v>41127158</v>
      </c>
      <c r="W24" s="63">
        <f>'Step 1 Contract and Reserves'!W24</f>
        <v>41127158</v>
      </c>
      <c r="Y24" s="215"/>
      <c r="AA24" s="202"/>
    </row>
    <row r="25" spans="1:29">
      <c r="A25" s="213" t="s">
        <v>112</v>
      </c>
      <c r="B25" s="78"/>
      <c r="C25" s="78">
        <f>'Step 2 Exec and Strategic'!C25</f>
        <v>-48085</v>
      </c>
      <c r="D25" s="78"/>
      <c r="E25" s="78"/>
      <c r="F25" s="78"/>
      <c r="G25" s="78"/>
      <c r="H25" s="78"/>
      <c r="I25" s="78"/>
      <c r="J25" s="78"/>
      <c r="K25" s="219"/>
      <c r="L25" s="78"/>
      <c r="M25" s="78">
        <f t="shared" si="2"/>
        <v>-983794.70200000005</v>
      </c>
      <c r="N25" s="78">
        <v>4966751</v>
      </c>
      <c r="O25" s="78">
        <v>3136704</v>
      </c>
      <c r="P25" s="68">
        <v>8327772</v>
      </c>
      <c r="Q25" s="68">
        <v>0</v>
      </c>
      <c r="R25" s="78">
        <v>125000</v>
      </c>
      <c r="T25" s="78">
        <f t="shared" si="1"/>
        <v>15524347.298</v>
      </c>
      <c r="U25" s="203"/>
      <c r="V25" s="960">
        <f>'Step 1 Contract and Reserves'!V25</f>
        <v>24909417</v>
      </c>
      <c r="W25" s="68">
        <f>'Step 1 Contract and Reserves'!W25</f>
        <v>24909417</v>
      </c>
      <c r="Y25" s="215"/>
      <c r="AA25" s="202"/>
    </row>
    <row r="26" spans="1:29">
      <c r="A26" s="213" t="s">
        <v>113</v>
      </c>
      <c r="B26" s="68"/>
      <c r="C26" s="68">
        <f>'Step 2 Exec and Strategic'!C26</f>
        <v>0</v>
      </c>
      <c r="D26" s="68"/>
      <c r="E26" s="68"/>
      <c r="F26" s="68"/>
      <c r="G26" s="68"/>
      <c r="H26" s="68"/>
      <c r="I26" s="68"/>
      <c r="J26" s="68"/>
      <c r="K26" s="218"/>
      <c r="L26" s="68"/>
      <c r="M26" s="78">
        <f t="shared" si="2"/>
        <v>0</v>
      </c>
      <c r="N26" s="78">
        <v>0</v>
      </c>
      <c r="O26" s="78"/>
      <c r="P26" s="78"/>
      <c r="Q26" s="78">
        <v>0</v>
      </c>
      <c r="R26" s="78"/>
      <c r="T26" s="68">
        <f t="shared" si="1"/>
        <v>0</v>
      </c>
      <c r="U26" s="203"/>
      <c r="V26" s="960">
        <f>'Step 1 Contract and Reserves'!V26</f>
        <v>543366</v>
      </c>
      <c r="W26" s="68">
        <f>'Step 1 Contract and Reserves'!W26</f>
        <v>543366</v>
      </c>
      <c r="Y26" s="215"/>
      <c r="AA26" s="202"/>
    </row>
    <row r="27" spans="1:29">
      <c r="A27" s="214" t="s">
        <v>114</v>
      </c>
      <c r="B27" s="63"/>
      <c r="C27" s="63">
        <f>'Step 2 Exec and Strategic'!C27</f>
        <v>0</v>
      </c>
      <c r="D27" s="63"/>
      <c r="E27" s="63"/>
      <c r="F27" s="63"/>
      <c r="G27" s="63"/>
      <c r="H27" s="63"/>
      <c r="I27" s="63"/>
      <c r="J27" s="63"/>
      <c r="K27" s="217"/>
      <c r="L27" s="63"/>
      <c r="M27" s="62">
        <f t="shared" si="2"/>
        <v>-1147</v>
      </c>
      <c r="N27" s="62">
        <v>0</v>
      </c>
      <c r="O27" s="62">
        <v>1244585</v>
      </c>
      <c r="P27" s="63">
        <v>15500</v>
      </c>
      <c r="Q27" s="63">
        <v>0</v>
      </c>
      <c r="R27" s="62"/>
      <c r="T27" s="63">
        <f>SUM(B27:R27)</f>
        <v>1258938</v>
      </c>
      <c r="U27" s="203"/>
      <c r="V27" s="290">
        <f>'Step 1 Contract and Reserves'!V27</f>
        <v>2839964</v>
      </c>
      <c r="W27" s="63">
        <f>'Step 1 Contract and Reserves'!W27</f>
        <v>2839964</v>
      </c>
      <c r="Y27" s="215"/>
      <c r="AA27" s="202"/>
    </row>
    <row r="28" spans="1:29">
      <c r="A28" s="76" t="s">
        <v>116</v>
      </c>
      <c r="B28" s="78"/>
      <c r="C28" s="78">
        <f>'Step 2 Exec and Strategic'!C28</f>
        <v>0</v>
      </c>
      <c r="D28" s="78"/>
      <c r="E28" s="78"/>
      <c r="F28" s="78"/>
      <c r="G28" s="78"/>
      <c r="H28" s="78"/>
      <c r="I28" s="78"/>
      <c r="J28" s="78"/>
      <c r="K28" s="219"/>
      <c r="L28" s="78"/>
      <c r="M28" s="78">
        <v>0</v>
      </c>
      <c r="N28" s="78">
        <v>0</v>
      </c>
      <c r="O28" s="78">
        <v>0</v>
      </c>
      <c r="P28" s="78">
        <v>18786975</v>
      </c>
      <c r="Q28" s="78">
        <v>0</v>
      </c>
      <c r="R28" s="78"/>
      <c r="T28" s="78">
        <f t="shared" si="1"/>
        <v>18786975</v>
      </c>
      <c r="U28" s="203"/>
      <c r="V28" s="960">
        <f>'Step 1 Contract and Reserves'!V28</f>
        <v>18786975</v>
      </c>
      <c r="W28" s="68">
        <f>'Step 1 Contract and Reserves'!W28</f>
        <v>18786975</v>
      </c>
      <c r="Y28" s="215"/>
      <c r="AA28" s="202"/>
    </row>
    <row r="29" spans="1:29">
      <c r="A29" s="213" t="s">
        <v>117</v>
      </c>
      <c r="B29" s="68"/>
      <c r="C29" s="68">
        <f>'Step 2 Exec and Strategic'!C29</f>
        <v>0</v>
      </c>
      <c r="D29" s="68"/>
      <c r="E29" s="68"/>
      <c r="F29" s="68"/>
      <c r="G29" s="68"/>
      <c r="H29" s="68"/>
      <c r="I29" s="68"/>
      <c r="J29" s="68"/>
      <c r="K29" s="218"/>
      <c r="L29" s="68"/>
      <c r="M29" s="78">
        <f t="shared" si="2"/>
        <v>0</v>
      </c>
      <c r="N29" s="78">
        <v>0</v>
      </c>
      <c r="O29" s="78">
        <v>0</v>
      </c>
      <c r="P29" s="68"/>
      <c r="Q29" s="68">
        <v>0</v>
      </c>
      <c r="R29" s="78">
        <v>3296000</v>
      </c>
      <c r="S29" s="66"/>
      <c r="T29" s="68">
        <f t="shared" si="1"/>
        <v>3296000</v>
      </c>
      <c r="U29" s="203"/>
      <c r="V29" s="290">
        <f>'Step 1 Contract and Reserves'!V29</f>
        <v>3296000</v>
      </c>
      <c r="W29" s="63">
        <f>'Step 1 Contract and Reserves'!W29</f>
        <v>3296000</v>
      </c>
      <c r="Y29" s="215"/>
      <c r="AA29" s="202"/>
    </row>
    <row r="30" spans="1:29">
      <c r="A30" s="438" t="s">
        <v>523</v>
      </c>
      <c r="B30" s="266"/>
      <c r="C30" s="266">
        <f>'Step 2 Exec and Strategic'!C30</f>
        <v>0</v>
      </c>
      <c r="D30" s="266"/>
      <c r="E30" s="266"/>
      <c r="F30" s="266"/>
      <c r="G30" s="266"/>
      <c r="H30" s="266"/>
      <c r="I30" s="266"/>
      <c r="J30" s="266"/>
      <c r="K30" s="263"/>
      <c r="L30" s="266"/>
      <c r="M30" s="62">
        <f t="shared" si="2"/>
        <v>-209046.3</v>
      </c>
      <c r="N30" s="62">
        <v>0</v>
      </c>
      <c r="O30" s="62">
        <v>0</v>
      </c>
      <c r="P30" s="266">
        <v>2824950</v>
      </c>
      <c r="Q30" s="266">
        <v>0</v>
      </c>
      <c r="R30" s="62"/>
      <c r="S30" s="263"/>
      <c r="T30" s="266">
        <f>SUM(B30:R30)</f>
        <v>2615903.7000000002</v>
      </c>
      <c r="U30" s="203"/>
      <c r="V30" s="960">
        <f>'Step 1 Contract and Reserves'!V30</f>
        <v>4706010</v>
      </c>
      <c r="W30" s="68">
        <f>'Step 1 Contract and Reserves'!W30</f>
        <v>4706010</v>
      </c>
      <c r="Y30" s="215"/>
      <c r="AA30" s="202"/>
    </row>
    <row r="31" spans="1:29">
      <c r="A31" s="437" t="s">
        <v>524</v>
      </c>
      <c r="B31" s="78"/>
      <c r="C31" s="78">
        <f>'Step 2 Exec and Strategic'!C31</f>
        <v>0</v>
      </c>
      <c r="D31" s="78"/>
      <c r="E31" s="78"/>
      <c r="F31" s="78"/>
      <c r="G31" s="78"/>
      <c r="H31" s="78"/>
      <c r="I31" s="78"/>
      <c r="J31" s="78"/>
      <c r="K31" s="66"/>
      <c r="L31" s="78"/>
      <c r="M31" s="78">
        <f t="shared" si="2"/>
        <v>0</v>
      </c>
      <c r="N31" s="78"/>
      <c r="O31" s="78"/>
      <c r="P31" s="78"/>
      <c r="Q31" s="78"/>
      <c r="R31" s="78"/>
      <c r="S31" s="66"/>
      <c r="T31" s="78">
        <f t="shared" si="1"/>
        <v>0</v>
      </c>
      <c r="U31" s="203"/>
      <c r="V31" s="960">
        <f>'Step 1 Contract and Reserves'!V31</f>
        <v>833083</v>
      </c>
      <c r="W31" s="68">
        <f>'Step 1 Contract and Reserves'!W31</f>
        <v>14579074</v>
      </c>
      <c r="Y31" s="215"/>
      <c r="AA31" s="202"/>
    </row>
    <row r="32" spans="1:29">
      <c r="A32" s="213" t="s">
        <v>118</v>
      </c>
      <c r="B32" s="68"/>
      <c r="C32" s="68">
        <f>'Step 2 Exec and Strategic'!C32</f>
        <v>0</v>
      </c>
      <c r="D32" s="68"/>
      <c r="E32" s="68"/>
      <c r="F32" s="68"/>
      <c r="G32" s="68"/>
      <c r="H32" s="68"/>
      <c r="I32" s="68"/>
      <c r="J32" s="68"/>
      <c r="K32" s="218"/>
      <c r="L32" s="68"/>
      <c r="M32" s="78">
        <f t="shared" si="2"/>
        <v>-20779.347999999998</v>
      </c>
      <c r="N32" s="78">
        <v>47475</v>
      </c>
      <c r="O32" s="207"/>
      <c r="P32" s="68">
        <v>122600</v>
      </c>
      <c r="Q32" s="68">
        <v>110727</v>
      </c>
      <c r="R32" s="78">
        <v>2467041.4615384615</v>
      </c>
      <c r="S32" s="66"/>
      <c r="T32" s="68">
        <f t="shared" si="1"/>
        <v>2727064.1135384617</v>
      </c>
      <c r="U32" s="203"/>
      <c r="V32" s="290">
        <f>'Step 1 Contract and Reserves'!V32</f>
        <v>14579074</v>
      </c>
      <c r="W32" s="63">
        <f>'Step 1 Contract and Reserves'!W32</f>
        <v>11354618</v>
      </c>
      <c r="Y32" s="215"/>
      <c r="AA32" s="202"/>
    </row>
    <row r="33" spans="1:27">
      <c r="A33" s="438" t="s">
        <v>119</v>
      </c>
      <c r="B33" s="266"/>
      <c r="C33" s="266">
        <f>'Step 2 Exec and Strategic'!C33</f>
        <v>0</v>
      </c>
      <c r="D33" s="266"/>
      <c r="E33" s="266"/>
      <c r="F33" s="266"/>
      <c r="G33" s="266"/>
      <c r="H33" s="266"/>
      <c r="I33" s="266"/>
      <c r="J33" s="266"/>
      <c r="K33" s="439"/>
      <c r="L33" s="266"/>
      <c r="M33" s="62">
        <f t="shared" si="2"/>
        <v>-110830.54</v>
      </c>
      <c r="N33" s="267">
        <v>458258</v>
      </c>
      <c r="O33" s="440"/>
      <c r="P33" s="266">
        <v>882685</v>
      </c>
      <c r="Q33" s="266">
        <v>156767</v>
      </c>
      <c r="R33" s="267">
        <v>678800</v>
      </c>
      <c r="S33" s="263"/>
      <c r="T33" s="266">
        <f t="shared" si="1"/>
        <v>2065679.46</v>
      </c>
      <c r="U33" s="203"/>
      <c r="V33" s="960">
        <f>'Step 1 Contract and Reserves'!V33</f>
        <v>11354618</v>
      </c>
      <c r="W33" s="68">
        <f>'Step 1 Contract and Reserves'!W33</f>
        <v>833083</v>
      </c>
      <c r="Y33" s="215"/>
      <c r="AA33" s="202"/>
    </row>
    <row r="34" spans="1:27">
      <c r="A34" s="441" t="s">
        <v>120</v>
      </c>
      <c r="B34" s="442">
        <f>SUM(B15:B33)</f>
        <v>0</v>
      </c>
      <c r="C34" s="442">
        <f>SUM(C15:C33)</f>
        <v>37790</v>
      </c>
      <c r="D34" s="442">
        <f>SUM(D15:D33)</f>
        <v>0</v>
      </c>
      <c r="E34" s="442"/>
      <c r="F34" s="442">
        <f>SUM(F15:F33)</f>
        <v>0</v>
      </c>
      <c r="G34" s="442">
        <f>SUM(G15:G33)</f>
        <v>0</v>
      </c>
      <c r="H34" s="442">
        <f>SUM(H15:H33)</f>
        <v>0</v>
      </c>
      <c r="I34" s="442">
        <f>SUM(I15:I33)</f>
        <v>0</v>
      </c>
      <c r="J34" s="442"/>
      <c r="K34" s="442">
        <f>SUM(K15:K33)</f>
        <v>0</v>
      </c>
      <c r="L34" s="442"/>
      <c r="M34" s="442">
        <f t="shared" ref="M34:R34" si="3">SUM(M15:M33)</f>
        <v>-2830669.682</v>
      </c>
      <c r="N34" s="442">
        <f t="shared" si="3"/>
        <v>17072915</v>
      </c>
      <c r="O34" s="442">
        <f>SUM(O15:O33)</f>
        <v>20569675.344000001</v>
      </c>
      <c r="P34" s="442">
        <f t="shared" si="3"/>
        <v>38063990</v>
      </c>
      <c r="Q34" s="442">
        <f t="shared" si="3"/>
        <v>1902363</v>
      </c>
      <c r="R34" s="442">
        <f t="shared" si="3"/>
        <v>16264927.461538462</v>
      </c>
      <c r="S34" s="443"/>
      <c r="T34" s="442">
        <f>SUM(T15:T33)</f>
        <v>91080991.123538449</v>
      </c>
      <c r="U34" s="203"/>
      <c r="V34" s="442">
        <f>'Step 1 Contract and Reserves'!V34</f>
        <v>336970658</v>
      </c>
      <c r="W34" s="442">
        <f>'Step 1 Contract and Reserves'!W34</f>
        <v>336970658</v>
      </c>
      <c r="Y34" s="215"/>
      <c r="AA34" s="202"/>
    </row>
    <row r="35" spans="1:27">
      <c r="A35" s="213"/>
      <c r="B35" s="66"/>
      <c r="C35" s="66"/>
      <c r="D35" s="66"/>
      <c r="E35" s="66"/>
      <c r="F35" s="66"/>
      <c r="G35" s="66"/>
      <c r="H35" s="66"/>
      <c r="I35" s="66"/>
      <c r="J35" s="66"/>
      <c r="K35" s="66"/>
      <c r="L35" s="66"/>
      <c r="M35" s="66"/>
      <c r="N35" s="66"/>
      <c r="O35" s="66"/>
      <c r="P35" s="66"/>
      <c r="Q35" s="66"/>
      <c r="R35" s="66"/>
      <c r="S35" s="66"/>
      <c r="T35" s="66"/>
      <c r="U35" s="203"/>
      <c r="V35" s="62"/>
      <c r="W35" s="63"/>
      <c r="AA35" s="202"/>
    </row>
    <row r="36" spans="1:27">
      <c r="A36" s="203"/>
      <c r="R36" s="12"/>
      <c r="U36" s="208"/>
      <c r="V36" s="208"/>
      <c r="W36" s="68"/>
      <c r="AA36" s="202"/>
    </row>
    <row r="37" spans="1:27">
      <c r="A37" s="76" t="s">
        <v>121</v>
      </c>
      <c r="B37" s="78"/>
      <c r="C37" s="78"/>
      <c r="D37" s="78"/>
      <c r="E37" s="78"/>
      <c r="F37" s="78"/>
      <c r="G37" s="78"/>
      <c r="H37" s="78"/>
      <c r="I37" s="78"/>
      <c r="J37" s="78"/>
      <c r="K37" s="78"/>
      <c r="L37" s="78"/>
      <c r="M37" s="78"/>
      <c r="N37" s="78"/>
      <c r="O37" s="78"/>
      <c r="P37" s="78"/>
      <c r="Q37" s="78"/>
      <c r="R37" s="78"/>
      <c r="T37" s="78"/>
      <c r="U37" s="203"/>
      <c r="V37" s="78"/>
      <c r="W37" s="68"/>
      <c r="AA37" s="202"/>
    </row>
    <row r="38" spans="1:27">
      <c r="A38" s="214" t="s">
        <v>122</v>
      </c>
      <c r="B38" s="63"/>
      <c r="C38" s="63">
        <f>'Step 2 Exec and Strategic'!C38</f>
        <v>20000</v>
      </c>
      <c r="D38" s="63">
        <f>'Step 2 Exec and Strategic'!D38</f>
        <v>8368275</v>
      </c>
      <c r="E38" s="217"/>
      <c r="F38" s="217"/>
      <c r="G38" s="217"/>
      <c r="H38" s="217"/>
      <c r="I38" s="217"/>
      <c r="J38" s="217"/>
      <c r="K38" s="217"/>
      <c r="L38" s="63"/>
      <c r="M38" s="62">
        <f t="shared" ref="M38:M55" si="4">-N$3*N38-O$3*O38-P$3*P38-Q$3*Q38-R$3*R38</f>
        <v>0</v>
      </c>
      <c r="N38" s="62">
        <v>0</v>
      </c>
      <c r="O38" s="205"/>
      <c r="P38" s="63">
        <v>0</v>
      </c>
      <c r="Q38" s="62"/>
      <c r="R38" s="467"/>
      <c r="T38" s="63">
        <f t="shared" ref="T38:T55" si="5">SUM(B38:R38)</f>
        <v>8388275</v>
      </c>
      <c r="U38" s="203"/>
      <c r="V38" s="290">
        <f>'Step 1 Contract and Reserves'!V38</f>
        <v>8388275</v>
      </c>
      <c r="W38" s="63">
        <f>'Step 1 Contract and Reserves'!W38</f>
        <v>8388275</v>
      </c>
      <c r="AA38" s="202"/>
    </row>
    <row r="39" spans="1:27">
      <c r="A39" s="213" t="s">
        <v>123</v>
      </c>
      <c r="B39" s="78"/>
      <c r="C39" s="78">
        <f>'Step 2 Exec and Strategic'!C39</f>
        <v>26585</v>
      </c>
      <c r="D39" s="68">
        <f>'Step 2 Exec and Strategic'!D39</f>
        <v>0</v>
      </c>
      <c r="E39" s="78"/>
      <c r="F39" s="78"/>
      <c r="G39" s="78"/>
      <c r="H39" s="78"/>
      <c r="I39" s="78"/>
      <c r="J39" s="78"/>
      <c r="K39" s="219"/>
      <c r="L39" s="78"/>
      <c r="M39" s="78">
        <f t="shared" si="4"/>
        <v>0</v>
      </c>
      <c r="N39" s="78">
        <v>0</v>
      </c>
      <c r="O39" s="216"/>
      <c r="P39" s="68"/>
      <c r="Q39" s="68">
        <v>0</v>
      </c>
      <c r="R39" s="459"/>
      <c r="T39" s="78">
        <f t="shared" si="5"/>
        <v>26585</v>
      </c>
      <c r="U39" s="203"/>
      <c r="V39" s="960">
        <f>'Step 1 Contract and Reserves'!V39</f>
        <v>3982978</v>
      </c>
      <c r="W39" s="68">
        <f>'Step 1 Contract and Reserves'!W39</f>
        <v>3982978</v>
      </c>
      <c r="Y39" s="215"/>
      <c r="AA39" s="202"/>
    </row>
    <row r="40" spans="1:27">
      <c r="A40" s="76" t="s">
        <v>124</v>
      </c>
      <c r="B40" s="78"/>
      <c r="C40" s="78">
        <f>'Step 2 Exec and Strategic'!C40</f>
        <v>0</v>
      </c>
      <c r="D40" s="68">
        <f>'Step 2 Exec and Strategic'!D40</f>
        <v>1441801</v>
      </c>
      <c r="E40" s="219"/>
      <c r="F40" s="219"/>
      <c r="G40" s="219"/>
      <c r="H40" s="219"/>
      <c r="I40" s="219"/>
      <c r="J40" s="219"/>
      <c r="K40" s="219"/>
      <c r="L40" s="78"/>
      <c r="M40" s="78">
        <f t="shared" si="4"/>
        <v>0</v>
      </c>
      <c r="N40" s="78">
        <v>0</v>
      </c>
      <c r="O40" s="78"/>
      <c r="P40" s="78"/>
      <c r="Q40" s="78">
        <v>0</v>
      </c>
      <c r="R40" s="454"/>
      <c r="T40" s="78">
        <f t="shared" si="5"/>
        <v>1441801</v>
      </c>
      <c r="U40" s="203"/>
      <c r="V40" s="960">
        <f>'Step 1 Contract and Reserves'!V40</f>
        <v>1441801</v>
      </c>
      <c r="W40" s="68">
        <f>'Step 1 Contract and Reserves'!W40</f>
        <v>1441801</v>
      </c>
      <c r="Y40" s="215"/>
      <c r="AA40" s="202"/>
    </row>
    <row r="41" spans="1:27">
      <c r="A41" s="214" t="s">
        <v>125</v>
      </c>
      <c r="B41" s="63"/>
      <c r="C41" s="63">
        <f>'Step 2 Exec and Strategic'!C41</f>
        <v>5900000</v>
      </c>
      <c r="D41" s="63">
        <f>'Step 2 Exec and Strategic'!D41</f>
        <v>2048710</v>
      </c>
      <c r="E41" s="217"/>
      <c r="F41" s="217"/>
      <c r="G41" s="217"/>
      <c r="H41" s="217"/>
      <c r="I41" s="217"/>
      <c r="J41" s="217"/>
      <c r="K41" s="217"/>
      <c r="L41" s="63"/>
      <c r="M41" s="62">
        <f t="shared" si="4"/>
        <v>0</v>
      </c>
      <c r="N41" s="62">
        <v>0</v>
      </c>
      <c r="O41" s="205"/>
      <c r="P41" s="63"/>
      <c r="Q41" s="62">
        <v>0</v>
      </c>
      <c r="R41" s="467"/>
      <c r="T41" s="63">
        <f t="shared" si="5"/>
        <v>7948710</v>
      </c>
      <c r="U41" s="203"/>
      <c r="V41" s="290">
        <f>'Step 1 Contract and Reserves'!V41</f>
        <v>7948710</v>
      </c>
      <c r="W41" s="63">
        <f>'Step 1 Contract and Reserves'!W41</f>
        <v>7948710</v>
      </c>
      <c r="Y41" s="215"/>
      <c r="AA41" s="202"/>
    </row>
    <row r="42" spans="1:27">
      <c r="A42" s="213" t="s">
        <v>126</v>
      </c>
      <c r="B42" s="78"/>
      <c r="C42" s="78">
        <f>'Step 2 Exec and Strategic'!C42</f>
        <v>0</v>
      </c>
      <c r="D42" s="78"/>
      <c r="E42" s="78"/>
      <c r="F42" s="78"/>
      <c r="G42" s="78"/>
      <c r="H42" s="78"/>
      <c r="I42" s="78"/>
      <c r="J42" s="78"/>
      <c r="K42" s="219"/>
      <c r="L42" s="78"/>
      <c r="M42" s="78">
        <f t="shared" si="4"/>
        <v>-233029.848</v>
      </c>
      <c r="N42" s="78"/>
      <c r="O42" s="216"/>
      <c r="P42" s="68">
        <v>3149052</v>
      </c>
      <c r="Q42" s="68"/>
      <c r="R42" s="459"/>
      <c r="T42" s="78">
        <f t="shared" si="5"/>
        <v>2916022.1519999998</v>
      </c>
      <c r="U42" s="203"/>
      <c r="V42" s="960">
        <f>'Step 1 Contract and Reserves'!V42</f>
        <v>9724870</v>
      </c>
      <c r="W42" s="68">
        <f>'Step 1 Contract and Reserves'!W42</f>
        <v>9724870</v>
      </c>
      <c r="Y42" s="215"/>
      <c r="AA42" s="202"/>
    </row>
    <row r="43" spans="1:27">
      <c r="A43" s="437" t="s">
        <v>552</v>
      </c>
      <c r="B43" s="78"/>
      <c r="C43" s="78">
        <f>'Step 2 Exec and Strategic'!C43</f>
        <v>0</v>
      </c>
      <c r="D43" s="78"/>
      <c r="E43" s="78"/>
      <c r="F43" s="78"/>
      <c r="G43" s="78"/>
      <c r="H43" s="78"/>
      <c r="I43" s="78"/>
      <c r="J43" s="78"/>
      <c r="K43" s="219"/>
      <c r="L43" s="78"/>
      <c r="M43" s="78">
        <f t="shared" si="4"/>
        <v>-2294</v>
      </c>
      <c r="N43" s="78"/>
      <c r="O43" s="216"/>
      <c r="P43" s="68">
        <v>31000</v>
      </c>
      <c r="Q43" s="68"/>
      <c r="R43" s="459"/>
      <c r="T43" s="78">
        <f t="shared" si="5"/>
        <v>28706</v>
      </c>
      <c r="U43" s="203"/>
      <c r="V43" s="960">
        <f>'Step 1 Contract and Reserves'!V43</f>
        <v>5000049</v>
      </c>
      <c r="W43" s="68">
        <f>'Step 1 Contract and Reserves'!W43</f>
        <v>5000049</v>
      </c>
      <c r="Y43" s="215"/>
      <c r="AA43" s="202"/>
    </row>
    <row r="44" spans="1:27">
      <c r="A44" s="213" t="s">
        <v>127</v>
      </c>
      <c r="B44" s="78"/>
      <c r="C44" s="78">
        <f>'Step 2 Exec and Strategic'!C44</f>
        <v>0</v>
      </c>
      <c r="D44" s="78"/>
      <c r="E44" s="78"/>
      <c r="F44" s="78"/>
      <c r="G44" s="78">
        <f>-M$57*AC11</f>
        <v>675140.62</v>
      </c>
      <c r="H44" s="78"/>
      <c r="I44" s="78"/>
      <c r="J44" s="78"/>
      <c r="K44" s="219"/>
      <c r="L44" s="78"/>
      <c r="M44" s="78">
        <f t="shared" si="4"/>
        <v>-740</v>
      </c>
      <c r="N44" s="78">
        <v>0</v>
      </c>
      <c r="O44" s="216"/>
      <c r="P44" s="68">
        <v>10000</v>
      </c>
      <c r="Q44" s="68">
        <v>0</v>
      </c>
      <c r="R44" s="459"/>
      <c r="T44" s="78">
        <f>SUM(B44:R44)</f>
        <v>684400.62</v>
      </c>
      <c r="U44" s="203"/>
      <c r="V44" s="960">
        <f>'Step 1 Contract and Reserves'!V44</f>
        <v>3643184</v>
      </c>
      <c r="W44" s="68">
        <f>'Step 1 Contract and Reserves'!W44</f>
        <v>3643184</v>
      </c>
      <c r="Y44" s="215"/>
      <c r="AA44" s="202"/>
    </row>
    <row r="45" spans="1:27">
      <c r="A45" s="214" t="s">
        <v>128</v>
      </c>
      <c r="B45" s="63"/>
      <c r="C45" s="63">
        <f>'Step 2 Exec and Strategic'!C45</f>
        <v>150000</v>
      </c>
      <c r="D45" s="63"/>
      <c r="E45" s="63"/>
      <c r="F45" s="63">
        <f>-M$57*AC12</f>
        <v>1060935.26</v>
      </c>
      <c r="G45" s="63"/>
      <c r="H45" s="63"/>
      <c r="I45" s="63"/>
      <c r="J45" s="63"/>
      <c r="K45" s="217"/>
      <c r="L45" s="63"/>
      <c r="M45" s="62">
        <f t="shared" si="4"/>
        <v>-1968.3999999999999</v>
      </c>
      <c r="N45" s="62">
        <v>0</v>
      </c>
      <c r="O45" s="205"/>
      <c r="P45" s="63">
        <v>26600</v>
      </c>
      <c r="Q45" s="62">
        <v>0</v>
      </c>
      <c r="R45" s="467">
        <v>2467041.4615384615</v>
      </c>
      <c r="T45" s="63">
        <f t="shared" si="5"/>
        <v>3702608.3215384614</v>
      </c>
      <c r="U45" s="203"/>
      <c r="V45" s="290">
        <f>'Step 1 Contract and Reserves'!V45</f>
        <v>19774816</v>
      </c>
      <c r="W45" s="63">
        <f>'Step 1 Contract and Reserves'!W45</f>
        <v>19774816</v>
      </c>
      <c r="Y45" s="215"/>
      <c r="AA45" s="202"/>
    </row>
    <row r="46" spans="1:27">
      <c r="A46" s="213" t="s">
        <v>553</v>
      </c>
      <c r="B46" s="78"/>
      <c r="C46" s="78">
        <f>'Step 2 Exec and Strategic'!C46</f>
        <v>1030000</v>
      </c>
      <c r="D46" s="78"/>
      <c r="E46" s="78"/>
      <c r="F46" s="78">
        <f>-M$57*AC13</f>
        <v>241121.65</v>
      </c>
      <c r="G46" s="78"/>
      <c r="H46" s="78"/>
      <c r="I46" s="78"/>
      <c r="J46" s="78"/>
      <c r="K46" s="219"/>
      <c r="L46" s="78"/>
      <c r="M46" s="78">
        <f t="shared" si="4"/>
        <v>-78304.95</v>
      </c>
      <c r="N46" s="78">
        <v>0</v>
      </c>
      <c r="O46" s="216"/>
      <c r="P46" s="68">
        <v>1058175</v>
      </c>
      <c r="Q46" s="68">
        <v>0</v>
      </c>
      <c r="R46" s="459">
        <v>411173.57692307694</v>
      </c>
      <c r="T46" s="78">
        <f t="shared" si="5"/>
        <v>2662165.2769230772</v>
      </c>
      <c r="U46" s="203"/>
      <c r="V46" s="960">
        <f>'Step 1 Contract and Reserves'!V46</f>
        <v>4507186</v>
      </c>
      <c r="W46" s="68">
        <f>'Step 1 Contract and Reserves'!W46</f>
        <v>4507186</v>
      </c>
      <c r="Y46" s="215"/>
      <c r="AA46" s="202"/>
    </row>
    <row r="47" spans="1:27">
      <c r="A47" s="76" t="s">
        <v>115</v>
      </c>
      <c r="B47" s="78"/>
      <c r="C47" s="78">
        <f>'Step 2 Exec and Strategic'!C47</f>
        <v>0</v>
      </c>
      <c r="D47" s="78"/>
      <c r="E47" s="78"/>
      <c r="F47" s="78"/>
      <c r="G47" s="78"/>
      <c r="H47" s="78"/>
      <c r="I47" s="78"/>
      <c r="J47" s="78"/>
      <c r="K47" s="219"/>
      <c r="L47" s="78"/>
      <c r="M47" s="78">
        <f t="shared" si="4"/>
        <v>0</v>
      </c>
      <c r="N47" s="78">
        <v>0</v>
      </c>
      <c r="O47" s="216"/>
      <c r="P47" s="68"/>
      <c r="Q47" s="68">
        <v>0</v>
      </c>
      <c r="R47" s="454">
        <v>0</v>
      </c>
      <c r="T47" s="78">
        <f t="shared" si="5"/>
        <v>0</v>
      </c>
      <c r="U47" s="203"/>
      <c r="V47" s="960">
        <f>'Step 1 Contract and Reserves'!V47</f>
        <v>1522413</v>
      </c>
      <c r="W47" s="68">
        <f>'Step 1 Contract and Reserves'!W47</f>
        <v>1522413</v>
      </c>
      <c r="Y47" s="215"/>
      <c r="AA47" s="202"/>
    </row>
    <row r="48" spans="1:27">
      <c r="A48" s="438" t="s">
        <v>129</v>
      </c>
      <c r="B48" s="267"/>
      <c r="C48" s="267">
        <f>'Step 2 Exec and Strategic'!C48</f>
        <v>427000</v>
      </c>
      <c r="D48" s="267"/>
      <c r="E48" s="267"/>
      <c r="F48" s="267">
        <f>-M$57*AC14</f>
        <v>241121.65</v>
      </c>
      <c r="G48" s="267"/>
      <c r="H48" s="267"/>
      <c r="I48" s="267"/>
      <c r="J48" s="267"/>
      <c r="K48" s="456"/>
      <c r="L48" s="267"/>
      <c r="M48" s="267">
        <f t="shared" si="4"/>
        <v>0</v>
      </c>
      <c r="N48" s="267">
        <v>0</v>
      </c>
      <c r="O48" s="440"/>
      <c r="P48" s="266">
        <v>0</v>
      </c>
      <c r="Q48" s="266">
        <v>0</v>
      </c>
      <c r="R48" s="467">
        <v>3289388.6153846155</v>
      </c>
      <c r="S48" s="263"/>
      <c r="T48" s="267">
        <f t="shared" si="5"/>
        <v>3957510.2653846154</v>
      </c>
      <c r="U48" s="203"/>
      <c r="V48" s="290">
        <f>'Step 1 Contract and Reserves'!V48</f>
        <v>7582890</v>
      </c>
      <c r="W48" s="63">
        <f>'Step 1 Contract and Reserves'!W48</f>
        <v>7582890</v>
      </c>
      <c r="Y48" s="215"/>
      <c r="AA48" s="202"/>
    </row>
    <row r="49" spans="1:27">
      <c r="A49" s="213" t="s">
        <v>130</v>
      </c>
      <c r="B49" s="68"/>
      <c r="C49" s="68">
        <f>'Step 2 Exec and Strategic'!C49</f>
        <v>0</v>
      </c>
      <c r="D49" s="68"/>
      <c r="E49" s="68"/>
      <c r="F49" s="68"/>
      <c r="G49" s="68"/>
      <c r="H49" s="68"/>
      <c r="I49" s="68"/>
      <c r="J49" s="68"/>
      <c r="K49" s="218"/>
      <c r="L49" s="68"/>
      <c r="M49" s="78">
        <f t="shared" si="4"/>
        <v>-87039.54</v>
      </c>
      <c r="N49" s="78">
        <v>70448</v>
      </c>
      <c r="O49" s="207"/>
      <c r="P49" s="68">
        <v>1105762</v>
      </c>
      <c r="Q49" s="78">
        <v>0</v>
      </c>
      <c r="R49" s="454">
        <v>0</v>
      </c>
      <c r="S49" s="66"/>
      <c r="T49" s="68">
        <f t="shared" si="5"/>
        <v>1089170.46</v>
      </c>
      <c r="U49" s="203"/>
      <c r="V49" s="960">
        <f>'Step 1 Contract and Reserves'!V49</f>
        <v>7705927</v>
      </c>
      <c r="W49" s="68">
        <f>'Step 1 Contract and Reserves'!W49</f>
        <v>7705927</v>
      </c>
      <c r="Y49" s="215"/>
      <c r="AA49" s="202"/>
    </row>
    <row r="50" spans="1:27">
      <c r="A50" s="213" t="s">
        <v>131</v>
      </c>
      <c r="B50" s="78"/>
      <c r="C50" s="78">
        <f>'Step 2 Exec and Strategic'!C50</f>
        <v>0</v>
      </c>
      <c r="D50" s="78"/>
      <c r="E50" s="78"/>
      <c r="F50" s="78"/>
      <c r="G50" s="78"/>
      <c r="H50" s="78"/>
      <c r="I50" s="78">
        <f>-M$57*AC15</f>
        <v>530467.63</v>
      </c>
      <c r="J50" s="78"/>
      <c r="K50" s="219"/>
      <c r="L50" s="78"/>
      <c r="M50" s="78">
        <f t="shared" si="4"/>
        <v>0</v>
      </c>
      <c r="N50" s="78">
        <v>0</v>
      </c>
      <c r="O50" s="216"/>
      <c r="P50" s="68"/>
      <c r="Q50" s="68">
        <v>0</v>
      </c>
      <c r="R50" s="459">
        <v>1644694.3076923077</v>
      </c>
      <c r="S50" s="66"/>
      <c r="T50" s="78">
        <f t="shared" si="5"/>
        <v>2175161.9376923079</v>
      </c>
      <c r="U50" s="203"/>
      <c r="V50" s="960">
        <f>'Step 1 Contract and Reserves'!V50</f>
        <v>12221894</v>
      </c>
      <c r="W50" s="68">
        <f>'Step 1 Contract and Reserves'!W50</f>
        <v>12221894</v>
      </c>
      <c r="Y50" s="215"/>
      <c r="AA50" s="202"/>
    </row>
    <row r="51" spans="1:27">
      <c r="A51" s="438" t="s">
        <v>132</v>
      </c>
      <c r="B51" s="267"/>
      <c r="C51" s="267">
        <f>'Step 2 Exec and Strategic'!C51</f>
        <v>40000</v>
      </c>
      <c r="D51" s="267"/>
      <c r="E51" s="267"/>
      <c r="F51" s="267"/>
      <c r="G51" s="267"/>
      <c r="H51" s="267"/>
      <c r="I51" s="267">
        <f>-M$57*(AC17+AC16)</f>
        <v>819813.61</v>
      </c>
      <c r="J51" s="267"/>
      <c r="K51" s="456"/>
      <c r="L51" s="267"/>
      <c r="M51" s="267">
        <f t="shared" si="4"/>
        <v>-27454</v>
      </c>
      <c r="N51" s="267">
        <v>0</v>
      </c>
      <c r="O51" s="440"/>
      <c r="P51" s="266">
        <v>371000</v>
      </c>
      <c r="Q51" s="266">
        <v>0</v>
      </c>
      <c r="R51" s="467">
        <v>1644694.3076923077</v>
      </c>
      <c r="S51" s="263"/>
      <c r="T51" s="267">
        <f t="shared" si="5"/>
        <v>2848053.9176923074</v>
      </c>
      <c r="U51" s="203"/>
      <c r="V51" s="290">
        <f>'Step 1 Contract and Reserves'!V51</f>
        <v>25322352</v>
      </c>
      <c r="W51" s="63">
        <f>'Step 1 Contract and Reserves'!W51</f>
        <v>25322352</v>
      </c>
      <c r="Y51" s="215"/>
      <c r="AA51" s="202"/>
    </row>
    <row r="52" spans="1:27">
      <c r="A52" s="213" t="s">
        <v>133</v>
      </c>
      <c r="B52" s="68"/>
      <c r="C52" s="68">
        <f>'Step 2 Exec and Strategic'!C52</f>
        <v>0</v>
      </c>
      <c r="D52" s="68"/>
      <c r="E52" s="68"/>
      <c r="F52" s="68"/>
      <c r="G52" s="68"/>
      <c r="H52" s="68"/>
      <c r="I52" s="68"/>
      <c r="J52" s="68"/>
      <c r="K52" s="218"/>
      <c r="L52" s="68"/>
      <c r="M52" s="78">
        <f t="shared" si="4"/>
        <v>0</v>
      </c>
      <c r="N52" s="78">
        <v>0</v>
      </c>
      <c r="O52" s="207"/>
      <c r="P52" s="68">
        <v>0</v>
      </c>
      <c r="Q52" s="78">
        <v>0</v>
      </c>
      <c r="R52" s="454">
        <v>4522909.346153846</v>
      </c>
      <c r="S52" s="66"/>
      <c r="T52" s="68">
        <f>SUM(B52:R52)</f>
        <v>4522909.346153846</v>
      </c>
      <c r="U52" s="203"/>
      <c r="V52" s="960">
        <f>'Step 1 Contract and Reserves'!V52</f>
        <v>17924002</v>
      </c>
      <c r="W52" s="68">
        <f>'Step 1 Contract and Reserves'!W52</f>
        <v>17924002</v>
      </c>
      <c r="Y52" s="215"/>
      <c r="AA52" s="202"/>
    </row>
    <row r="53" spans="1:27">
      <c r="A53" s="213" t="s">
        <v>521</v>
      </c>
      <c r="B53" s="68"/>
      <c r="C53" s="68">
        <f>'Step 2 Exec and Strategic'!C53</f>
        <v>0</v>
      </c>
      <c r="D53" s="68"/>
      <c r="E53" s="68"/>
      <c r="F53" s="68"/>
      <c r="G53" s="68"/>
      <c r="H53" s="68"/>
      <c r="I53" s="68"/>
      <c r="J53" s="68"/>
      <c r="K53" s="218"/>
      <c r="L53" s="68"/>
      <c r="M53" s="78">
        <f t="shared" si="4"/>
        <v>-2960</v>
      </c>
      <c r="N53" s="78">
        <v>0</v>
      </c>
      <c r="O53" s="207"/>
      <c r="P53" s="68">
        <v>40000</v>
      </c>
      <c r="Q53" s="78">
        <v>0</v>
      </c>
      <c r="R53" s="454">
        <v>0</v>
      </c>
      <c r="S53" s="66"/>
      <c r="T53" s="68">
        <f>SUM(B53:R53)</f>
        <v>37040</v>
      </c>
      <c r="U53" s="203"/>
      <c r="V53" s="960">
        <f>'Step 1 Contract and Reserves'!V53</f>
        <v>3458422</v>
      </c>
      <c r="W53" s="68">
        <f>'Step 1 Contract and Reserves'!W53</f>
        <v>3458422</v>
      </c>
      <c r="AA53" s="202"/>
    </row>
    <row r="54" spans="1:27">
      <c r="A54" s="457" t="s">
        <v>554</v>
      </c>
      <c r="B54" s="266"/>
      <c r="C54" s="266">
        <f>'Step 2 Exec and Strategic'!C54</f>
        <v>289720</v>
      </c>
      <c r="D54" s="266"/>
      <c r="E54" s="266"/>
      <c r="F54" s="266"/>
      <c r="G54" s="266"/>
      <c r="H54" s="266"/>
      <c r="I54" s="266"/>
      <c r="J54" s="266"/>
      <c r="K54" s="439"/>
      <c r="L54" s="266"/>
      <c r="M54" s="267">
        <f t="shared" si="4"/>
        <v>0</v>
      </c>
      <c r="N54" s="267">
        <v>0</v>
      </c>
      <c r="O54" s="458"/>
      <c r="P54" s="266">
        <v>0</v>
      </c>
      <c r="Q54" s="267">
        <v>0</v>
      </c>
      <c r="R54" s="467">
        <v>822347.15384615387</v>
      </c>
      <c r="S54" s="263"/>
      <c r="T54" s="267">
        <f t="shared" si="5"/>
        <v>1112067.153846154</v>
      </c>
      <c r="U54" s="203"/>
      <c r="V54" s="290">
        <f>'Step 1 Contract and Reserves'!V54</f>
        <v>2369486</v>
      </c>
      <c r="W54" s="63">
        <f>'Step 1 Contract and Reserves'!W54</f>
        <v>2369486</v>
      </c>
      <c r="AA54" s="202"/>
    </row>
    <row r="55" spans="1:27">
      <c r="A55" s="213" t="s">
        <v>134</v>
      </c>
      <c r="B55" s="78"/>
      <c r="C55" s="78">
        <f>'Step 2 Exec and Strategic'!C55</f>
        <v>0</v>
      </c>
      <c r="D55" s="78"/>
      <c r="E55" s="78"/>
      <c r="F55" s="78"/>
      <c r="G55" s="78"/>
      <c r="H55" s="78"/>
      <c r="I55" s="78"/>
      <c r="J55" s="78"/>
      <c r="K55" s="219"/>
      <c r="L55" s="78"/>
      <c r="M55" s="78">
        <f t="shared" si="4"/>
        <v>-4440</v>
      </c>
      <c r="N55" s="78">
        <v>0</v>
      </c>
      <c r="O55" s="216"/>
      <c r="P55" s="68">
        <v>60000</v>
      </c>
      <c r="Q55" s="68">
        <v>0</v>
      </c>
      <c r="R55" s="454">
        <v>4111735.769230769</v>
      </c>
      <c r="T55" s="78">
        <f t="shared" si="5"/>
        <v>4167295.769230769</v>
      </c>
      <c r="U55" s="203"/>
      <c r="V55" s="960">
        <f>'Step 1 Contract and Reserves'!V55</f>
        <v>12402374</v>
      </c>
      <c r="W55" s="68">
        <f>'Step 1 Contract and Reserves'!W55</f>
        <v>12402374</v>
      </c>
      <c r="AA55" s="202"/>
    </row>
    <row r="56" spans="1:27">
      <c r="A56" s="445" t="s">
        <v>135</v>
      </c>
      <c r="B56" s="446">
        <f>SUM(B38:B55)</f>
        <v>0</v>
      </c>
      <c r="C56" s="446">
        <f>SUM(C38:C55)</f>
        <v>7883305</v>
      </c>
      <c r="D56" s="446">
        <f>SUM(D38:D55)</f>
        <v>11858786</v>
      </c>
      <c r="E56" s="446"/>
      <c r="F56" s="446">
        <f>SUM(F38:F55)</f>
        <v>1543178.5599999998</v>
      </c>
      <c r="G56" s="446">
        <f>SUM(G38:G55)</f>
        <v>675140.62</v>
      </c>
      <c r="H56" s="446">
        <f>SUM(H38:H55)</f>
        <v>0</v>
      </c>
      <c r="I56" s="446">
        <f>SUM(I38:I55)</f>
        <v>1350281.24</v>
      </c>
      <c r="J56" s="446"/>
      <c r="K56" s="446">
        <f t="shared" ref="K56:P56" si="6">SUM(K38:K55)</f>
        <v>0</v>
      </c>
      <c r="L56" s="446"/>
      <c r="M56" s="446">
        <f>SUM(M38:M55)</f>
        <v>-438230.73799999995</v>
      </c>
      <c r="N56" s="446">
        <f t="shared" si="6"/>
        <v>70448</v>
      </c>
      <c r="O56" s="446">
        <f t="shared" si="6"/>
        <v>0</v>
      </c>
      <c r="P56" s="446">
        <f t="shared" si="6"/>
        <v>5851589</v>
      </c>
      <c r="Q56" s="446">
        <f>SUM(Q38:Q55)</f>
        <v>0</v>
      </c>
      <c r="R56" s="446">
        <f>SUM(R38:R55)</f>
        <v>18913984.53846154</v>
      </c>
      <c r="S56" s="443"/>
      <c r="T56" s="446">
        <f>SUM(T38:T55)</f>
        <v>47708482.220461532</v>
      </c>
      <c r="U56" s="203"/>
      <c r="V56" s="446">
        <f>'Step 1 Contract and Reserves'!V56</f>
        <v>154921629</v>
      </c>
      <c r="W56" s="446">
        <f>'Step 1 Contract and Reserves'!W56</f>
        <v>154921629</v>
      </c>
      <c r="X56" s="202"/>
      <c r="Y56" s="202"/>
      <c r="Z56" s="202"/>
      <c r="AA56" s="202"/>
    </row>
    <row r="57" spans="1:27" ht="16.5" thickBot="1">
      <c r="A57" s="447" t="s">
        <v>136</v>
      </c>
      <c r="B57" s="448">
        <f>B6+B7+B8+B9+B10+B11+B12+B34+B56</f>
        <v>54069672.159999996</v>
      </c>
      <c r="C57" s="448">
        <f>C6+C7+C8+C9+C10+C11+C12+C34+C56</f>
        <v>11060239.18</v>
      </c>
      <c r="D57" s="448">
        <f>D6+D7+D8+D9+D10+D11+D12+D34+D56</f>
        <v>28449144.77</v>
      </c>
      <c r="E57" s="448"/>
      <c r="F57" s="448">
        <f>F6+F7+F8+F9+F10+F11+F12+F34+F56</f>
        <v>1543178.5599999998</v>
      </c>
      <c r="G57" s="448">
        <f>G6+G7+G8+G9+G10+G11+G12+G34+G56</f>
        <v>675140.62</v>
      </c>
      <c r="H57" s="448">
        <f>H6+H7+H8+H9+H10+H11+H12+H34+H56</f>
        <v>0</v>
      </c>
      <c r="I57" s="448">
        <f>I6+I7+I8+I9+I10+I11+I12+I34+I56</f>
        <v>1350281.24</v>
      </c>
      <c r="J57" s="448"/>
      <c r="K57" s="448">
        <f>K6+K7+K8+K9+K10+K11+K12+K34+K56</f>
        <v>0</v>
      </c>
      <c r="L57" s="448"/>
      <c r="M57" s="448">
        <f t="shared" ref="M57:R57" si="7">M6+M7+M8+M9+M10+M11+M12+M34+M56</f>
        <v>-3568600.42</v>
      </c>
      <c r="N57" s="448">
        <f t="shared" si="7"/>
        <v>17143363</v>
      </c>
      <c r="O57" s="448">
        <f t="shared" si="7"/>
        <v>20569675.344000001</v>
      </c>
      <c r="P57" s="448">
        <f t="shared" si="7"/>
        <v>47965579</v>
      </c>
      <c r="Q57" s="448">
        <f t="shared" si="7"/>
        <v>1902363</v>
      </c>
      <c r="R57" s="448">
        <f t="shared" si="7"/>
        <v>35178912</v>
      </c>
      <c r="S57" s="450"/>
      <c r="T57" s="448">
        <f>T6+T7+T8+T9+T10+T11+T12+T34+T56</f>
        <v>216338948.454</v>
      </c>
      <c r="U57" s="780"/>
      <c r="V57" s="448">
        <f>'Step 1 Contract and Reserves'!V57</f>
        <v>553011959.38800001</v>
      </c>
      <c r="W57" s="448">
        <f>'Step 1 Contract and Reserves'!W57</f>
        <v>553011959.38800001</v>
      </c>
      <c r="X57" s="202"/>
      <c r="Y57" s="202"/>
      <c r="Z57" s="202"/>
      <c r="AA57" s="202"/>
    </row>
    <row r="58" spans="1:27" ht="17.25" thickTop="1" thickBot="1">
      <c r="A58" s="213"/>
      <c r="B58" s="213"/>
      <c r="C58" s="213"/>
      <c r="D58" s="213"/>
      <c r="E58" s="213"/>
      <c r="F58" s="213"/>
      <c r="G58" s="213"/>
      <c r="H58" s="213"/>
      <c r="I58" s="213"/>
      <c r="J58" s="213"/>
      <c r="K58" s="207"/>
      <c r="L58" s="207"/>
      <c r="M58" s="78"/>
      <c r="N58" s="78"/>
      <c r="O58" s="78"/>
      <c r="P58" s="204">
        <f>SUM(N56:R56)</f>
        <v>24836021.53846154</v>
      </c>
      <c r="Q58" s="78"/>
      <c r="R58" s="208"/>
      <c r="S58" s="208"/>
      <c r="T58" s="206">
        <f>B57+C57+K57+M57+N57+O57+P57+Q57+R57+D57+F57+G57+H57+I57</f>
        <v>216338948.45400003</v>
      </c>
      <c r="U58" s="203"/>
      <c r="V58" s="86">
        <v>541459239.00999999</v>
      </c>
      <c r="W58" s="203"/>
      <c r="X58" s="202"/>
      <c r="Y58" s="202"/>
      <c r="Z58" s="202"/>
      <c r="AA58" s="202"/>
    </row>
    <row r="59" spans="1:27" ht="16.5" thickTop="1">
      <c r="A59" s="202"/>
      <c r="B59" s="202"/>
      <c r="C59" s="202"/>
      <c r="D59" s="204">
        <f>SUM(B57:D57)</f>
        <v>93579056.109999999</v>
      </c>
      <c r="E59" s="202"/>
      <c r="F59" s="202"/>
      <c r="G59" s="202"/>
      <c r="H59" s="202"/>
      <c r="I59" s="204">
        <f>SUM(F56:J56)</f>
        <v>3568600.42</v>
      </c>
      <c r="J59" s="202"/>
      <c r="K59" s="204"/>
      <c r="L59" s="204"/>
      <c r="M59" s="204"/>
      <c r="N59" s="204"/>
      <c r="O59" s="204"/>
      <c r="P59" s="204">
        <f>SUM(N57:R57)</f>
        <v>122759892.344</v>
      </c>
      <c r="Q59" s="204"/>
      <c r="R59" s="204"/>
      <c r="S59" s="202"/>
      <c r="T59" s="204">
        <f>SUM(B57:R57)</f>
        <v>216338948.454</v>
      </c>
      <c r="U59" s="202"/>
      <c r="V59" s="204">
        <f>V56+V34+V6</f>
        <v>553011959</v>
      </c>
      <c r="W59" s="202"/>
      <c r="X59" s="202"/>
      <c r="Y59" s="202"/>
      <c r="Z59" s="202"/>
      <c r="AA59" s="202"/>
    </row>
    <row r="60" spans="1:27">
      <c r="A60" s="202"/>
      <c r="B60" s="202"/>
      <c r="C60" s="202"/>
      <c r="D60" s="202"/>
      <c r="E60" s="202"/>
      <c r="F60" s="202"/>
      <c r="G60" s="202"/>
      <c r="H60" s="202"/>
      <c r="I60" s="202"/>
      <c r="J60" s="202"/>
      <c r="K60" s="204"/>
      <c r="L60" s="202"/>
      <c r="M60" s="202"/>
      <c r="N60" s="202"/>
      <c r="O60" s="202"/>
      <c r="P60" s="204">
        <f>SUM(N34:R34)</f>
        <v>93873870.805538461</v>
      </c>
      <c r="Q60" s="202"/>
      <c r="R60" s="202"/>
      <c r="S60" s="202"/>
      <c r="T60" s="204">
        <f>T57-T59</f>
        <v>0</v>
      </c>
      <c r="U60" s="202"/>
      <c r="V60" s="202"/>
      <c r="W60" s="202"/>
      <c r="X60" s="202"/>
      <c r="Y60" s="202"/>
      <c r="Z60" s="202"/>
      <c r="AA60" s="202"/>
    </row>
    <row r="61" spans="1:27">
      <c r="A61" s="202"/>
      <c r="B61" s="202"/>
      <c r="C61" s="202"/>
      <c r="D61" s="202"/>
      <c r="E61" s="202"/>
      <c r="F61" s="202"/>
      <c r="G61" s="202"/>
      <c r="H61" s="202"/>
      <c r="I61" s="202"/>
      <c r="J61" s="202"/>
      <c r="K61" s="220"/>
      <c r="L61" s="202"/>
      <c r="M61" s="202"/>
      <c r="N61" s="202"/>
      <c r="O61" s="202"/>
      <c r="P61" s="202"/>
      <c r="Q61" s="204"/>
      <c r="R61" s="204"/>
      <c r="S61" s="202"/>
      <c r="T61" s="204"/>
      <c r="U61" s="202"/>
      <c r="V61" s="202"/>
      <c r="W61" s="202"/>
      <c r="X61" s="202"/>
      <c r="Y61" s="202"/>
      <c r="Z61" s="202"/>
      <c r="AA61" s="202"/>
    </row>
    <row r="62" spans="1:27">
      <c r="A62" s="202"/>
      <c r="B62" s="202"/>
      <c r="C62" s="202"/>
      <c r="D62" s="202"/>
      <c r="E62" s="202"/>
      <c r="F62" s="202"/>
      <c r="G62" s="202"/>
      <c r="H62" s="202"/>
      <c r="I62" s="202"/>
      <c r="J62" s="202"/>
      <c r="K62" s="202"/>
      <c r="L62" s="202"/>
      <c r="M62" s="202"/>
      <c r="N62" s="202"/>
      <c r="O62" s="202"/>
      <c r="P62" s="202"/>
      <c r="Q62" s="204">
        <f>SUM(M57:R57)</f>
        <v>119191291.92399999</v>
      </c>
      <c r="R62" s="204"/>
      <c r="S62" s="202"/>
      <c r="T62" s="202"/>
      <c r="U62" s="202"/>
      <c r="V62" s="202"/>
      <c r="W62" s="202"/>
      <c r="X62" s="202"/>
      <c r="Y62" s="202"/>
      <c r="Z62" s="202"/>
      <c r="AA62" s="202"/>
    </row>
    <row r="63" spans="1:27">
      <c r="A63" s="202"/>
      <c r="B63" s="202"/>
      <c r="C63" s="202"/>
      <c r="D63" s="202"/>
      <c r="E63" s="202"/>
      <c r="F63" s="202"/>
      <c r="G63" s="202"/>
      <c r="H63" s="202"/>
      <c r="I63" s="202"/>
      <c r="J63" s="202"/>
      <c r="K63" s="202"/>
      <c r="L63" s="202"/>
      <c r="M63" s="202"/>
      <c r="N63" s="202"/>
      <c r="O63" s="202"/>
      <c r="P63" s="202"/>
      <c r="Q63" s="202"/>
      <c r="R63" s="220"/>
      <c r="S63" s="202"/>
      <c r="T63" s="202"/>
      <c r="U63" s="202"/>
      <c r="V63" s="202"/>
      <c r="W63" s="202"/>
      <c r="X63" s="202"/>
      <c r="Y63" s="202"/>
      <c r="Z63" s="202"/>
      <c r="AA63" s="202"/>
    </row>
    <row r="64" spans="1:27">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row>
    <row r="65" spans="14:15">
      <c r="N65" s="385"/>
      <c r="O65" s="385"/>
    </row>
    <row r="66" spans="14:15">
      <c r="N66" s="385"/>
      <c r="O66" s="385"/>
    </row>
    <row r="67" spans="14:15">
      <c r="N67" s="185"/>
      <c r="O67" s="385"/>
    </row>
    <row r="68" spans="14:15">
      <c r="N68" s="185"/>
      <c r="O68" s="185"/>
    </row>
  </sheetData>
  <mergeCells count="5">
    <mergeCell ref="B4:D4"/>
    <mergeCell ref="F4:I4"/>
    <mergeCell ref="M4:R4"/>
    <mergeCell ref="V6:V12"/>
    <mergeCell ref="W6:W12"/>
  </mergeCells>
  <pageMargins left="0.75" right="0.75" top="1" bottom="1" header="0.5" footer="0.5"/>
  <pageSetup orientation="portrait" horizontalDpi="4294967292" verticalDpi="4294967292"/>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7"/>
  <sheetViews>
    <sheetView zoomScale="120" zoomScaleNormal="120" zoomScalePageLayoutView="120" workbookViewId="0">
      <selection activeCell="C22" sqref="C22"/>
    </sheetView>
  </sheetViews>
  <sheetFormatPr defaultColWidth="11" defaultRowHeight="15.75"/>
  <cols>
    <col min="1" max="1" width="46.875" customWidth="1"/>
    <col min="2" max="2" width="14" customWidth="1"/>
    <col min="3" max="3" width="17.875" customWidth="1"/>
    <col min="4" max="4" width="13.375" customWidth="1"/>
  </cols>
  <sheetData>
    <row r="1" spans="1:4">
      <c r="A1" s="210" t="s">
        <v>77</v>
      </c>
    </row>
    <row r="2" spans="1:4" ht="16.5" thickBot="1">
      <c r="A2" s="210" t="s">
        <v>1173</v>
      </c>
    </row>
    <row r="3" spans="1:4">
      <c r="A3" s="321"/>
      <c r="B3" s="474"/>
      <c r="C3" s="474"/>
      <c r="D3" s="475"/>
    </row>
    <row r="4" spans="1:4">
      <c r="A4" s="323"/>
      <c r="B4" s="91"/>
      <c r="C4" s="91"/>
      <c r="D4" s="476"/>
    </row>
    <row r="5" spans="1:4">
      <c r="A5" s="477" t="s">
        <v>580</v>
      </c>
      <c r="B5" s="250"/>
      <c r="C5" s="250"/>
      <c r="D5" s="476"/>
    </row>
    <row r="6" spans="1:4">
      <c r="A6" s="477"/>
      <c r="B6" s="250"/>
      <c r="C6" s="250"/>
      <c r="D6" s="476"/>
    </row>
    <row r="7" spans="1:4">
      <c r="A7" s="477"/>
      <c r="B7" s="250"/>
      <c r="C7" s="478">
        <f>'Step 3 Dedicated Funds'!V3</f>
        <v>336673010.546</v>
      </c>
      <c r="D7" s="476"/>
    </row>
    <row r="8" spans="1:4">
      <c r="A8" s="477"/>
      <c r="B8" s="250"/>
      <c r="C8" s="478"/>
      <c r="D8" s="476"/>
    </row>
    <row r="9" spans="1:4">
      <c r="A9" s="477" t="s">
        <v>581</v>
      </c>
      <c r="B9" s="1376">
        <f>'Dashboard-Academic Allocation'!C12</f>
        <v>0.65</v>
      </c>
      <c r="C9" s="478">
        <f>B9*C7</f>
        <v>218837456.8549</v>
      </c>
      <c r="D9" s="476"/>
    </row>
    <row r="10" spans="1:4">
      <c r="A10" s="477"/>
      <c r="B10" s="1377"/>
      <c r="C10" s="478"/>
      <c r="D10" s="476"/>
    </row>
    <row r="11" spans="1:4">
      <c r="A11" s="477" t="s">
        <v>582</v>
      </c>
      <c r="B11" s="1377">
        <f>1-B9</f>
        <v>0.35</v>
      </c>
      <c r="C11" s="478">
        <f>B11*C7</f>
        <v>117835553.69109999</v>
      </c>
      <c r="D11" s="476"/>
    </row>
    <row r="12" spans="1:4">
      <c r="A12" s="323"/>
      <c r="B12" s="91"/>
      <c r="C12" s="91"/>
      <c r="D12" s="476"/>
    </row>
    <row r="13" spans="1:4">
      <c r="A13" s="323"/>
      <c r="B13" s="91"/>
      <c r="C13" s="91"/>
      <c r="D13" s="476"/>
    </row>
    <row r="14" spans="1:4">
      <c r="A14" s="323"/>
      <c r="B14" s="91"/>
      <c r="C14" s="91"/>
      <c r="D14" s="476"/>
    </row>
    <row r="15" spans="1:4" ht="16.5" thickBot="1">
      <c r="A15" s="479"/>
      <c r="B15" s="480"/>
      <c r="C15" s="480"/>
      <c r="D15" s="481"/>
    </row>
    <row r="18" spans="1:3">
      <c r="A18" s="10"/>
      <c r="C18" s="255"/>
    </row>
    <row r="19" spans="1:3">
      <c r="C19" s="226"/>
    </row>
    <row r="20" spans="1:3">
      <c r="A20" s="477"/>
      <c r="C20" s="226"/>
    </row>
    <row r="21" spans="1:3">
      <c r="A21" s="477"/>
    </row>
    <row r="22" spans="1:3">
      <c r="A22" s="477" t="s">
        <v>608</v>
      </c>
      <c r="C22" s="478">
        <f>'Step 5 Support Funds'!F57+'Step 5 Support Funds'!G57+'Step 5 Support Funds'!H57+'Step 5 Support Funds'!I57-SUM('Step 3 Dedicated Funds'!F56:I56)</f>
        <v>117865909.07792778</v>
      </c>
    </row>
    <row r="23" spans="1:3">
      <c r="A23" s="1335" t="s">
        <v>1135</v>
      </c>
      <c r="C23" s="226">
        <f>C11-C22</f>
        <v>-30355.386827796698</v>
      </c>
    </row>
    <row r="25" spans="1:3">
      <c r="C25" s="226"/>
    </row>
    <row r="26" spans="1:3">
      <c r="A26" t="s">
        <v>1317</v>
      </c>
      <c r="C26" s="215">
        <f>'Step 5a Serv Support Measures'!K6</f>
        <v>119692405</v>
      </c>
    </row>
    <row r="27" spans="1:3">
      <c r="A27" t="s">
        <v>1318</v>
      </c>
      <c r="C27" s="215">
        <f>C26-C22</f>
        <v>1826495.9220722169</v>
      </c>
    </row>
  </sheetData>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171"/>
  <sheetViews>
    <sheetView workbookViewId="0">
      <pane xSplit="1" ySplit="4" topLeftCell="B5" activePane="bottomRight" state="frozen"/>
      <selection pane="topRight" activeCell="B1" sqref="B1"/>
      <selection pane="bottomLeft" activeCell="A5" sqref="A5"/>
      <selection pane="bottomRight" activeCell="K38" sqref="K38"/>
    </sheetView>
  </sheetViews>
  <sheetFormatPr defaultColWidth="10.875" defaultRowHeight="12.75"/>
  <cols>
    <col min="1" max="1" width="39.875" style="202" customWidth="1"/>
    <col min="2" max="2" width="21" style="202" customWidth="1"/>
    <col min="3" max="3" width="14.5" style="202" customWidth="1"/>
    <col min="4" max="4" width="15" style="202" customWidth="1"/>
    <col min="5" max="5" width="12.375" style="202" customWidth="1"/>
    <col min="6" max="6" width="11" style="202" customWidth="1"/>
    <col min="7" max="9" width="13" style="202" customWidth="1"/>
    <col min="10" max="10" width="15.5" style="202" customWidth="1"/>
    <col min="11" max="11" width="14.625" style="202" customWidth="1"/>
    <col min="12" max="16384" width="10.875" style="202"/>
  </cols>
  <sheetData>
    <row r="1" spans="1:11">
      <c r="A1" s="1447" t="s">
        <v>1286</v>
      </c>
      <c r="H1" s="503"/>
    </row>
    <row r="4" spans="1:11" ht="26.25" thickBot="1">
      <c r="B4" s="487" t="s">
        <v>296</v>
      </c>
      <c r="C4" s="488" t="s">
        <v>1255</v>
      </c>
      <c r="D4" s="487" t="s">
        <v>1165</v>
      </c>
      <c r="E4" s="487" t="s">
        <v>605</v>
      </c>
      <c r="F4" s="487"/>
      <c r="G4" s="487" t="s">
        <v>1285</v>
      </c>
      <c r="H4" s="488" t="s">
        <v>1062</v>
      </c>
      <c r="I4" s="1552" t="s">
        <v>1151</v>
      </c>
      <c r="K4" s="289" t="s">
        <v>1134</v>
      </c>
    </row>
    <row r="5" spans="1:11" ht="13.5" thickTop="1">
      <c r="A5" s="221" t="s">
        <v>90</v>
      </c>
      <c r="I5" s="220">
        <v>114453996</v>
      </c>
      <c r="K5" s="220">
        <f>'Step 4 Productivity Split'!C11</f>
        <v>117835553.69109999</v>
      </c>
    </row>
    <row r="6" spans="1:11" ht="14.1" customHeight="1">
      <c r="A6" s="212" t="s">
        <v>548</v>
      </c>
      <c r="B6" s="797"/>
      <c r="C6" s="797"/>
      <c r="D6" s="797"/>
      <c r="E6" s="797"/>
      <c r="F6" s="797"/>
      <c r="G6" s="797"/>
      <c r="H6" s="797"/>
      <c r="I6" s="797"/>
      <c r="K6" s="220">
        <v>119692405</v>
      </c>
    </row>
    <row r="7" spans="1:11" ht="14.1" customHeight="1">
      <c r="A7" s="212" t="s">
        <v>555</v>
      </c>
      <c r="B7" s="797"/>
      <c r="C7" s="271"/>
      <c r="D7" s="271"/>
      <c r="E7" s="271"/>
      <c r="F7" s="271"/>
      <c r="G7" s="797"/>
      <c r="H7" s="797"/>
      <c r="I7" s="797"/>
      <c r="K7" s="1336">
        <f>IF(K6&lt;K5,1,K5/K6)</f>
        <v>0.98448647339904305</v>
      </c>
    </row>
    <row r="8" spans="1:11" ht="14.1" customHeight="1">
      <c r="A8" s="212" t="s">
        <v>549</v>
      </c>
      <c r="B8" s="797"/>
      <c r="C8" s="271"/>
      <c r="D8" s="271"/>
      <c r="E8" s="271"/>
      <c r="F8" s="271"/>
      <c r="G8" s="797"/>
      <c r="H8" s="797"/>
      <c r="I8" s="797"/>
    </row>
    <row r="9" spans="1:11" ht="14.1" customHeight="1">
      <c r="A9" s="212" t="s">
        <v>550</v>
      </c>
      <c r="B9" s="797"/>
      <c r="C9" s="271"/>
      <c r="D9" s="271"/>
      <c r="E9" s="271"/>
      <c r="F9" s="271"/>
      <c r="G9" s="797"/>
      <c r="H9" s="797"/>
      <c r="I9" s="797"/>
    </row>
    <row r="10" spans="1:11" ht="14.1" customHeight="1">
      <c r="A10" s="212" t="s">
        <v>551</v>
      </c>
      <c r="B10" s="797"/>
      <c r="C10" s="271"/>
      <c r="D10" s="271"/>
      <c r="E10" s="271"/>
      <c r="F10" s="271"/>
      <c r="G10" s="797"/>
      <c r="H10" s="797"/>
      <c r="I10" s="797"/>
    </row>
    <row r="11" spans="1:11" ht="14.1" customHeight="1">
      <c r="A11" s="203"/>
      <c r="B11" s="228"/>
      <c r="G11" s="228"/>
      <c r="H11" s="228"/>
      <c r="I11" s="228"/>
    </row>
    <row r="12" spans="1:11" ht="14.1" customHeight="1">
      <c r="A12" s="71" t="s">
        <v>101</v>
      </c>
      <c r="B12" s="71"/>
      <c r="G12" s="71"/>
      <c r="H12" s="71"/>
      <c r="I12" s="71"/>
    </row>
    <row r="13" spans="1:11" ht="14.1" customHeight="1">
      <c r="A13" s="214" t="s">
        <v>102</v>
      </c>
      <c r="B13" s="492"/>
      <c r="C13" s="271"/>
      <c r="D13" s="271"/>
      <c r="E13" s="271"/>
      <c r="F13" s="271"/>
      <c r="G13" s="492"/>
      <c r="H13" s="492"/>
      <c r="I13" s="492"/>
    </row>
    <row r="14" spans="1:11" ht="14.1" customHeight="1">
      <c r="A14" s="76" t="s">
        <v>103</v>
      </c>
      <c r="B14" s="69"/>
      <c r="C14" s="203"/>
      <c r="D14" s="203"/>
      <c r="E14" s="203"/>
      <c r="F14" s="203"/>
      <c r="G14" s="69"/>
      <c r="H14" s="69"/>
      <c r="I14" s="69"/>
    </row>
    <row r="15" spans="1:11" ht="14.1" customHeight="1">
      <c r="A15" s="213" t="s">
        <v>104</v>
      </c>
      <c r="B15" s="482"/>
      <c r="C15" s="203"/>
      <c r="D15" s="203"/>
      <c r="E15" s="203"/>
      <c r="F15" s="203"/>
      <c r="G15" s="482"/>
      <c r="H15" s="482"/>
      <c r="I15" s="482"/>
    </row>
    <row r="16" spans="1:11" ht="14.1" customHeight="1">
      <c r="A16" s="214" t="s">
        <v>105</v>
      </c>
      <c r="B16" s="492"/>
      <c r="C16" s="271"/>
      <c r="D16" s="271"/>
      <c r="E16" s="271"/>
      <c r="F16" s="271"/>
      <c r="G16" s="492"/>
      <c r="H16" s="492"/>
      <c r="I16" s="492"/>
    </row>
    <row r="17" spans="1:11" ht="14.1" customHeight="1">
      <c r="A17" s="76" t="s">
        <v>106</v>
      </c>
      <c r="B17" s="69"/>
      <c r="C17" s="203"/>
      <c r="D17" s="203"/>
      <c r="E17" s="203"/>
      <c r="F17" s="203"/>
      <c r="G17" s="69"/>
      <c r="H17" s="69"/>
      <c r="I17" s="69"/>
    </row>
    <row r="18" spans="1:11" ht="14.1" customHeight="1">
      <c r="A18" s="213" t="s">
        <v>107</v>
      </c>
      <c r="B18" s="482"/>
      <c r="C18" s="203"/>
      <c r="D18" s="203"/>
      <c r="E18" s="203"/>
      <c r="F18" s="203"/>
      <c r="G18" s="482"/>
      <c r="H18" s="482"/>
      <c r="I18" s="482"/>
    </row>
    <row r="19" spans="1:11" ht="14.1" customHeight="1">
      <c r="A19" s="214" t="s">
        <v>108</v>
      </c>
      <c r="B19" s="492"/>
      <c r="C19" s="271"/>
      <c r="D19" s="271"/>
      <c r="E19" s="271"/>
      <c r="F19" s="271"/>
      <c r="G19" s="492"/>
      <c r="H19" s="492"/>
      <c r="I19" s="492"/>
    </row>
    <row r="20" spans="1:11" ht="14.1" customHeight="1">
      <c r="A20" s="213" t="s">
        <v>109</v>
      </c>
      <c r="B20" s="482"/>
      <c r="C20" s="203"/>
      <c r="D20" s="203"/>
      <c r="E20" s="203"/>
      <c r="F20" s="203"/>
      <c r="G20" s="482"/>
      <c r="H20" s="482"/>
      <c r="I20" s="482"/>
    </row>
    <row r="21" spans="1:11" ht="14.1" customHeight="1">
      <c r="A21" s="213" t="s">
        <v>110</v>
      </c>
      <c r="B21" s="482"/>
      <c r="C21" s="489"/>
      <c r="D21" s="489"/>
      <c r="E21" s="489"/>
      <c r="F21" s="489"/>
      <c r="G21" s="482"/>
      <c r="H21" s="482"/>
      <c r="I21" s="482"/>
    </row>
    <row r="22" spans="1:11" ht="14.1" customHeight="1">
      <c r="A22" s="214" t="s">
        <v>111</v>
      </c>
      <c r="B22" s="492"/>
      <c r="C22" s="290"/>
      <c r="D22" s="290"/>
      <c r="E22" s="290"/>
      <c r="F22" s="290"/>
      <c r="G22" s="492"/>
      <c r="H22" s="492"/>
      <c r="I22" s="492"/>
    </row>
    <row r="23" spans="1:11" ht="14.1" customHeight="1">
      <c r="A23" s="213" t="s">
        <v>112</v>
      </c>
      <c r="B23" s="482"/>
      <c r="C23" s="489"/>
      <c r="D23" s="489"/>
      <c r="E23" s="489"/>
      <c r="F23" s="489"/>
      <c r="G23" s="482"/>
      <c r="H23" s="482"/>
      <c r="I23" s="482"/>
    </row>
    <row r="24" spans="1:11" ht="14.1" customHeight="1">
      <c r="A24" s="213" t="s">
        <v>113</v>
      </c>
      <c r="B24" s="228" t="s">
        <v>298</v>
      </c>
      <c r="C24" s="483">
        <f>'Step 3 Dedicated Funds'!T26+SUM('Compile Productivity $'!B24:H24)</f>
        <v>0</v>
      </c>
      <c r="D24" s="489">
        <f>'Step 3 Dedicated Funds'!V26</f>
        <v>543366</v>
      </c>
      <c r="E24" s="489">
        <f>D24-C24</f>
        <v>543366</v>
      </c>
      <c r="F24" s="489"/>
      <c r="G24" s="260">
        <f>AVERAGE(B68:D68)</f>
        <v>51472</v>
      </c>
      <c r="H24" s="922">
        <v>10.56</v>
      </c>
      <c r="I24" s="1548">
        <f>K$7*H24*G24</f>
        <v>535112.03073288093</v>
      </c>
      <c r="J24" s="1332">
        <f>E24/G24</f>
        <v>10.556535592166615</v>
      </c>
      <c r="K24" s="1367">
        <f>1.0424*J24</f>
        <v>11.004132701274479</v>
      </c>
    </row>
    <row r="25" spans="1:11" ht="14.1" customHeight="1">
      <c r="A25" s="214" t="s">
        <v>114</v>
      </c>
      <c r="B25" s="797"/>
      <c r="C25" s="798"/>
      <c r="D25" s="290"/>
      <c r="E25" s="290"/>
      <c r="F25" s="290"/>
      <c r="G25" s="798"/>
      <c r="H25" s="923"/>
      <c r="I25" s="798"/>
      <c r="J25" s="1332"/>
    </row>
    <row r="26" spans="1:11" ht="14.1" customHeight="1">
      <c r="A26" s="76" t="s">
        <v>116</v>
      </c>
      <c r="B26" s="69" t="s">
        <v>607</v>
      </c>
      <c r="C26" s="483">
        <f>'Step 3 Dedicated Funds'!T28+SUM('Compile Productivity $'!B26:H26)</f>
        <v>18786975</v>
      </c>
      <c r="D26" s="489">
        <f>'Step 3 Dedicated Funds'!V28</f>
        <v>18786975</v>
      </c>
      <c r="E26" s="489">
        <v>0</v>
      </c>
      <c r="F26" s="489"/>
      <c r="G26" s="68">
        <f>E67</f>
        <v>204915.7</v>
      </c>
      <c r="H26" s="922">
        <v>0</v>
      </c>
      <c r="I26" s="1549">
        <f>J26</f>
        <v>0</v>
      </c>
      <c r="J26" s="1332">
        <v>0</v>
      </c>
      <c r="K26" s="268">
        <f>1.0424*J26</f>
        <v>0</v>
      </c>
    </row>
    <row r="27" spans="1:11" ht="14.1" customHeight="1">
      <c r="A27" s="213" t="s">
        <v>117</v>
      </c>
      <c r="B27" s="203"/>
      <c r="C27" s="208"/>
      <c r="D27" s="203"/>
      <c r="E27" s="203"/>
      <c r="F27" s="203"/>
      <c r="G27" s="203"/>
      <c r="H27" s="924"/>
      <c r="I27" s="1550"/>
      <c r="J27" s="1332"/>
    </row>
    <row r="28" spans="1:11" ht="14.1" customHeight="1">
      <c r="A28" s="438" t="s">
        <v>523</v>
      </c>
      <c r="B28" s="492" t="s">
        <v>297</v>
      </c>
      <c r="C28" s="262">
        <f>'Step 3 Dedicated Funds'!T30+SUM('Compile Productivity $'!B28:H28)</f>
        <v>2744453.8857031716</v>
      </c>
      <c r="D28" s="290">
        <f>'Step 3 Dedicated Funds'!V30</f>
        <v>4706010</v>
      </c>
      <c r="E28" s="290">
        <f>D28-C28</f>
        <v>1961556.1142968284</v>
      </c>
      <c r="F28" s="290"/>
      <c r="G28" s="262">
        <f>AVERAGE(B73:D73)</f>
        <v>4589.333333333333</v>
      </c>
      <c r="H28" s="925">
        <v>432.47</v>
      </c>
      <c r="I28" s="262">
        <f>K$7*H28*G28</f>
        <v>1953958.530465791</v>
      </c>
      <c r="J28" s="1332">
        <f>E28/G28</f>
        <v>427.41635262133104</v>
      </c>
      <c r="K28" s="268">
        <f>1.0424*J28</f>
        <v>445.53880597247547</v>
      </c>
    </row>
    <row r="29" spans="1:11" ht="14.1" customHeight="1">
      <c r="A29" s="437" t="s">
        <v>524</v>
      </c>
      <c r="B29" s="203"/>
      <c r="C29" s="208"/>
      <c r="D29" s="203"/>
      <c r="E29" s="203"/>
      <c r="F29" s="203"/>
      <c r="G29" s="203"/>
      <c r="H29" s="924"/>
      <c r="I29" s="1550">
        <f>0.98482*H29*G29</f>
        <v>0</v>
      </c>
      <c r="J29" s="1332"/>
    </row>
    <row r="30" spans="1:11" ht="14.1" customHeight="1">
      <c r="A30" s="213" t="s">
        <v>118</v>
      </c>
      <c r="B30" s="482" t="s">
        <v>603</v>
      </c>
      <c r="C30" s="483">
        <f>'Step 3 Dedicated Funds'!T32+SUM('Compile Productivity $'!B30:H30)</f>
        <v>2730835.5595382969</v>
      </c>
      <c r="D30" s="489">
        <f>'Step 3 Dedicated Funds'!V32</f>
        <v>14579074</v>
      </c>
      <c r="E30" s="489">
        <f>D30-C30</f>
        <v>11848238.440461703</v>
      </c>
      <c r="F30" s="489"/>
      <c r="G30" s="483">
        <f>AVERAGE(B59:D59)+10*AVERAGE(B60:D60)</f>
        <v>35565.333333333336</v>
      </c>
      <c r="H30" s="922">
        <v>333.15</v>
      </c>
      <c r="I30" s="1548">
        <f>K$7*H30*G30</f>
        <v>11664777.371440345</v>
      </c>
      <c r="J30" s="1332">
        <f>E30/G30</f>
        <v>333.14009261251692</v>
      </c>
      <c r="K30" s="268">
        <f>1.0424*J30</f>
        <v>347.26523253928764</v>
      </c>
    </row>
    <row r="31" spans="1:11" ht="14.1" customHeight="1">
      <c r="A31" s="438" t="s">
        <v>119</v>
      </c>
      <c r="B31" s="492"/>
      <c r="C31" s="262"/>
      <c r="D31" s="271"/>
      <c r="E31" s="271"/>
      <c r="F31" s="271"/>
      <c r="G31" s="262"/>
      <c r="H31" s="925"/>
      <c r="I31" s="262"/>
      <c r="J31" s="1332"/>
    </row>
    <row r="32" spans="1:11" ht="14.1" customHeight="1">
      <c r="A32" s="441" t="s">
        <v>120</v>
      </c>
      <c r="B32" s="799"/>
      <c r="C32" s="800"/>
      <c r="D32" s="801"/>
      <c r="E32" s="801"/>
      <c r="F32" s="801"/>
      <c r="G32" s="800"/>
      <c r="H32" s="926"/>
      <c r="I32" s="800"/>
      <c r="J32" s="1332"/>
    </row>
    <row r="33" spans="1:11" ht="14.1" customHeight="1">
      <c r="A33" s="213"/>
      <c r="H33" s="927"/>
      <c r="J33" s="1332"/>
    </row>
    <row r="34" spans="1:11" ht="14.1" customHeight="1">
      <c r="A34" s="203"/>
      <c r="B34" s="482"/>
      <c r="C34" s="483"/>
      <c r="D34" s="203"/>
      <c r="E34" s="203"/>
      <c r="F34" s="203"/>
      <c r="G34" s="483"/>
      <c r="H34" s="922"/>
      <c r="I34" s="483"/>
      <c r="J34" s="1332"/>
    </row>
    <row r="35" spans="1:11" ht="14.1" customHeight="1">
      <c r="A35" s="76" t="s">
        <v>121</v>
      </c>
      <c r="B35" s="69"/>
      <c r="C35" s="68"/>
      <c r="D35" s="203"/>
      <c r="E35" s="203"/>
      <c r="F35" s="203"/>
      <c r="G35" s="68"/>
      <c r="H35" s="928"/>
      <c r="I35" s="68"/>
      <c r="J35" s="1332"/>
    </row>
    <row r="36" spans="1:11" ht="14.1" customHeight="1">
      <c r="A36" s="214" t="s">
        <v>122</v>
      </c>
      <c r="B36" s="797"/>
      <c r="C36" s="798"/>
      <c r="D36" s="271"/>
      <c r="E36" s="271"/>
      <c r="F36" s="271"/>
      <c r="G36" s="798"/>
      <c r="H36" s="923"/>
      <c r="I36" s="798"/>
      <c r="J36" s="1332"/>
    </row>
    <row r="37" spans="1:11" ht="14.1" customHeight="1">
      <c r="A37" s="213" t="s">
        <v>123</v>
      </c>
      <c r="B37" s="228" t="s">
        <v>288</v>
      </c>
      <c r="C37" s="483">
        <f>'Step 3 Dedicated Funds'!T39+SUM('Compile Productivity $'!B37:H37)</f>
        <v>26585</v>
      </c>
      <c r="D37" s="489">
        <f>'Step 3 Dedicated Funds'!V39</f>
        <v>3982978</v>
      </c>
      <c r="E37" s="489">
        <f>D37-C37</f>
        <v>3956393</v>
      </c>
      <c r="F37" s="489"/>
      <c r="G37" s="260">
        <f>AVERAGE(B59:D59)+AVERAGE(B61:D61)</f>
        <v>31775.666666666668</v>
      </c>
      <c r="H37" s="922">
        <v>124.51</v>
      </c>
      <c r="I37" s="1548">
        <f>K$7*H37*G37</f>
        <v>3895010.722203155</v>
      </c>
      <c r="J37" s="1332">
        <f>E37/G37</f>
        <v>124.51014927565117</v>
      </c>
      <c r="K37" s="268">
        <f>1.0424*J37</f>
        <v>129.78937960493877</v>
      </c>
    </row>
    <row r="38" spans="1:11" ht="14.1" customHeight="1">
      <c r="A38" s="76" t="s">
        <v>124</v>
      </c>
      <c r="B38" s="69"/>
      <c r="C38" s="68"/>
      <c r="D38" s="203"/>
      <c r="E38" s="203"/>
      <c r="F38" s="203"/>
      <c r="G38" s="68"/>
      <c r="H38" s="928"/>
      <c r="I38" s="68"/>
      <c r="J38" s="1332"/>
    </row>
    <row r="39" spans="1:11" ht="14.1" customHeight="1">
      <c r="A39" s="214" t="s">
        <v>125</v>
      </c>
      <c r="B39" s="797"/>
      <c r="C39" s="798"/>
      <c r="D39" s="271"/>
      <c r="E39" s="271"/>
      <c r="F39" s="271"/>
      <c r="G39" s="798"/>
      <c r="H39" s="923"/>
      <c r="I39" s="798"/>
      <c r="J39" s="1332"/>
    </row>
    <row r="40" spans="1:11" ht="14.1" customHeight="1">
      <c r="A40" s="213" t="s">
        <v>126</v>
      </c>
      <c r="B40" s="228" t="s">
        <v>604</v>
      </c>
      <c r="C40" s="483">
        <f>'Step 3 Dedicated Funds'!T42+SUM('Compile Productivity $'!B40:H40)</f>
        <v>2952831.3489939305</v>
      </c>
      <c r="D40" s="489">
        <f>'Step 3 Dedicated Funds'!V42</f>
        <v>9724870</v>
      </c>
      <c r="E40" s="489">
        <f t="shared" ref="E40:E53" si="0">D40-C40</f>
        <v>6772038.651006069</v>
      </c>
      <c r="F40" s="489"/>
      <c r="G40" s="260">
        <f>AVERAGE(B65:D65)</f>
        <v>21929.333333333332</v>
      </c>
      <c r="H40" s="922">
        <v>308.79000000000002</v>
      </c>
      <c r="I40" s="1548">
        <f>K$7*H40*G40</f>
        <v>6666508.0818057153</v>
      </c>
      <c r="J40" s="1332">
        <f>E40/G40</f>
        <v>308.81187987198592</v>
      </c>
      <c r="K40" s="268">
        <f t="shared" ref="K40:K53" si="1">1.0424*J40</f>
        <v>321.90550357855813</v>
      </c>
    </row>
    <row r="41" spans="1:11" ht="14.1" customHeight="1">
      <c r="A41" s="437" t="s">
        <v>552</v>
      </c>
      <c r="B41" s="228" t="s">
        <v>604</v>
      </c>
      <c r="C41" s="208">
        <f>'Step 3 Dedicated Funds'!T43+SUM('Compile Productivity $'!B41:H41)</f>
        <v>1858384.2646528273</v>
      </c>
      <c r="D41" s="489">
        <f>'Step 3 Dedicated Funds'!V43</f>
        <v>5000049</v>
      </c>
      <c r="E41" s="489">
        <f t="shared" si="0"/>
        <v>3141664.7353471727</v>
      </c>
      <c r="G41" s="204">
        <f>G40</f>
        <v>21929.333333333332</v>
      </c>
      <c r="H41" s="924">
        <v>144.56</v>
      </c>
      <c r="I41" s="1551">
        <f t="shared" ref="I41:I53" si="2">K$7*H41*G41</f>
        <v>3120924.9273157618</v>
      </c>
      <c r="J41" s="1332">
        <f>E41/G41</f>
        <v>143.26312102574207</v>
      </c>
      <c r="K41" s="268">
        <f t="shared" si="1"/>
        <v>149.33747735723352</v>
      </c>
    </row>
    <row r="42" spans="1:11" ht="14.1" customHeight="1">
      <c r="A42" s="213" t="s">
        <v>127</v>
      </c>
      <c r="B42" s="228" t="s">
        <v>292</v>
      </c>
      <c r="C42" s="483">
        <f>'Step 3 Dedicated Funds'!T44+SUM('Compile Productivity $'!B42:H42)</f>
        <v>684400.62</v>
      </c>
      <c r="D42" s="489">
        <f>'Step 3 Dedicated Funds'!V44</f>
        <v>3643184</v>
      </c>
      <c r="E42" s="489">
        <f t="shared" si="0"/>
        <v>2958783.38</v>
      </c>
      <c r="F42" s="489"/>
      <c r="G42" s="260">
        <f>AVERAGE(B62:D62)</f>
        <v>3965</v>
      </c>
      <c r="H42" s="922">
        <v>746.23</v>
      </c>
      <c r="I42" s="1548">
        <f t="shared" si="2"/>
        <v>2912900.4972417117</v>
      </c>
      <c r="J42" s="1332">
        <f t="shared" ref="J42:J53" si="3">E42/G42</f>
        <v>746.22531651954603</v>
      </c>
      <c r="K42" s="268">
        <f t="shared" si="1"/>
        <v>777.86526993997472</v>
      </c>
    </row>
    <row r="43" spans="1:11" ht="14.1" customHeight="1">
      <c r="A43" s="214" t="s">
        <v>128</v>
      </c>
      <c r="B43" s="259" t="s">
        <v>288</v>
      </c>
      <c r="C43" s="262">
        <f>'Step 3 Dedicated Funds'!T45+SUM('Compile Productivity $'!B43:H43)</f>
        <v>3712423.180870655</v>
      </c>
      <c r="D43" s="290">
        <f>'Step 3 Dedicated Funds'!V45</f>
        <v>19774816</v>
      </c>
      <c r="E43" s="290">
        <f t="shared" si="0"/>
        <v>16062392.819129344</v>
      </c>
      <c r="F43" s="290"/>
      <c r="G43" s="261">
        <f>G37</f>
        <v>31775.666666666668</v>
      </c>
      <c r="H43" s="925">
        <v>505.52</v>
      </c>
      <c r="I43" s="261">
        <f t="shared" si="2"/>
        <v>15814037.589656563</v>
      </c>
      <c r="J43" s="1332">
        <f t="shared" si="3"/>
        <v>505.49349562440892</v>
      </c>
      <c r="K43" s="268">
        <f t="shared" si="1"/>
        <v>526.92641983888382</v>
      </c>
    </row>
    <row r="44" spans="1:11" ht="14.1" customHeight="1">
      <c r="A44" s="213" t="s">
        <v>525</v>
      </c>
      <c r="B44" s="228" t="s">
        <v>289</v>
      </c>
      <c r="C44" s="483">
        <f>'Step 3 Dedicated Funds'!T46+SUM('Compile Productivity $'!B44:H44)</f>
        <v>2662165.2769230772</v>
      </c>
      <c r="D44" s="489">
        <f>'Step 3 Dedicated Funds'!V46</f>
        <v>4507186</v>
      </c>
      <c r="E44" s="489">
        <f t="shared" si="0"/>
        <v>1845020.7230769228</v>
      </c>
      <c r="F44" s="489"/>
      <c r="G44" s="260">
        <f>AVERAGE(B64:D64)</f>
        <v>4409</v>
      </c>
      <c r="H44" s="922">
        <v>418.47</v>
      </c>
      <c r="I44" s="1548">
        <f t="shared" si="2"/>
        <v>1816411.2423932189</v>
      </c>
      <c r="J44" s="1332">
        <f t="shared" si="3"/>
        <v>418.46693651098275</v>
      </c>
      <c r="K44" s="268">
        <f t="shared" si="1"/>
        <v>436.2099346190484</v>
      </c>
    </row>
    <row r="45" spans="1:11" ht="14.1" customHeight="1">
      <c r="A45" s="76" t="s">
        <v>115</v>
      </c>
      <c r="B45" s="69" t="s">
        <v>811</v>
      </c>
      <c r="C45" s="483">
        <f>'Step 3 Dedicated Funds'!T47+SUM('Compile Productivity $'!B45:H45)</f>
        <v>19295.178938731842</v>
      </c>
      <c r="D45" s="489">
        <f>'Step 3 Dedicated Funds'!V47</f>
        <v>1522413</v>
      </c>
      <c r="E45" s="489">
        <f t="shared" si="0"/>
        <v>1503117.8210612682</v>
      </c>
      <c r="F45" s="489"/>
      <c r="G45" s="68">
        <f>AVERAGE(C66:E66)</f>
        <v>17746.666666666668</v>
      </c>
      <c r="H45" s="922">
        <v>84.8</v>
      </c>
      <c r="I45" s="1548">
        <f t="shared" si="2"/>
        <v>1481570.7582504256</v>
      </c>
      <c r="J45" s="1332">
        <f t="shared" si="3"/>
        <v>84.698599984669499</v>
      </c>
      <c r="K45" s="268">
        <f t="shared" si="1"/>
        <v>88.289820624019484</v>
      </c>
    </row>
    <row r="46" spans="1:11" ht="14.1" customHeight="1">
      <c r="A46" s="438" t="s">
        <v>129</v>
      </c>
      <c r="B46" s="492" t="s">
        <v>309</v>
      </c>
      <c r="C46" s="262">
        <f>'Step 3 Dedicated Funds'!T48+SUM('Compile Productivity $'!B46:H46)</f>
        <v>3957510.2653846154</v>
      </c>
      <c r="D46" s="290">
        <f>'Step 3 Dedicated Funds'!V48</f>
        <v>7582890</v>
      </c>
      <c r="E46" s="290">
        <f t="shared" si="0"/>
        <v>3625379.7346153846</v>
      </c>
      <c r="F46" s="290"/>
      <c r="G46" s="262">
        <f>AVERAGE(B69:D69)</f>
        <v>201022</v>
      </c>
      <c r="H46" s="925">
        <v>18.03</v>
      </c>
      <c r="I46" s="262">
        <f t="shared" si="2"/>
        <v>3568199.0205968725</v>
      </c>
      <c r="J46" s="1332">
        <f t="shared" si="3"/>
        <v>18.034741145821773</v>
      </c>
      <c r="K46" s="268">
        <f t="shared" si="1"/>
        <v>18.799414170404617</v>
      </c>
    </row>
    <row r="47" spans="1:11" ht="14.1" customHeight="1">
      <c r="A47" s="213" t="s">
        <v>130</v>
      </c>
      <c r="B47" s="482" t="s">
        <v>604</v>
      </c>
      <c r="C47" s="483">
        <f>'Step 3 Dedicated Funds'!T49+SUM('Compile Productivity $'!B47:H47)</f>
        <v>1100203.3066917288</v>
      </c>
      <c r="D47" s="489">
        <f>'Step 3 Dedicated Funds'!V49</f>
        <v>7705927</v>
      </c>
      <c r="E47" s="489">
        <f t="shared" si="0"/>
        <v>6605723.6933082715</v>
      </c>
      <c r="F47" s="489"/>
      <c r="G47" s="483">
        <f>G40</f>
        <v>21929.333333333332</v>
      </c>
      <c r="H47" s="922">
        <v>301.32</v>
      </c>
      <c r="I47" s="1548">
        <f t="shared" si="2"/>
        <v>6505237.2654868942</v>
      </c>
      <c r="J47" s="1332">
        <f t="shared" si="3"/>
        <v>301.22774791641052</v>
      </c>
      <c r="K47" s="268">
        <f t="shared" si="1"/>
        <v>313.99980442806634</v>
      </c>
    </row>
    <row r="48" spans="1:11" ht="14.1" customHeight="1">
      <c r="A48" s="213" t="s">
        <v>131</v>
      </c>
      <c r="B48" s="482" t="s">
        <v>588</v>
      </c>
      <c r="C48" s="483">
        <f>'Step 3 Dedicated Funds'!T50+SUM('Compile Productivity $'!B48:H48)</f>
        <v>2175161.9376923079</v>
      </c>
      <c r="D48" s="489">
        <f>'Step 3 Dedicated Funds'!V50</f>
        <v>12221894</v>
      </c>
      <c r="E48" s="489">
        <f t="shared" si="0"/>
        <v>10046732.062307693</v>
      </c>
      <c r="F48" s="489"/>
      <c r="G48" s="483">
        <f>AVERAGE(B72:D72)</f>
        <v>978622.33333333337</v>
      </c>
      <c r="H48" s="922">
        <v>10.27</v>
      </c>
      <c r="I48" s="1548">
        <f t="shared" si="2"/>
        <v>9894533.4187566377</v>
      </c>
      <c r="J48" s="1332">
        <f t="shared" si="3"/>
        <v>10.266199452128818</v>
      </c>
      <c r="K48" s="268">
        <f t="shared" si="1"/>
        <v>10.70148630889908</v>
      </c>
    </row>
    <row r="49" spans="1:11" ht="14.1" customHeight="1">
      <c r="A49" s="438" t="s">
        <v>132</v>
      </c>
      <c r="B49" s="492" t="s">
        <v>588</v>
      </c>
      <c r="C49" s="262">
        <f>'Step 3 Dedicated Funds'!T51+SUM('Compile Productivity $'!B49:H49)</f>
        <v>2848053.9176923074</v>
      </c>
      <c r="D49" s="290">
        <f>'Step 3 Dedicated Funds'!V51</f>
        <v>25322352</v>
      </c>
      <c r="E49" s="290">
        <f t="shared" si="0"/>
        <v>22474298.082307693</v>
      </c>
      <c r="F49" s="290"/>
      <c r="G49" s="262">
        <f>G48</f>
        <v>978622.33333333337</v>
      </c>
      <c r="H49" s="925">
        <v>22.97</v>
      </c>
      <c r="I49" s="262">
        <f t="shared" si="2"/>
        <v>22130227.130364165</v>
      </c>
      <c r="J49" s="1332">
        <f t="shared" si="3"/>
        <v>22.965241356956248</v>
      </c>
      <c r="K49" s="268">
        <f t="shared" si="1"/>
        <v>23.938967590491192</v>
      </c>
    </row>
    <row r="50" spans="1:11" ht="14.1" customHeight="1">
      <c r="A50" s="213" t="s">
        <v>133</v>
      </c>
      <c r="B50" s="482" t="s">
        <v>583</v>
      </c>
      <c r="C50" s="483">
        <f>'Step 3 Dedicated Funds'!T52+SUM('Compile Productivity $'!B50:H50)</f>
        <v>4522909.346153846</v>
      </c>
      <c r="D50" s="489">
        <f>'Step 3 Dedicated Funds'!V52</f>
        <v>17924002</v>
      </c>
      <c r="E50" s="489">
        <f t="shared" si="0"/>
        <v>13401092.653846154</v>
      </c>
      <c r="F50" s="489"/>
      <c r="G50" s="483">
        <f>D63</f>
        <v>3873680</v>
      </c>
      <c r="H50" s="922">
        <v>3.46</v>
      </c>
      <c r="I50" s="1548">
        <f t="shared" si="2"/>
        <v>13195006.04547636</v>
      </c>
      <c r="J50" s="1332">
        <f t="shared" si="3"/>
        <v>3.4595249617537212</v>
      </c>
      <c r="K50" s="268">
        <f t="shared" si="1"/>
        <v>3.6062088201320788</v>
      </c>
    </row>
    <row r="51" spans="1:11" ht="14.1" customHeight="1">
      <c r="A51" s="213" t="s">
        <v>521</v>
      </c>
      <c r="B51" s="228" t="s">
        <v>288</v>
      </c>
      <c r="C51" s="1417">
        <f>'Step 3 Dedicated Funds'!T53+SUM('Compile Productivity $'!B51:H51)</f>
        <v>37193.769300226522</v>
      </c>
      <c r="D51" s="489">
        <f>'Step 3 Dedicated Funds'!V53</f>
        <v>3458422</v>
      </c>
      <c r="E51" s="489">
        <f t="shared" si="0"/>
        <v>3421228.2306997734</v>
      </c>
      <c r="G51" s="204">
        <f>G43</f>
        <v>31775.666666666668</v>
      </c>
      <c r="H51" s="927">
        <v>107.67</v>
      </c>
      <c r="I51" s="1551">
        <f t="shared" si="2"/>
        <v>3368209.818164113</v>
      </c>
      <c r="J51" s="1332">
        <f t="shared" si="3"/>
        <v>107.66818102006063</v>
      </c>
      <c r="K51" s="268">
        <f t="shared" si="1"/>
        <v>112.2333118953112</v>
      </c>
    </row>
    <row r="52" spans="1:11" ht="14.1" customHeight="1">
      <c r="A52" s="457" t="s">
        <v>554</v>
      </c>
      <c r="B52" s="259" t="s">
        <v>583</v>
      </c>
      <c r="C52" s="264">
        <f>'Step 3 Dedicated Funds'!T54+SUM('Compile Productivity $'!B52:H52)</f>
        <v>1112067.153846154</v>
      </c>
      <c r="D52" s="290">
        <f>'Step 3 Dedicated Funds'!V54</f>
        <v>2369486</v>
      </c>
      <c r="E52" s="290">
        <f t="shared" si="0"/>
        <v>1257418.846153846</v>
      </c>
      <c r="F52" s="271"/>
      <c r="G52" s="498">
        <f>G50</f>
        <v>3873680</v>
      </c>
      <c r="H52" s="929">
        <v>0.32</v>
      </c>
      <c r="I52" s="498">
        <f t="shared" si="2"/>
        <v>1220347.3799284496</v>
      </c>
      <c r="J52" s="1332">
        <f t="shared" si="3"/>
        <v>0.32460576148619558</v>
      </c>
      <c r="K52" s="268">
        <f t="shared" si="1"/>
        <v>0.33836904577321025</v>
      </c>
    </row>
    <row r="53" spans="1:11" ht="14.1" customHeight="1">
      <c r="A53" s="213" t="s">
        <v>134</v>
      </c>
      <c r="B53" s="482" t="s">
        <v>583</v>
      </c>
      <c r="C53" s="483">
        <f>'Step 3 Dedicated Funds'!T55+SUM('Compile Productivity $'!B53:H53)</f>
        <v>4167295.769230769</v>
      </c>
      <c r="D53" s="489">
        <f>'Step 3 Dedicated Funds'!V55</f>
        <v>12402374</v>
      </c>
      <c r="E53" s="489">
        <f t="shared" si="0"/>
        <v>8235078.230769231</v>
      </c>
      <c r="F53" s="489"/>
      <c r="G53" s="260">
        <f>G50</f>
        <v>3873680</v>
      </c>
      <c r="H53" s="922">
        <v>2.13</v>
      </c>
      <c r="I53" s="1548">
        <f t="shared" si="2"/>
        <v>8122937.247648742</v>
      </c>
      <c r="J53" s="1332">
        <f t="shared" si="3"/>
        <v>2.125905658384077</v>
      </c>
      <c r="K53" s="268">
        <f t="shared" si="1"/>
        <v>2.2160440582995617</v>
      </c>
    </row>
    <row r="54" spans="1:11" ht="14.1" customHeight="1">
      <c r="A54" s="445" t="s">
        <v>135</v>
      </c>
      <c r="B54" s="499"/>
      <c r="C54" s="444"/>
      <c r="D54" s="444"/>
      <c r="E54" s="444"/>
      <c r="F54" s="444"/>
      <c r="G54" s="500"/>
      <c r="H54" s="501"/>
      <c r="I54" s="500"/>
    </row>
    <row r="55" spans="1:11" ht="14.1" customHeight="1">
      <c r="A55" s="447" t="s">
        <v>136</v>
      </c>
      <c r="B55" s="259"/>
      <c r="C55" s="271"/>
      <c r="D55" s="271"/>
      <c r="E55" s="271"/>
      <c r="F55" s="271"/>
      <c r="G55" s="259"/>
      <c r="H55" s="259"/>
      <c r="I55" s="259"/>
    </row>
    <row r="56" spans="1:11" ht="14.1" customHeight="1">
      <c r="C56" s="220">
        <f>SUM(C24:C53)</f>
        <v>56098744.781612642</v>
      </c>
      <c r="D56" s="220">
        <f>SUM(D24:D53)</f>
        <v>175758268</v>
      </c>
      <c r="E56" s="220">
        <f>SUM(E24:E53)</f>
        <v>119659523.21838737</v>
      </c>
      <c r="I56" s="1547">
        <f>SUM(I24:I53)</f>
        <v>117865909.07792781</v>
      </c>
    </row>
    <row r="57" spans="1:11" ht="14.1" customHeight="1"/>
    <row r="58" spans="1:11" ht="14.1" customHeight="1" thickBot="1">
      <c r="A58" s="490"/>
      <c r="B58" s="490" t="s">
        <v>1482</v>
      </c>
      <c r="C58" s="490" t="s">
        <v>79</v>
      </c>
      <c r="D58" s="490" t="s">
        <v>78</v>
      </c>
      <c r="E58" s="490" t="s">
        <v>486</v>
      </c>
      <c r="F58" s="490" t="s">
        <v>1044</v>
      </c>
      <c r="G58" s="491"/>
      <c r="H58" s="491"/>
      <c r="I58" s="491"/>
      <c r="J58" s="491"/>
    </row>
    <row r="59" spans="1:11" ht="14.1" customHeight="1" thickTop="1">
      <c r="A59" s="202" t="s">
        <v>585</v>
      </c>
      <c r="B59" s="496">
        <v>25115</v>
      </c>
      <c r="C59" s="496">
        <v>26573</v>
      </c>
      <c r="D59" s="202">
        <f>D64+D65</f>
        <v>27428</v>
      </c>
      <c r="E59" s="202">
        <f>E64+E65</f>
        <v>28205</v>
      </c>
      <c r="F59" s="202">
        <v>28793</v>
      </c>
      <c r="G59" s="202" t="s">
        <v>590</v>
      </c>
    </row>
    <row r="60" spans="1:11" ht="14.1" customHeight="1">
      <c r="A60" s="271" t="s">
        <v>595</v>
      </c>
      <c r="B60" s="271">
        <v>882</v>
      </c>
      <c r="C60" s="271">
        <v>926</v>
      </c>
      <c r="D60" s="271">
        <v>950</v>
      </c>
      <c r="E60" s="271">
        <v>949</v>
      </c>
      <c r="F60" s="271">
        <v>967</v>
      </c>
      <c r="G60" s="271" t="s">
        <v>594</v>
      </c>
      <c r="H60" s="271"/>
      <c r="I60" s="271"/>
      <c r="J60" s="271"/>
    </row>
    <row r="61" spans="1:11" ht="14.1" customHeight="1">
      <c r="A61" s="202" t="s">
        <v>586</v>
      </c>
      <c r="B61" s="202">
        <v>5067</v>
      </c>
      <c r="C61" s="202">
        <v>5477</v>
      </c>
      <c r="D61" s="202">
        <v>5667</v>
      </c>
      <c r="E61" s="202">
        <v>5847</v>
      </c>
      <c r="F61" s="202">
        <v>6094</v>
      </c>
      <c r="G61" s="202" t="s">
        <v>594</v>
      </c>
    </row>
    <row r="62" spans="1:11" ht="14.1" customHeight="1">
      <c r="A62" s="202" t="s">
        <v>1483</v>
      </c>
      <c r="B62" s="202">
        <v>3669</v>
      </c>
      <c r="C62" s="202">
        <v>4038</v>
      </c>
      <c r="D62" s="202">
        <v>4188</v>
      </c>
      <c r="E62" s="202">
        <v>4309</v>
      </c>
      <c r="F62" s="202">
        <v>4511</v>
      </c>
      <c r="G62" s="202" t="s">
        <v>594</v>
      </c>
    </row>
    <row r="63" spans="1:11" ht="14.1" customHeight="1">
      <c r="A63" s="202" t="s">
        <v>583</v>
      </c>
      <c r="B63" s="502">
        <v>3673680</v>
      </c>
      <c r="C63" s="502">
        <v>3673680</v>
      </c>
      <c r="D63" s="502">
        <v>3873680</v>
      </c>
      <c r="E63" s="502">
        <f>D63</f>
        <v>3873680</v>
      </c>
      <c r="F63" s="1251">
        <f>E63</f>
        <v>3873680</v>
      </c>
      <c r="G63" s="202" t="s">
        <v>589</v>
      </c>
    </row>
    <row r="64" spans="1:11" ht="14.1" customHeight="1">
      <c r="A64" s="271" t="s">
        <v>584</v>
      </c>
      <c r="B64" s="1565">
        <v>4176</v>
      </c>
      <c r="C64" s="1565">
        <v>4447</v>
      </c>
      <c r="D64" s="271">
        <v>4604</v>
      </c>
      <c r="E64" s="271">
        <v>4681</v>
      </c>
      <c r="F64" s="271">
        <v>4767</v>
      </c>
      <c r="G64" s="271" t="s">
        <v>590</v>
      </c>
      <c r="H64" s="271"/>
      <c r="I64" s="271"/>
      <c r="J64" s="271"/>
    </row>
    <row r="65" spans="1:10" ht="14.1" customHeight="1">
      <c r="A65" s="202" t="s">
        <v>587</v>
      </c>
      <c r="B65" s="496">
        <v>20838</v>
      </c>
      <c r="C65" s="496">
        <v>22126</v>
      </c>
      <c r="D65" s="202">
        <v>22824</v>
      </c>
      <c r="E65" s="202">
        <v>23524</v>
      </c>
      <c r="F65" s="202">
        <f>F59-F64</f>
        <v>24026</v>
      </c>
      <c r="G65" s="202" t="s">
        <v>590</v>
      </c>
    </row>
    <row r="66" spans="1:10" ht="14.1" customHeight="1">
      <c r="A66" s="202" t="s">
        <v>810</v>
      </c>
      <c r="B66" s="496">
        <v>17487</v>
      </c>
      <c r="C66" s="496">
        <v>17657</v>
      </c>
      <c r="D66" s="202">
        <v>17707</v>
      </c>
      <c r="E66" s="202">
        <v>17876</v>
      </c>
      <c r="F66" s="202">
        <v>17964</v>
      </c>
      <c r="G66" s="202" t="s">
        <v>1063</v>
      </c>
    </row>
    <row r="67" spans="1:10" ht="14.1" customHeight="1">
      <c r="A67" s="202" t="s">
        <v>461</v>
      </c>
      <c r="B67" s="202">
        <v>134896</v>
      </c>
      <c r="C67" s="202">
        <v>157561</v>
      </c>
      <c r="D67" s="202">
        <v>186287</v>
      </c>
      <c r="E67" s="504">
        <f>1.1*D67</f>
        <v>204915.7</v>
      </c>
      <c r="F67" s="202">
        <v>218167</v>
      </c>
    </row>
    <row r="68" spans="1:10" ht="14.1" customHeight="1">
      <c r="A68" s="202" t="s">
        <v>298</v>
      </c>
      <c r="B68" s="202">
        <v>52786</v>
      </c>
      <c r="C68" s="202">
        <v>52073</v>
      </c>
      <c r="D68" s="202">
        <v>49557</v>
      </c>
      <c r="E68" s="202">
        <v>48279</v>
      </c>
      <c r="F68" s="202">
        <v>49088</v>
      </c>
    </row>
    <row r="69" spans="1:10" ht="14.1" customHeight="1">
      <c r="A69" s="202" t="s">
        <v>600</v>
      </c>
      <c r="B69" s="202">
        <v>198254</v>
      </c>
      <c r="C69" s="202">
        <v>196435</v>
      </c>
      <c r="D69" s="202">
        <v>208377</v>
      </c>
      <c r="E69" s="202">
        <v>216554</v>
      </c>
      <c r="F69" s="496">
        <v>226042</v>
      </c>
      <c r="G69" s="202" t="s">
        <v>596</v>
      </c>
    </row>
    <row r="70" spans="1:10" ht="14.1" customHeight="1">
      <c r="A70" s="271" t="s">
        <v>597</v>
      </c>
      <c r="B70" s="271">
        <v>398159</v>
      </c>
      <c r="C70" s="271">
        <v>432801</v>
      </c>
      <c r="D70" s="271">
        <v>448810</v>
      </c>
      <c r="E70" s="271">
        <v>477637</v>
      </c>
      <c r="F70" s="271"/>
      <c r="G70" s="492" t="s">
        <v>596</v>
      </c>
      <c r="H70" s="492"/>
      <c r="I70" s="492"/>
      <c r="J70" s="492"/>
    </row>
    <row r="71" spans="1:10" ht="14.1" customHeight="1">
      <c r="A71" s="202" t="s">
        <v>599</v>
      </c>
      <c r="B71" s="202">
        <v>70137</v>
      </c>
      <c r="C71" s="202">
        <v>72358</v>
      </c>
      <c r="D71" s="202">
        <v>82280</v>
      </c>
      <c r="E71" s="202">
        <v>85771</v>
      </c>
      <c r="G71" s="228" t="s">
        <v>596</v>
      </c>
      <c r="H71" s="228"/>
      <c r="I71" s="228"/>
      <c r="J71" s="228"/>
    </row>
    <row r="72" spans="1:10" ht="14.1" customHeight="1">
      <c r="A72" s="202" t="s">
        <v>598</v>
      </c>
      <c r="B72" s="202">
        <v>913085</v>
      </c>
      <c r="C72" s="202">
        <v>959711</v>
      </c>
      <c r="D72" s="202">
        <v>1063071</v>
      </c>
      <c r="E72" s="202">
        <v>1105226</v>
      </c>
      <c r="G72" s="228" t="s">
        <v>596</v>
      </c>
      <c r="H72" s="228"/>
      <c r="I72" s="228"/>
      <c r="J72" s="228"/>
    </row>
    <row r="73" spans="1:10" ht="14.1" customHeight="1">
      <c r="A73" s="271" t="s">
        <v>308</v>
      </c>
      <c r="B73" s="271">
        <f>B74+B75+B76+B77</f>
        <v>4125</v>
      </c>
      <c r="C73" s="271">
        <f>C74+C75+C76+C77</f>
        <v>4580</v>
      </c>
      <c r="D73" s="271">
        <f>D74+D75+D76+D77</f>
        <v>5063</v>
      </c>
      <c r="E73" s="271">
        <f>E74+E75+E76+E77</f>
        <v>5116</v>
      </c>
      <c r="F73" s="271"/>
      <c r="G73" s="271"/>
      <c r="H73" s="271"/>
      <c r="I73" s="271"/>
      <c r="J73" s="271"/>
    </row>
    <row r="74" spans="1:10" ht="14.1" customHeight="1">
      <c r="A74" s="493" t="s">
        <v>601</v>
      </c>
      <c r="B74" s="202">
        <v>2980</v>
      </c>
      <c r="C74" s="202">
        <v>3401</v>
      </c>
      <c r="D74" s="202">
        <v>3884</v>
      </c>
      <c r="E74" s="202">
        <v>3937</v>
      </c>
      <c r="G74" s="228" t="s">
        <v>602</v>
      </c>
      <c r="H74" s="228"/>
      <c r="I74" s="228"/>
      <c r="J74" s="228"/>
    </row>
    <row r="75" spans="1:10" ht="14.1" customHeight="1">
      <c r="A75" s="493" t="s">
        <v>293</v>
      </c>
      <c r="B75" s="202">
        <v>500</v>
      </c>
      <c r="C75" s="202">
        <v>500</v>
      </c>
      <c r="D75" s="496">
        <v>500</v>
      </c>
      <c r="E75" s="202">
        <v>500</v>
      </c>
      <c r="G75" s="228" t="s">
        <v>602</v>
      </c>
      <c r="H75" s="228"/>
      <c r="I75" s="228"/>
      <c r="J75" s="228"/>
    </row>
    <row r="76" spans="1:10" ht="14.1" customHeight="1">
      <c r="A76" s="493" t="s">
        <v>294</v>
      </c>
      <c r="B76" s="202">
        <v>498</v>
      </c>
      <c r="C76" s="202">
        <v>512</v>
      </c>
      <c r="D76" s="496">
        <v>512</v>
      </c>
      <c r="E76" s="202">
        <v>512</v>
      </c>
      <c r="G76" s="228" t="s">
        <v>602</v>
      </c>
      <c r="H76" s="228"/>
      <c r="I76" s="228"/>
      <c r="J76" s="228"/>
    </row>
    <row r="77" spans="1:10" ht="14.1" customHeight="1" thickBot="1">
      <c r="A77" s="494" t="s">
        <v>295</v>
      </c>
      <c r="B77" s="464">
        <v>147</v>
      </c>
      <c r="C77" s="464">
        <v>167</v>
      </c>
      <c r="D77" s="497">
        <v>167</v>
      </c>
      <c r="E77" s="464">
        <v>167</v>
      </c>
      <c r="F77" s="464"/>
      <c r="G77" s="495" t="s">
        <v>602</v>
      </c>
      <c r="H77" s="495"/>
      <c r="I77" s="495"/>
      <c r="J77" s="495"/>
    </row>
    <row r="78" spans="1:10" ht="18" customHeight="1" thickTop="1"/>
    <row r="80" spans="1:10" ht="29.1" customHeight="1"/>
    <row r="82" ht="18" customHeight="1"/>
    <row r="84" ht="18" customHeight="1"/>
    <row r="86" ht="18" customHeight="1"/>
    <row r="90" ht="29.1" customHeight="1"/>
    <row r="92" ht="18" customHeight="1"/>
    <row r="94" ht="15" customHeight="1"/>
    <row r="96" ht="18" customHeight="1"/>
    <row r="98" ht="15" customHeight="1"/>
    <row r="100" ht="15" customHeight="1"/>
    <row r="104" ht="15" customHeight="1"/>
    <row r="106" ht="15" customHeight="1"/>
    <row r="108" ht="15" customHeight="1"/>
    <row r="110" ht="15" customHeight="1"/>
    <row r="112" ht="15" customHeight="1"/>
    <row r="114" ht="15" customHeight="1"/>
    <row r="116" ht="15" customHeight="1"/>
    <row r="118" ht="15" customHeight="1"/>
    <row r="121" ht="17.100000000000001" customHeight="1"/>
    <row r="123" ht="15.95" customHeight="1"/>
    <row r="125" ht="17.100000000000001" customHeight="1"/>
    <row r="127" ht="15.95" customHeight="1"/>
    <row r="129" ht="15" customHeight="1"/>
    <row r="131" ht="18" customHeight="1"/>
    <row r="133" ht="15" customHeight="1"/>
    <row r="135" ht="15" customHeight="1"/>
    <row r="137" ht="15" customHeight="1"/>
    <row r="139" ht="15" customHeight="1"/>
    <row r="141" ht="15" customHeight="1"/>
    <row r="143" ht="15" customHeight="1"/>
    <row r="147" ht="15" customHeight="1"/>
    <row r="149" ht="15" customHeight="1"/>
    <row r="153" ht="15" customHeight="1"/>
    <row r="155" ht="29.1" customHeight="1"/>
    <row r="157" ht="15" customHeight="1"/>
    <row r="159" ht="18" customHeight="1"/>
    <row r="163" ht="15" customHeight="1"/>
    <row r="165" ht="18" customHeight="1"/>
    <row r="167" ht="15" customHeight="1"/>
    <row r="169" ht="29.1" customHeight="1"/>
    <row r="171" ht="18" customHeight="1"/>
  </sheetData>
  <phoneticPr fontId="62" type="noConversion"/>
  <pageMargins left="0.75" right="0.75" top="1" bottom="1" header="0.5" footer="0.5"/>
  <pageSetup scale="44" orientation="portrait" horizontalDpi="4294967292" verticalDpi="429496729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pageSetUpPr fitToPage="1"/>
  </sheetPr>
  <dimension ref="A1:Z62"/>
  <sheetViews>
    <sheetView topLeftCell="A37" zoomScale="120" zoomScaleNormal="120" zoomScalePageLayoutView="120" workbookViewId="0">
      <selection activeCell="V23" sqref="V23:V25"/>
    </sheetView>
  </sheetViews>
  <sheetFormatPr defaultColWidth="11" defaultRowHeight="15.75"/>
  <cols>
    <col min="1" max="1" width="36.125" customWidth="1"/>
    <col min="2" max="2" width="11.125" customWidth="1"/>
    <col min="3" max="3" width="11.5" customWidth="1"/>
    <col min="4" max="4" width="15.625" customWidth="1"/>
    <col min="5" max="5" width="3.375" customWidth="1"/>
    <col min="6" max="9" width="11" customWidth="1"/>
    <col min="10" max="10" width="3.625" customWidth="1"/>
    <col min="11" max="11" width="16.125" customWidth="1"/>
    <col min="12" max="12" width="5.375" customWidth="1"/>
    <col min="13" max="13" width="12.625" customWidth="1"/>
    <col min="14" max="17" width="11" customWidth="1"/>
    <col min="18" max="18" width="12" customWidth="1"/>
    <col min="19" max="19" width="3.125" customWidth="1"/>
    <col min="20" max="20" width="13.875" customWidth="1"/>
    <col min="21" max="21" width="7.875" customWidth="1"/>
    <col min="22" max="22" width="12.875" customWidth="1"/>
    <col min="23" max="23" width="13.625" bestFit="1" customWidth="1"/>
    <col min="24" max="25" width="11.625" bestFit="1" customWidth="1"/>
  </cols>
  <sheetData>
    <row r="1" spans="1:26" ht="16.5" thickBot="1">
      <c r="A1" s="210" t="s">
        <v>77</v>
      </c>
      <c r="B1" s="210"/>
      <c r="C1" s="210"/>
      <c r="D1" s="210"/>
      <c r="E1" s="210"/>
      <c r="F1" s="210"/>
      <c r="G1" s="210"/>
      <c r="H1" s="210"/>
      <c r="I1" s="210"/>
      <c r="J1" s="210"/>
      <c r="K1" s="210" t="s">
        <v>870</v>
      </c>
      <c r="L1" s="210"/>
      <c r="M1" s="473">
        <f>'Step 3 Dedicated Funds'!M1</f>
        <v>7.3999999999999996E-2</v>
      </c>
      <c r="N1" s="210"/>
      <c r="O1" s="210"/>
      <c r="P1" s="210"/>
      <c r="Q1" s="210" t="s">
        <v>212</v>
      </c>
      <c r="S1" s="210"/>
      <c r="T1" s="210"/>
      <c r="U1" s="210"/>
      <c r="V1" s="210"/>
      <c r="W1" s="210"/>
      <c r="X1" s="210"/>
      <c r="Y1" s="200"/>
    </row>
    <row r="2" spans="1:26">
      <c r="A2" s="210" t="s">
        <v>1171</v>
      </c>
      <c r="B2" s="210"/>
      <c r="C2" s="210"/>
      <c r="D2" s="210"/>
      <c r="E2" s="210"/>
      <c r="F2" s="210"/>
      <c r="G2" s="210"/>
      <c r="H2" s="210"/>
      <c r="I2" s="210"/>
      <c r="J2" s="210"/>
      <c r="K2" s="210"/>
      <c r="L2" s="210"/>
      <c r="M2" s="210"/>
      <c r="N2" s="210"/>
      <c r="O2" s="210"/>
      <c r="P2" s="210"/>
      <c r="Q2" s="210"/>
      <c r="R2" s="210"/>
      <c r="S2" s="210"/>
      <c r="T2" s="238" t="s">
        <v>218</v>
      </c>
      <c r="U2" s="239"/>
      <c r="V2" s="243">
        <f>'Step 3 Dedicated Funds'!V2</f>
        <v>553011959</v>
      </c>
      <c r="W2" s="210"/>
      <c r="X2" s="210"/>
      <c r="Y2" s="200"/>
    </row>
    <row r="3" spans="1:26" ht="16.5" thickBot="1">
      <c r="A3" s="210"/>
      <c r="B3" s="210"/>
      <c r="C3" s="210"/>
      <c r="D3" s="210"/>
      <c r="E3" s="210"/>
      <c r="F3" s="210"/>
      <c r="G3" s="210"/>
      <c r="H3" s="210"/>
      <c r="I3" s="210"/>
      <c r="J3" s="210"/>
      <c r="K3" s="210"/>
      <c r="L3" s="210"/>
      <c r="M3" s="210"/>
      <c r="N3" s="210"/>
      <c r="O3" s="210"/>
      <c r="P3" s="210"/>
      <c r="Q3" s="210"/>
      <c r="R3" s="210"/>
      <c r="S3" s="210"/>
      <c r="T3" s="240" t="s">
        <v>219</v>
      </c>
      <c r="U3" s="241"/>
      <c r="V3" s="242">
        <f>V2-T57</f>
        <v>218807101.46807224</v>
      </c>
      <c r="W3" s="210"/>
      <c r="X3" s="210"/>
      <c r="Y3" s="200"/>
    </row>
    <row r="4" spans="1:26">
      <c r="A4" s="211"/>
      <c r="B4" s="1614" t="s">
        <v>207</v>
      </c>
      <c r="C4" s="1614"/>
      <c r="D4" s="1614"/>
      <c r="E4" s="231"/>
      <c r="F4" s="1615" t="s">
        <v>208</v>
      </c>
      <c r="G4" s="1615"/>
      <c r="H4" s="1615"/>
      <c r="I4" s="1615"/>
      <c r="J4" s="231"/>
      <c r="K4" s="230" t="s">
        <v>209</v>
      </c>
      <c r="L4" s="211"/>
      <c r="M4" s="1616" t="s">
        <v>193</v>
      </c>
      <c r="N4" s="1616"/>
      <c r="O4" s="1616"/>
      <c r="P4" s="1616"/>
      <c r="Q4" s="1616"/>
      <c r="R4" s="1616"/>
      <c r="S4" s="211"/>
      <c r="T4" s="211"/>
      <c r="U4" s="211"/>
      <c r="V4" s="211"/>
      <c r="W4" s="211"/>
      <c r="X4" s="211"/>
      <c r="Y4" s="200"/>
    </row>
    <row r="5" spans="1:26" s="223" customFormat="1" ht="51.75">
      <c r="A5" s="221" t="s">
        <v>90</v>
      </c>
      <c r="B5" s="222" t="s">
        <v>215</v>
      </c>
      <c r="C5" s="222" t="s">
        <v>868</v>
      </c>
      <c r="D5" s="222" t="s">
        <v>869</v>
      </c>
      <c r="E5" s="222"/>
      <c r="F5" s="222" t="s">
        <v>198</v>
      </c>
      <c r="G5" s="222" t="s">
        <v>199</v>
      </c>
      <c r="H5" s="222" t="s">
        <v>200</v>
      </c>
      <c r="I5" s="222" t="s">
        <v>201</v>
      </c>
      <c r="J5" s="222"/>
      <c r="K5" s="222" t="s">
        <v>194</v>
      </c>
      <c r="L5" s="222"/>
      <c r="M5" s="222" t="s">
        <v>206</v>
      </c>
      <c r="N5" s="222" t="s">
        <v>195</v>
      </c>
      <c r="O5" s="222" t="s">
        <v>216</v>
      </c>
      <c r="P5" s="222" t="s">
        <v>196</v>
      </c>
      <c r="Q5" s="222" t="s">
        <v>197</v>
      </c>
      <c r="R5" s="222" t="s">
        <v>217</v>
      </c>
      <c r="T5" s="270" t="s">
        <v>1282</v>
      </c>
      <c r="U5" s="1445"/>
      <c r="V5" s="1446" t="s">
        <v>1283</v>
      </c>
      <c r="W5" s="270" t="s">
        <v>1284</v>
      </c>
      <c r="Z5" s="224"/>
    </row>
    <row r="6" spans="1:26">
      <c r="A6" s="212" t="s">
        <v>548</v>
      </c>
      <c r="B6" s="63">
        <f>'Step 3 Dedicated Funds'!B6</f>
        <v>4544301.7949999999</v>
      </c>
      <c r="C6" s="63">
        <f>'Step 3 Dedicated Funds'!C6</f>
        <v>0</v>
      </c>
      <c r="D6" s="63">
        <f>'Step 3 Dedicated Funds'!D6</f>
        <v>0</v>
      </c>
      <c r="E6" s="63"/>
      <c r="F6" s="63"/>
      <c r="G6" s="63"/>
      <c r="H6" s="63"/>
      <c r="I6" s="63"/>
      <c r="J6" s="63"/>
      <c r="K6" s="63"/>
      <c r="L6" s="63"/>
      <c r="M6" s="63"/>
      <c r="N6" s="62"/>
      <c r="O6" s="62"/>
      <c r="P6" s="63"/>
      <c r="Q6" s="64"/>
      <c r="R6" s="201"/>
      <c r="T6" s="63">
        <f t="shared" ref="T6:T12" si="0">SUM(B6:R6)</f>
        <v>4544301.7949999999</v>
      </c>
      <c r="U6" s="202"/>
      <c r="V6" s="1594">
        <f>'Step 1 Contract and Reserves'!V6:V12</f>
        <v>61119672</v>
      </c>
      <c r="W6" s="1594">
        <f>'Step 1 Contract and Reserves'!W6:W12</f>
        <v>61119672</v>
      </c>
      <c r="Z6" s="202"/>
    </row>
    <row r="7" spans="1:26">
      <c r="A7" s="212" t="s">
        <v>555</v>
      </c>
      <c r="B7" s="63">
        <f>'Step 3 Dedicated Funds'!B7</f>
        <v>-3508451.7949999999</v>
      </c>
      <c r="C7" s="63">
        <f>'Step 3 Dedicated Funds'!C7</f>
        <v>3000000</v>
      </c>
      <c r="D7" s="63">
        <f>'Step 3 Dedicated Funds'!D7</f>
        <v>0</v>
      </c>
      <c r="E7" s="63"/>
      <c r="F7" s="63"/>
      <c r="G7" s="63"/>
      <c r="H7" s="63"/>
      <c r="I7" s="63"/>
      <c r="J7" s="63"/>
      <c r="K7" s="63"/>
      <c r="L7" s="63"/>
      <c r="M7" s="63"/>
      <c r="N7" s="62"/>
      <c r="O7" s="62"/>
      <c r="P7" s="63"/>
      <c r="Q7" s="64"/>
      <c r="R7" s="201"/>
      <c r="T7" s="63">
        <f t="shared" si="0"/>
        <v>-508451.79499999993</v>
      </c>
      <c r="U7" s="202"/>
      <c r="V7" s="1595"/>
      <c r="W7" s="1595"/>
      <c r="Z7" s="202"/>
    </row>
    <row r="8" spans="1:26">
      <c r="A8" s="212" t="s">
        <v>864</v>
      </c>
      <c r="B8" s="63">
        <f>'Step 3 Dedicated Funds'!B8</f>
        <v>0</v>
      </c>
      <c r="C8" s="63">
        <f>'Step 3 Dedicated Funds'!C8</f>
        <v>139144.1799999997</v>
      </c>
      <c r="D8" s="63">
        <f>'Step 3 Dedicated Funds'!D8</f>
        <v>16590358.77</v>
      </c>
      <c r="E8" s="63"/>
      <c r="F8" s="63"/>
      <c r="G8" s="63"/>
      <c r="H8" s="63"/>
      <c r="I8" s="63"/>
      <c r="J8" s="63"/>
      <c r="K8" s="63"/>
      <c r="L8" s="63"/>
      <c r="M8" s="62">
        <f>'Step 3 Dedicated Funds'!M8</f>
        <v>-299700</v>
      </c>
      <c r="N8" s="62">
        <f>'Step 3 Dedicated Funds'!N8</f>
        <v>0</v>
      </c>
      <c r="O8" s="62">
        <f>'Step 3 Dedicated Funds'!O8</f>
        <v>0</v>
      </c>
      <c r="P8" s="62">
        <f>'Step 3 Dedicated Funds'!P8</f>
        <v>4050000</v>
      </c>
      <c r="Q8" s="64"/>
      <c r="R8" s="201"/>
      <c r="T8" s="63">
        <f t="shared" si="0"/>
        <v>20479802.949999999</v>
      </c>
      <c r="U8" s="202"/>
      <c r="V8" s="1595"/>
      <c r="W8" s="1595"/>
      <c r="Z8" s="202"/>
    </row>
    <row r="9" spans="1:26">
      <c r="A9" s="212" t="s">
        <v>899</v>
      </c>
      <c r="B9" s="63">
        <f>'Step 3 Dedicated Funds'!B9</f>
        <v>5000000</v>
      </c>
      <c r="C9" s="63">
        <f>'Step 3 Dedicated Funds'!C9</f>
        <v>0</v>
      </c>
      <c r="D9" s="63">
        <f>'Step 3 Dedicated Funds'!D9</f>
        <v>0</v>
      </c>
      <c r="E9" s="63"/>
      <c r="F9" s="63"/>
      <c r="G9" s="63"/>
      <c r="H9" s="63"/>
      <c r="I9" s="63"/>
      <c r="J9" s="63"/>
      <c r="K9" s="63"/>
      <c r="L9" s="63"/>
      <c r="M9" s="62"/>
      <c r="N9" s="62"/>
      <c r="O9" s="62"/>
      <c r="P9" s="452"/>
      <c r="Q9" s="64"/>
      <c r="R9" s="201"/>
      <c r="T9" s="63">
        <f t="shared" si="0"/>
        <v>5000000</v>
      </c>
      <c r="U9" s="202"/>
      <c r="V9" s="1595"/>
      <c r="W9" s="1595"/>
      <c r="Z9" s="202"/>
    </row>
    <row r="10" spans="1:26">
      <c r="A10" s="212" t="s">
        <v>549</v>
      </c>
      <c r="B10" s="63">
        <f>'Step 3 Dedicated Funds'!B10</f>
        <v>21345070</v>
      </c>
      <c r="C10" s="63">
        <f>'Step 3 Dedicated Funds'!C10</f>
        <v>0</v>
      </c>
      <c r="D10" s="63">
        <f>'Step 3 Dedicated Funds'!D10</f>
        <v>0</v>
      </c>
      <c r="E10" s="63"/>
      <c r="F10" s="63"/>
      <c r="G10" s="63"/>
      <c r="H10" s="63"/>
      <c r="I10" s="63"/>
      <c r="J10" s="63"/>
      <c r="K10" s="63"/>
      <c r="L10" s="63"/>
      <c r="M10" s="62">
        <f>'Step 3 Dedicated Funds'!M10</f>
        <v>0</v>
      </c>
      <c r="N10" s="62"/>
      <c r="O10" s="62"/>
      <c r="P10" s="452">
        <f>'Step 3 Dedicated Funds'!P10</f>
        <v>0</v>
      </c>
      <c r="Q10" s="64"/>
      <c r="R10" s="201"/>
      <c r="T10" s="63">
        <f t="shared" si="0"/>
        <v>21345070</v>
      </c>
      <c r="U10" s="202"/>
      <c r="V10" s="1595"/>
      <c r="W10" s="1595"/>
      <c r="Z10" s="202"/>
    </row>
    <row r="11" spans="1:26">
      <c r="A11" s="212" t="s">
        <v>550</v>
      </c>
      <c r="B11" s="63">
        <f>'Step 3 Dedicated Funds'!B11</f>
        <v>4025000</v>
      </c>
      <c r="C11" s="63">
        <f>'Step 3 Dedicated Funds'!C11</f>
        <v>0</v>
      </c>
      <c r="D11" s="63">
        <f>'Step 3 Dedicated Funds'!D11</f>
        <v>0</v>
      </c>
      <c r="E11" s="63"/>
      <c r="F11" s="63"/>
      <c r="G11" s="63"/>
      <c r="H11" s="63"/>
      <c r="I11" s="63"/>
      <c r="J11" s="63"/>
      <c r="K11" s="63"/>
      <c r="L11" s="63"/>
      <c r="M11" s="63"/>
      <c r="N11" s="62"/>
      <c r="O11" s="62"/>
      <c r="P11" s="63"/>
      <c r="Q11" s="64"/>
      <c r="R11" s="201"/>
      <c r="T11" s="63">
        <f t="shared" si="0"/>
        <v>4025000</v>
      </c>
      <c r="U11" s="202"/>
      <c r="V11" s="1595"/>
      <c r="W11" s="1595"/>
      <c r="Z11" s="202"/>
    </row>
    <row r="12" spans="1:26">
      <c r="A12" s="212" t="s">
        <v>551</v>
      </c>
      <c r="B12" s="63">
        <f>'Step 3 Dedicated Funds'!B12</f>
        <v>22663752.16</v>
      </c>
      <c r="C12" s="63">
        <f>'Step 3 Dedicated Funds'!C12</f>
        <v>0</v>
      </c>
      <c r="D12" s="63">
        <f>'Step 3 Dedicated Funds'!D12</f>
        <v>0</v>
      </c>
      <c r="E12" s="63"/>
      <c r="F12" s="63"/>
      <c r="G12" s="63"/>
      <c r="H12" s="63"/>
      <c r="I12" s="63"/>
      <c r="J12" s="63"/>
      <c r="K12" s="63"/>
      <c r="L12" s="63"/>
      <c r="M12" s="63"/>
      <c r="N12" s="62"/>
      <c r="O12" s="62"/>
      <c r="P12" s="63"/>
      <c r="Q12" s="64"/>
      <c r="R12" s="201"/>
      <c r="T12" s="63">
        <f t="shared" si="0"/>
        <v>22663752.16</v>
      </c>
      <c r="U12" s="202"/>
      <c r="V12" s="1595"/>
      <c r="W12" s="1595"/>
      <c r="Z12" s="202"/>
    </row>
    <row r="13" spans="1:26">
      <c r="A13" s="203"/>
      <c r="B13" s="68"/>
      <c r="C13" s="68"/>
      <c r="D13" s="68"/>
      <c r="E13" s="68"/>
      <c r="F13" s="68"/>
      <c r="G13" s="68"/>
      <c r="H13" s="68"/>
      <c r="I13" s="68"/>
      <c r="J13" s="68"/>
      <c r="K13" s="68"/>
      <c r="L13" s="68"/>
      <c r="M13" s="68"/>
      <c r="N13" s="68"/>
      <c r="O13" s="213"/>
      <c r="P13" s="68"/>
      <c r="Q13" s="69"/>
      <c r="R13" s="203"/>
      <c r="T13" s="68"/>
      <c r="U13" s="203"/>
      <c r="V13" s="68"/>
      <c r="W13" s="68"/>
      <c r="Z13" s="202"/>
    </row>
    <row r="14" spans="1:26">
      <c r="A14" s="71" t="s">
        <v>101</v>
      </c>
      <c r="B14" s="42"/>
      <c r="C14" s="42"/>
      <c r="D14" s="42"/>
      <c r="E14" s="42"/>
      <c r="F14" s="42"/>
      <c r="G14" s="42"/>
      <c r="H14" s="42"/>
      <c r="I14" s="42"/>
      <c r="J14" s="42"/>
      <c r="K14" s="42"/>
      <c r="L14" s="42"/>
      <c r="M14" s="42"/>
      <c r="N14" s="72"/>
      <c r="O14" s="213"/>
      <c r="P14" s="42"/>
      <c r="Q14" s="42"/>
      <c r="R14" s="202"/>
      <c r="T14" s="42"/>
      <c r="U14" s="202"/>
      <c r="V14" s="42"/>
      <c r="W14" s="73"/>
      <c r="Z14" s="202"/>
    </row>
    <row r="15" spans="1:26">
      <c r="A15" s="214" t="s">
        <v>102</v>
      </c>
      <c r="B15" s="63"/>
      <c r="C15" s="63">
        <f>'Step 3 Dedicated Funds'!C15</f>
        <v>0</v>
      </c>
      <c r="D15" s="63"/>
      <c r="E15" s="63"/>
      <c r="F15" s="63"/>
      <c r="G15" s="63"/>
      <c r="H15" s="63"/>
      <c r="I15" s="63"/>
      <c r="J15" s="63"/>
      <c r="K15" s="217"/>
      <c r="L15" s="63"/>
      <c r="M15" s="62">
        <f>'Step 3 Dedicated Funds'!M15</f>
        <v>-132207.80799999999</v>
      </c>
      <c r="N15" s="62">
        <f>'Step 3 Dedicated Funds'!N15</f>
        <v>1101355</v>
      </c>
      <c r="O15" s="62">
        <f>'Step 3 Dedicated Funds'!O15</f>
        <v>0</v>
      </c>
      <c r="P15" s="63">
        <f>'Step 3 Dedicated Funds'!P15</f>
        <v>406000</v>
      </c>
      <c r="Q15" s="63">
        <f>'Step 3 Dedicated Funds'!Q15</f>
        <v>279237</v>
      </c>
      <c r="R15" s="62">
        <f>'Step 3 Dedicated Funds'!R15</f>
        <v>1900000</v>
      </c>
      <c r="T15" s="63">
        <f t="shared" ref="T15:T33" si="1">SUM(B15:R15)</f>
        <v>3554384.1919999998</v>
      </c>
      <c r="U15" s="203"/>
      <c r="V15" s="290">
        <f>'Step 3 Dedicated Funds'!V15</f>
        <v>24160078</v>
      </c>
      <c r="W15" s="63">
        <f>'Step 3 Dedicated Funds'!W15</f>
        <v>24160078</v>
      </c>
      <c r="Z15" s="202"/>
    </row>
    <row r="16" spans="1:26">
      <c r="A16" s="76" t="s">
        <v>103</v>
      </c>
      <c r="B16" s="68"/>
      <c r="C16" s="68">
        <f>'Step 3 Dedicated Funds'!C16</f>
        <v>0</v>
      </c>
      <c r="D16" s="68"/>
      <c r="E16" s="68"/>
      <c r="F16" s="68"/>
      <c r="G16" s="68"/>
      <c r="H16" s="68"/>
      <c r="I16" s="68"/>
      <c r="J16" s="68"/>
      <c r="K16" s="218"/>
      <c r="L16" s="68"/>
      <c r="M16" s="78">
        <f>'Step 3 Dedicated Funds'!M16</f>
        <v>-27905.178</v>
      </c>
      <c r="N16" s="78">
        <f>'Step 3 Dedicated Funds'!N16</f>
        <v>0</v>
      </c>
      <c r="O16" s="78">
        <f>'Step 3 Dedicated Funds'!O16</f>
        <v>2938981.6440000003</v>
      </c>
      <c r="P16" s="68">
        <f>'Step 3 Dedicated Funds'!P16</f>
        <v>225000</v>
      </c>
      <c r="Q16" s="68">
        <f>'Step 3 Dedicated Funds'!Q16</f>
        <v>152097</v>
      </c>
      <c r="R16" s="78">
        <f>'Step 3 Dedicated Funds'!R16</f>
        <v>2800</v>
      </c>
      <c r="T16" s="68">
        <f t="shared" si="1"/>
        <v>3290973.4660000005</v>
      </c>
      <c r="U16" s="203"/>
      <c r="V16" s="960">
        <f>'Step 3 Dedicated Funds'!V16</f>
        <v>20462422</v>
      </c>
      <c r="W16" s="68">
        <f>'Step 3 Dedicated Funds'!W16</f>
        <v>20462422</v>
      </c>
      <c r="Z16" s="202"/>
    </row>
    <row r="17" spans="1:26">
      <c r="A17" s="213" t="s">
        <v>104</v>
      </c>
      <c r="B17" s="68"/>
      <c r="C17" s="68">
        <f>'Step 3 Dedicated Funds'!C17</f>
        <v>0</v>
      </c>
      <c r="D17" s="68"/>
      <c r="E17" s="68"/>
      <c r="F17" s="68"/>
      <c r="G17" s="68"/>
      <c r="H17" s="68"/>
      <c r="I17" s="68"/>
      <c r="J17" s="68"/>
      <c r="K17" s="218"/>
      <c r="L17" s="68"/>
      <c r="M17" s="78">
        <f>'Step 3 Dedicated Funds'!M17</f>
        <v>-632693.11800000002</v>
      </c>
      <c r="N17" s="78">
        <f>'Step 3 Dedicated Funds'!N17</f>
        <v>7041395</v>
      </c>
      <c r="O17" s="78">
        <f>'Step 3 Dedicated Funds'!O17</f>
        <v>9442061.1300000008</v>
      </c>
      <c r="P17" s="68">
        <f>'Step 3 Dedicated Funds'!P17</f>
        <v>1431500</v>
      </c>
      <c r="Q17" s="68">
        <f>'Step 3 Dedicated Funds'!Q17</f>
        <v>77012</v>
      </c>
      <c r="R17" s="78">
        <f>'Step 3 Dedicated Funds'!R17</f>
        <v>2400000</v>
      </c>
      <c r="T17" s="68">
        <f t="shared" si="1"/>
        <v>19759275.012000002</v>
      </c>
      <c r="U17" s="203"/>
      <c r="V17" s="960">
        <f>'Step 3 Dedicated Funds'!V17</f>
        <v>61306607</v>
      </c>
      <c r="W17" s="68">
        <f>'Step 3 Dedicated Funds'!W17</f>
        <v>61306607</v>
      </c>
      <c r="Z17" s="202"/>
    </row>
    <row r="18" spans="1:26">
      <c r="A18" s="214" t="s">
        <v>105</v>
      </c>
      <c r="B18" s="63"/>
      <c r="C18" s="63">
        <f>'Step 3 Dedicated Funds'!C18</f>
        <v>0</v>
      </c>
      <c r="D18" s="63"/>
      <c r="E18" s="63"/>
      <c r="F18" s="63"/>
      <c r="G18" s="63"/>
      <c r="H18" s="63"/>
      <c r="I18" s="63"/>
      <c r="J18" s="63"/>
      <c r="K18" s="217"/>
      <c r="L18" s="63"/>
      <c r="M18" s="62">
        <f>'Step 3 Dedicated Funds'!M18</f>
        <v>-201043.052</v>
      </c>
      <c r="N18" s="62">
        <f>'Step 3 Dedicated Funds'!N18</f>
        <v>1743717</v>
      </c>
      <c r="O18" s="62">
        <f>'Step 3 Dedicated Funds'!O18</f>
        <v>119880.22</v>
      </c>
      <c r="P18" s="63">
        <f>'Step 3 Dedicated Funds'!P18</f>
        <v>538000</v>
      </c>
      <c r="Q18" s="63">
        <f>'Step 3 Dedicated Funds'!Q18</f>
        <v>435081</v>
      </c>
      <c r="R18" s="62">
        <f>'Step 3 Dedicated Funds'!R18</f>
        <v>500000</v>
      </c>
      <c r="T18" s="63">
        <f t="shared" si="1"/>
        <v>3135635.1680000001</v>
      </c>
      <c r="U18" s="203"/>
      <c r="V18" s="290">
        <f>'Step 3 Dedicated Funds'!V18</f>
        <v>9355600</v>
      </c>
      <c r="W18" s="63">
        <f>'Step 3 Dedicated Funds'!W18</f>
        <v>9355600</v>
      </c>
      <c r="Z18" s="202"/>
    </row>
    <row r="19" spans="1:26">
      <c r="A19" s="76" t="s">
        <v>106</v>
      </c>
      <c r="B19" s="68"/>
      <c r="C19" s="68">
        <f>'Step 3 Dedicated Funds'!C19</f>
        <v>0</v>
      </c>
      <c r="D19" s="68"/>
      <c r="E19" s="68"/>
      <c r="F19" s="68"/>
      <c r="G19" s="68"/>
      <c r="H19" s="68"/>
      <c r="I19" s="68"/>
      <c r="J19" s="68"/>
      <c r="K19" s="218">
        <f>'Step 3 Dedicated Funds'!K19</f>
        <v>0</v>
      </c>
      <c r="L19" s="68"/>
      <c r="M19" s="218">
        <f>'Step 3 Dedicated Funds'!M19</f>
        <v>-96783.046000000002</v>
      </c>
      <c r="N19" s="78">
        <f>'Step 3 Dedicated Funds'!N19</f>
        <v>0</v>
      </c>
      <c r="O19" s="78">
        <f>'Step 3 Dedicated Funds'!O19</f>
        <v>128949.62999999999</v>
      </c>
      <c r="P19" s="68">
        <f>'Step 3 Dedicated Funds'!P19</f>
        <v>1195000</v>
      </c>
      <c r="Q19" s="68">
        <f>'Step 3 Dedicated Funds'!Q19</f>
        <v>112879</v>
      </c>
      <c r="R19" s="78">
        <f>'Step 3 Dedicated Funds'!R19</f>
        <v>900000</v>
      </c>
      <c r="T19" s="68">
        <f t="shared" si="1"/>
        <v>2240045.5839999998</v>
      </c>
      <c r="U19" s="203"/>
      <c r="V19" s="960">
        <f>'Step 3 Dedicated Funds'!V19</f>
        <v>20440194</v>
      </c>
      <c r="W19" s="68">
        <f>'Step 3 Dedicated Funds'!W19</f>
        <v>20440194</v>
      </c>
      <c r="Z19" s="202"/>
    </row>
    <row r="20" spans="1:26">
      <c r="A20" s="213" t="s">
        <v>107</v>
      </c>
      <c r="B20" s="68"/>
      <c r="C20" s="68">
        <f>'Step 3 Dedicated Funds'!C20</f>
        <v>0</v>
      </c>
      <c r="D20" s="68"/>
      <c r="E20" s="68"/>
      <c r="F20" s="68"/>
      <c r="G20" s="68"/>
      <c r="H20" s="68"/>
      <c r="I20" s="68"/>
      <c r="J20" s="68"/>
      <c r="K20" s="218"/>
      <c r="L20" s="68"/>
      <c r="M20" s="78">
        <f>'Step 3 Dedicated Funds'!M20</f>
        <v>-5550.5919999999996</v>
      </c>
      <c r="N20" s="78">
        <f>'Step 3 Dedicated Funds'!N20</f>
        <v>0</v>
      </c>
      <c r="O20" s="78">
        <f>'Step 3 Dedicated Funds'!O20</f>
        <v>0</v>
      </c>
      <c r="P20" s="68">
        <f>'Step 3 Dedicated Funds'!P20</f>
        <v>75008</v>
      </c>
      <c r="Q20" s="68">
        <f>'Step 3 Dedicated Funds'!Q20</f>
        <v>0</v>
      </c>
      <c r="R20" s="78">
        <f>'Step 3 Dedicated Funds'!R20</f>
        <v>15786</v>
      </c>
      <c r="T20" s="68">
        <f t="shared" si="1"/>
        <v>85243.407999999996</v>
      </c>
      <c r="U20" s="203"/>
      <c r="V20" s="960">
        <f>'Step 3 Dedicated Funds'!V20</f>
        <v>4806568</v>
      </c>
      <c r="W20" s="68">
        <f>'Step 3 Dedicated Funds'!W20</f>
        <v>4806568</v>
      </c>
      <c r="Z20" s="202"/>
    </row>
    <row r="21" spans="1:26">
      <c r="A21" s="214" t="s">
        <v>108</v>
      </c>
      <c r="B21" s="63"/>
      <c r="C21" s="63">
        <f>'Step 3 Dedicated Funds'!C21</f>
        <v>75000</v>
      </c>
      <c r="D21" s="63"/>
      <c r="E21" s="63"/>
      <c r="F21" s="63"/>
      <c r="G21" s="63"/>
      <c r="H21" s="63"/>
      <c r="I21" s="63"/>
      <c r="J21" s="63"/>
      <c r="K21" s="217"/>
      <c r="L21" s="63"/>
      <c r="M21" s="62">
        <f>'Step 3 Dedicated Funds'!M21</f>
        <v>-126370.466</v>
      </c>
      <c r="N21" s="62">
        <f>'Step 3 Dedicated Funds'!N21</f>
        <v>0</v>
      </c>
      <c r="O21" s="62">
        <f>'Step 3 Dedicated Funds'!O21</f>
        <v>0</v>
      </c>
      <c r="P21" s="63">
        <f>'Step 3 Dedicated Funds'!P21</f>
        <v>1375000</v>
      </c>
      <c r="Q21" s="63">
        <f>'Step 3 Dedicated Funds'!Q21</f>
        <v>332709</v>
      </c>
      <c r="R21" s="62">
        <f>'Step 3 Dedicated Funds'!R21</f>
        <v>99500</v>
      </c>
      <c r="T21" s="63">
        <f t="shared" si="1"/>
        <v>1755838.534</v>
      </c>
      <c r="U21" s="203"/>
      <c r="V21" s="290">
        <f>'Step 3 Dedicated Funds'!V21</f>
        <v>45894131</v>
      </c>
      <c r="W21" s="63">
        <f>'Step 3 Dedicated Funds'!W21</f>
        <v>45894131</v>
      </c>
      <c r="Z21" s="202"/>
    </row>
    <row r="22" spans="1:26">
      <c r="A22" s="213" t="s">
        <v>109</v>
      </c>
      <c r="B22" s="68"/>
      <c r="C22" s="68">
        <f>'Step 3 Dedicated Funds'!C22</f>
        <v>10875</v>
      </c>
      <c r="D22" s="68"/>
      <c r="E22" s="68"/>
      <c r="F22" s="68"/>
      <c r="G22" s="68"/>
      <c r="H22" s="68"/>
      <c r="I22" s="68"/>
      <c r="J22" s="68"/>
      <c r="K22" s="218"/>
      <c r="L22" s="68"/>
      <c r="M22" s="78">
        <f>'Step 3 Dedicated Funds'!M22</f>
        <v>-62400.944000000003</v>
      </c>
      <c r="N22" s="78">
        <f>'Step 3 Dedicated Funds'!N22</f>
        <v>615599</v>
      </c>
      <c r="O22" s="78">
        <f>'Step 3 Dedicated Funds'!O22</f>
        <v>0</v>
      </c>
      <c r="P22" s="68">
        <f>'Step 3 Dedicated Funds'!P22</f>
        <v>208000</v>
      </c>
      <c r="Q22" s="68">
        <f>'Step 3 Dedicated Funds'!Q22</f>
        <v>19657</v>
      </c>
      <c r="R22" s="78">
        <f>'Step 3 Dedicated Funds'!R22</f>
        <v>2900000</v>
      </c>
      <c r="T22" s="68">
        <f t="shared" si="1"/>
        <v>3691730.0559999999</v>
      </c>
      <c r="U22" s="203"/>
      <c r="V22" s="960">
        <f>'Step 3 Dedicated Funds'!V22</f>
        <v>14831995</v>
      </c>
      <c r="W22" s="68">
        <f>'Step 3 Dedicated Funds'!W22</f>
        <v>14831995</v>
      </c>
      <c r="Z22" s="202"/>
    </row>
    <row r="23" spans="1:26">
      <c r="A23" s="213" t="s">
        <v>110</v>
      </c>
      <c r="B23" s="78"/>
      <c r="C23" s="78">
        <f>'Step 3 Dedicated Funds'!C23</f>
        <v>0</v>
      </c>
      <c r="D23" s="78"/>
      <c r="E23" s="78"/>
      <c r="F23" s="78"/>
      <c r="G23" s="78"/>
      <c r="H23" s="78"/>
      <c r="I23" s="78"/>
      <c r="J23" s="78"/>
      <c r="K23" s="219"/>
      <c r="L23" s="78"/>
      <c r="M23" s="78">
        <f>'Step 3 Dedicated Funds'!M23</f>
        <v>-106069.01</v>
      </c>
      <c r="N23" s="78">
        <f>'Step 3 Dedicated Funds'!N23</f>
        <v>1098365</v>
      </c>
      <c r="O23" s="78">
        <f>'Step 3 Dedicated Funds'!O23</f>
        <v>3558513.7199999997</v>
      </c>
      <c r="P23" s="68">
        <f>'Step 3 Dedicated Funds'!P23</f>
        <v>335000</v>
      </c>
      <c r="Q23" s="68">
        <f>'Step 3 Dedicated Funds'!Q23</f>
        <v>0</v>
      </c>
      <c r="R23" s="78">
        <f>'Step 3 Dedicated Funds'!R23</f>
        <v>200000</v>
      </c>
      <c r="T23" s="78">
        <f t="shared" si="1"/>
        <v>5085809.71</v>
      </c>
      <c r="U23" s="203"/>
      <c r="V23" s="960">
        <f>'Step 3 Dedicated Funds'!V23</f>
        <v>12737398</v>
      </c>
      <c r="W23" s="68">
        <f>'Step 3 Dedicated Funds'!W23</f>
        <v>12737398</v>
      </c>
      <c r="Z23" s="202"/>
    </row>
    <row r="24" spans="1:26">
      <c r="A24" s="214" t="s">
        <v>111</v>
      </c>
      <c r="B24" s="63"/>
      <c r="C24" s="63">
        <f>'Step 3 Dedicated Funds'!C24</f>
        <v>0</v>
      </c>
      <c r="D24" s="63"/>
      <c r="E24" s="63"/>
      <c r="F24" s="63"/>
      <c r="G24" s="63"/>
      <c r="H24" s="63"/>
      <c r="I24" s="63"/>
      <c r="J24" s="63"/>
      <c r="K24" s="217"/>
      <c r="L24" s="63"/>
      <c r="M24" s="62">
        <f>'Step 3 Dedicated Funds'!M24</f>
        <v>-114048.57799999999</v>
      </c>
      <c r="N24" s="62">
        <f>'Step 3 Dedicated Funds'!N24</f>
        <v>0</v>
      </c>
      <c r="O24" s="62">
        <f>'Step 3 Dedicated Funds'!O24</f>
        <v>0</v>
      </c>
      <c r="P24" s="63">
        <f>'Step 3 Dedicated Funds'!P24</f>
        <v>1315000</v>
      </c>
      <c r="Q24" s="63">
        <f>'Step 3 Dedicated Funds'!Q24</f>
        <v>226197</v>
      </c>
      <c r="R24" s="62">
        <f>'Step 3 Dedicated Funds'!R24</f>
        <v>780000</v>
      </c>
      <c r="T24" s="63">
        <f t="shared" si="1"/>
        <v>2207148.4220000003</v>
      </c>
      <c r="U24" s="203"/>
      <c r="V24" s="290">
        <f>'Step 3 Dedicated Funds'!V24</f>
        <v>41127158</v>
      </c>
      <c r="W24" s="63">
        <f>'Step 3 Dedicated Funds'!W24</f>
        <v>41127158</v>
      </c>
      <c r="Z24" s="202"/>
    </row>
    <row r="25" spans="1:26">
      <c r="A25" s="213" t="s">
        <v>112</v>
      </c>
      <c r="B25" s="78"/>
      <c r="C25" s="78">
        <f>'Step 3 Dedicated Funds'!C25</f>
        <v>-48085</v>
      </c>
      <c r="D25" s="78"/>
      <c r="E25" s="78"/>
      <c r="F25" s="78"/>
      <c r="G25" s="78"/>
      <c r="H25" s="78"/>
      <c r="I25" s="78"/>
      <c r="J25" s="78"/>
      <c r="K25" s="219"/>
      <c r="L25" s="78"/>
      <c r="M25" s="78">
        <f>'Step 3 Dedicated Funds'!M25</f>
        <v>-983794.70200000005</v>
      </c>
      <c r="N25" s="78">
        <f>'Step 3 Dedicated Funds'!N25</f>
        <v>4966751</v>
      </c>
      <c r="O25" s="78">
        <f>'Step 3 Dedicated Funds'!O25</f>
        <v>3136704</v>
      </c>
      <c r="P25" s="68">
        <f>'Step 3 Dedicated Funds'!P25</f>
        <v>8327772</v>
      </c>
      <c r="Q25" s="68">
        <f>'Step 3 Dedicated Funds'!Q25</f>
        <v>0</v>
      </c>
      <c r="R25" s="78">
        <f>'Step 3 Dedicated Funds'!R25</f>
        <v>125000</v>
      </c>
      <c r="T25" s="78">
        <f t="shared" si="1"/>
        <v>15524347.298</v>
      </c>
      <c r="U25" s="203"/>
      <c r="V25" s="960">
        <f>'Step 3 Dedicated Funds'!V25</f>
        <v>24909417</v>
      </c>
      <c r="W25" s="68">
        <f>'Step 3 Dedicated Funds'!W25</f>
        <v>24909417</v>
      </c>
      <c r="Z25" s="202"/>
    </row>
    <row r="26" spans="1:26">
      <c r="A26" s="213" t="s">
        <v>113</v>
      </c>
      <c r="B26" s="68"/>
      <c r="C26" s="68">
        <f>'Step 3 Dedicated Funds'!C26</f>
        <v>0</v>
      </c>
      <c r="D26" s="68"/>
      <c r="E26" s="68"/>
      <c r="F26" s="68">
        <f>'Step 5a Serv Support Measures'!I24</f>
        <v>535112.03073288093</v>
      </c>
      <c r="G26" s="68"/>
      <c r="H26" s="68"/>
      <c r="I26" s="68"/>
      <c r="J26" s="68"/>
      <c r="K26" s="218"/>
      <c r="L26" s="68"/>
      <c r="M26" s="78">
        <f>'Step 3 Dedicated Funds'!M26</f>
        <v>0</v>
      </c>
      <c r="N26" s="78">
        <f>'Step 3 Dedicated Funds'!N26</f>
        <v>0</v>
      </c>
      <c r="O26" s="78">
        <f>'Step 3 Dedicated Funds'!O26</f>
        <v>0</v>
      </c>
      <c r="P26" s="78">
        <f>'Step 3 Dedicated Funds'!P26</f>
        <v>0</v>
      </c>
      <c r="Q26" s="78">
        <f>'Step 3 Dedicated Funds'!Q26</f>
        <v>0</v>
      </c>
      <c r="R26" s="78">
        <f>'Step 3 Dedicated Funds'!R26</f>
        <v>0</v>
      </c>
      <c r="T26" s="68">
        <f t="shared" si="1"/>
        <v>535112.03073288093</v>
      </c>
      <c r="U26" s="203"/>
      <c r="V26" s="960">
        <f>'Step 3 Dedicated Funds'!V26</f>
        <v>543366</v>
      </c>
      <c r="W26" s="68">
        <f>'Step 3 Dedicated Funds'!W26</f>
        <v>543366</v>
      </c>
      <c r="Z26" s="202"/>
    </row>
    <row r="27" spans="1:26">
      <c r="A27" s="214" t="s">
        <v>114</v>
      </c>
      <c r="B27" s="63"/>
      <c r="C27" s="63">
        <f>'Step 3 Dedicated Funds'!C27</f>
        <v>0</v>
      </c>
      <c r="D27" s="63"/>
      <c r="E27" s="63"/>
      <c r="F27" s="63"/>
      <c r="G27" s="63"/>
      <c r="H27" s="63"/>
      <c r="I27" s="63"/>
      <c r="J27" s="63"/>
      <c r="K27" s="217"/>
      <c r="L27" s="63"/>
      <c r="M27" s="62">
        <f>'Step 3 Dedicated Funds'!M27</f>
        <v>-1147</v>
      </c>
      <c r="N27" s="62">
        <f>'Step 3 Dedicated Funds'!N27</f>
        <v>0</v>
      </c>
      <c r="O27" s="62">
        <f>'Step 3 Dedicated Funds'!O27</f>
        <v>1244585</v>
      </c>
      <c r="P27" s="63">
        <f>'Step 3 Dedicated Funds'!P27</f>
        <v>15500</v>
      </c>
      <c r="Q27" s="63">
        <f>'Step 3 Dedicated Funds'!Q27</f>
        <v>0</v>
      </c>
      <c r="R27" s="62">
        <f>'Step 3 Dedicated Funds'!R27</f>
        <v>0</v>
      </c>
      <c r="T27" s="63">
        <f>SUM(B27:R27)</f>
        <v>1258938</v>
      </c>
      <c r="U27" s="203"/>
      <c r="V27" s="290">
        <f>'Step 3 Dedicated Funds'!V27</f>
        <v>2839964</v>
      </c>
      <c r="W27" s="63">
        <f>'Step 3 Dedicated Funds'!W27</f>
        <v>2839964</v>
      </c>
      <c r="Z27" s="202"/>
    </row>
    <row r="28" spans="1:26">
      <c r="A28" s="76" t="s">
        <v>116</v>
      </c>
      <c r="B28" s="78"/>
      <c r="C28" s="78">
        <f>'Step 3 Dedicated Funds'!C28</f>
        <v>0</v>
      </c>
      <c r="D28" s="78"/>
      <c r="E28" s="78"/>
      <c r="F28" s="68">
        <f>'Step 5a Serv Support Measures'!I26</f>
        <v>0</v>
      </c>
      <c r="G28" s="78"/>
      <c r="H28" s="78"/>
      <c r="I28" s="78"/>
      <c r="J28" s="78"/>
      <c r="K28" s="219"/>
      <c r="L28" s="78"/>
      <c r="M28" s="78">
        <f>'Step 3 Dedicated Funds'!M28</f>
        <v>0</v>
      </c>
      <c r="N28" s="78">
        <f>'Step 3 Dedicated Funds'!N28</f>
        <v>0</v>
      </c>
      <c r="O28" s="78">
        <f>'Step 3 Dedicated Funds'!O28</f>
        <v>0</v>
      </c>
      <c r="P28" s="78">
        <f>'Step 3 Dedicated Funds'!P28</f>
        <v>18786975</v>
      </c>
      <c r="Q28" s="78">
        <f>'Step 3 Dedicated Funds'!Q28</f>
        <v>0</v>
      </c>
      <c r="R28" s="78">
        <f>'Step 3 Dedicated Funds'!R28</f>
        <v>0</v>
      </c>
      <c r="T28" s="78">
        <f t="shared" si="1"/>
        <v>18786975</v>
      </c>
      <c r="U28" s="203"/>
      <c r="V28" s="960">
        <f>'Step 3 Dedicated Funds'!V28</f>
        <v>18786975</v>
      </c>
      <c r="W28" s="68">
        <f>'Step 3 Dedicated Funds'!W28</f>
        <v>18786975</v>
      </c>
      <c r="Z28" s="202"/>
    </row>
    <row r="29" spans="1:26">
      <c r="A29" s="213" t="s">
        <v>117</v>
      </c>
      <c r="B29" s="68"/>
      <c r="C29" s="68">
        <f>'Step 3 Dedicated Funds'!C29</f>
        <v>0</v>
      </c>
      <c r="D29" s="68"/>
      <c r="E29" s="68"/>
      <c r="F29" s="68"/>
      <c r="G29" s="68"/>
      <c r="H29" s="68"/>
      <c r="I29" s="68"/>
      <c r="J29" s="68"/>
      <c r="K29" s="218"/>
      <c r="L29" s="68"/>
      <c r="M29" s="78">
        <f>'Step 3 Dedicated Funds'!M29</f>
        <v>0</v>
      </c>
      <c r="N29" s="78">
        <f>'Step 3 Dedicated Funds'!N29</f>
        <v>0</v>
      </c>
      <c r="O29" s="78">
        <f>'Step 3 Dedicated Funds'!O29</f>
        <v>0</v>
      </c>
      <c r="P29" s="68">
        <f>'Step 3 Dedicated Funds'!P29</f>
        <v>0</v>
      </c>
      <c r="Q29" s="68">
        <f>'Step 3 Dedicated Funds'!Q29</f>
        <v>0</v>
      </c>
      <c r="R29" s="78">
        <f>'Step 3 Dedicated Funds'!R29</f>
        <v>3296000</v>
      </c>
      <c r="S29" s="66"/>
      <c r="T29" s="68">
        <f t="shared" si="1"/>
        <v>3296000</v>
      </c>
      <c r="U29" s="203"/>
      <c r="V29" s="290">
        <f>'Step 3 Dedicated Funds'!V29</f>
        <v>3296000</v>
      </c>
      <c r="W29" s="63">
        <f>'Step 3 Dedicated Funds'!W29</f>
        <v>3296000</v>
      </c>
      <c r="Z29" s="202"/>
    </row>
    <row r="30" spans="1:26">
      <c r="A30" s="438" t="s">
        <v>523</v>
      </c>
      <c r="B30" s="266"/>
      <c r="C30" s="266">
        <f>'Step 3 Dedicated Funds'!C30</f>
        <v>0</v>
      </c>
      <c r="D30" s="266"/>
      <c r="E30" s="266"/>
      <c r="F30" s="266">
        <f>'Step 5a Serv Support Measures'!I28</f>
        <v>1953958.530465791</v>
      </c>
      <c r="G30" s="266"/>
      <c r="H30" s="266"/>
      <c r="I30" s="266"/>
      <c r="J30" s="266"/>
      <c r="K30" s="263"/>
      <c r="L30" s="266"/>
      <c r="M30" s="62">
        <f>'Step 3 Dedicated Funds'!M30</f>
        <v>-209046.3</v>
      </c>
      <c r="N30" s="62">
        <f>'Step 3 Dedicated Funds'!N30</f>
        <v>0</v>
      </c>
      <c r="O30" s="62">
        <f>'Step 3 Dedicated Funds'!O30</f>
        <v>0</v>
      </c>
      <c r="P30" s="266">
        <f>'Step 3 Dedicated Funds'!P30</f>
        <v>2824950</v>
      </c>
      <c r="Q30" s="266">
        <f>'Step 3 Dedicated Funds'!Q30</f>
        <v>0</v>
      </c>
      <c r="R30" s="62">
        <f>'Step 3 Dedicated Funds'!R30</f>
        <v>0</v>
      </c>
      <c r="S30" s="263"/>
      <c r="T30" s="266">
        <f>SUM(B30:R30)</f>
        <v>4569862.2304657912</v>
      </c>
      <c r="U30" s="271"/>
      <c r="V30" s="960">
        <f>'Step 3 Dedicated Funds'!V30</f>
        <v>4706010</v>
      </c>
      <c r="W30" s="68">
        <f>'Step 3 Dedicated Funds'!W30</f>
        <v>4706010</v>
      </c>
      <c r="Z30" s="202"/>
    </row>
    <row r="31" spans="1:26">
      <c r="A31" s="437" t="s">
        <v>524</v>
      </c>
      <c r="B31" s="78"/>
      <c r="C31" s="78">
        <f>'Step 3 Dedicated Funds'!C31</f>
        <v>0</v>
      </c>
      <c r="D31" s="78"/>
      <c r="E31" s="78"/>
      <c r="F31" s="78"/>
      <c r="G31" s="78"/>
      <c r="H31" s="78"/>
      <c r="I31" s="78"/>
      <c r="J31" s="78"/>
      <c r="K31" s="66"/>
      <c r="L31" s="78"/>
      <c r="M31" s="78">
        <f>'Step 3 Dedicated Funds'!M31</f>
        <v>0</v>
      </c>
      <c r="N31" s="78">
        <f>'Step 3 Dedicated Funds'!N31</f>
        <v>0</v>
      </c>
      <c r="O31" s="78">
        <f>'Step 3 Dedicated Funds'!O31</f>
        <v>0</v>
      </c>
      <c r="P31" s="78">
        <f>'Step 3 Dedicated Funds'!P31</f>
        <v>0</v>
      </c>
      <c r="Q31" s="78">
        <f>'Step 3 Dedicated Funds'!Q31</f>
        <v>0</v>
      </c>
      <c r="R31" s="78">
        <f>'Step 3 Dedicated Funds'!R31</f>
        <v>0</v>
      </c>
      <c r="S31" s="66"/>
      <c r="T31" s="78">
        <f t="shared" si="1"/>
        <v>0</v>
      </c>
      <c r="U31" s="203"/>
      <c r="V31" s="960">
        <f>'Step 3 Dedicated Funds'!V31</f>
        <v>833083</v>
      </c>
      <c r="W31" s="68">
        <f>'Step 3 Dedicated Funds'!W31</f>
        <v>14579074</v>
      </c>
      <c r="Z31" s="202"/>
    </row>
    <row r="32" spans="1:26">
      <c r="A32" s="213" t="s">
        <v>118</v>
      </c>
      <c r="B32" s="68"/>
      <c r="C32" s="68">
        <f>'Step 3 Dedicated Funds'!C32</f>
        <v>0</v>
      </c>
      <c r="D32" s="68"/>
      <c r="E32" s="68"/>
      <c r="F32" s="68">
        <f>'Step 5a Serv Support Measures'!I30</f>
        <v>11664777.371440345</v>
      </c>
      <c r="G32" s="68"/>
      <c r="H32" s="68"/>
      <c r="I32" s="68"/>
      <c r="J32" s="68"/>
      <c r="K32" s="218"/>
      <c r="L32" s="68"/>
      <c r="M32" s="78">
        <f>'Step 3 Dedicated Funds'!M32</f>
        <v>-20779.347999999998</v>
      </c>
      <c r="N32" s="78">
        <f>'Step 3 Dedicated Funds'!N32</f>
        <v>47475</v>
      </c>
      <c r="O32" s="78">
        <f>'Step 3 Dedicated Funds'!O32</f>
        <v>0</v>
      </c>
      <c r="P32" s="68">
        <f>'Step 3 Dedicated Funds'!P32</f>
        <v>122600</v>
      </c>
      <c r="Q32" s="68">
        <f>'Step 3 Dedicated Funds'!Q32</f>
        <v>110727</v>
      </c>
      <c r="R32" s="78">
        <f>'Step 3 Dedicated Funds'!R32</f>
        <v>2467041.4615384615</v>
      </c>
      <c r="S32" s="66"/>
      <c r="T32" s="68">
        <f t="shared" si="1"/>
        <v>14391841.484978808</v>
      </c>
      <c r="U32" s="203"/>
      <c r="V32" s="290">
        <f>'Step 3 Dedicated Funds'!V32</f>
        <v>14579074</v>
      </c>
      <c r="W32" s="63">
        <f>'Step 3 Dedicated Funds'!W32</f>
        <v>11354618</v>
      </c>
      <c r="Z32" s="202"/>
    </row>
    <row r="33" spans="1:26">
      <c r="A33" s="438" t="s">
        <v>119</v>
      </c>
      <c r="B33" s="266"/>
      <c r="C33" s="266">
        <f>'Step 3 Dedicated Funds'!C33</f>
        <v>0</v>
      </c>
      <c r="D33" s="266"/>
      <c r="E33" s="266"/>
      <c r="F33" s="266"/>
      <c r="G33" s="266"/>
      <c r="H33" s="266"/>
      <c r="I33" s="266"/>
      <c r="J33" s="266"/>
      <c r="K33" s="439"/>
      <c r="L33" s="266"/>
      <c r="M33" s="62">
        <f>'Step 3 Dedicated Funds'!M33</f>
        <v>-110830.54</v>
      </c>
      <c r="N33" s="62">
        <f>'Step 3 Dedicated Funds'!N33</f>
        <v>458258</v>
      </c>
      <c r="O33" s="62">
        <f>'Step 3 Dedicated Funds'!O33</f>
        <v>0</v>
      </c>
      <c r="P33" s="266">
        <f>'Step 3 Dedicated Funds'!P33</f>
        <v>882685</v>
      </c>
      <c r="Q33" s="266">
        <f>'Step 3 Dedicated Funds'!Q33</f>
        <v>156767</v>
      </c>
      <c r="R33" s="62">
        <f>'Step 3 Dedicated Funds'!R33</f>
        <v>678800</v>
      </c>
      <c r="S33" s="263"/>
      <c r="T33" s="266">
        <f t="shared" si="1"/>
        <v>2065679.46</v>
      </c>
      <c r="U33" s="271"/>
      <c r="V33" s="960">
        <f>'Step 3 Dedicated Funds'!V33</f>
        <v>11354618</v>
      </c>
      <c r="W33" s="68">
        <f>'Step 3 Dedicated Funds'!W33</f>
        <v>833083</v>
      </c>
      <c r="Z33" s="202"/>
    </row>
    <row r="34" spans="1:26">
      <c r="A34" s="441" t="s">
        <v>120</v>
      </c>
      <c r="B34" s="442">
        <f>SUM(B15:B33)</f>
        <v>0</v>
      </c>
      <c r="C34" s="442">
        <f>SUM(C15:C33)</f>
        <v>37790</v>
      </c>
      <c r="D34" s="442">
        <f>SUM(D15:D33)</f>
        <v>0</v>
      </c>
      <c r="E34" s="442"/>
      <c r="F34" s="442">
        <f>SUM(F15:F33)</f>
        <v>14153847.932639018</v>
      </c>
      <c r="G34" s="442">
        <f>SUM(G15:G33)</f>
        <v>0</v>
      </c>
      <c r="H34" s="442">
        <f>SUM(H15:H33)</f>
        <v>0</v>
      </c>
      <c r="I34" s="442">
        <f>SUM(I15:I33)</f>
        <v>0</v>
      </c>
      <c r="J34" s="442"/>
      <c r="K34" s="442">
        <f>SUM(K15:K33)</f>
        <v>0</v>
      </c>
      <c r="L34" s="442"/>
      <c r="M34" s="442">
        <f t="shared" ref="M34:R34" si="2">SUM(M15:M33)</f>
        <v>-2830669.682</v>
      </c>
      <c r="N34" s="442">
        <f t="shared" si="2"/>
        <v>17072915</v>
      </c>
      <c r="O34" s="442">
        <f t="shared" si="2"/>
        <v>20569675.344000001</v>
      </c>
      <c r="P34" s="442">
        <f>SUM(P15:P33)</f>
        <v>38063990</v>
      </c>
      <c r="Q34" s="442">
        <f t="shared" si="2"/>
        <v>1902363</v>
      </c>
      <c r="R34" s="442">
        <f t="shared" si="2"/>
        <v>16264927.461538462</v>
      </c>
      <c r="S34" s="443"/>
      <c r="T34" s="442">
        <f>SUM(T15:T33)</f>
        <v>105234839.05617747</v>
      </c>
      <c r="U34" s="444"/>
      <c r="V34" s="442">
        <f>'Step 3 Dedicated Funds'!V34</f>
        <v>336970658</v>
      </c>
      <c r="W34" s="442">
        <f>'Step 3 Dedicated Funds'!W34</f>
        <v>336970658</v>
      </c>
      <c r="Z34" s="202"/>
    </row>
    <row r="35" spans="1:26">
      <c r="A35" s="213"/>
      <c r="B35" s="66"/>
      <c r="C35" s="66"/>
      <c r="D35" s="66"/>
      <c r="E35" s="66"/>
      <c r="F35" s="66"/>
      <c r="G35" s="66"/>
      <c r="H35" s="66"/>
      <c r="I35" s="66"/>
      <c r="J35" s="66"/>
      <c r="K35" s="66"/>
      <c r="L35" s="66"/>
      <c r="M35" s="66"/>
      <c r="N35" s="66"/>
      <c r="O35" s="66"/>
      <c r="P35" s="66"/>
      <c r="Q35" s="66"/>
      <c r="R35" s="66"/>
      <c r="S35" s="66"/>
      <c r="T35" s="66"/>
      <c r="U35" s="203"/>
      <c r="V35" s="62"/>
      <c r="W35" s="63"/>
      <c r="Z35" s="202"/>
    </row>
    <row r="36" spans="1:26">
      <c r="A36" s="203"/>
      <c r="U36" s="208"/>
      <c r="V36" s="208"/>
      <c r="W36" s="68"/>
      <c r="Z36" s="202"/>
    </row>
    <row r="37" spans="1:26">
      <c r="A37" s="76" t="s">
        <v>121</v>
      </c>
      <c r="B37" s="78"/>
      <c r="C37" s="78"/>
      <c r="D37" s="78"/>
      <c r="E37" s="78"/>
      <c r="F37" s="78"/>
      <c r="G37" s="78"/>
      <c r="H37" s="78"/>
      <c r="I37" s="78"/>
      <c r="J37" s="78"/>
      <c r="K37" s="78"/>
      <c r="L37" s="78"/>
      <c r="M37" s="78"/>
      <c r="N37" s="78"/>
      <c r="O37" s="78"/>
      <c r="P37" s="78"/>
      <c r="Q37" s="78"/>
      <c r="R37" s="78"/>
      <c r="T37" s="78"/>
      <c r="U37" s="203"/>
      <c r="V37" s="78"/>
      <c r="W37" s="68"/>
      <c r="Z37" s="202"/>
    </row>
    <row r="38" spans="1:26">
      <c r="A38" s="214" t="s">
        <v>122</v>
      </c>
      <c r="B38" s="63"/>
      <c r="C38" s="63">
        <f>'Step 3 Dedicated Funds'!C38</f>
        <v>20000</v>
      </c>
      <c r="D38" s="63">
        <f>'Step 3 Dedicated Funds'!D38</f>
        <v>8368275</v>
      </c>
      <c r="E38" s="217"/>
      <c r="F38" s="217"/>
      <c r="G38" s="217"/>
      <c r="H38" s="217"/>
      <c r="I38" s="217"/>
      <c r="J38" s="217"/>
      <c r="K38" s="217"/>
      <c r="L38" s="63"/>
      <c r="M38" s="62">
        <f>'Step 3 Dedicated Funds'!M38</f>
        <v>0</v>
      </c>
      <c r="N38" s="62">
        <f>'Step 3 Dedicated Funds'!N38</f>
        <v>0</v>
      </c>
      <c r="O38" s="205">
        <f>'Step 3 Dedicated Funds'!O38</f>
        <v>0</v>
      </c>
      <c r="P38" s="63">
        <f>'Step 3 Dedicated Funds'!P38</f>
        <v>0</v>
      </c>
      <c r="Q38" s="62">
        <f>'Step 3 Dedicated Funds'!Q38</f>
        <v>0</v>
      </c>
      <c r="R38" s="467">
        <f>'Step 3 Dedicated Funds'!R38</f>
        <v>0</v>
      </c>
      <c r="T38" s="63">
        <f t="shared" ref="T38:T55" si="3">SUM(B38:R38)</f>
        <v>8388275</v>
      </c>
      <c r="U38" s="203"/>
      <c r="V38" s="290">
        <f>'Step 3 Dedicated Funds'!V38</f>
        <v>8388275</v>
      </c>
      <c r="W38" s="63">
        <f>'Step 3 Dedicated Funds'!W38</f>
        <v>8388275</v>
      </c>
      <c r="Y38" s="12"/>
      <c r="Z38" s="202"/>
    </row>
    <row r="39" spans="1:26">
      <c r="A39" s="213" t="s">
        <v>123</v>
      </c>
      <c r="B39" s="78"/>
      <c r="C39" s="78">
        <f>'Step 3 Dedicated Funds'!C39</f>
        <v>26585</v>
      </c>
      <c r="D39" s="68">
        <f>'Step 3 Dedicated Funds'!D39</f>
        <v>0</v>
      </c>
      <c r="E39" s="78"/>
      <c r="F39" s="78"/>
      <c r="G39" s="78"/>
      <c r="H39" s="78"/>
      <c r="I39" s="68">
        <f>'Step 5a Serv Support Measures'!I37</f>
        <v>3895010.722203155</v>
      </c>
      <c r="J39" s="78"/>
      <c r="K39" s="219"/>
      <c r="L39" s="78"/>
      <c r="M39" s="78">
        <f>'Step 3 Dedicated Funds'!M39</f>
        <v>0</v>
      </c>
      <c r="N39" s="78">
        <f>'Step 3 Dedicated Funds'!N39</f>
        <v>0</v>
      </c>
      <c r="O39" s="216">
        <f>'Step 3 Dedicated Funds'!O39</f>
        <v>0</v>
      </c>
      <c r="P39" s="68">
        <f>'Step 3 Dedicated Funds'!P39</f>
        <v>0</v>
      </c>
      <c r="Q39" s="68">
        <f>'Step 3 Dedicated Funds'!Q39</f>
        <v>0</v>
      </c>
      <c r="R39" s="459">
        <f>'Step 3 Dedicated Funds'!R39</f>
        <v>0</v>
      </c>
      <c r="T39" s="78">
        <f t="shared" si="3"/>
        <v>3921595.722203155</v>
      </c>
      <c r="U39" s="203"/>
      <c r="V39" s="960">
        <f>'Step 3 Dedicated Funds'!V39</f>
        <v>3982978</v>
      </c>
      <c r="W39" s="68">
        <f>'Step 3 Dedicated Funds'!W39</f>
        <v>3982978</v>
      </c>
      <c r="Y39" s="12"/>
      <c r="Z39" s="202"/>
    </row>
    <row r="40" spans="1:26">
      <c r="A40" s="76" t="s">
        <v>124</v>
      </c>
      <c r="B40" s="78"/>
      <c r="C40" s="78">
        <f>'Step 3 Dedicated Funds'!C40</f>
        <v>0</v>
      </c>
      <c r="D40" s="68">
        <f>'Step 3 Dedicated Funds'!D40</f>
        <v>1441801</v>
      </c>
      <c r="E40" s="219"/>
      <c r="F40" s="219"/>
      <c r="G40" s="219"/>
      <c r="H40" s="219"/>
      <c r="I40" s="219"/>
      <c r="J40" s="219"/>
      <c r="K40" s="219"/>
      <c r="L40" s="78"/>
      <c r="M40" s="78">
        <f>'Step 3 Dedicated Funds'!M40</f>
        <v>0</v>
      </c>
      <c r="N40" s="78">
        <f>'Step 3 Dedicated Funds'!N40</f>
        <v>0</v>
      </c>
      <c r="O40" s="78">
        <f>'Step 3 Dedicated Funds'!O40</f>
        <v>0</v>
      </c>
      <c r="P40" s="78">
        <f>'Step 3 Dedicated Funds'!P40</f>
        <v>0</v>
      </c>
      <c r="Q40" s="78">
        <f>'Step 3 Dedicated Funds'!Q40</f>
        <v>0</v>
      </c>
      <c r="R40" s="454">
        <f>'Step 3 Dedicated Funds'!R40</f>
        <v>0</v>
      </c>
      <c r="T40" s="78">
        <f t="shared" si="3"/>
        <v>1441801</v>
      </c>
      <c r="U40" s="203"/>
      <c r="V40" s="960">
        <f>'Step 3 Dedicated Funds'!V40</f>
        <v>1441801</v>
      </c>
      <c r="W40" s="68">
        <f>'Step 3 Dedicated Funds'!W40</f>
        <v>1441801</v>
      </c>
      <c r="Y40" s="12"/>
      <c r="Z40" s="202"/>
    </row>
    <row r="41" spans="1:26">
      <c r="A41" s="214" t="s">
        <v>125</v>
      </c>
      <c r="B41" s="63"/>
      <c r="C41" s="63">
        <f>'Step 3 Dedicated Funds'!C41</f>
        <v>5900000</v>
      </c>
      <c r="D41" s="63">
        <f>'Step 3 Dedicated Funds'!D41</f>
        <v>2048710</v>
      </c>
      <c r="E41" s="217"/>
      <c r="F41" s="217"/>
      <c r="G41" s="217"/>
      <c r="H41" s="217"/>
      <c r="I41" s="217"/>
      <c r="J41" s="217"/>
      <c r="K41" s="217"/>
      <c r="L41" s="63"/>
      <c r="M41" s="62">
        <f>'Step 3 Dedicated Funds'!M41</f>
        <v>0</v>
      </c>
      <c r="N41" s="62">
        <f>'Step 3 Dedicated Funds'!N41</f>
        <v>0</v>
      </c>
      <c r="O41" s="205">
        <f>'Step 3 Dedicated Funds'!O41</f>
        <v>0</v>
      </c>
      <c r="P41" s="63">
        <f>'Step 3 Dedicated Funds'!P41</f>
        <v>0</v>
      </c>
      <c r="Q41" s="62">
        <f>'Step 3 Dedicated Funds'!Q41</f>
        <v>0</v>
      </c>
      <c r="R41" s="467">
        <f>'Step 3 Dedicated Funds'!R41</f>
        <v>0</v>
      </c>
      <c r="T41" s="63">
        <f t="shared" si="3"/>
        <v>7948710</v>
      </c>
      <c r="U41" s="203"/>
      <c r="V41" s="290">
        <f>'Step 3 Dedicated Funds'!V41</f>
        <v>7948710</v>
      </c>
      <c r="W41" s="63">
        <f>'Step 3 Dedicated Funds'!W41</f>
        <v>7948710</v>
      </c>
      <c r="Y41" s="12"/>
      <c r="Z41" s="202"/>
    </row>
    <row r="42" spans="1:26">
      <c r="A42" s="213" t="s">
        <v>126</v>
      </c>
      <c r="B42" s="78"/>
      <c r="C42" s="78">
        <f>'Step 3 Dedicated Funds'!C42</f>
        <v>0</v>
      </c>
      <c r="D42" s="78"/>
      <c r="E42" s="78"/>
      <c r="F42" s="78"/>
      <c r="G42" s="78">
        <f>'Step 5a Serv Support Measures'!I40</f>
        <v>6666508.0818057153</v>
      </c>
      <c r="H42" s="78"/>
      <c r="I42" s="78"/>
      <c r="J42" s="78"/>
      <c r="K42" s="219"/>
      <c r="L42" s="78"/>
      <c r="M42" s="78">
        <f>'Step 3 Dedicated Funds'!M42</f>
        <v>-233029.848</v>
      </c>
      <c r="N42" s="78">
        <f>'Step 3 Dedicated Funds'!N42</f>
        <v>0</v>
      </c>
      <c r="O42" s="216">
        <f>'Step 3 Dedicated Funds'!O42</f>
        <v>0</v>
      </c>
      <c r="P42" s="68">
        <f>'Step 3 Dedicated Funds'!P42</f>
        <v>3149052</v>
      </c>
      <c r="Q42" s="68">
        <f>'Step 3 Dedicated Funds'!Q42</f>
        <v>0</v>
      </c>
      <c r="R42" s="459">
        <f>'Step 3 Dedicated Funds'!R42</f>
        <v>0</v>
      </c>
      <c r="T42" s="78">
        <f t="shared" si="3"/>
        <v>9582530.233805716</v>
      </c>
      <c r="U42" s="203"/>
      <c r="V42" s="960">
        <f>'Step 3 Dedicated Funds'!V42</f>
        <v>9724870</v>
      </c>
      <c r="W42" s="68">
        <f>'Step 3 Dedicated Funds'!W42</f>
        <v>9724870</v>
      </c>
      <c r="Y42" s="12"/>
      <c r="Z42" s="202"/>
    </row>
    <row r="43" spans="1:26">
      <c r="A43" s="437" t="s">
        <v>552</v>
      </c>
      <c r="B43" s="78"/>
      <c r="C43" s="78">
        <f>'Step 3 Dedicated Funds'!C43</f>
        <v>0</v>
      </c>
      <c r="D43" s="78"/>
      <c r="E43" s="78"/>
      <c r="F43" s="78"/>
      <c r="G43" s="78">
        <f>'Step 5a Serv Support Measures'!I41</f>
        <v>3120924.9273157618</v>
      </c>
      <c r="H43" s="78"/>
      <c r="I43" s="78"/>
      <c r="J43" s="78"/>
      <c r="K43" s="219"/>
      <c r="L43" s="78"/>
      <c r="M43" s="78">
        <f>'Step 3 Dedicated Funds'!M43</f>
        <v>-2294</v>
      </c>
      <c r="N43" s="78">
        <f>'Step 3 Dedicated Funds'!N43</f>
        <v>0</v>
      </c>
      <c r="O43" s="216">
        <f>'Step 3 Dedicated Funds'!O43</f>
        <v>0</v>
      </c>
      <c r="P43" s="68">
        <f>'Step 3 Dedicated Funds'!P43</f>
        <v>31000</v>
      </c>
      <c r="Q43" s="68">
        <f>'Step 3 Dedicated Funds'!Q43</f>
        <v>0</v>
      </c>
      <c r="R43" s="459">
        <f>'Step 3 Dedicated Funds'!R43</f>
        <v>0</v>
      </c>
      <c r="T43" s="78">
        <f t="shared" si="3"/>
        <v>3149630.9273157618</v>
      </c>
      <c r="U43" s="203"/>
      <c r="V43" s="960">
        <f>'Step 3 Dedicated Funds'!V43</f>
        <v>5000049</v>
      </c>
      <c r="W43" s="68">
        <f>'Step 3 Dedicated Funds'!W43</f>
        <v>5000049</v>
      </c>
      <c r="Y43" s="12"/>
      <c r="Z43" s="202"/>
    </row>
    <row r="44" spans="1:26">
      <c r="A44" s="213" t="s">
        <v>127</v>
      </c>
      <c r="B44" s="78"/>
      <c r="C44" s="78">
        <f>'Step 3 Dedicated Funds'!C44</f>
        <v>0</v>
      </c>
      <c r="D44" s="78"/>
      <c r="E44" s="78"/>
      <c r="F44" s="78"/>
      <c r="G44" s="78">
        <f>'Step 5a Serv Support Measures'!I42+'Step 3 Dedicated Funds'!G44</f>
        <v>3588041.1172417118</v>
      </c>
      <c r="H44" s="78"/>
      <c r="I44" s="78"/>
      <c r="J44" s="78"/>
      <c r="K44" s="219"/>
      <c r="L44" s="78"/>
      <c r="M44" s="78">
        <f>'Step 3 Dedicated Funds'!M44</f>
        <v>-740</v>
      </c>
      <c r="N44" s="78">
        <f>'Step 3 Dedicated Funds'!N44</f>
        <v>0</v>
      </c>
      <c r="O44" s="216">
        <f>'Step 3 Dedicated Funds'!O44</f>
        <v>0</v>
      </c>
      <c r="P44" s="68">
        <f>'Step 3 Dedicated Funds'!P44</f>
        <v>10000</v>
      </c>
      <c r="Q44" s="68">
        <f>'Step 3 Dedicated Funds'!Q44</f>
        <v>0</v>
      </c>
      <c r="R44" s="459">
        <f>'Step 3 Dedicated Funds'!R44</f>
        <v>0</v>
      </c>
      <c r="T44" s="78">
        <f t="shared" si="3"/>
        <v>3597301.1172417118</v>
      </c>
      <c r="U44" s="203"/>
      <c r="V44" s="960">
        <f>'Step 3 Dedicated Funds'!V44</f>
        <v>3643184</v>
      </c>
      <c r="W44" s="68">
        <f>'Step 3 Dedicated Funds'!W44</f>
        <v>3643184</v>
      </c>
      <c r="Y44" s="12"/>
      <c r="Z44" s="202"/>
    </row>
    <row r="45" spans="1:26">
      <c r="A45" s="214" t="s">
        <v>128</v>
      </c>
      <c r="B45" s="63"/>
      <c r="C45" s="63">
        <f>'Step 3 Dedicated Funds'!C45</f>
        <v>150000</v>
      </c>
      <c r="D45" s="63"/>
      <c r="E45" s="63"/>
      <c r="F45" s="266">
        <f>'Step 5a Serv Support Measures'!I43+'Step 3 Dedicated Funds'!F45</f>
        <v>16874972.849656563</v>
      </c>
      <c r="G45" s="63"/>
      <c r="H45" s="63"/>
      <c r="I45" s="63"/>
      <c r="J45" s="63"/>
      <c r="K45" s="217"/>
      <c r="L45" s="63"/>
      <c r="M45" s="62">
        <f>'Step 3 Dedicated Funds'!M45</f>
        <v>-1968.3999999999999</v>
      </c>
      <c r="N45" s="62">
        <f>'Step 3 Dedicated Funds'!N45</f>
        <v>0</v>
      </c>
      <c r="O45" s="205">
        <f>'Step 3 Dedicated Funds'!O45</f>
        <v>0</v>
      </c>
      <c r="P45" s="63">
        <f>'Step 3 Dedicated Funds'!P45</f>
        <v>26600</v>
      </c>
      <c r="Q45" s="62">
        <f>'Step 3 Dedicated Funds'!Q45</f>
        <v>0</v>
      </c>
      <c r="R45" s="467">
        <f>'Step 3 Dedicated Funds'!R45</f>
        <v>2467041.4615384615</v>
      </c>
      <c r="T45" s="63">
        <f t="shared" si="3"/>
        <v>19516645.911195025</v>
      </c>
      <c r="U45" s="203"/>
      <c r="V45" s="290">
        <f>'Step 3 Dedicated Funds'!V45</f>
        <v>19774816</v>
      </c>
      <c r="W45" s="63">
        <f>'Step 3 Dedicated Funds'!W45</f>
        <v>19774816</v>
      </c>
      <c r="Y45" s="12"/>
      <c r="Z45" s="202"/>
    </row>
    <row r="46" spans="1:26">
      <c r="A46" s="213" t="s">
        <v>553</v>
      </c>
      <c r="B46" s="78"/>
      <c r="C46" s="78">
        <f>'Step 3 Dedicated Funds'!C46</f>
        <v>1030000</v>
      </c>
      <c r="D46" s="78"/>
      <c r="E46" s="78"/>
      <c r="F46" s="68">
        <f>'Step 5a Serv Support Measures'!I44+'Step 3 Dedicated Funds'!F46</f>
        <v>2057532.8923932188</v>
      </c>
      <c r="G46" s="78"/>
      <c r="H46" s="78"/>
      <c r="I46" s="78"/>
      <c r="J46" s="78"/>
      <c r="K46" s="219"/>
      <c r="L46" s="78"/>
      <c r="M46" s="78">
        <f>'Step 3 Dedicated Funds'!M46</f>
        <v>-78304.95</v>
      </c>
      <c r="N46" s="78">
        <f>'Step 3 Dedicated Funds'!N46</f>
        <v>0</v>
      </c>
      <c r="O46" s="216">
        <f>'Step 3 Dedicated Funds'!O46</f>
        <v>0</v>
      </c>
      <c r="P46" s="68">
        <f>'Step 3 Dedicated Funds'!P46</f>
        <v>1058175</v>
      </c>
      <c r="Q46" s="68">
        <f>'Step 3 Dedicated Funds'!Q46</f>
        <v>0</v>
      </c>
      <c r="R46" s="459">
        <f>'Step 3 Dedicated Funds'!R46</f>
        <v>411173.57692307694</v>
      </c>
      <c r="T46" s="78">
        <f t="shared" si="3"/>
        <v>4478576.5193162952</v>
      </c>
      <c r="U46" s="203"/>
      <c r="V46" s="960">
        <f>'Step 3 Dedicated Funds'!V46</f>
        <v>4507186</v>
      </c>
      <c r="W46" s="68">
        <f>'Step 3 Dedicated Funds'!W46</f>
        <v>4507186</v>
      </c>
      <c r="Y46" s="12"/>
      <c r="Z46" s="202"/>
    </row>
    <row r="47" spans="1:26">
      <c r="A47" s="76" t="s">
        <v>115</v>
      </c>
      <c r="B47" s="78"/>
      <c r="C47" s="78">
        <f>'Step 3 Dedicated Funds'!C47</f>
        <v>0</v>
      </c>
      <c r="D47" s="78"/>
      <c r="E47" s="78"/>
      <c r="F47" s="68">
        <f>'Step 5a Serv Support Measures'!I45</f>
        <v>1481570.7582504256</v>
      </c>
      <c r="G47" s="78"/>
      <c r="H47" s="78"/>
      <c r="I47" s="78"/>
      <c r="J47" s="78"/>
      <c r="K47" s="219"/>
      <c r="L47" s="78"/>
      <c r="M47" s="78">
        <f>'Step 3 Dedicated Funds'!M47</f>
        <v>0</v>
      </c>
      <c r="N47" s="78">
        <f>'Step 3 Dedicated Funds'!N47</f>
        <v>0</v>
      </c>
      <c r="O47" s="216">
        <f>'Step 3 Dedicated Funds'!O47</f>
        <v>0</v>
      </c>
      <c r="P47" s="68">
        <f>'Step 3 Dedicated Funds'!P47</f>
        <v>0</v>
      </c>
      <c r="Q47" s="68">
        <f>'Step 3 Dedicated Funds'!Q47</f>
        <v>0</v>
      </c>
      <c r="R47" s="454">
        <f>'Step 3 Dedicated Funds'!R47</f>
        <v>0</v>
      </c>
      <c r="T47" s="78">
        <f t="shared" si="3"/>
        <v>1481570.7582504256</v>
      </c>
      <c r="U47" s="203"/>
      <c r="V47" s="960">
        <f>'Step 3 Dedicated Funds'!V47</f>
        <v>1522413</v>
      </c>
      <c r="W47" s="68">
        <f>'Step 3 Dedicated Funds'!W47</f>
        <v>1522413</v>
      </c>
      <c r="Y47" s="12"/>
      <c r="Z47" s="202"/>
    </row>
    <row r="48" spans="1:26">
      <c r="A48" s="438" t="s">
        <v>129</v>
      </c>
      <c r="B48" s="267"/>
      <c r="C48" s="267">
        <f>'Step 3 Dedicated Funds'!C48</f>
        <v>427000</v>
      </c>
      <c r="D48" s="267"/>
      <c r="E48" s="267"/>
      <c r="F48" s="266">
        <f>'Step 5a Serv Support Measures'!I46+'Step 3 Dedicated Funds'!F48</f>
        <v>3809320.6705968725</v>
      </c>
      <c r="G48" s="267"/>
      <c r="H48" s="267"/>
      <c r="I48" s="267"/>
      <c r="J48" s="267"/>
      <c r="K48" s="456"/>
      <c r="L48" s="267"/>
      <c r="M48" s="267">
        <f>'Step 3 Dedicated Funds'!M48</f>
        <v>0</v>
      </c>
      <c r="N48" s="267">
        <f>'Step 3 Dedicated Funds'!N48</f>
        <v>0</v>
      </c>
      <c r="O48" s="440">
        <f>'Step 3 Dedicated Funds'!O48</f>
        <v>0</v>
      </c>
      <c r="P48" s="266">
        <f>'Step 3 Dedicated Funds'!P48</f>
        <v>0</v>
      </c>
      <c r="Q48" s="266">
        <f>'Step 3 Dedicated Funds'!Q48</f>
        <v>0</v>
      </c>
      <c r="R48" s="467">
        <f>'Step 3 Dedicated Funds'!R48</f>
        <v>3289388.6153846155</v>
      </c>
      <c r="S48" s="263"/>
      <c r="T48" s="267">
        <f t="shared" si="3"/>
        <v>7525709.2859814875</v>
      </c>
      <c r="U48" s="203"/>
      <c r="V48" s="290">
        <f>'Step 3 Dedicated Funds'!V48</f>
        <v>7582890</v>
      </c>
      <c r="W48" s="63">
        <f>'Step 3 Dedicated Funds'!W48</f>
        <v>7582890</v>
      </c>
      <c r="Y48" s="12"/>
      <c r="Z48" s="202"/>
    </row>
    <row r="49" spans="1:26">
      <c r="A49" s="213" t="s">
        <v>130</v>
      </c>
      <c r="B49" s="68"/>
      <c r="C49" s="68">
        <f>'Step 3 Dedicated Funds'!C49</f>
        <v>0</v>
      </c>
      <c r="D49" s="68"/>
      <c r="E49" s="68"/>
      <c r="F49" s="68"/>
      <c r="G49" s="78">
        <f>'Step 5a Serv Support Measures'!I47</f>
        <v>6505237.2654868942</v>
      </c>
      <c r="H49" s="68"/>
      <c r="I49" s="68"/>
      <c r="J49" s="68"/>
      <c r="K49" s="218"/>
      <c r="L49" s="68"/>
      <c r="M49" s="78">
        <f>'Step 3 Dedicated Funds'!M49</f>
        <v>-87039.54</v>
      </c>
      <c r="N49" s="78">
        <f>'Step 3 Dedicated Funds'!N49</f>
        <v>70448</v>
      </c>
      <c r="O49" s="207">
        <f>'Step 3 Dedicated Funds'!O49</f>
        <v>0</v>
      </c>
      <c r="P49" s="68">
        <f>'Step 3 Dedicated Funds'!P49</f>
        <v>1105762</v>
      </c>
      <c r="Q49" s="78">
        <f>'Step 3 Dedicated Funds'!Q49</f>
        <v>0</v>
      </c>
      <c r="R49" s="454">
        <f>'Step 3 Dedicated Funds'!R49</f>
        <v>0</v>
      </c>
      <c r="S49" s="66"/>
      <c r="T49" s="68">
        <f t="shared" si="3"/>
        <v>7594407.7254868941</v>
      </c>
      <c r="U49" s="203"/>
      <c r="V49" s="960">
        <f>'Step 3 Dedicated Funds'!V49</f>
        <v>7705927</v>
      </c>
      <c r="W49" s="68">
        <f>'Step 3 Dedicated Funds'!W49</f>
        <v>7705927</v>
      </c>
      <c r="Y49" s="12"/>
      <c r="Z49" s="202"/>
    </row>
    <row r="50" spans="1:26">
      <c r="A50" s="213" t="s">
        <v>131</v>
      </c>
      <c r="B50" s="78"/>
      <c r="C50" s="78">
        <f>'Step 3 Dedicated Funds'!C50</f>
        <v>0</v>
      </c>
      <c r="D50" s="78"/>
      <c r="E50" s="78"/>
      <c r="F50" s="78"/>
      <c r="G50" s="78"/>
      <c r="H50" s="78"/>
      <c r="I50" s="68">
        <f>'Step 5a Serv Support Measures'!I48+'Step 3 Dedicated Funds'!I50</f>
        <v>10425001.048756639</v>
      </c>
      <c r="J50" s="78"/>
      <c r="K50" s="219"/>
      <c r="L50" s="78"/>
      <c r="M50" s="78">
        <f>'Step 3 Dedicated Funds'!M50</f>
        <v>0</v>
      </c>
      <c r="N50" s="78">
        <f>'Step 3 Dedicated Funds'!N50</f>
        <v>0</v>
      </c>
      <c r="O50" s="216">
        <f>'Step 3 Dedicated Funds'!O50</f>
        <v>0</v>
      </c>
      <c r="P50" s="68">
        <f>'Step 3 Dedicated Funds'!P50</f>
        <v>0</v>
      </c>
      <c r="Q50" s="68">
        <f>'Step 3 Dedicated Funds'!Q50</f>
        <v>0</v>
      </c>
      <c r="R50" s="459">
        <f>'Step 3 Dedicated Funds'!R50</f>
        <v>1644694.3076923077</v>
      </c>
      <c r="S50" s="66"/>
      <c r="T50" s="78">
        <f t="shared" si="3"/>
        <v>12069695.356448947</v>
      </c>
      <c r="U50" s="203"/>
      <c r="V50" s="960">
        <f>'Step 3 Dedicated Funds'!V50</f>
        <v>12221894</v>
      </c>
      <c r="W50" s="68">
        <f>'Step 3 Dedicated Funds'!W50</f>
        <v>12221894</v>
      </c>
      <c r="Y50" s="12"/>
      <c r="Z50" s="202"/>
    </row>
    <row r="51" spans="1:26">
      <c r="A51" s="438" t="s">
        <v>132</v>
      </c>
      <c r="B51" s="267"/>
      <c r="C51" s="267">
        <f>'Step 3 Dedicated Funds'!C51</f>
        <v>40000</v>
      </c>
      <c r="D51" s="267"/>
      <c r="E51" s="267"/>
      <c r="F51" s="267"/>
      <c r="G51" s="267"/>
      <c r="H51" s="267"/>
      <c r="I51" s="266">
        <f>'Step 5a Serv Support Measures'!I49+'Step 3 Dedicated Funds'!I51</f>
        <v>22950040.740364164</v>
      </c>
      <c r="J51" s="267"/>
      <c r="K51" s="456"/>
      <c r="L51" s="267"/>
      <c r="M51" s="267">
        <f>'Step 3 Dedicated Funds'!M51</f>
        <v>-27454</v>
      </c>
      <c r="N51" s="267">
        <f>'Step 3 Dedicated Funds'!N51</f>
        <v>0</v>
      </c>
      <c r="O51" s="440">
        <f>'Step 3 Dedicated Funds'!O51</f>
        <v>0</v>
      </c>
      <c r="P51" s="266">
        <f>'Step 3 Dedicated Funds'!P51</f>
        <v>371000</v>
      </c>
      <c r="Q51" s="266">
        <f>'Step 3 Dedicated Funds'!Q51</f>
        <v>0</v>
      </c>
      <c r="R51" s="467">
        <f>'Step 3 Dedicated Funds'!R51</f>
        <v>1644694.3076923077</v>
      </c>
      <c r="S51" s="263"/>
      <c r="T51" s="267">
        <f t="shared" si="3"/>
        <v>24978281.048056472</v>
      </c>
      <c r="U51" s="203"/>
      <c r="V51" s="290">
        <f>'Step 3 Dedicated Funds'!V51</f>
        <v>25322352</v>
      </c>
      <c r="W51" s="63">
        <f>'Step 3 Dedicated Funds'!W51</f>
        <v>25322352</v>
      </c>
      <c r="Y51" s="12"/>
      <c r="Z51" s="202"/>
    </row>
    <row r="52" spans="1:26">
      <c r="A52" s="213" t="s">
        <v>133</v>
      </c>
      <c r="B52" s="68"/>
      <c r="C52" s="68">
        <f>'Step 3 Dedicated Funds'!C52</f>
        <v>0</v>
      </c>
      <c r="D52" s="68"/>
      <c r="E52" s="68"/>
      <c r="F52" s="68"/>
      <c r="G52" s="68"/>
      <c r="H52" s="68">
        <f>'Step 5a Serv Support Measures'!I50</f>
        <v>13195006.04547636</v>
      </c>
      <c r="I52" s="68"/>
      <c r="J52" s="68"/>
      <c r="K52" s="218"/>
      <c r="L52" s="68"/>
      <c r="M52" s="78">
        <f>'Step 3 Dedicated Funds'!M52</f>
        <v>0</v>
      </c>
      <c r="N52" s="78">
        <f>'Step 3 Dedicated Funds'!N52</f>
        <v>0</v>
      </c>
      <c r="O52" s="207">
        <f>'Step 3 Dedicated Funds'!O52</f>
        <v>0</v>
      </c>
      <c r="P52" s="68">
        <f>'Step 3 Dedicated Funds'!P52</f>
        <v>0</v>
      </c>
      <c r="Q52" s="78">
        <f>'Step 3 Dedicated Funds'!Q52</f>
        <v>0</v>
      </c>
      <c r="R52" s="454">
        <f>'Step 3 Dedicated Funds'!R52</f>
        <v>4522909.346153846</v>
      </c>
      <c r="S52" s="66"/>
      <c r="T52" s="68">
        <f>SUM(B52:R52)</f>
        <v>17717915.391630206</v>
      </c>
      <c r="U52" s="203"/>
      <c r="V52" s="960">
        <f>'Step 3 Dedicated Funds'!V52</f>
        <v>17924002</v>
      </c>
      <c r="W52" s="68">
        <f>'Step 3 Dedicated Funds'!W52</f>
        <v>17924002</v>
      </c>
      <c r="Y52" s="12"/>
      <c r="Z52" s="202"/>
    </row>
    <row r="53" spans="1:26">
      <c r="A53" s="213" t="s">
        <v>521</v>
      </c>
      <c r="B53" s="68"/>
      <c r="C53" s="68">
        <f>'Step 3 Dedicated Funds'!C53</f>
        <v>0</v>
      </c>
      <c r="D53" s="68"/>
      <c r="E53" s="68"/>
      <c r="F53" s="68"/>
      <c r="G53" s="68"/>
      <c r="H53" s="68"/>
      <c r="I53" s="68">
        <f>'Step 5a Serv Support Measures'!I51</f>
        <v>3368209.818164113</v>
      </c>
      <c r="J53" s="68"/>
      <c r="K53" s="218"/>
      <c r="L53" s="68"/>
      <c r="M53" s="78">
        <f>'Step 3 Dedicated Funds'!M53</f>
        <v>-2960</v>
      </c>
      <c r="N53" s="78">
        <f>'Step 3 Dedicated Funds'!N53</f>
        <v>0</v>
      </c>
      <c r="O53" s="207">
        <f>'Step 3 Dedicated Funds'!O53</f>
        <v>0</v>
      </c>
      <c r="P53" s="68">
        <f>'Step 3 Dedicated Funds'!P53</f>
        <v>40000</v>
      </c>
      <c r="Q53" s="78">
        <f>'Step 3 Dedicated Funds'!Q53</f>
        <v>0</v>
      </c>
      <c r="R53" s="454">
        <f>'Step 3 Dedicated Funds'!R53</f>
        <v>0</v>
      </c>
      <c r="S53" s="66"/>
      <c r="T53" s="68">
        <f>SUM(B53:R53)</f>
        <v>3405249.818164113</v>
      </c>
      <c r="U53" s="203"/>
      <c r="V53" s="960">
        <f>'Step 3 Dedicated Funds'!V53</f>
        <v>3458422</v>
      </c>
      <c r="W53" s="68">
        <f>'Step 3 Dedicated Funds'!W53</f>
        <v>3458422</v>
      </c>
      <c r="Y53" s="12"/>
      <c r="Z53" s="202"/>
    </row>
    <row r="54" spans="1:26">
      <c r="A54" s="457" t="s">
        <v>554</v>
      </c>
      <c r="B54" s="266"/>
      <c r="C54" s="266">
        <f>'Step 3 Dedicated Funds'!C54</f>
        <v>289720</v>
      </c>
      <c r="D54" s="266"/>
      <c r="E54" s="266"/>
      <c r="F54" s="266"/>
      <c r="G54" s="266"/>
      <c r="H54" s="266"/>
      <c r="I54" s="266">
        <f>'Step 5a Serv Support Measures'!I52</f>
        <v>1220347.3799284496</v>
      </c>
      <c r="J54" s="266"/>
      <c r="K54" s="439"/>
      <c r="L54" s="266"/>
      <c r="M54" s="267">
        <f>'Step 3 Dedicated Funds'!M54</f>
        <v>0</v>
      </c>
      <c r="N54" s="267">
        <f>'Step 3 Dedicated Funds'!N54</f>
        <v>0</v>
      </c>
      <c r="O54" s="458">
        <f>'Step 3 Dedicated Funds'!O54</f>
        <v>0</v>
      </c>
      <c r="P54" s="266">
        <f>'Step 3 Dedicated Funds'!P54</f>
        <v>0</v>
      </c>
      <c r="Q54" s="267">
        <f>'Step 3 Dedicated Funds'!Q54</f>
        <v>0</v>
      </c>
      <c r="R54" s="467">
        <f>'Step 3 Dedicated Funds'!R54</f>
        <v>822347.15384615387</v>
      </c>
      <c r="S54" s="263"/>
      <c r="T54" s="267">
        <f t="shared" si="3"/>
        <v>2332414.5337746036</v>
      </c>
      <c r="U54" s="203"/>
      <c r="V54" s="290">
        <f>'Step 3 Dedicated Funds'!V54</f>
        <v>2369486</v>
      </c>
      <c r="W54" s="63">
        <f>'Step 3 Dedicated Funds'!W54</f>
        <v>2369486</v>
      </c>
      <c r="Y54" s="12"/>
      <c r="Z54" s="202"/>
    </row>
    <row r="55" spans="1:26">
      <c r="A55" s="213" t="s">
        <v>134</v>
      </c>
      <c r="B55" s="78"/>
      <c r="C55" s="78">
        <f>'Step 3 Dedicated Funds'!C55</f>
        <v>0</v>
      </c>
      <c r="D55" s="78"/>
      <c r="E55" s="78"/>
      <c r="F55" s="78"/>
      <c r="G55" s="78"/>
      <c r="H55" s="68">
        <f>'Step 5a Serv Support Measures'!I53</f>
        <v>8122937.247648742</v>
      </c>
      <c r="I55" s="78"/>
      <c r="J55" s="78"/>
      <c r="K55" s="219"/>
      <c r="L55" s="78"/>
      <c r="M55" s="78">
        <f>'Step 3 Dedicated Funds'!M55</f>
        <v>-4440</v>
      </c>
      <c r="N55" s="78">
        <f>'Step 3 Dedicated Funds'!N55</f>
        <v>0</v>
      </c>
      <c r="O55" s="216">
        <f>'Step 3 Dedicated Funds'!O55</f>
        <v>0</v>
      </c>
      <c r="P55" s="68">
        <f>'Step 3 Dedicated Funds'!P55</f>
        <v>60000</v>
      </c>
      <c r="Q55" s="68">
        <f>'Step 3 Dedicated Funds'!Q55</f>
        <v>0</v>
      </c>
      <c r="R55" s="454">
        <f>'Step 3 Dedicated Funds'!R55</f>
        <v>4111735.769230769</v>
      </c>
      <c r="T55" s="78">
        <f t="shared" si="3"/>
        <v>12290233.01687951</v>
      </c>
      <c r="U55" s="203"/>
      <c r="V55" s="960">
        <f>'Step 3 Dedicated Funds'!V55</f>
        <v>12402374</v>
      </c>
      <c r="W55" s="68">
        <f>'Step 3 Dedicated Funds'!W55</f>
        <v>12402374</v>
      </c>
      <c r="Y55" s="12"/>
      <c r="Z55" s="202"/>
    </row>
    <row r="56" spans="1:26">
      <c r="A56" s="445" t="s">
        <v>135</v>
      </c>
      <c r="B56" s="446">
        <f>SUM(B38:B55)</f>
        <v>0</v>
      </c>
      <c r="C56" s="446">
        <f>SUM(C38:C55)</f>
        <v>7883305</v>
      </c>
      <c r="D56" s="446">
        <f>SUM(D38:D55)</f>
        <v>11858786</v>
      </c>
      <c r="E56" s="446"/>
      <c r="F56" s="446">
        <f>SUM(F38:F55)</f>
        <v>24223397.170897081</v>
      </c>
      <c r="G56" s="446">
        <f>SUM(G38:G55)</f>
        <v>19880711.391850084</v>
      </c>
      <c r="H56" s="446">
        <f>SUM(H38:H55)</f>
        <v>21317943.2931251</v>
      </c>
      <c r="I56" s="446">
        <f>SUM(I38:I55)</f>
        <v>41858609.709416516</v>
      </c>
      <c r="J56" s="446"/>
      <c r="K56" s="446">
        <f t="shared" ref="K56:P56" si="4">SUM(K38:K55)</f>
        <v>0</v>
      </c>
      <c r="L56" s="446"/>
      <c r="M56" s="446">
        <f>SUM(M38:M55)</f>
        <v>-438230.73799999995</v>
      </c>
      <c r="N56" s="446">
        <f t="shared" si="4"/>
        <v>70448</v>
      </c>
      <c r="O56" s="446">
        <f t="shared" si="4"/>
        <v>0</v>
      </c>
      <c r="P56" s="446">
        <f t="shared" si="4"/>
        <v>5851589</v>
      </c>
      <c r="Q56" s="446">
        <f>SUM(Q38:Q55)</f>
        <v>0</v>
      </c>
      <c r="R56" s="446">
        <f>SUM(R38:R55)</f>
        <v>18913984.53846154</v>
      </c>
      <c r="S56" s="443"/>
      <c r="T56" s="446">
        <f>SUM(T38:T55)</f>
        <v>151420543.36575031</v>
      </c>
      <c r="U56" s="444"/>
      <c r="V56" s="446">
        <f>'Step 3 Dedicated Funds'!V56</f>
        <v>154921629</v>
      </c>
      <c r="W56" s="446">
        <f>'Step 3 Dedicated Funds'!W56</f>
        <v>154921629</v>
      </c>
      <c r="X56" s="202"/>
      <c r="Y56" s="202"/>
      <c r="Z56" s="202"/>
    </row>
    <row r="57" spans="1:26" ht="16.5" thickBot="1">
      <c r="A57" s="447" t="s">
        <v>136</v>
      </c>
      <c r="B57" s="448">
        <f>B6+B7+B8+B9+B10+B11+B12+B34+B56</f>
        <v>54069672.159999996</v>
      </c>
      <c r="C57" s="448">
        <f>C6+C7+C8+C9+C10+C11+C12+C34+C56</f>
        <v>11060239.18</v>
      </c>
      <c r="D57" s="448">
        <f>D6+D7+D8+D9+D10+D11+D12+D34+D56</f>
        <v>28449144.77</v>
      </c>
      <c r="E57" s="448"/>
      <c r="F57" s="448">
        <f>F6+F7+F8+F9+F10+F11+F12+F34+F56</f>
        <v>38377245.103536099</v>
      </c>
      <c r="G57" s="448">
        <f>G6+G7+G8+G9+G10+G11+G12+G34+G56</f>
        <v>19880711.391850084</v>
      </c>
      <c r="H57" s="448">
        <f>H6+H7+H8+H9+H10+H11+H12+H34+H56</f>
        <v>21317943.2931251</v>
      </c>
      <c r="I57" s="448">
        <f>I6+I7+I8+I9+I10+I11+I12+I34+I56</f>
        <v>41858609.709416516</v>
      </c>
      <c r="J57" s="448"/>
      <c r="K57" s="448">
        <f>K6+K7+K8+K9+K10+K11+K12+K34+K56</f>
        <v>0</v>
      </c>
      <c r="L57" s="448"/>
      <c r="M57" s="448">
        <f t="shared" ref="M57:R57" si="5">M6+M7+M8+M9+M10+M11+M12+M34+M56</f>
        <v>-3568600.42</v>
      </c>
      <c r="N57" s="448">
        <f t="shared" si="5"/>
        <v>17143363</v>
      </c>
      <c r="O57" s="448">
        <f t="shared" si="5"/>
        <v>20569675.344000001</v>
      </c>
      <c r="P57" s="448">
        <f>P6+P7+P8+P9+P10+P11+P12+P34+P56</f>
        <v>47965579</v>
      </c>
      <c r="Q57" s="448">
        <f t="shared" si="5"/>
        <v>1902363</v>
      </c>
      <c r="R57" s="448">
        <f t="shared" si="5"/>
        <v>35178912</v>
      </c>
      <c r="S57" s="450"/>
      <c r="T57" s="448">
        <f>T6+T7+T8+T9+T10+T11+T12+T34+T56</f>
        <v>334204857.53192776</v>
      </c>
      <c r="U57" s="451"/>
      <c r="V57" s="448">
        <f>'Step 3 Dedicated Funds'!V57</f>
        <v>553011959.38800001</v>
      </c>
      <c r="W57" s="448">
        <f>'Step 3 Dedicated Funds'!W57</f>
        <v>553011959.38800001</v>
      </c>
      <c r="X57" s="202"/>
      <c r="Y57" s="202"/>
      <c r="Z57" s="202"/>
    </row>
    <row r="58" spans="1:26" ht="16.5" thickTop="1">
      <c r="A58" s="213"/>
      <c r="B58" s="213"/>
      <c r="C58" s="213"/>
      <c r="D58" s="213"/>
      <c r="E58" s="213"/>
      <c r="F58" s="213"/>
      <c r="G58" s="213"/>
      <c r="H58" s="213"/>
      <c r="I58" s="213"/>
      <c r="J58" s="213"/>
      <c r="K58" s="207"/>
      <c r="L58" s="207"/>
      <c r="M58" s="78"/>
      <c r="N58" s="78"/>
      <c r="O58" s="78"/>
      <c r="P58" s="78"/>
      <c r="Q58" s="78"/>
      <c r="R58" s="208"/>
      <c r="S58" s="208"/>
      <c r="T58" s="206">
        <f>B57+C57+K57+M57+N57+O57+P57+Q57+R57+D57+F57+G57+H57+I57</f>
        <v>334204857.53192776</v>
      </c>
      <c r="U58" s="203"/>
      <c r="V58" s="206"/>
      <c r="W58" s="203"/>
      <c r="X58" s="202"/>
      <c r="Y58" s="202"/>
      <c r="Z58" s="202"/>
    </row>
    <row r="59" spans="1:26">
      <c r="S59" s="202"/>
      <c r="T59" s="204">
        <f>SUM(B57:R57)</f>
        <v>334204857.53192782</v>
      </c>
      <c r="U59" s="202"/>
      <c r="V59" s="204">
        <f>V34+V56+V6+V7+V8+V11+V12</f>
        <v>553011959</v>
      </c>
      <c r="W59" s="202"/>
      <c r="X59" s="202"/>
      <c r="Y59" s="202"/>
      <c r="Z59" s="202"/>
    </row>
    <row r="60" spans="1:26">
      <c r="S60" s="202"/>
      <c r="T60" s="202"/>
      <c r="U60" s="202"/>
      <c r="V60" s="202"/>
      <c r="W60" s="202"/>
      <c r="X60" s="202"/>
      <c r="Y60" s="202"/>
      <c r="Z60" s="202"/>
    </row>
    <row r="61" spans="1:26">
      <c r="S61" s="202"/>
      <c r="T61" s="204"/>
      <c r="U61" s="202"/>
      <c r="V61" s="202"/>
      <c r="W61" s="202"/>
      <c r="X61" s="202"/>
      <c r="Y61" s="202"/>
      <c r="Z61" s="202"/>
    </row>
    <row r="62" spans="1:26">
      <c r="A62" s="202"/>
      <c r="B62" s="202"/>
      <c r="C62" s="202"/>
      <c r="D62" s="202"/>
      <c r="E62" s="202"/>
      <c r="F62" s="202"/>
      <c r="G62" s="202"/>
      <c r="H62" s="202"/>
      <c r="I62" s="220"/>
      <c r="J62" s="202"/>
      <c r="K62" s="204"/>
      <c r="L62" s="202"/>
      <c r="M62" s="204"/>
      <c r="N62" s="202"/>
      <c r="O62" s="202"/>
      <c r="P62" s="202"/>
      <c r="Q62" s="202"/>
      <c r="R62" s="202"/>
      <c r="S62" s="202"/>
      <c r="T62" s="202"/>
      <c r="U62" s="202"/>
      <c r="V62" s="202"/>
      <c r="W62" s="202"/>
      <c r="X62" s="202"/>
      <c r="Y62" s="202"/>
      <c r="Z62" s="202"/>
    </row>
  </sheetData>
  <mergeCells count="5">
    <mergeCell ref="B4:D4"/>
    <mergeCell ref="F4:I4"/>
    <mergeCell ref="M4:R4"/>
    <mergeCell ref="V6:V12"/>
    <mergeCell ref="W6:W12"/>
  </mergeCells>
  <phoneticPr fontId="62" type="noConversion"/>
  <pageMargins left="0.75" right="0.75" top="1" bottom="1" header="0.5" footer="0.5"/>
  <pageSetup paperSize="5" scale="52" orientation="landscape" horizontalDpi="4294967292" verticalDpi="4294967292"/>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pageSetUpPr fitToPage="1"/>
  </sheetPr>
  <dimension ref="A1:Z79"/>
  <sheetViews>
    <sheetView topLeftCell="A39" zoomScale="110" zoomScaleNormal="110" zoomScalePageLayoutView="110" workbookViewId="0">
      <selection activeCell="A16" sqref="A16:Y16"/>
    </sheetView>
  </sheetViews>
  <sheetFormatPr defaultColWidth="11" defaultRowHeight="15.75"/>
  <cols>
    <col min="1" max="1" width="38.375" customWidth="1"/>
    <col min="5" max="5" width="2.5" customWidth="1"/>
    <col min="6" max="6" width="12.875" customWidth="1"/>
    <col min="7" max="7" width="2.375" customWidth="1"/>
    <col min="10" max="10" width="11.625" customWidth="1"/>
    <col min="13" max="13" width="12.625" customWidth="1"/>
    <col min="14" max="14" width="11.625" bestFit="1" customWidth="1"/>
    <col min="15" max="15" width="3" customWidth="1"/>
    <col min="17" max="17" width="12.5" customWidth="1"/>
    <col min="18" max="18" width="3" customWidth="1"/>
    <col min="19" max="22" width="13.375" customWidth="1"/>
    <col min="23" max="23" width="15.625" customWidth="1"/>
    <col min="24" max="24" width="5.875" customWidth="1"/>
    <col min="25" max="25" width="14.625" customWidth="1"/>
    <col min="26" max="26" width="14.125" customWidth="1"/>
    <col min="27" max="27" width="13.5" customWidth="1"/>
    <col min="28" max="28" width="12.5" bestFit="1" customWidth="1"/>
  </cols>
  <sheetData>
    <row r="1" spans="1:26" ht="16.5" thickBot="1">
      <c r="A1" s="210" t="s">
        <v>77</v>
      </c>
      <c r="B1" s="210"/>
      <c r="C1" s="210"/>
      <c r="D1" s="210"/>
      <c r="E1" s="210"/>
      <c r="F1" s="210"/>
      <c r="G1" s="210"/>
      <c r="H1" s="210"/>
      <c r="I1" s="210"/>
      <c r="J1" s="210"/>
      <c r="K1" s="210"/>
      <c r="L1" s="210"/>
      <c r="M1" s="210"/>
      <c r="N1" s="210"/>
      <c r="O1" s="210"/>
      <c r="P1" s="225"/>
      <c r="Q1" s="210"/>
      <c r="R1" s="210"/>
      <c r="S1" s="210"/>
      <c r="T1" s="210"/>
      <c r="U1" s="210"/>
      <c r="V1" s="210"/>
      <c r="W1" s="776"/>
      <c r="X1" s="776"/>
      <c r="Y1" s="776"/>
      <c r="Z1" s="776"/>
    </row>
    <row r="2" spans="1:26" ht="16.5" thickBot="1">
      <c r="A2" s="210" t="s">
        <v>1172</v>
      </c>
      <c r="B2" s="210"/>
      <c r="C2" s="210"/>
      <c r="D2" s="210"/>
      <c r="E2" s="210"/>
      <c r="F2" s="210"/>
      <c r="G2" s="210"/>
      <c r="H2" s="210"/>
      <c r="I2" s="210"/>
      <c r="J2" s="210"/>
      <c r="K2" s="210"/>
      <c r="L2" s="210"/>
      <c r="M2" s="210"/>
      <c r="Q2" s="1019" t="s">
        <v>962</v>
      </c>
      <c r="R2" s="1020"/>
      <c r="S2" s="1021" t="str">
        <f>'Dashboard-Academic Allocation'!M1</f>
        <v>yes</v>
      </c>
      <c r="T2" s="1022"/>
      <c r="U2" s="1022"/>
      <c r="V2" s="1022"/>
      <c r="W2" s="238" t="s">
        <v>218</v>
      </c>
      <c r="X2" s="239"/>
      <c r="Y2" s="243">
        <f>'Step 5 Support Funds'!V2</f>
        <v>553011959</v>
      </c>
      <c r="Z2" s="776"/>
    </row>
    <row r="3" spans="1:26" ht="16.5" thickBot="1">
      <c r="A3" s="210"/>
      <c r="B3" s="210"/>
      <c r="C3" s="210"/>
      <c r="D3" s="210"/>
      <c r="E3" s="210"/>
      <c r="F3" s="210"/>
      <c r="G3" s="210"/>
      <c r="H3" s="210"/>
      <c r="I3" s="210"/>
      <c r="J3" s="210"/>
      <c r="K3" s="210"/>
      <c r="L3" s="210"/>
      <c r="M3" s="210"/>
      <c r="N3" s="210"/>
      <c r="O3" s="210"/>
      <c r="P3" s="210"/>
      <c r="Q3" s="210"/>
      <c r="R3" s="210"/>
      <c r="S3" s="210"/>
      <c r="T3" s="210"/>
      <c r="U3" s="210"/>
      <c r="V3" s="210"/>
      <c r="W3" s="240" t="s">
        <v>219</v>
      </c>
      <c r="X3" s="241"/>
      <c r="Y3" s="242">
        <f>Y2-W57</f>
        <v>0</v>
      </c>
      <c r="Z3" s="776"/>
    </row>
    <row r="4" spans="1:26">
      <c r="A4" s="211"/>
      <c r="B4" s="1619" t="s">
        <v>207</v>
      </c>
      <c r="C4" s="1619"/>
      <c r="D4" s="1619"/>
      <c r="E4" s="231"/>
      <c r="F4" s="718"/>
      <c r="G4" s="237"/>
      <c r="H4" s="1620" t="s">
        <v>779</v>
      </c>
      <c r="I4" s="1620"/>
      <c r="J4" s="1620"/>
      <c r="K4" s="1620"/>
      <c r="L4" s="1620"/>
      <c r="M4" s="1620"/>
      <c r="N4" s="1620"/>
      <c r="O4" s="211"/>
      <c r="P4" s="1616" t="s">
        <v>193</v>
      </c>
      <c r="Q4" s="1616"/>
      <c r="R4" s="231"/>
      <c r="S4" s="775"/>
      <c r="T4" s="775"/>
      <c r="U4" s="775"/>
      <c r="V4" s="775"/>
      <c r="W4" s="777"/>
      <c r="X4" s="777"/>
      <c r="Y4" s="777"/>
      <c r="Z4" s="777"/>
    </row>
    <row r="5" spans="1:26" ht="64.5">
      <c r="A5" s="221" t="s">
        <v>90</v>
      </c>
      <c r="B5" s="222" t="s">
        <v>215</v>
      </c>
      <c r="C5" s="222" t="s">
        <v>868</v>
      </c>
      <c r="D5" s="222" t="s">
        <v>869</v>
      </c>
      <c r="E5" s="284"/>
      <c r="F5" s="282" t="s">
        <v>205</v>
      </c>
      <c r="G5" s="283"/>
      <c r="H5" s="781" t="s">
        <v>767</v>
      </c>
      <c r="I5" s="781" t="s">
        <v>768</v>
      </c>
      <c r="J5" s="781" t="s">
        <v>769</v>
      </c>
      <c r="K5" s="781" t="s">
        <v>458</v>
      </c>
      <c r="L5" s="781" t="s">
        <v>770</v>
      </c>
      <c r="M5" s="781" t="s">
        <v>780</v>
      </c>
      <c r="N5" s="781" t="s">
        <v>781</v>
      </c>
      <c r="O5" s="270"/>
      <c r="P5" s="270" t="s">
        <v>206</v>
      </c>
      <c r="Q5" s="270" t="s">
        <v>210</v>
      </c>
      <c r="R5" s="284"/>
      <c r="S5" s="284" t="s">
        <v>1176</v>
      </c>
      <c r="T5" s="284" t="s">
        <v>1277</v>
      </c>
      <c r="U5" s="284" t="s">
        <v>1177</v>
      </c>
      <c r="V5" s="284" t="s">
        <v>1278</v>
      </c>
      <c r="W5" s="270" t="s">
        <v>1282</v>
      </c>
      <c r="X5" s="1445"/>
      <c r="Y5" s="1446" t="s">
        <v>1283</v>
      </c>
      <c r="Z5" s="270" t="s">
        <v>1284</v>
      </c>
    </row>
    <row r="6" spans="1:26">
      <c r="A6" s="212" t="s">
        <v>548</v>
      </c>
      <c r="B6" s="63">
        <f>'Step 5 Support Funds'!B6</f>
        <v>4544301.7949999999</v>
      </c>
      <c r="C6" s="63">
        <f>'Step 5 Support Funds'!C6</f>
        <v>0</v>
      </c>
      <c r="D6" s="63">
        <f>'Step 5 Support Funds'!D6</f>
        <v>0</v>
      </c>
      <c r="E6" s="78"/>
      <c r="F6" s="63">
        <f>'Step 5 Support Funds'!F6+'Step 5 Support Funds'!G6+'Step 5 Support Funds'!H6+'Step 5 Support Funds'!I6</f>
        <v>0</v>
      </c>
      <c r="G6" s="68"/>
      <c r="H6" s="63"/>
      <c r="I6" s="63"/>
      <c r="J6" s="63"/>
      <c r="K6" s="63"/>
      <c r="L6" s="63"/>
      <c r="M6" s="63"/>
      <c r="N6" s="63"/>
      <c r="O6" s="68"/>
      <c r="P6" s="63">
        <f>'Step 5 Support Funds'!M6</f>
        <v>0</v>
      </c>
      <c r="Q6" s="63">
        <f>'Step 5 Support Funds'!N6+'Step 5 Support Funds'!O6+'Step 5 Support Funds'!P6+'Step 5 Support Funds'!Q6+'Step 5 Support Funds'!R6</f>
        <v>0</v>
      </c>
      <c r="R6" s="78"/>
      <c r="S6" s="63"/>
      <c r="T6" s="63"/>
      <c r="U6" s="63"/>
      <c r="V6" s="63"/>
      <c r="W6" s="63">
        <f>SUM(B6:V6)</f>
        <v>4544301.7949999999</v>
      </c>
      <c r="X6" s="202"/>
      <c r="Y6" s="1594">
        <f>'Step 3 Dedicated Funds'!V6:V12</f>
        <v>61119672</v>
      </c>
      <c r="Z6" s="1594">
        <f>'Step 3 Dedicated Funds'!W6:W12</f>
        <v>61119672</v>
      </c>
    </row>
    <row r="7" spans="1:26">
      <c r="A7" s="212" t="s">
        <v>555</v>
      </c>
      <c r="B7" s="63">
        <f>'Step 5 Support Funds'!B7</f>
        <v>-3508451.7949999999</v>
      </c>
      <c r="C7" s="63">
        <f>'Step 5 Support Funds'!C7</f>
        <v>3000000</v>
      </c>
      <c r="D7" s="63">
        <f>'Step 5 Support Funds'!D7</f>
        <v>0</v>
      </c>
      <c r="E7" s="78"/>
      <c r="F7" s="63">
        <f>'Step 5 Support Funds'!F7+'Step 5 Support Funds'!G7+'Step 5 Support Funds'!H7+'Step 5 Support Funds'!I7</f>
        <v>0</v>
      </c>
      <c r="G7" s="68"/>
      <c r="H7" s="63"/>
      <c r="I7" s="63"/>
      <c r="J7" s="63"/>
      <c r="K7" s="63"/>
      <c r="L7" s="63"/>
      <c r="M7" s="63"/>
      <c r="N7" s="63"/>
      <c r="O7" s="68"/>
      <c r="P7" s="63">
        <f>'Step 5 Support Funds'!M7</f>
        <v>0</v>
      </c>
      <c r="Q7" s="63">
        <f>'Step 5 Support Funds'!N7+'Step 5 Support Funds'!O7+'Step 5 Support Funds'!P7+'Step 5 Support Funds'!Q7+'Step 5 Support Funds'!R7</f>
        <v>0</v>
      </c>
      <c r="R7" s="78"/>
      <c r="S7" s="63">
        <v>0</v>
      </c>
      <c r="T7" s="63"/>
      <c r="U7" s="63"/>
      <c r="V7" s="63"/>
      <c r="W7" s="63">
        <f t="shared" ref="W7:W12" si="0">SUM(B7:V7)</f>
        <v>-508451.79499999993</v>
      </c>
      <c r="X7" s="202"/>
      <c r="Y7" s="1595"/>
      <c r="Z7" s="1595"/>
    </row>
    <row r="8" spans="1:26">
      <c r="A8" s="212" t="s">
        <v>864</v>
      </c>
      <c r="B8" s="63">
        <f>'Step 5 Support Funds'!B8</f>
        <v>0</v>
      </c>
      <c r="C8" s="63">
        <f>'Step 5 Support Funds'!C8</f>
        <v>139144.1799999997</v>
      </c>
      <c r="D8" s="63">
        <f>'Step 5 Support Funds'!D8</f>
        <v>16590358.77</v>
      </c>
      <c r="E8" s="78"/>
      <c r="F8" s="63">
        <f>'Step 5 Support Funds'!F8+'Step 5 Support Funds'!G8+'Step 5 Support Funds'!H8+'Step 5 Support Funds'!I8</f>
        <v>0</v>
      </c>
      <c r="G8" s="68"/>
      <c r="H8" s="63"/>
      <c r="I8" s="63"/>
      <c r="J8" s="63"/>
      <c r="K8" s="63"/>
      <c r="L8" s="63"/>
      <c r="M8" s="63"/>
      <c r="N8" s="63"/>
      <c r="O8" s="68"/>
      <c r="P8" s="63">
        <f>'Step 5 Support Funds'!M8</f>
        <v>-299700</v>
      </c>
      <c r="Q8" s="63">
        <f>'Step 5 Support Funds'!N8+'Step 5 Support Funds'!O8+'Step 5 Support Funds'!P8+'Step 5 Support Funds'!Q8+'Step 5 Support Funds'!R8</f>
        <v>4050000</v>
      </c>
      <c r="R8" s="78"/>
      <c r="S8" s="63">
        <f>-SUM(S15:S33)</f>
        <v>-5383148.3546258993</v>
      </c>
      <c r="T8" s="63">
        <f>-SUM(T15:T33)</f>
        <v>-15951772.166773807</v>
      </c>
      <c r="U8" s="63">
        <f>IF(S2="yes",-SUM(B8:T8),0)</f>
        <v>855117.57139970735</v>
      </c>
      <c r="V8" s="63"/>
      <c r="W8" s="63">
        <f t="shared" si="0"/>
        <v>0</v>
      </c>
      <c r="X8" s="202"/>
      <c r="Y8" s="1595"/>
      <c r="Z8" s="1595"/>
    </row>
    <row r="9" spans="1:26">
      <c r="A9" s="212" t="s">
        <v>899</v>
      </c>
      <c r="B9" s="63">
        <f>'Step 5 Support Funds'!B9</f>
        <v>5000000</v>
      </c>
      <c r="C9" s="63">
        <f>'Step 5 Support Funds'!C9</f>
        <v>0</v>
      </c>
      <c r="D9" s="63">
        <f>'Step 5 Support Funds'!D9</f>
        <v>0</v>
      </c>
      <c r="E9" s="78"/>
      <c r="F9" s="63"/>
      <c r="G9" s="68"/>
      <c r="H9" s="63"/>
      <c r="I9" s="63"/>
      <c r="J9" s="63"/>
      <c r="K9" s="63"/>
      <c r="L9" s="63"/>
      <c r="M9" s="63"/>
      <c r="N9" s="63"/>
      <c r="O9" s="68"/>
      <c r="P9" s="63"/>
      <c r="Q9" s="63"/>
      <c r="R9" s="78"/>
      <c r="S9" s="63"/>
      <c r="T9" s="63"/>
      <c r="U9" s="63"/>
      <c r="V9" s="63"/>
      <c r="W9" s="63">
        <f t="shared" si="0"/>
        <v>5000000</v>
      </c>
      <c r="X9" s="202"/>
      <c r="Y9" s="1595"/>
      <c r="Z9" s="1595"/>
    </row>
    <row r="10" spans="1:26">
      <c r="A10" s="212" t="s">
        <v>549</v>
      </c>
      <c r="B10" s="63">
        <f>'Step 5 Support Funds'!B10</f>
        <v>21345070</v>
      </c>
      <c r="C10" s="63">
        <f>'Step 5 Support Funds'!C10</f>
        <v>0</v>
      </c>
      <c r="D10" s="63">
        <f>'Step 5 Support Funds'!D10</f>
        <v>0</v>
      </c>
      <c r="E10" s="78"/>
      <c r="F10" s="63"/>
      <c r="G10" s="68"/>
      <c r="H10" s="63"/>
      <c r="I10" s="63"/>
      <c r="J10" s="63"/>
      <c r="K10" s="63"/>
      <c r="L10" s="63"/>
      <c r="M10" s="63"/>
      <c r="N10" s="63"/>
      <c r="O10" s="68"/>
      <c r="P10" s="63">
        <f>'Step 5 Support Funds'!M10</f>
        <v>0</v>
      </c>
      <c r="Q10" s="63">
        <f>'Step 5 Support Funds'!N10+'Step 5 Support Funds'!O10+'Step 5 Support Funds'!P10+'Step 5 Support Funds'!Q10+'Step 5 Support Funds'!R10</f>
        <v>0</v>
      </c>
      <c r="R10" s="78"/>
      <c r="S10" s="63"/>
      <c r="T10" s="63"/>
      <c r="U10" s="63"/>
      <c r="V10" s="63"/>
      <c r="W10" s="63">
        <f t="shared" si="0"/>
        <v>21345070</v>
      </c>
      <c r="X10" s="202"/>
      <c r="Y10" s="1595"/>
      <c r="Z10" s="1595"/>
    </row>
    <row r="11" spans="1:26">
      <c r="A11" s="212" t="s">
        <v>550</v>
      </c>
      <c r="B11" s="63">
        <f>'Step 5 Support Funds'!B11</f>
        <v>4025000</v>
      </c>
      <c r="C11" s="63">
        <f>'Step 5 Support Funds'!C11</f>
        <v>0</v>
      </c>
      <c r="D11" s="63">
        <f>'Step 5 Support Funds'!D11</f>
        <v>0</v>
      </c>
      <c r="E11" s="78"/>
      <c r="F11" s="63">
        <f>'Step 5 Support Funds'!F11+'Step 5 Support Funds'!G11+'Step 5 Support Funds'!H11+'Step 5 Support Funds'!I11</f>
        <v>0</v>
      </c>
      <c r="G11" s="68"/>
      <c r="H11" s="63"/>
      <c r="I11" s="63"/>
      <c r="J11" s="63"/>
      <c r="K11" s="63"/>
      <c r="L11" s="63"/>
      <c r="M11" s="63"/>
      <c r="N11" s="63"/>
      <c r="O11" s="68"/>
      <c r="P11" s="63">
        <f>'Step 5 Support Funds'!M11</f>
        <v>0</v>
      </c>
      <c r="Q11" s="63">
        <f>'Step 5 Support Funds'!N11+'Step 5 Support Funds'!O11+'Step 5 Support Funds'!P11+'Step 5 Support Funds'!Q11+'Step 5 Support Funds'!R11</f>
        <v>0</v>
      </c>
      <c r="R11" s="78"/>
      <c r="S11" s="63"/>
      <c r="T11" s="63"/>
      <c r="U11" s="63"/>
      <c r="V11" s="63"/>
      <c r="W11" s="63">
        <f t="shared" si="0"/>
        <v>4025000</v>
      </c>
      <c r="X11" s="202"/>
      <c r="Y11" s="1595"/>
      <c r="Z11" s="1595"/>
    </row>
    <row r="12" spans="1:26">
      <c r="A12" s="212" t="s">
        <v>551</v>
      </c>
      <c r="B12" s="63">
        <f>'Step 5 Support Funds'!B12</f>
        <v>22663752.16</v>
      </c>
      <c r="C12" s="63">
        <f>'Step 5 Support Funds'!C12</f>
        <v>0</v>
      </c>
      <c r="D12" s="63">
        <f>'Step 5 Support Funds'!D12</f>
        <v>0</v>
      </c>
      <c r="E12" s="78"/>
      <c r="F12" s="63">
        <f>'Step 5 Support Funds'!F12+'Step 5 Support Funds'!G12+'Step 5 Support Funds'!H12+'Step 5 Support Funds'!I12</f>
        <v>0</v>
      </c>
      <c r="G12" s="68"/>
      <c r="H12" s="63"/>
      <c r="I12" s="63"/>
      <c r="J12" s="63"/>
      <c r="K12" s="63"/>
      <c r="L12" s="63"/>
      <c r="M12" s="63"/>
      <c r="N12" s="63"/>
      <c r="O12" s="68"/>
      <c r="P12" s="63">
        <f>'Step 5 Support Funds'!M12</f>
        <v>0</v>
      </c>
      <c r="Q12" s="63">
        <f>'Step 5 Support Funds'!N12+'Step 5 Support Funds'!O12+'Step 5 Support Funds'!P12+'Step 5 Support Funds'!Q12+'Step 5 Support Funds'!R12</f>
        <v>0</v>
      </c>
      <c r="R12" s="78"/>
      <c r="S12" s="63"/>
      <c r="T12" s="63"/>
      <c r="U12" s="63"/>
      <c r="V12" s="63"/>
      <c r="W12" s="63">
        <f t="shared" si="0"/>
        <v>22663752.16</v>
      </c>
      <c r="X12" s="202"/>
      <c r="Y12" s="1595"/>
      <c r="Z12" s="1595"/>
    </row>
    <row r="13" spans="1:26">
      <c r="A13" s="203"/>
      <c r="B13" s="68"/>
      <c r="C13" s="68"/>
      <c r="D13" s="68"/>
      <c r="E13" s="78"/>
      <c r="F13" s="68"/>
      <c r="G13" s="68"/>
      <c r="H13" s="68"/>
      <c r="I13" s="68"/>
      <c r="J13" s="68"/>
      <c r="K13" s="68"/>
      <c r="L13" s="68"/>
      <c r="M13" s="68"/>
      <c r="N13" s="68"/>
      <c r="O13" s="68"/>
      <c r="P13" s="68"/>
      <c r="Q13" s="68"/>
      <c r="R13" s="68"/>
      <c r="S13" s="68"/>
      <c r="T13" s="68"/>
      <c r="U13" s="68"/>
      <c r="V13" s="68"/>
      <c r="W13" s="68"/>
      <c r="X13" s="203"/>
      <c r="Y13" s="68"/>
      <c r="Z13" s="68"/>
    </row>
    <row r="14" spans="1:26">
      <c r="A14" s="71" t="s">
        <v>101</v>
      </c>
      <c r="B14" s="42"/>
      <c r="C14" s="42"/>
      <c r="D14" s="42"/>
      <c r="E14" s="76"/>
      <c r="F14" s="42"/>
      <c r="G14" s="69"/>
      <c r="H14" s="42"/>
      <c r="I14" s="42"/>
      <c r="J14" s="42"/>
      <c r="K14" s="42"/>
      <c r="L14" s="42"/>
      <c r="M14" s="42"/>
      <c r="N14" s="42"/>
      <c r="O14" s="69"/>
      <c r="P14" s="42"/>
      <c r="Q14" s="42"/>
      <c r="R14" s="76"/>
      <c r="S14" s="42"/>
      <c r="T14" s="42"/>
      <c r="U14" s="42"/>
      <c r="V14" s="42"/>
      <c r="W14" s="42"/>
      <c r="X14" s="202"/>
      <c r="Y14" s="42"/>
      <c r="Z14" s="73"/>
    </row>
    <row r="15" spans="1:26">
      <c r="A15" s="214" t="s">
        <v>102</v>
      </c>
      <c r="B15" s="63"/>
      <c r="C15" s="63">
        <f>'Step 5 Support Funds'!C15</f>
        <v>0</v>
      </c>
      <c r="D15" s="63"/>
      <c r="E15" s="78"/>
      <c r="F15" s="452"/>
      <c r="G15" s="68"/>
      <c r="H15" s="452">
        <f>'Compile Productivity $'!B13</f>
        <v>4339338.4170626244</v>
      </c>
      <c r="I15" s="452">
        <f>'Compile Productivity $'!C13</f>
        <v>4549327.9764392469</v>
      </c>
      <c r="J15" s="452">
        <f>'Compile Productivity $'!D13</f>
        <v>7204500</v>
      </c>
      <c r="K15" s="452">
        <f>'Compile Productivity $'!E13</f>
        <v>1578296.4059457004</v>
      </c>
      <c r="L15" s="452">
        <f>'Compile Productivity $'!F13</f>
        <v>564328.8085446998</v>
      </c>
      <c r="M15" s="452">
        <f>'Compile Productivity $'!G13</f>
        <v>2840414</v>
      </c>
      <c r="N15" s="452">
        <f>'Compile Productivity $'!H13</f>
        <v>705616.14627700392</v>
      </c>
      <c r="O15" s="68"/>
      <c r="P15" s="452">
        <f>'Step 5 Support Funds'!M15</f>
        <v>-132207.80799999999</v>
      </c>
      <c r="Q15" s="452">
        <f>'Step 5 Support Funds'!N15+'Step 5 Support Funds'!O15+'Step 5 Support Funds'!P15+'Step 5 Support Funds'!Q15+'Step 5 Support Funds'!R15</f>
        <v>3686592</v>
      </c>
      <c r="R15" s="78"/>
      <c r="S15" s="63">
        <v>0</v>
      </c>
      <c r="T15" s="63">
        <f>IF(SUM(B15:S15)&lt;'FY18 Floor Calculations'!M17,'FY18 Floor Calculations'!M17-SUM('Step 6 Acad Productivity+Floor'!B15:S15),0)</f>
        <v>0</v>
      </c>
      <c r="U15" s="63">
        <f>-SUM(H15:N15)*U$8/SUM(H$57:N$57)</f>
        <v>-85125.292525708603</v>
      </c>
      <c r="V15" s="63"/>
      <c r="W15" s="452">
        <f t="shared" ref="W15:W33" si="1">SUM(B15:V15)</f>
        <v>25251080.653743565</v>
      </c>
      <c r="X15" s="203"/>
      <c r="Y15" s="290">
        <f>'Step 3 Dedicated Funds'!V15</f>
        <v>24160078</v>
      </c>
      <c r="Z15" s="63">
        <f>'Step 3 Dedicated Funds'!W15</f>
        <v>24160078</v>
      </c>
    </row>
    <row r="16" spans="1:26">
      <c r="A16" s="76" t="s">
        <v>103</v>
      </c>
      <c r="B16" s="68"/>
      <c r="C16" s="68">
        <f>'Step 5 Support Funds'!C16</f>
        <v>0</v>
      </c>
      <c r="D16" s="68"/>
      <c r="E16" s="78"/>
      <c r="F16" s="453">
        <f>'Step 5 Support Funds'!F16+'Step 5 Support Funds'!G16+'Step 5 Support Funds'!H16+'Step 5 Support Funds'!I16</f>
        <v>0</v>
      </c>
      <c r="G16" s="68"/>
      <c r="H16" s="453">
        <f>'Compile Productivity $'!B14</f>
        <v>5989055.9423627155</v>
      </c>
      <c r="I16" s="453">
        <f>'Compile Productivity $'!C14</f>
        <v>5058150.0758163491</v>
      </c>
      <c r="J16" s="453">
        <f>'Compile Productivity $'!D14</f>
        <v>3528000</v>
      </c>
      <c r="K16" s="453">
        <f>'Compile Productivity $'!E14</f>
        <v>5294.2119488917269</v>
      </c>
      <c r="L16" s="453">
        <f>'Compile Productivity $'!F14</f>
        <v>1231848.4990211879</v>
      </c>
      <c r="M16" s="453">
        <f>'Compile Productivity $'!G14</f>
        <v>312414</v>
      </c>
      <c r="N16" s="453">
        <f>'Compile Productivity $'!H14</f>
        <v>1212579.742287562</v>
      </c>
      <c r="O16" s="68"/>
      <c r="P16" s="453">
        <f>'Step 5 Support Funds'!M16</f>
        <v>-27905.178</v>
      </c>
      <c r="Q16" s="453">
        <f>'Step 5 Support Funds'!N16+'Step 5 Support Funds'!O16+'Step 5 Support Funds'!P16+'Step 5 Support Funds'!Q16+'Step 5 Support Funds'!R16</f>
        <v>3318878.6440000003</v>
      </c>
      <c r="R16" s="78"/>
      <c r="S16" s="68">
        <v>0</v>
      </c>
      <c r="T16" s="68">
        <f>IF(SUM(B16:S16)&lt;'FY18 Floor Calculations'!M18,'FY18 Floor Calculations'!M18-SUM('Step 6 Acad Productivity+Floor'!B16:S16),0)</f>
        <v>0</v>
      </c>
      <c r="U16" s="68">
        <f t="shared" ref="U16:U33" si="2">-SUM(H16:N16)*U$8/SUM(H$57:N$57)</f>
        <v>-67755.873046301698</v>
      </c>
      <c r="V16" s="68"/>
      <c r="W16" s="453">
        <f t="shared" si="1"/>
        <v>20560560.064390406</v>
      </c>
      <c r="X16" s="203"/>
      <c r="Y16" s="960">
        <f>'Step 3 Dedicated Funds'!V16</f>
        <v>20462422</v>
      </c>
      <c r="Z16" s="68">
        <f>'Step 3 Dedicated Funds'!W16</f>
        <v>20462422</v>
      </c>
    </row>
    <row r="17" spans="1:26">
      <c r="A17" s="213" t="s">
        <v>104</v>
      </c>
      <c r="B17" s="68"/>
      <c r="C17" s="68">
        <f>'Step 5 Support Funds'!C17</f>
        <v>0</v>
      </c>
      <c r="D17" s="68"/>
      <c r="E17" s="78"/>
      <c r="F17" s="453">
        <f>'Step 5 Support Funds'!F17+'Step 5 Support Funds'!G17+'Step 5 Support Funds'!H17+'Step 5 Support Funds'!I17</f>
        <v>0</v>
      </c>
      <c r="G17" s="68"/>
      <c r="H17" s="453">
        <f>'Compile Productivity $'!B15</f>
        <v>6180232.1297481488</v>
      </c>
      <c r="I17" s="453">
        <f>'Compile Productivity $'!C15</f>
        <v>12198318.468291897</v>
      </c>
      <c r="J17" s="453">
        <f>'Compile Productivity $'!D15</f>
        <v>13500000</v>
      </c>
      <c r="K17" s="453">
        <f>'Compile Productivity $'!E15</f>
        <v>1792648.3776207753</v>
      </c>
      <c r="L17" s="453">
        <f>'Compile Productivity $'!F15</f>
        <v>1840141.0332934328</v>
      </c>
      <c r="M17" s="453">
        <f>'Compile Productivity $'!G15</f>
        <v>4224817</v>
      </c>
      <c r="N17" s="453">
        <f>'Compile Productivity $'!H15</f>
        <v>5442685.8682717104</v>
      </c>
      <c r="O17" s="68"/>
      <c r="P17" s="453">
        <f>'Step 5 Support Funds'!M17</f>
        <v>-632693.11800000002</v>
      </c>
      <c r="Q17" s="453">
        <f>'Step 5 Support Funds'!N17+'Step 5 Support Funds'!O17+'Step 5 Support Funds'!P17+'Step 5 Support Funds'!Q17+'Step 5 Support Funds'!R17</f>
        <v>20391968.130000003</v>
      </c>
      <c r="R17" s="78"/>
      <c r="S17" s="68">
        <v>0</v>
      </c>
      <c r="T17" s="68">
        <f>IF(SUM(B17:S17)&lt;'FY18 Floor Calculations'!M19,'FY18 Floor Calculations'!M19-SUM('Step 6 Acad Productivity+Floor'!B17:S17),0)</f>
        <v>0</v>
      </c>
      <c r="U17" s="68">
        <f t="shared" si="2"/>
        <v>-176562.92753121493</v>
      </c>
      <c r="V17" s="68"/>
      <c r="W17" s="453">
        <f t="shared" si="1"/>
        <v>64761554.961694747</v>
      </c>
      <c r="X17" s="203"/>
      <c r="Y17" s="960">
        <f>'Step 3 Dedicated Funds'!V17</f>
        <v>61306607</v>
      </c>
      <c r="Z17" s="68">
        <f>'Step 3 Dedicated Funds'!W17</f>
        <v>61306607</v>
      </c>
    </row>
    <row r="18" spans="1:26">
      <c r="A18" s="214" t="s">
        <v>105</v>
      </c>
      <c r="B18" s="63"/>
      <c r="C18" s="63">
        <f>'Step 5 Support Funds'!C18</f>
        <v>0</v>
      </c>
      <c r="D18" s="63"/>
      <c r="E18" s="78"/>
      <c r="F18" s="452">
        <f>'Step 5 Support Funds'!F18+'Step 5 Support Funds'!G18+'Step 5 Support Funds'!H18+'Step 5 Support Funds'!I18</f>
        <v>0</v>
      </c>
      <c r="G18" s="68"/>
      <c r="H18" s="452">
        <f>'Compile Productivity $'!B16</f>
        <v>1062251.9853373312</v>
      </c>
      <c r="I18" s="452">
        <f>'Compile Productivity $'!C16</f>
        <v>1279847.5389440395</v>
      </c>
      <c r="J18" s="452">
        <f>'Compile Productivity $'!D16</f>
        <v>1250000</v>
      </c>
      <c r="K18" s="452">
        <f>'Compile Productivity $'!E16</f>
        <v>383210.87974740332</v>
      </c>
      <c r="L18" s="452">
        <f>'Compile Productivity $'!F16</f>
        <v>199894.14914603735</v>
      </c>
      <c r="M18" s="452">
        <f>'Compile Productivity $'!G16</f>
        <v>1161209</v>
      </c>
      <c r="N18" s="452">
        <f>'Compile Productivity $'!H16</f>
        <v>220973.12212349451</v>
      </c>
      <c r="O18" s="68"/>
      <c r="P18" s="452">
        <f>'Step 5 Support Funds'!M18</f>
        <v>-201043.052</v>
      </c>
      <c r="Q18" s="452">
        <f>'Step 5 Support Funds'!N18+'Step 5 Support Funds'!O18+'Step 5 Support Funds'!P18+'Step 5 Support Funds'!Q18+'Step 5 Support Funds'!R18</f>
        <v>3336678.2199999997</v>
      </c>
      <c r="R18" s="78"/>
      <c r="S18" s="63">
        <v>0</v>
      </c>
      <c r="T18" s="63">
        <f>IF(SUM(B18:S18)&lt;'FY18 Floor Calculations'!M20,'FY18 Floor Calculations'!M20-SUM('Step 6 Acad Productivity+Floor'!B18:S18),0)</f>
        <v>524340.34970169514</v>
      </c>
      <c r="U18" s="63">
        <f t="shared" si="2"/>
        <v>-21718.760338332126</v>
      </c>
      <c r="V18" s="63"/>
      <c r="W18" s="452">
        <f t="shared" si="1"/>
        <v>9195643.4326616675</v>
      </c>
      <c r="X18" s="203"/>
      <c r="Y18" s="290">
        <f>'Step 3 Dedicated Funds'!V18</f>
        <v>9355600</v>
      </c>
      <c r="Z18" s="63">
        <f>'Step 3 Dedicated Funds'!W18</f>
        <v>9355600</v>
      </c>
    </row>
    <row r="19" spans="1:26">
      <c r="A19" s="76" t="s">
        <v>106</v>
      </c>
      <c r="B19" s="68"/>
      <c r="C19" s="68">
        <f>'Step 5 Support Funds'!C19</f>
        <v>0</v>
      </c>
      <c r="D19" s="68"/>
      <c r="E19" s="78"/>
      <c r="F19" s="453">
        <f>'Step 5 Support Funds'!F19+'Step 5 Support Funds'!G19+'Step 5 Support Funds'!H19+'Step 5 Support Funds'!I19</f>
        <v>0</v>
      </c>
      <c r="G19" s="68"/>
      <c r="H19" s="453">
        <f>'Compile Productivity $'!B17</f>
        <v>5043650.9942868846</v>
      </c>
      <c r="I19" s="453">
        <f>'Compile Productivity $'!C17</f>
        <v>4750541.314223161</v>
      </c>
      <c r="J19" s="453">
        <f>'Compile Productivity $'!D17</f>
        <v>3650000</v>
      </c>
      <c r="K19" s="453">
        <f>'Compile Productivity $'!E17</f>
        <v>730812.16729338747</v>
      </c>
      <c r="L19" s="453">
        <f>'Compile Productivity $'!F17</f>
        <v>1024820.6645942361</v>
      </c>
      <c r="M19" s="453">
        <f>'Compile Productivity $'!G17</f>
        <v>1571883</v>
      </c>
      <c r="N19" s="453">
        <f>'Compile Productivity $'!H17</f>
        <v>455200.0349747173</v>
      </c>
      <c r="O19" s="68"/>
      <c r="P19" s="453">
        <f>'Step 5 Support Funds'!M19</f>
        <v>-96783.046000000002</v>
      </c>
      <c r="Q19" s="453">
        <f>'Step 5 Support Funds'!N19+'Step 5 Support Funds'!O19+'Step 5 Support Funds'!P19+'Step 5 Support Funds'!Q19+'Step 5 Support Funds'!R19</f>
        <v>2336828.63</v>
      </c>
      <c r="R19" s="78"/>
      <c r="S19" s="68">
        <v>0</v>
      </c>
      <c r="T19" s="68">
        <f>IF(SUM(B19:S19)&lt;'FY18 Floor Calculations'!M21,'FY18 Floor Calculations'!M21-SUM('Step 6 Acad Productivity+Floor'!B19:S19),0)</f>
        <v>0</v>
      </c>
      <c r="U19" s="68">
        <f t="shared" si="2"/>
        <v>-67324.28601637372</v>
      </c>
      <c r="V19" s="68"/>
      <c r="W19" s="453">
        <f t="shared" si="1"/>
        <v>19399629.473356012</v>
      </c>
      <c r="X19" s="203"/>
      <c r="Y19" s="960">
        <f>'Step 3 Dedicated Funds'!V19</f>
        <v>20440194</v>
      </c>
      <c r="Z19" s="68">
        <f>'Step 3 Dedicated Funds'!W19</f>
        <v>20440194</v>
      </c>
    </row>
    <row r="20" spans="1:26">
      <c r="A20" s="213" t="s">
        <v>107</v>
      </c>
      <c r="B20" s="68"/>
      <c r="C20" s="68">
        <f>'Step 5 Support Funds'!C20</f>
        <v>0</v>
      </c>
      <c r="D20" s="68"/>
      <c r="E20" s="78"/>
      <c r="F20" s="453">
        <f>'Step 5 Support Funds'!F20+'Step 5 Support Funds'!G20+'Step 5 Support Funds'!H20+'Step 5 Support Funds'!I20</f>
        <v>0</v>
      </c>
      <c r="G20" s="68"/>
      <c r="H20" s="453">
        <f>'Compile Productivity $'!B18</f>
        <v>1165647.3542221715</v>
      </c>
      <c r="I20" s="453">
        <f>'Compile Productivity $'!C18</f>
        <v>227220.77037863396</v>
      </c>
      <c r="J20" s="453">
        <f>'Compile Productivity $'!D18</f>
        <v>1683240</v>
      </c>
      <c r="K20" s="453">
        <f>'Compile Productivity $'!E18</f>
        <v>25934.589272998794</v>
      </c>
      <c r="L20" s="453">
        <f>'Compile Productivity $'!F18</f>
        <v>241673.46363821795</v>
      </c>
      <c r="M20" s="453">
        <f>'Compile Productivity $'!G18</f>
        <v>98677</v>
      </c>
      <c r="N20" s="453">
        <f>'Compile Productivity $'!H18</f>
        <v>1107043.6226141171</v>
      </c>
      <c r="O20" s="68"/>
      <c r="P20" s="453">
        <f>'Step 5 Support Funds'!M20</f>
        <v>-5550.5919999999996</v>
      </c>
      <c r="Q20" s="453">
        <f>'Step 5 Support Funds'!N20+'Step 5 Support Funds'!O20+'Step 5 Support Funds'!P20+'Step 5 Support Funds'!Q20+'Step 5 Support Funds'!R20</f>
        <v>90794</v>
      </c>
      <c r="R20" s="78"/>
      <c r="S20" s="68">
        <v>0</v>
      </c>
      <c r="T20" s="68">
        <f>IF(SUM(B20:S20)&lt;'FY18 Floor Calculations'!M22,'FY18 Floor Calculations'!M22-SUM('Step 6 Acad Productivity+Floor'!B20:S20),0)</f>
        <v>93129.999873860739</v>
      </c>
      <c r="U20" s="68">
        <f t="shared" si="2"/>
        <v>-17779.602771841401</v>
      </c>
      <c r="V20" s="68"/>
      <c r="W20" s="453">
        <f t="shared" si="1"/>
        <v>4710030.6052281586</v>
      </c>
      <c r="X20" s="203"/>
      <c r="Y20" s="960">
        <f>'Step 3 Dedicated Funds'!V20</f>
        <v>4806568</v>
      </c>
      <c r="Z20" s="68">
        <f>'Step 3 Dedicated Funds'!W20</f>
        <v>4806568</v>
      </c>
    </row>
    <row r="21" spans="1:26">
      <c r="A21" s="214" t="s">
        <v>108</v>
      </c>
      <c r="B21" s="63"/>
      <c r="C21" s="63">
        <f>'Step 5 Support Funds'!C21</f>
        <v>75000</v>
      </c>
      <c r="D21" s="63"/>
      <c r="E21" s="78"/>
      <c r="F21" s="452">
        <f>'Step 5 Support Funds'!F21+'Step 5 Support Funds'!G21+'Step 5 Support Funds'!H21+'Step 5 Support Funds'!I21</f>
        <v>0</v>
      </c>
      <c r="G21" s="68"/>
      <c r="H21" s="452">
        <f>'Compile Productivity $'!B19</f>
        <v>21556657.85615864</v>
      </c>
      <c r="I21" s="452">
        <f>'Compile Productivity $'!C19</f>
        <v>6493890.4712111112</v>
      </c>
      <c r="J21" s="452">
        <f>'Compile Productivity $'!D19</f>
        <v>13470000</v>
      </c>
      <c r="K21" s="452">
        <f>'Compile Productivity $'!E19</f>
        <v>62457.884903115286</v>
      </c>
      <c r="L21" s="452">
        <f>'Compile Productivity $'!F19</f>
        <v>1295650.445246716</v>
      </c>
      <c r="M21" s="452">
        <f>'Compile Productivity $'!G19</f>
        <v>3146854</v>
      </c>
      <c r="N21" s="452">
        <f>'Compile Productivity $'!H19</f>
        <v>-1052851.2003483265</v>
      </c>
      <c r="O21" s="68"/>
      <c r="P21" s="452">
        <f>'Step 5 Support Funds'!M21</f>
        <v>-126370.466</v>
      </c>
      <c r="Q21" s="452">
        <f>'Step 5 Support Funds'!N21+'Step 5 Support Funds'!O21+'Step 5 Support Funds'!P21+'Step 5 Support Funds'!Q21+'Step 5 Support Funds'!R21</f>
        <v>1807209</v>
      </c>
      <c r="R21" s="78"/>
      <c r="S21" s="63">
        <v>0</v>
      </c>
      <c r="T21" s="63">
        <f>IF(SUM(B21:S21)&lt;'FY18 Floor Calculations'!M23,'FY18 Floor Calculations'!M23-SUM('Step 6 Acad Productivity+Floor'!B21:S21),0)</f>
        <v>0</v>
      </c>
      <c r="U21" s="63">
        <f t="shared" si="2"/>
        <v>-175757.14442711495</v>
      </c>
      <c r="V21" s="63"/>
      <c r="W21" s="452">
        <f t="shared" si="1"/>
        <v>46552740.84674415</v>
      </c>
      <c r="X21" s="203"/>
      <c r="Y21" s="290">
        <f>'Step 3 Dedicated Funds'!V21</f>
        <v>45894131</v>
      </c>
      <c r="Z21" s="63">
        <f>'Step 3 Dedicated Funds'!W21</f>
        <v>45894131</v>
      </c>
    </row>
    <row r="22" spans="1:26">
      <c r="A22" s="213" t="s">
        <v>109</v>
      </c>
      <c r="B22" s="68"/>
      <c r="C22" s="68">
        <f>'Step 5 Support Funds'!C22</f>
        <v>10875</v>
      </c>
      <c r="D22" s="68"/>
      <c r="E22" s="78"/>
      <c r="F22" s="453">
        <f>'Step 5 Support Funds'!F22+'Step 5 Support Funds'!G22+'Step 5 Support Funds'!H22+'Step 5 Support Funds'!I22</f>
        <v>0</v>
      </c>
      <c r="G22" s="68"/>
      <c r="H22" s="453">
        <f>'Compile Productivity $'!B20</f>
        <v>2785823.4700941653</v>
      </c>
      <c r="I22" s="453">
        <f>'Compile Productivity $'!C20</f>
        <v>926738.7608623344</v>
      </c>
      <c r="J22" s="453">
        <f>'Compile Productivity $'!D20</f>
        <v>1345000</v>
      </c>
      <c r="K22" s="453">
        <f>'Compile Productivity $'!E20</f>
        <v>1840409.3292187264</v>
      </c>
      <c r="L22" s="453">
        <f>'Compile Productivity $'!F20</f>
        <v>183428.56098377611</v>
      </c>
      <c r="M22" s="453">
        <f>'Compile Productivity $'!G20</f>
        <v>676018</v>
      </c>
      <c r="N22" s="453">
        <f>'Compile Productivity $'!H20</f>
        <v>873091.1869779767</v>
      </c>
      <c r="O22" s="68"/>
      <c r="P22" s="453">
        <f>'Step 5 Support Funds'!M22</f>
        <v>-62400.944000000003</v>
      </c>
      <c r="Q22" s="453">
        <f>'Step 5 Support Funds'!N22+'Step 5 Support Funds'!O22+'Step 5 Support Funds'!P22+'Step 5 Support Funds'!Q22+'Step 5 Support Funds'!R22</f>
        <v>3743256</v>
      </c>
      <c r="R22" s="78"/>
      <c r="S22" s="68">
        <v>0</v>
      </c>
      <c r="T22" s="68">
        <f>IF(SUM(B22:S22)&lt;'FY18 Floor Calculations'!M24,'FY18 Floor Calculations'!M24-SUM('Step 6 Acad Productivity+Floor'!B22:S22),0)</f>
        <v>1634372.817863021</v>
      </c>
      <c r="U22" s="68">
        <f t="shared" si="2"/>
        <v>-33728.796323338465</v>
      </c>
      <c r="V22" s="68"/>
      <c r="W22" s="453">
        <f t="shared" si="1"/>
        <v>13922883.385676662</v>
      </c>
      <c r="X22" s="203"/>
      <c r="Y22" s="960">
        <f>'Step 3 Dedicated Funds'!V22</f>
        <v>14831995</v>
      </c>
      <c r="Z22" s="68">
        <f>'Step 3 Dedicated Funds'!W22</f>
        <v>14831995</v>
      </c>
    </row>
    <row r="23" spans="1:26">
      <c r="A23" s="213" t="s">
        <v>110</v>
      </c>
      <c r="B23" s="78"/>
      <c r="C23" s="78">
        <f>'Step 5 Support Funds'!C23</f>
        <v>0</v>
      </c>
      <c r="D23" s="78"/>
      <c r="E23" s="78"/>
      <c r="F23" s="454">
        <f>'Step 5 Support Funds'!F23+'Step 5 Support Funds'!G23+'Step 5 Support Funds'!H23+'Step 5 Support Funds'!I23</f>
        <v>0</v>
      </c>
      <c r="G23" s="78"/>
      <c r="H23" s="454">
        <f>'Compile Productivity $'!B21</f>
        <v>153675.4160023297</v>
      </c>
      <c r="I23" s="454">
        <f>'Compile Productivity $'!C21</f>
        <v>0</v>
      </c>
      <c r="J23" s="454">
        <f>'Compile Productivity $'!D21</f>
        <v>80000</v>
      </c>
      <c r="K23" s="454">
        <f>'Compile Productivity $'!E21</f>
        <v>169699.25368925775</v>
      </c>
      <c r="L23" s="454">
        <f>'Compile Productivity $'!F21</f>
        <v>67391.173275644498</v>
      </c>
      <c r="M23" s="454">
        <f>'Compile Productivity $'!G21</f>
        <v>298116</v>
      </c>
      <c r="N23" s="454">
        <f>'Compile Productivity $'!H21</f>
        <v>3414784.3802159945</v>
      </c>
      <c r="O23" s="78"/>
      <c r="P23" s="454">
        <f>'Step 5 Support Funds'!M23</f>
        <v>-106069.01</v>
      </c>
      <c r="Q23" s="454">
        <f>'Step 5 Support Funds'!N23+'Step 5 Support Funds'!O23+'Step 5 Support Funds'!P23+'Step 5 Support Funds'!Q23+'Step 5 Support Funds'!R23</f>
        <v>5191878.72</v>
      </c>
      <c r="R23" s="78"/>
      <c r="S23" s="78">
        <f>IF(S2="yes",'Pharmacy Vet Med'!E19-SUM('Step 6 Acad Productivity+Floor'!B23:Q23),0)</f>
        <v>3427597.7975860052</v>
      </c>
      <c r="T23" s="78">
        <f>IF(SUM(B23:S23)&lt;'FY18 Floor Calculations'!M25,'FY18 Floor Calculations'!M25-SUM('Step 6 Acad Productivity+Floor'!B23:S23),0)</f>
        <v>0</v>
      </c>
      <c r="U23" s="78">
        <f t="shared" si="2"/>
        <v>-16350.138895457423</v>
      </c>
      <c r="V23" s="78"/>
      <c r="W23" s="454">
        <f t="shared" si="1"/>
        <v>12680723.591873774</v>
      </c>
      <c r="X23" s="203"/>
      <c r="Y23" s="960">
        <f>'Step 3 Dedicated Funds'!V23</f>
        <v>12737398</v>
      </c>
      <c r="Z23" s="68">
        <f>'Step 3 Dedicated Funds'!W23</f>
        <v>12737398</v>
      </c>
    </row>
    <row r="24" spans="1:26">
      <c r="A24" s="214" t="s">
        <v>111</v>
      </c>
      <c r="B24" s="63"/>
      <c r="C24" s="63">
        <f>'Step 5 Support Funds'!C24</f>
        <v>0</v>
      </c>
      <c r="D24" s="63"/>
      <c r="E24" s="78"/>
      <c r="F24" s="452">
        <f>'Step 5 Support Funds'!F24+'Step 5 Support Funds'!G24+'Step 5 Support Funds'!H24+'Step 5 Support Funds'!I24</f>
        <v>0</v>
      </c>
      <c r="G24" s="68"/>
      <c r="H24" s="452">
        <f>'Compile Productivity $'!B22</f>
        <v>24086914.380360514</v>
      </c>
      <c r="I24" s="452">
        <f>'Compile Productivity $'!C22</f>
        <v>5416643.8763528112</v>
      </c>
      <c r="J24" s="452">
        <f>'Compile Productivity $'!D22</f>
        <v>6100000</v>
      </c>
      <c r="K24" s="452">
        <f>'Compile Productivity $'!E22</f>
        <v>638243.20965819864</v>
      </c>
      <c r="L24" s="452">
        <f>'Compile Productivity $'!F22</f>
        <v>754421.45453500818</v>
      </c>
      <c r="M24" s="452">
        <f>'Compile Productivity $'!G22</f>
        <v>4177098</v>
      </c>
      <c r="N24" s="452">
        <f>'Compile Productivity $'!H22</f>
        <v>-697599.04688451719</v>
      </c>
      <c r="O24" s="68"/>
      <c r="P24" s="452">
        <f>'Step 5 Support Funds'!M24</f>
        <v>-114048.57799999999</v>
      </c>
      <c r="Q24" s="452">
        <f>'Step 5 Support Funds'!N24+'Step 5 Support Funds'!O24+'Step 5 Support Funds'!P24+'Step 5 Support Funds'!Q24+'Step 5 Support Funds'!R24</f>
        <v>2321197</v>
      </c>
      <c r="R24" s="78"/>
      <c r="S24" s="63">
        <v>0</v>
      </c>
      <c r="T24" s="63">
        <f>IF(SUM(B24:S24)&lt;'FY18 Floor Calculations'!M26,'FY18 Floor Calculations'!M26-SUM('Step 6 Acad Productivity+Floor'!B24:S24),0)</f>
        <v>0</v>
      </c>
      <c r="U24" s="63">
        <f t="shared" si="2"/>
        <v>-158182.71325446051</v>
      </c>
      <c r="V24" s="63"/>
      <c r="W24" s="452">
        <f t="shared" si="1"/>
        <v>42524687.582767554</v>
      </c>
      <c r="X24" s="203"/>
      <c r="Y24" s="290">
        <f>'Step 3 Dedicated Funds'!V24</f>
        <v>41127158</v>
      </c>
      <c r="Z24" s="63">
        <f>'Step 3 Dedicated Funds'!W24</f>
        <v>41127158</v>
      </c>
    </row>
    <row r="25" spans="1:26">
      <c r="A25" s="213" t="s">
        <v>112</v>
      </c>
      <c r="B25" s="78"/>
      <c r="C25" s="78">
        <f>'Step 5 Support Funds'!C25</f>
        <v>-48085</v>
      </c>
      <c r="D25" s="78"/>
      <c r="E25" s="78"/>
      <c r="F25" s="454">
        <f>'Step 5 Support Funds'!F25+'Step 5 Support Funds'!G25+'Step 5 Support Funds'!H25+'Step 5 Support Funds'!I25</f>
        <v>0</v>
      </c>
      <c r="G25" s="78"/>
      <c r="H25" s="454">
        <f>'Compile Productivity $'!B23</f>
        <v>230774.59550508394</v>
      </c>
      <c r="I25" s="454">
        <f>'Compile Productivity $'!C23</f>
        <v>0</v>
      </c>
      <c r="J25" s="454">
        <f>'Compile Productivity $'!D23</f>
        <v>0</v>
      </c>
      <c r="K25" s="454">
        <f>'Compile Productivity $'!E23</f>
        <v>129683.40658641944</v>
      </c>
      <c r="L25" s="454">
        <f>'Compile Productivity $'!F23</f>
        <v>34212.335454584194</v>
      </c>
      <c r="M25" s="454">
        <f>'Compile Productivity $'!G23</f>
        <v>162608</v>
      </c>
      <c r="N25" s="454">
        <f>'Compile Productivity $'!H23</f>
        <v>2349622.6266447878</v>
      </c>
      <c r="O25" s="78"/>
      <c r="P25" s="454">
        <f>'Step 5 Support Funds'!M25</f>
        <v>-983794.70200000005</v>
      </c>
      <c r="Q25" s="454">
        <f>'Step 5 Support Funds'!N25+'Step 5 Support Funds'!O25+'Step 5 Support Funds'!P25+'Step 5 Support Funds'!Q25+'Step 5 Support Funds'!R25</f>
        <v>16556227</v>
      </c>
      <c r="R25" s="78"/>
      <c r="S25" s="78">
        <f>IF(S2="yes",'Pharmacy Vet Med'!C19-SUM('Step 6 Acad Productivity+Floor'!B25:Q25),0)</f>
        <v>1955550.5570398942</v>
      </c>
      <c r="T25" s="78">
        <f>IF(SUM(B25:S25)&lt;'FY18 Floor Calculations'!M27,'FY18 Floor Calculations'!M27-SUM('Step 6 Acad Productivity+Floor'!B25:S25),0)</f>
        <v>4859019.8967692293</v>
      </c>
      <c r="U25" s="78">
        <f t="shared" si="2"/>
        <v>-11360.426951961072</v>
      </c>
      <c r="V25" s="78"/>
      <c r="W25" s="454">
        <f t="shared" si="1"/>
        <v>25234458.289048038</v>
      </c>
      <c r="X25" s="203"/>
      <c r="Y25" s="960">
        <f>'Step 3 Dedicated Funds'!V25</f>
        <v>24909417</v>
      </c>
      <c r="Z25" s="68">
        <f>'Step 3 Dedicated Funds'!W25</f>
        <v>24909417</v>
      </c>
    </row>
    <row r="26" spans="1:26">
      <c r="A26" s="213" t="s">
        <v>113</v>
      </c>
      <c r="B26" s="68"/>
      <c r="C26" s="68">
        <f>'Step 5 Support Funds'!C26</f>
        <v>0</v>
      </c>
      <c r="D26" s="68"/>
      <c r="E26" s="78"/>
      <c r="F26" s="453">
        <f>'Step 5 Support Funds'!F26+'Step 5 Support Funds'!G26+'Step 5 Support Funds'!H26+'Step 5 Support Funds'!I26</f>
        <v>535112.03073288093</v>
      </c>
      <c r="G26" s="68"/>
      <c r="H26" s="453">
        <f>'Compile Productivity $'!B24</f>
        <v>0</v>
      </c>
      <c r="I26" s="453">
        <f>'Compile Productivity $'!C24</f>
        <v>0</v>
      </c>
      <c r="J26" s="453">
        <f>'Compile Productivity $'!D24</f>
        <v>0</v>
      </c>
      <c r="K26" s="453">
        <f>'Compile Productivity $'!E24</f>
        <v>0</v>
      </c>
      <c r="L26" s="453">
        <f>'Compile Productivity $'!F24</f>
        <v>0</v>
      </c>
      <c r="M26" s="453">
        <f>'Compile Productivity $'!G24</f>
        <v>0</v>
      </c>
      <c r="N26" s="453">
        <f>'Compile Productivity $'!H24</f>
        <v>0</v>
      </c>
      <c r="O26" s="68"/>
      <c r="P26" s="453">
        <f>'Step 5 Support Funds'!M26</f>
        <v>0</v>
      </c>
      <c r="Q26" s="453">
        <f>'Step 5 Support Funds'!N26+'Step 5 Support Funds'!O26+'Step 5 Support Funds'!P26+'Step 5 Support Funds'!Q26+'Step 5 Support Funds'!R26</f>
        <v>0</v>
      </c>
      <c r="R26" s="78"/>
      <c r="S26" s="68">
        <v>0</v>
      </c>
      <c r="T26" s="68">
        <f>IF(SUM(B26:S26)&lt;'FY18 Floor Calculations'!M28,'FY18 Floor Calculations'!M28-SUM('Step 6 Acad Productivity+Floor'!B26:S26),0)</f>
        <v>0</v>
      </c>
      <c r="U26" s="68">
        <f t="shared" si="2"/>
        <v>0</v>
      </c>
      <c r="V26" s="68"/>
      <c r="W26" s="453">
        <f t="shared" si="1"/>
        <v>535112.03073288093</v>
      </c>
      <c r="X26" s="203"/>
      <c r="Y26" s="960">
        <f>'Step 3 Dedicated Funds'!V26</f>
        <v>543366</v>
      </c>
      <c r="Z26" s="68">
        <f>'Step 3 Dedicated Funds'!W26</f>
        <v>543366</v>
      </c>
    </row>
    <row r="27" spans="1:26">
      <c r="A27" s="214" t="s">
        <v>114</v>
      </c>
      <c r="B27" s="63"/>
      <c r="C27" s="63">
        <f>'Step 5 Support Funds'!C27</f>
        <v>0</v>
      </c>
      <c r="D27" s="63"/>
      <c r="E27" s="78"/>
      <c r="F27" s="452">
        <f>'Step 5 Support Funds'!F27+'Step 5 Support Funds'!G27+'Step 5 Support Funds'!H27+'Step 5 Support Funds'!I27</f>
        <v>0</v>
      </c>
      <c r="G27" s="68"/>
      <c r="H27" s="452">
        <f>'Compile Productivity $'!B25</f>
        <v>1097345.5671563721</v>
      </c>
      <c r="I27" s="452">
        <f>'Compile Productivity $'!C25</f>
        <v>768564.36449847114</v>
      </c>
      <c r="J27" s="452">
        <f>'Compile Productivity $'!D25</f>
        <v>1000</v>
      </c>
      <c r="K27" s="452">
        <f>'Compile Productivity $'!E25</f>
        <v>0</v>
      </c>
      <c r="L27" s="452">
        <f>'Compile Productivity $'!F25</f>
        <v>0</v>
      </c>
      <c r="M27" s="452">
        <f>'Compile Productivity $'!G25</f>
        <v>39004</v>
      </c>
      <c r="N27" s="452">
        <f>'Compile Productivity $'!H25</f>
        <v>-39004</v>
      </c>
      <c r="O27" s="68"/>
      <c r="P27" s="452">
        <f>'Step 5 Support Funds'!M27</f>
        <v>-1147</v>
      </c>
      <c r="Q27" s="452">
        <f>'Step 5 Support Funds'!N27+'Step 5 Support Funds'!O27+'Step 5 Support Funds'!P27+'Step 5 Support Funds'!Q27+'Step 5 Support Funds'!R27</f>
        <v>1260085</v>
      </c>
      <c r="R27" s="78"/>
      <c r="S27" s="63">
        <v>0</v>
      </c>
      <c r="T27" s="63">
        <f>IF(SUM(B27:S27)&lt;'FY18 Floor Calculations'!M29,'FY18 Floor Calculations'!M29-SUM('Step 6 Acad Productivity+Floor'!B27:S27),0)</f>
        <v>0</v>
      </c>
      <c r="U27" s="63">
        <f t="shared" si="2"/>
        <v>-7296.0496988788527</v>
      </c>
      <c r="V27" s="63"/>
      <c r="W27" s="452">
        <f t="shared" si="1"/>
        <v>3118551.8819559645</v>
      </c>
      <c r="X27" s="203"/>
      <c r="Y27" s="290">
        <f>'Step 3 Dedicated Funds'!V27</f>
        <v>2839964</v>
      </c>
      <c r="Z27" s="63">
        <f>'Step 3 Dedicated Funds'!W27</f>
        <v>2839964</v>
      </c>
    </row>
    <row r="28" spans="1:26">
      <c r="A28" s="76" t="s">
        <v>116</v>
      </c>
      <c r="B28" s="78"/>
      <c r="C28" s="78">
        <f>'Step 5 Support Funds'!C28</f>
        <v>0</v>
      </c>
      <c r="D28" s="78"/>
      <c r="E28" s="78"/>
      <c r="F28" s="78">
        <f>'Step 5 Support Funds'!F28+'Step 5 Support Funds'!G28+'Step 5 Support Funds'!H28+'Step 5 Support Funds'!I28</f>
        <v>0</v>
      </c>
      <c r="G28" s="78"/>
      <c r="H28" s="78">
        <f>'Compile Productivity $'!B26</f>
        <v>0</v>
      </c>
      <c r="I28" s="78">
        <f>'Compile Productivity $'!C26</f>
        <v>0</v>
      </c>
      <c r="J28" s="78">
        <f>'Compile Productivity $'!D26</f>
        <v>0</v>
      </c>
      <c r="K28" s="78">
        <f>'Compile Productivity $'!E26</f>
        <v>0</v>
      </c>
      <c r="L28" s="78">
        <f>'Compile Productivity $'!F26</f>
        <v>0</v>
      </c>
      <c r="M28" s="78">
        <f>'Compile Productivity $'!G26</f>
        <v>0</v>
      </c>
      <c r="N28" s="78">
        <f>'Compile Productivity $'!H26</f>
        <v>0</v>
      </c>
      <c r="O28" s="78"/>
      <c r="P28" s="78">
        <f>'Step 5 Support Funds'!M28</f>
        <v>0</v>
      </c>
      <c r="Q28" s="78">
        <f>'Step 5 Support Funds'!N28+'Step 5 Support Funds'!O28+'Step 5 Support Funds'!P28+'Step 5 Support Funds'!Q28+'Step 5 Support Funds'!R28</f>
        <v>18786975</v>
      </c>
      <c r="R28" s="78"/>
      <c r="S28" s="78">
        <v>0</v>
      </c>
      <c r="T28" s="78">
        <f>IF(SUM(B28:S28)&lt;'FY18 Floor Calculations'!M30,'FY18 Floor Calculations'!M30-SUM('Step 6 Acad Productivity+Floor'!B28:S28),0)</f>
        <v>0</v>
      </c>
      <c r="U28" s="78">
        <f t="shared" si="2"/>
        <v>0</v>
      </c>
      <c r="V28" s="78"/>
      <c r="W28" s="78">
        <f t="shared" si="1"/>
        <v>18786975</v>
      </c>
      <c r="X28" s="203"/>
      <c r="Y28" s="960">
        <f>'Step 3 Dedicated Funds'!V28</f>
        <v>18786975</v>
      </c>
      <c r="Z28" s="68">
        <f>'Step 3 Dedicated Funds'!W28</f>
        <v>18786975</v>
      </c>
    </row>
    <row r="29" spans="1:26">
      <c r="A29" s="213" t="s">
        <v>117</v>
      </c>
      <c r="B29" s="68"/>
      <c r="C29" s="68">
        <f>'Step 5 Support Funds'!C29</f>
        <v>0</v>
      </c>
      <c r="D29" s="68"/>
      <c r="E29" s="78"/>
      <c r="F29" s="68">
        <f>'Step 5 Support Funds'!F29+'Step 5 Support Funds'!G29+'Step 5 Support Funds'!H29+'Step 5 Support Funds'!I29</f>
        <v>0</v>
      </c>
      <c r="G29" s="68"/>
      <c r="H29" s="68">
        <f>'Compile Productivity $'!B27</f>
        <v>0</v>
      </c>
      <c r="I29" s="68">
        <f>'Compile Productivity $'!C27</f>
        <v>0</v>
      </c>
      <c r="J29" s="68">
        <f>'Compile Productivity $'!D27</f>
        <v>0</v>
      </c>
      <c r="K29" s="68">
        <f>'Compile Productivity $'!E27</f>
        <v>0</v>
      </c>
      <c r="L29" s="68">
        <f>'Compile Productivity $'!F27</f>
        <v>0</v>
      </c>
      <c r="M29" s="68">
        <f>'Compile Productivity $'!G27</f>
        <v>0</v>
      </c>
      <c r="N29" s="68">
        <f>'Compile Productivity $'!H27</f>
        <v>0</v>
      </c>
      <c r="O29" s="68"/>
      <c r="P29" s="68">
        <f>'Step 5 Support Funds'!M29</f>
        <v>0</v>
      </c>
      <c r="Q29" s="68">
        <f>'Step 5 Support Funds'!N29+'Step 5 Support Funds'!O29+'Step 5 Support Funds'!P29+'Step 5 Support Funds'!Q29+'Step 5 Support Funds'!R29</f>
        <v>3296000</v>
      </c>
      <c r="R29" s="78"/>
      <c r="S29" s="68">
        <v>0</v>
      </c>
      <c r="T29" s="68">
        <f>IF(SUM(B29:S29)&lt;'FY18 Floor Calculations'!M31,'FY18 Floor Calculations'!M31-SUM('Step 6 Acad Productivity+Floor'!B29:S29),0)</f>
        <v>0</v>
      </c>
      <c r="U29" s="68">
        <f t="shared" si="2"/>
        <v>0</v>
      </c>
      <c r="V29" s="68"/>
      <c r="W29" s="68">
        <f t="shared" si="1"/>
        <v>3296000</v>
      </c>
      <c r="X29" s="203"/>
      <c r="Y29" s="290">
        <f>'Step 3 Dedicated Funds'!V29</f>
        <v>3296000</v>
      </c>
      <c r="Z29" s="63">
        <f>'Step 3 Dedicated Funds'!W29</f>
        <v>3296000</v>
      </c>
    </row>
    <row r="30" spans="1:26">
      <c r="A30" s="438" t="s">
        <v>523</v>
      </c>
      <c r="B30" s="266"/>
      <c r="C30" s="266">
        <f>'Step 5 Support Funds'!C30</f>
        <v>0</v>
      </c>
      <c r="D30" s="266"/>
      <c r="E30" s="78"/>
      <c r="F30" s="266">
        <f>'Step 5 Support Funds'!F30+'Step 5 Support Funds'!G30+'Step 5 Support Funds'!H30+'Step 5 Support Funds'!I30</f>
        <v>1953958.530465791</v>
      </c>
      <c r="G30" s="68"/>
      <c r="H30" s="266">
        <f>'Compile Productivity $'!B28</f>
        <v>126306.48427682419</v>
      </c>
      <c r="I30" s="266">
        <f>'Compile Productivity $'!C28</f>
        <v>0</v>
      </c>
      <c r="J30" s="266">
        <f>'Compile Productivity $'!D28</f>
        <v>0</v>
      </c>
      <c r="K30" s="266">
        <f>'Compile Productivity $'!E28</f>
        <v>0</v>
      </c>
      <c r="L30" s="266">
        <f>'Compile Productivity $'!F28</f>
        <v>2243.7014263473907</v>
      </c>
      <c r="M30" s="266">
        <f>'Compile Productivity $'!G28</f>
        <v>0</v>
      </c>
      <c r="N30" s="266">
        <f>'Compile Productivity $'!H28</f>
        <v>0</v>
      </c>
      <c r="O30" s="68"/>
      <c r="P30" s="266">
        <f>'Step 5 Support Funds'!M30</f>
        <v>-209046.3</v>
      </c>
      <c r="Q30" s="266">
        <f>'Step 5 Support Funds'!N30+'Step 5 Support Funds'!O30+'Step 5 Support Funds'!P30+'Step 5 Support Funds'!Q30+'Step 5 Support Funds'!R30</f>
        <v>2824950</v>
      </c>
      <c r="R30" s="78"/>
      <c r="S30" s="266">
        <v>0</v>
      </c>
      <c r="T30" s="266">
        <f>IF(SUM(B30:S30)&lt;'FY18 Floor Calculations'!M32,'FY18 Floor Calculations'!M32-SUM('Step 6 Acad Productivity+Floor'!B30:S30),0)</f>
        <v>0</v>
      </c>
      <c r="U30" s="266">
        <f t="shared" si="2"/>
        <v>-502.38553439965716</v>
      </c>
      <c r="V30" s="266"/>
      <c r="W30" s="266">
        <f t="shared" si="1"/>
        <v>4697910.0306345625</v>
      </c>
      <c r="X30" s="203"/>
      <c r="Y30" s="960">
        <f>'Step 3 Dedicated Funds'!V30</f>
        <v>4706010</v>
      </c>
      <c r="Z30" s="68">
        <f>'Step 3 Dedicated Funds'!W30</f>
        <v>4706010</v>
      </c>
    </row>
    <row r="31" spans="1:26">
      <c r="A31" s="437" t="s">
        <v>524</v>
      </c>
      <c r="B31" s="78"/>
      <c r="C31" s="78">
        <f>'Step 5 Support Funds'!C31</f>
        <v>0</v>
      </c>
      <c r="D31" s="78"/>
      <c r="E31" s="78"/>
      <c r="F31" s="78">
        <f>'Step 5 Support Funds'!F31+'Step 5 Support Funds'!G31+'Step 5 Support Funds'!H31+'Step 5 Support Funds'!I31</f>
        <v>0</v>
      </c>
      <c r="G31" s="78"/>
      <c r="H31" s="78">
        <f>'Compile Productivity $'!B29</f>
        <v>328811.79807451478</v>
      </c>
      <c r="I31" s="78">
        <f>'Compile Productivity $'!C29</f>
        <v>0</v>
      </c>
      <c r="J31" s="78">
        <f>'Compile Productivity $'!D29</f>
        <v>190000</v>
      </c>
      <c r="K31" s="78">
        <f>'Compile Productivity $'!E29</f>
        <v>0</v>
      </c>
      <c r="L31" s="78">
        <f>'Compile Productivity $'!F29</f>
        <v>57305.661886428526</v>
      </c>
      <c r="M31" s="78">
        <f>'Compile Productivity $'!G29</f>
        <v>0</v>
      </c>
      <c r="N31" s="78">
        <f>'Compile Productivity $'!H29</f>
        <v>634140.4104599295</v>
      </c>
      <c r="O31" s="78"/>
      <c r="P31" s="78">
        <f>'Step 5 Support Funds'!M31</f>
        <v>0</v>
      </c>
      <c r="Q31" s="78">
        <f>'Step 5 Support Funds'!N31+'Step 5 Support Funds'!O31+'Step 5 Support Funds'!P31+'Step 5 Support Funds'!Q31+'Step 5 Support Funds'!R31</f>
        <v>0</v>
      </c>
      <c r="R31" s="78"/>
      <c r="S31" s="78">
        <v>0</v>
      </c>
      <c r="T31" s="78">
        <f>IF(SUM(B31:S31)&lt;'FY18 Floor Calculations'!M33,'FY18 Floor Calculations'!M33-SUM('Step 6 Acad Productivity+Floor'!B31:S31),0)</f>
        <v>0</v>
      </c>
      <c r="U31" s="78">
        <f t="shared" si="2"/>
        <v>-4729.7951665096671</v>
      </c>
      <c r="V31" s="78"/>
      <c r="W31" s="78">
        <f t="shared" si="1"/>
        <v>1205528.075254363</v>
      </c>
      <c r="X31" s="203"/>
      <c r="Y31" s="960">
        <f>'Step 3 Dedicated Funds'!V31</f>
        <v>833083</v>
      </c>
      <c r="Z31" s="68">
        <f>'Step 3 Dedicated Funds'!W31</f>
        <v>14579074</v>
      </c>
    </row>
    <row r="32" spans="1:26">
      <c r="A32" s="213" t="s">
        <v>118</v>
      </c>
      <c r="B32" s="68"/>
      <c r="C32" s="68">
        <f>'Step 5 Support Funds'!C32</f>
        <v>0</v>
      </c>
      <c r="D32" s="68"/>
      <c r="E32" s="78"/>
      <c r="F32" s="68">
        <f>'Step 5 Support Funds'!F32+'Step 5 Support Funds'!G32+'Step 5 Support Funds'!H32+'Step 5 Support Funds'!I32</f>
        <v>11664777.371440345</v>
      </c>
      <c r="G32" s="68"/>
      <c r="H32" s="68">
        <f>'Compile Productivity $'!B30</f>
        <v>0</v>
      </c>
      <c r="I32" s="68">
        <f>'Compile Productivity $'!C30</f>
        <v>0</v>
      </c>
      <c r="J32" s="68">
        <f>'Compile Productivity $'!D30</f>
        <v>0</v>
      </c>
      <c r="K32" s="68">
        <f>'Compile Productivity $'!E30</f>
        <v>3771.445999835144</v>
      </c>
      <c r="L32" s="68">
        <f>'Compile Productivity $'!F30</f>
        <v>0</v>
      </c>
      <c r="M32" s="68">
        <f>'Compile Productivity $'!G30</f>
        <v>0</v>
      </c>
      <c r="N32" s="68">
        <f>'Compile Productivity $'!H30</f>
        <v>0</v>
      </c>
      <c r="O32" s="68"/>
      <c r="P32" s="68">
        <f>'Step 5 Support Funds'!M32</f>
        <v>-20779.347999999998</v>
      </c>
      <c r="Q32" s="68">
        <f>'Step 5 Support Funds'!N32+'Step 5 Support Funds'!O32+'Step 5 Support Funds'!P32+'Step 5 Support Funds'!Q32+'Step 5 Support Funds'!R32</f>
        <v>2747843.4615384615</v>
      </c>
      <c r="R32" s="78"/>
      <c r="S32" s="68">
        <v>0</v>
      </c>
      <c r="T32" s="68">
        <f>IF(SUM(B32:S32)&lt;'FY18 Floor Calculations'!M34,'FY18 Floor Calculations'!M34-SUM('Step 6 Acad Productivity+Floor'!B32:S32),0)</f>
        <v>0</v>
      </c>
      <c r="U32" s="68">
        <f t="shared" si="2"/>
        <v>-14.739145678572765</v>
      </c>
      <c r="V32" s="68"/>
      <c r="W32" s="68">
        <f t="shared" si="1"/>
        <v>14395598.191832963</v>
      </c>
      <c r="X32" s="203"/>
      <c r="Y32" s="290">
        <f>'Step 3 Dedicated Funds'!V32</f>
        <v>14579074</v>
      </c>
      <c r="Z32" s="63">
        <f>'Step 3 Dedicated Funds'!W32</f>
        <v>11354618</v>
      </c>
    </row>
    <row r="33" spans="1:26">
      <c r="A33" s="438" t="s">
        <v>119</v>
      </c>
      <c r="B33" s="266"/>
      <c r="C33" s="266">
        <f>'Step 5 Support Funds'!C33</f>
        <v>0</v>
      </c>
      <c r="D33" s="266"/>
      <c r="E33" s="78"/>
      <c r="F33" s="455">
        <f>'Step 5 Support Funds'!F33+'Step 5 Support Funds'!G33+'Step 5 Support Funds'!H33+'Step 5 Support Funds'!I33</f>
        <v>0</v>
      </c>
      <c r="G33" s="68"/>
      <c r="H33" s="455">
        <f>'Compile Productivity $'!B31</f>
        <v>0</v>
      </c>
      <c r="I33" s="455">
        <f>'Compile Productivity $'!C31</f>
        <v>0</v>
      </c>
      <c r="J33" s="455"/>
      <c r="K33" s="455">
        <f>'Compile Productivity $'!E31</f>
        <v>886914.83143400238</v>
      </c>
      <c r="L33" s="455">
        <f>'Compile Productivity $'!F31</f>
        <v>0</v>
      </c>
      <c r="M33" s="455">
        <f>'Compile Productivity $'!G31</f>
        <v>0</v>
      </c>
      <c r="N33" s="455">
        <f>'Compile Productivity $'!H31</f>
        <v>0</v>
      </c>
      <c r="O33" s="68"/>
      <c r="P33" s="455">
        <f>'Step 5 Support Funds'!M33</f>
        <v>-110830.54</v>
      </c>
      <c r="Q33" s="455">
        <f>'Step 5 Support Funds'!N33+'Step 5 Support Funds'!O33+'Step 5 Support Funds'!P33+'Step 5 Support Funds'!Q33+'Step 5 Support Funds'!R33</f>
        <v>2176510</v>
      </c>
      <c r="R33" s="78"/>
      <c r="S33" s="266">
        <v>0</v>
      </c>
      <c r="T33" s="266">
        <f>IF(SUM(B33:S33)&lt;'FY18 Floor Calculations'!M35,'FY18 Floor Calculations'!M35-SUM('Step 6 Acad Productivity+Floor'!B33:S33),0)</f>
        <v>8840909.1025660001</v>
      </c>
      <c r="U33" s="266">
        <f t="shared" si="2"/>
        <v>-3466.1418738499724</v>
      </c>
      <c r="V33" s="266"/>
      <c r="W33" s="455">
        <f t="shared" si="1"/>
        <v>11790037.252126152</v>
      </c>
      <c r="X33" s="203"/>
      <c r="Y33" s="960">
        <f>'Step 3 Dedicated Funds'!V33</f>
        <v>11354618</v>
      </c>
      <c r="Z33" s="68">
        <f>'Step 3 Dedicated Funds'!W33</f>
        <v>833083</v>
      </c>
    </row>
    <row r="34" spans="1:26">
      <c r="A34" s="441" t="s">
        <v>120</v>
      </c>
      <c r="B34" s="442">
        <f>SUM(B15:B33)</f>
        <v>0</v>
      </c>
      <c r="C34" s="442">
        <f>SUM(C15:C33)</f>
        <v>37790</v>
      </c>
      <c r="D34" s="442">
        <f>SUM(D15:D33)</f>
        <v>0</v>
      </c>
      <c r="E34" s="778"/>
      <c r="F34" s="442">
        <f t="shared" ref="F34:N34" si="3">SUM(F15:F33)</f>
        <v>14153847.932639018</v>
      </c>
      <c r="G34" s="442">
        <f t="shared" si="3"/>
        <v>0</v>
      </c>
      <c r="H34" s="442">
        <f t="shared" si="3"/>
        <v>74146486.390648335</v>
      </c>
      <c r="I34" s="442">
        <f t="shared" si="3"/>
        <v>41669243.617018059</v>
      </c>
      <c r="J34" s="442">
        <f t="shared" si="3"/>
        <v>52001740</v>
      </c>
      <c r="K34" s="442">
        <f t="shared" si="3"/>
        <v>8247375.9933187114</v>
      </c>
      <c r="L34" s="442">
        <f t="shared" si="3"/>
        <v>7497359.9510463178</v>
      </c>
      <c r="M34" s="442">
        <f t="shared" si="3"/>
        <v>18709112</v>
      </c>
      <c r="N34" s="442">
        <f t="shared" si="3"/>
        <v>14626282.893614452</v>
      </c>
      <c r="O34" s="442"/>
      <c r="P34" s="442">
        <f>SUM(P15:P33)</f>
        <v>-2830669.682</v>
      </c>
      <c r="Q34" s="442">
        <f>SUM(Q15:Q33)</f>
        <v>93873870.805538461</v>
      </c>
      <c r="R34" s="779"/>
      <c r="S34" s="442">
        <f t="shared" ref="S34:U34" si="4">SUM(S15:S33)</f>
        <v>5383148.3546258993</v>
      </c>
      <c r="T34" s="442">
        <f t="shared" si="4"/>
        <v>15951772.166773807</v>
      </c>
      <c r="U34" s="442">
        <f t="shared" si="4"/>
        <v>-847655.07350142172</v>
      </c>
      <c r="V34" s="442"/>
      <c r="W34" s="442">
        <f>SUM(W15:W33)</f>
        <v>342619705.34972161</v>
      </c>
      <c r="X34" s="203"/>
      <c r="Y34" s="442">
        <f>'Step 3 Dedicated Funds'!V34</f>
        <v>336970658</v>
      </c>
      <c r="Z34" s="442">
        <f>'Step 3 Dedicated Funds'!W34</f>
        <v>336970658</v>
      </c>
    </row>
    <row r="35" spans="1:26">
      <c r="A35" s="213"/>
      <c r="B35" s="66"/>
      <c r="C35" s="66"/>
      <c r="D35" s="66"/>
      <c r="E35" s="216"/>
      <c r="F35" s="66"/>
      <c r="G35" s="66"/>
      <c r="H35" s="66"/>
      <c r="I35" s="66"/>
      <c r="J35" s="66"/>
      <c r="K35" s="66"/>
      <c r="L35" s="66"/>
      <c r="M35" s="66"/>
      <c r="N35" s="66"/>
      <c r="O35" s="66"/>
      <c r="P35" s="66"/>
      <c r="Q35" s="66"/>
      <c r="R35" s="66"/>
      <c r="S35" s="66"/>
      <c r="T35" s="66"/>
      <c r="U35" s="66"/>
      <c r="V35" s="66"/>
      <c r="W35" s="66"/>
      <c r="X35" s="203"/>
      <c r="Y35" s="62"/>
      <c r="Z35" s="63"/>
    </row>
    <row r="36" spans="1:26">
      <c r="A36" s="203"/>
      <c r="E36" s="67"/>
      <c r="G36" s="66"/>
      <c r="O36" s="66"/>
      <c r="R36" s="66"/>
      <c r="X36" s="208"/>
      <c r="Y36" s="208"/>
      <c r="Z36" s="68"/>
    </row>
    <row r="37" spans="1:26">
      <c r="A37" s="76" t="s">
        <v>121</v>
      </c>
      <c r="B37" s="78"/>
      <c r="C37" s="78"/>
      <c r="D37" s="78"/>
      <c r="E37" s="67"/>
      <c r="F37" s="78"/>
      <c r="G37" s="78"/>
      <c r="H37" s="78"/>
      <c r="I37" s="78"/>
      <c r="J37" s="78"/>
      <c r="K37" s="78"/>
      <c r="L37" s="78"/>
      <c r="M37" s="78"/>
      <c r="N37" s="78"/>
      <c r="O37" s="78"/>
      <c r="P37" s="78"/>
      <c r="Q37" s="78"/>
      <c r="R37" s="78"/>
      <c r="S37" s="78"/>
      <c r="T37" s="78"/>
      <c r="U37" s="78"/>
      <c r="V37" s="78"/>
      <c r="W37" s="78"/>
      <c r="X37" s="203"/>
      <c r="Y37" s="78"/>
      <c r="Z37" s="68"/>
    </row>
    <row r="38" spans="1:26">
      <c r="A38" s="214" t="s">
        <v>122</v>
      </c>
      <c r="B38" s="63"/>
      <c r="C38" s="63">
        <f>'Step 5 Support Funds'!C38</f>
        <v>20000</v>
      </c>
      <c r="D38" s="63">
        <f>'Step 5 Support Funds'!D38</f>
        <v>8368275</v>
      </c>
      <c r="E38" s="78"/>
      <c r="F38" s="452">
        <f>'Step 5 Support Funds'!F38+'Step 5 Support Funds'!G38+'Step 5 Support Funds'!H38+'Step 5 Support Funds'!I38</f>
        <v>0</v>
      </c>
      <c r="G38" s="218"/>
      <c r="H38" s="452">
        <f>'Compile Productivity $'!B36</f>
        <v>0</v>
      </c>
      <c r="I38" s="452">
        <f>'Compile Productivity $'!C36</f>
        <v>0</v>
      </c>
      <c r="J38" s="452">
        <f>'Compile Productivity $'!D36</f>
        <v>0</v>
      </c>
      <c r="K38" s="452">
        <f>'Compile Productivity $'!E36</f>
        <v>2716.5065167470298</v>
      </c>
      <c r="L38" s="452">
        <f>'Compile Productivity $'!F36</f>
        <v>0</v>
      </c>
      <c r="M38" s="452">
        <f>'Compile Productivity $'!G36</f>
        <v>0</v>
      </c>
      <c r="N38" s="452">
        <f>'Compile Productivity $'!H36</f>
        <v>0</v>
      </c>
      <c r="O38" s="68"/>
      <c r="P38" s="452">
        <f>'Step 5 Support Funds'!M38</f>
        <v>0</v>
      </c>
      <c r="Q38" s="452">
        <f>'Step 5 Support Funds'!N38+'Step 5 Support Funds'!O38+'Step 5 Support Funds'!P38+'Step 5 Support Funds'!Q38+'Step 5 Support Funds'!R38</f>
        <v>0</v>
      </c>
      <c r="R38" s="78"/>
      <c r="S38" s="63">
        <v>0</v>
      </c>
      <c r="T38" s="63"/>
      <c r="U38" s="63">
        <f t="shared" ref="U38:U55" si="5">-SUM(H38:N38)*U$8/SUM(H$57:N$57)</f>
        <v>-10.616348554076318</v>
      </c>
      <c r="V38" s="63"/>
      <c r="W38" s="452">
        <f t="shared" ref="W38:W55" si="6">SUM(B38:V38)</f>
        <v>8390980.8901681937</v>
      </c>
      <c r="X38" s="203"/>
      <c r="Y38" s="290">
        <f>'Step 3 Dedicated Funds'!V38</f>
        <v>8388275</v>
      </c>
      <c r="Z38" s="63">
        <f>'Step 3 Dedicated Funds'!W38</f>
        <v>8388275</v>
      </c>
    </row>
    <row r="39" spans="1:26">
      <c r="A39" s="213" t="s">
        <v>123</v>
      </c>
      <c r="B39" s="78"/>
      <c r="C39" s="78">
        <f>'Step 5 Support Funds'!C39</f>
        <v>26585</v>
      </c>
      <c r="D39" s="63">
        <f>'Step 5 Support Funds'!D39</f>
        <v>0</v>
      </c>
      <c r="E39" s="219"/>
      <c r="F39" s="454">
        <f>'Step 5 Support Funds'!F39+'Step 5 Support Funds'!G39+'Step 5 Support Funds'!H39+'Step 5 Support Funds'!I39</f>
        <v>3895010.722203155</v>
      </c>
      <c r="G39" s="78"/>
      <c r="H39" s="454">
        <f>'Compile Productivity $'!B37</f>
        <v>0</v>
      </c>
      <c r="I39" s="454">
        <f>'Compile Productivity $'!C37</f>
        <v>0</v>
      </c>
      <c r="J39" s="454">
        <f>'Compile Productivity $'!D37</f>
        <v>0</v>
      </c>
      <c r="K39" s="454">
        <f>'Compile Productivity $'!E37</f>
        <v>0</v>
      </c>
      <c r="L39" s="454">
        <f>'Compile Productivity $'!F37</f>
        <v>0</v>
      </c>
      <c r="M39" s="454">
        <f>'Compile Productivity $'!G37</f>
        <v>0</v>
      </c>
      <c r="N39" s="454">
        <f>'Compile Productivity $'!H37</f>
        <v>0</v>
      </c>
      <c r="O39" s="78"/>
      <c r="P39" s="454">
        <f>'Step 5 Support Funds'!M39</f>
        <v>0</v>
      </c>
      <c r="Q39" s="454">
        <f>'Step 5 Support Funds'!N39+'Step 5 Support Funds'!O39+'Step 5 Support Funds'!P39+'Step 5 Support Funds'!Q39+'Step 5 Support Funds'!R39</f>
        <v>0</v>
      </c>
      <c r="R39" s="78"/>
      <c r="S39" s="78">
        <v>0</v>
      </c>
      <c r="T39" s="78"/>
      <c r="U39" s="78">
        <f t="shared" si="5"/>
        <v>0</v>
      </c>
      <c r="V39" s="78"/>
      <c r="W39" s="454">
        <f t="shared" si="6"/>
        <v>3921595.722203155</v>
      </c>
      <c r="X39" s="203"/>
      <c r="Y39" s="960">
        <f>'Step 3 Dedicated Funds'!V39</f>
        <v>3982978</v>
      </c>
      <c r="Z39" s="68">
        <f>'Step 3 Dedicated Funds'!W39</f>
        <v>3982978</v>
      </c>
    </row>
    <row r="40" spans="1:26">
      <c r="A40" s="76" t="s">
        <v>124</v>
      </c>
      <c r="B40" s="78"/>
      <c r="C40" s="78">
        <f>'Step 5 Support Funds'!C40</f>
        <v>0</v>
      </c>
      <c r="D40" s="63">
        <f>'Step 5 Support Funds'!D40</f>
        <v>1441801</v>
      </c>
      <c r="E40" s="78"/>
      <c r="F40" s="454">
        <f>'Step 5 Support Funds'!F40+'Step 5 Support Funds'!G40+'Step 5 Support Funds'!H40+'Step 5 Support Funds'!I40</f>
        <v>0</v>
      </c>
      <c r="G40" s="219"/>
      <c r="H40" s="454">
        <f>'Compile Productivity $'!B38</f>
        <v>0</v>
      </c>
      <c r="I40" s="454">
        <f>'Compile Productivity $'!C38</f>
        <v>0</v>
      </c>
      <c r="J40" s="454">
        <f>'Compile Productivity $'!D38</f>
        <v>0</v>
      </c>
      <c r="K40" s="454">
        <f>'Compile Productivity $'!E38</f>
        <v>0</v>
      </c>
      <c r="L40" s="454">
        <f>'Compile Productivity $'!F38</f>
        <v>0</v>
      </c>
      <c r="M40" s="454">
        <f>'Compile Productivity $'!G38</f>
        <v>0</v>
      </c>
      <c r="N40" s="454">
        <f>'Compile Productivity $'!H38</f>
        <v>0</v>
      </c>
      <c r="O40" s="78"/>
      <c r="P40" s="454">
        <f>'Step 5 Support Funds'!M40</f>
        <v>0</v>
      </c>
      <c r="Q40" s="454">
        <f>'Step 5 Support Funds'!N40+'Step 5 Support Funds'!O40+'Step 5 Support Funds'!P40+'Step 5 Support Funds'!Q40+'Step 5 Support Funds'!R40</f>
        <v>0</v>
      </c>
      <c r="R40" s="78"/>
      <c r="S40" s="78">
        <v>0</v>
      </c>
      <c r="T40" s="78"/>
      <c r="U40" s="78">
        <f t="shared" si="5"/>
        <v>0</v>
      </c>
      <c r="V40" s="78"/>
      <c r="W40" s="454">
        <f t="shared" si="6"/>
        <v>1441801</v>
      </c>
      <c r="X40" s="203"/>
      <c r="Y40" s="960">
        <f>'Step 3 Dedicated Funds'!V40</f>
        <v>1441801</v>
      </c>
      <c r="Z40" s="68">
        <f>'Step 3 Dedicated Funds'!W40</f>
        <v>1441801</v>
      </c>
    </row>
    <row r="41" spans="1:26">
      <c r="A41" s="214" t="s">
        <v>125</v>
      </c>
      <c r="B41" s="63"/>
      <c r="C41" s="63">
        <f>'Step 5 Support Funds'!C41</f>
        <v>5900000</v>
      </c>
      <c r="D41" s="63">
        <f>'Step 5 Support Funds'!D41</f>
        <v>2048710</v>
      </c>
      <c r="E41" s="219"/>
      <c r="F41" s="452">
        <f>'Step 5 Support Funds'!F41+'Step 5 Support Funds'!G41+'Step 5 Support Funds'!H41+'Step 5 Support Funds'!I41</f>
        <v>0</v>
      </c>
      <c r="G41" s="218"/>
      <c r="H41" s="452">
        <f>'Compile Productivity $'!B39</f>
        <v>0</v>
      </c>
      <c r="I41" s="452">
        <f>'Compile Productivity $'!C39</f>
        <v>0</v>
      </c>
      <c r="J41" s="452">
        <f>'Compile Productivity $'!D39</f>
        <v>0</v>
      </c>
      <c r="K41" s="452">
        <f>'Compile Productivity $'!E39</f>
        <v>0</v>
      </c>
      <c r="L41" s="452">
        <f>'Compile Productivity $'!F39</f>
        <v>0</v>
      </c>
      <c r="M41" s="452">
        <f>'Compile Productivity $'!G39</f>
        <v>0</v>
      </c>
      <c r="N41" s="452">
        <f>'Compile Productivity $'!H39</f>
        <v>0</v>
      </c>
      <c r="O41" s="68"/>
      <c r="P41" s="452">
        <f>'Step 5 Support Funds'!M41</f>
        <v>0</v>
      </c>
      <c r="Q41" s="452">
        <f>'Step 5 Support Funds'!N41+'Step 5 Support Funds'!O41+'Step 5 Support Funds'!P41+'Step 5 Support Funds'!Q41+'Step 5 Support Funds'!R41</f>
        <v>0</v>
      </c>
      <c r="R41" s="78"/>
      <c r="S41" s="63">
        <v>0</v>
      </c>
      <c r="T41" s="63"/>
      <c r="U41" s="63">
        <f t="shared" si="5"/>
        <v>0</v>
      </c>
      <c r="V41" s="63"/>
      <c r="W41" s="452">
        <f t="shared" si="6"/>
        <v>7948710</v>
      </c>
      <c r="X41" s="203"/>
      <c r="Y41" s="290">
        <f>'Step 3 Dedicated Funds'!V41</f>
        <v>7948710</v>
      </c>
      <c r="Z41" s="63">
        <f>'Step 3 Dedicated Funds'!W41</f>
        <v>7948710</v>
      </c>
    </row>
    <row r="42" spans="1:26">
      <c r="A42" s="213" t="s">
        <v>126</v>
      </c>
      <c r="B42" s="78"/>
      <c r="C42" s="78">
        <f>'Step 5 Support Funds'!C42</f>
        <v>0</v>
      </c>
      <c r="D42" s="78"/>
      <c r="E42" s="219"/>
      <c r="F42" s="454">
        <f>'Step 5 Support Funds'!F42+'Step 5 Support Funds'!G42+'Step 5 Support Funds'!H42+'Step 5 Support Funds'!I42</f>
        <v>6666508.0818057153</v>
      </c>
      <c r="G42" s="78"/>
      <c r="H42" s="454">
        <f>'Compile Productivity $'!B40</f>
        <v>0</v>
      </c>
      <c r="I42" s="454">
        <f>'Compile Productivity $'!C40</f>
        <v>0</v>
      </c>
      <c r="J42" s="454">
        <f>'Compile Productivity $'!D40</f>
        <v>0</v>
      </c>
      <c r="K42" s="454">
        <f>'Compile Productivity $'!E40</f>
        <v>36809.196993930658</v>
      </c>
      <c r="L42" s="454">
        <f>'Compile Productivity $'!F40</f>
        <v>0</v>
      </c>
      <c r="M42" s="454">
        <f>'Compile Productivity $'!G40</f>
        <v>0</v>
      </c>
      <c r="N42" s="454">
        <f>'Compile Productivity $'!H40</f>
        <v>0</v>
      </c>
      <c r="O42" s="78"/>
      <c r="P42" s="454">
        <f>'Step 5 Support Funds'!M42</f>
        <v>-233029.848</v>
      </c>
      <c r="Q42" s="454">
        <f>'Step 5 Support Funds'!N42+'Step 5 Support Funds'!O42+'Step 5 Support Funds'!P42+'Step 5 Support Funds'!Q42+'Step 5 Support Funds'!R42</f>
        <v>3149052</v>
      </c>
      <c r="R42" s="78"/>
      <c r="S42" s="78">
        <v>0</v>
      </c>
      <c r="T42" s="78"/>
      <c r="U42" s="78">
        <f t="shared" si="5"/>
        <v>-143.85360862346747</v>
      </c>
      <c r="V42" s="78"/>
      <c r="W42" s="454">
        <f t="shared" si="6"/>
        <v>9619195.5771910213</v>
      </c>
      <c r="X42" s="203"/>
      <c r="Y42" s="960">
        <f>'Step 3 Dedicated Funds'!V42</f>
        <v>9724870</v>
      </c>
      <c r="Z42" s="68">
        <f>'Step 3 Dedicated Funds'!W42</f>
        <v>9724870</v>
      </c>
    </row>
    <row r="43" spans="1:26">
      <c r="A43" s="437" t="s">
        <v>552</v>
      </c>
      <c r="B43" s="78"/>
      <c r="C43" s="78">
        <f>'Step 5 Support Funds'!C43</f>
        <v>0</v>
      </c>
      <c r="D43" s="78"/>
      <c r="E43" s="78"/>
      <c r="F43" s="454">
        <f>'Step 5 Support Funds'!F43+'Step 5 Support Funds'!G43+'Step 5 Support Funds'!H43+'Step 5 Support Funds'!I43</f>
        <v>3120924.9273157618</v>
      </c>
      <c r="G43" s="78"/>
      <c r="H43" s="454">
        <f>'Compile Productivity $'!B41</f>
        <v>1691536.992324549</v>
      </c>
      <c r="I43" s="454">
        <f>'Compile Productivity $'!C41</f>
        <v>0</v>
      </c>
      <c r="J43" s="454">
        <f>'Compile Productivity $'!D41</f>
        <v>128387</v>
      </c>
      <c r="K43" s="454">
        <f>'Compile Productivity $'!E41</f>
        <v>6650.372311343961</v>
      </c>
      <c r="L43" s="454">
        <f>'Compile Productivity $'!F41</f>
        <v>3103.9000169344245</v>
      </c>
      <c r="M43" s="454">
        <f>'Compile Productivity $'!G41</f>
        <v>0</v>
      </c>
      <c r="N43" s="454">
        <f>'Compile Productivity $'!H41</f>
        <v>0</v>
      </c>
      <c r="O43" s="78"/>
      <c r="P43" s="454">
        <f>'Step 5 Support Funds'!M43</f>
        <v>-2294</v>
      </c>
      <c r="Q43" s="454">
        <f>'Step 5 Support Funds'!N43+'Step 5 Support Funds'!O43+'Step 5 Support Funds'!P43+'Step 5 Support Funds'!Q43+'Step 5 Support Funds'!R43</f>
        <v>31000</v>
      </c>
      <c r="R43" s="78"/>
      <c r="S43" s="78">
        <v>0</v>
      </c>
      <c r="T43" s="78"/>
      <c r="U43" s="78">
        <f t="shared" si="5"/>
        <v>-7150.5450399700921</v>
      </c>
      <c r="V43" s="78"/>
      <c r="W43" s="454">
        <f t="shared" si="6"/>
        <v>4972158.6469286196</v>
      </c>
      <c r="X43" s="203"/>
      <c r="Y43" s="960">
        <f>'Step 3 Dedicated Funds'!V43</f>
        <v>5000049</v>
      </c>
      <c r="Z43" s="68">
        <f>'Step 3 Dedicated Funds'!W43</f>
        <v>5000049</v>
      </c>
    </row>
    <row r="44" spans="1:26">
      <c r="A44" s="213" t="s">
        <v>127</v>
      </c>
      <c r="B44" s="78"/>
      <c r="C44" s="78">
        <f>'Step 5 Support Funds'!C44</f>
        <v>0</v>
      </c>
      <c r="D44" s="78"/>
      <c r="E44" s="78"/>
      <c r="F44" s="454">
        <f>'Step 5 Support Funds'!F44+'Step 5 Support Funds'!G44+'Step 5 Support Funds'!H44+'Step 5 Support Funds'!I44</f>
        <v>3588041.1172417118</v>
      </c>
      <c r="G44" s="78"/>
      <c r="H44" s="454">
        <f>'Compile Productivity $'!B42</f>
        <v>0</v>
      </c>
      <c r="I44" s="454">
        <f>'Compile Productivity $'!C42</f>
        <v>0</v>
      </c>
      <c r="J44" s="454">
        <f>'Compile Productivity $'!D42</f>
        <v>0</v>
      </c>
      <c r="K44" s="454">
        <f>'Compile Productivity $'!E42</f>
        <v>0</v>
      </c>
      <c r="L44" s="454">
        <f>'Compile Productivity $'!F42</f>
        <v>0</v>
      </c>
      <c r="M44" s="454">
        <f>'Compile Productivity $'!G42</f>
        <v>0</v>
      </c>
      <c r="N44" s="454">
        <f>'Compile Productivity $'!H42</f>
        <v>0</v>
      </c>
      <c r="O44" s="78"/>
      <c r="P44" s="454">
        <f>'Step 5 Support Funds'!M44</f>
        <v>-740</v>
      </c>
      <c r="Q44" s="454">
        <f>'Step 5 Support Funds'!N44+'Step 5 Support Funds'!O44+'Step 5 Support Funds'!P44+'Step 5 Support Funds'!Q44+'Step 5 Support Funds'!R44</f>
        <v>10000</v>
      </c>
      <c r="R44" s="78"/>
      <c r="S44" s="78">
        <v>0</v>
      </c>
      <c r="T44" s="78"/>
      <c r="U44" s="78">
        <f t="shared" si="5"/>
        <v>0</v>
      </c>
      <c r="V44" s="78"/>
      <c r="W44" s="454">
        <f t="shared" si="6"/>
        <v>3597301.1172417118</v>
      </c>
      <c r="X44" s="203"/>
      <c r="Y44" s="960">
        <f>'Step 3 Dedicated Funds'!V44</f>
        <v>3643184</v>
      </c>
      <c r="Z44" s="68">
        <f>'Step 3 Dedicated Funds'!W44</f>
        <v>3643184</v>
      </c>
    </row>
    <row r="45" spans="1:26">
      <c r="A45" s="214" t="s">
        <v>128</v>
      </c>
      <c r="B45" s="63"/>
      <c r="C45" s="63">
        <f>'Step 5 Support Funds'!C45</f>
        <v>150000</v>
      </c>
      <c r="D45" s="63"/>
      <c r="E45" s="78"/>
      <c r="F45" s="452">
        <f>'Step 5 Support Funds'!F45+'Step 5 Support Funds'!G45+'Step 5 Support Funds'!H45+'Step 5 Support Funds'!I45</f>
        <v>16874972.849656563</v>
      </c>
      <c r="G45" s="68"/>
      <c r="H45" s="452">
        <f>'Compile Productivity $'!B43</f>
        <v>0</v>
      </c>
      <c r="I45" s="452">
        <f>'Compile Productivity $'!C43</f>
        <v>0</v>
      </c>
      <c r="J45" s="452">
        <f>'Compile Productivity $'!D43</f>
        <v>0</v>
      </c>
      <c r="K45" s="452">
        <f>'Compile Productivity $'!E43</f>
        <v>9814.8593321935041</v>
      </c>
      <c r="L45" s="452">
        <f>'Compile Productivity $'!F43</f>
        <v>0</v>
      </c>
      <c r="M45" s="452">
        <f>'Compile Productivity $'!G43</f>
        <v>0</v>
      </c>
      <c r="N45" s="452">
        <f>'Compile Productivity $'!H43</f>
        <v>0</v>
      </c>
      <c r="O45" s="68"/>
      <c r="P45" s="452">
        <f>'Step 5 Support Funds'!M45</f>
        <v>-1968.3999999999999</v>
      </c>
      <c r="Q45" s="452">
        <f>'Step 5 Support Funds'!N45+'Step 5 Support Funds'!O45+'Step 5 Support Funds'!P45+'Step 5 Support Funds'!Q45+'Step 5 Support Funds'!R45</f>
        <v>2493641.4615384615</v>
      </c>
      <c r="R45" s="78"/>
      <c r="S45" s="63">
        <v>0</v>
      </c>
      <c r="T45" s="63"/>
      <c r="U45" s="63">
        <f t="shared" si="5"/>
        <v>-38.357341326966605</v>
      </c>
      <c r="V45" s="63"/>
      <c r="W45" s="452">
        <f t="shared" si="6"/>
        <v>19526422.413185891</v>
      </c>
      <c r="X45" s="203"/>
      <c r="Y45" s="290">
        <f>'Step 3 Dedicated Funds'!V45</f>
        <v>19774816</v>
      </c>
      <c r="Z45" s="63">
        <f>'Step 3 Dedicated Funds'!W45</f>
        <v>19774816</v>
      </c>
    </row>
    <row r="46" spans="1:26">
      <c r="A46" s="213" t="s">
        <v>553</v>
      </c>
      <c r="B46" s="78"/>
      <c r="C46" s="78">
        <f>'Step 5 Support Funds'!C46</f>
        <v>1030000</v>
      </c>
      <c r="D46" s="78"/>
      <c r="E46" s="78"/>
      <c r="F46" s="454">
        <f>'Step 5 Support Funds'!F46+'Step 5 Support Funds'!G46+'Step 5 Support Funds'!H46+'Step 5 Support Funds'!I46</f>
        <v>2057532.8923932188</v>
      </c>
      <c r="G46" s="78"/>
      <c r="H46" s="454">
        <f>'Compile Productivity $'!B44</f>
        <v>0</v>
      </c>
      <c r="I46" s="454">
        <f>'Compile Productivity $'!C44</f>
        <v>0</v>
      </c>
      <c r="J46" s="454">
        <f>'Compile Productivity $'!D44</f>
        <v>0</v>
      </c>
      <c r="K46" s="454">
        <f>'Compile Productivity $'!E44</f>
        <v>0</v>
      </c>
      <c r="L46" s="454">
        <f>'Compile Productivity $'!F44</f>
        <v>0</v>
      </c>
      <c r="M46" s="454">
        <f>'Compile Productivity $'!G44</f>
        <v>507880</v>
      </c>
      <c r="N46" s="454">
        <f>'Compile Productivity $'!H44</f>
        <v>-507880</v>
      </c>
      <c r="O46" s="78"/>
      <c r="P46" s="454">
        <f>'Step 5 Support Funds'!M46</f>
        <v>-78304.95</v>
      </c>
      <c r="Q46" s="454">
        <f>'Step 5 Support Funds'!N46+'Step 5 Support Funds'!O46+'Step 5 Support Funds'!P46+'Step 5 Support Funds'!Q46+'Step 5 Support Funds'!R46</f>
        <v>1469348.576923077</v>
      </c>
      <c r="R46" s="78"/>
      <c r="S46" s="78">
        <v>0</v>
      </c>
      <c r="T46" s="78"/>
      <c r="U46" s="78">
        <f t="shared" si="5"/>
        <v>0</v>
      </c>
      <c r="V46" s="78"/>
      <c r="W46" s="454">
        <f t="shared" si="6"/>
        <v>4478576.5193162952</v>
      </c>
      <c r="X46" s="203"/>
      <c r="Y46" s="960">
        <f>'Step 3 Dedicated Funds'!V46</f>
        <v>4507186</v>
      </c>
      <c r="Z46" s="68">
        <f>'Step 3 Dedicated Funds'!W46</f>
        <v>4507186</v>
      </c>
    </row>
    <row r="47" spans="1:26">
      <c r="A47" s="76" t="s">
        <v>115</v>
      </c>
      <c r="B47" s="78"/>
      <c r="C47" s="78">
        <f>'Step 5 Support Funds'!C47</f>
        <v>0</v>
      </c>
      <c r="D47" s="78"/>
      <c r="E47" s="78"/>
      <c r="F47" s="453">
        <f>'Step 5 Support Funds'!F47+'Step 5 Support Funds'!G47+'Step 5 Support Funds'!H47+'Step 5 Support Funds'!I47</f>
        <v>1481570.7582504256</v>
      </c>
      <c r="G47" s="78"/>
      <c r="H47" s="453">
        <f>'Compile Productivity $'!B45</f>
        <v>0</v>
      </c>
      <c r="I47" s="453">
        <f>'Compile Productivity $'!C45</f>
        <v>0</v>
      </c>
      <c r="J47" s="453">
        <f>'Compile Productivity $'!D45</f>
        <v>0</v>
      </c>
      <c r="K47" s="453">
        <f>'Compile Productivity $'!E45</f>
        <v>19295.178938731842</v>
      </c>
      <c r="L47" s="453">
        <f>'Compile Productivity $'!F45</f>
        <v>0</v>
      </c>
      <c r="M47" s="453">
        <f>'Compile Productivity $'!G45</f>
        <v>0</v>
      </c>
      <c r="N47" s="453">
        <f>'Compile Productivity $'!H45</f>
        <v>0</v>
      </c>
      <c r="O47" s="78"/>
      <c r="P47" s="453">
        <f>'Step 5 Support Funds'!M47</f>
        <v>0</v>
      </c>
      <c r="Q47" s="453">
        <f>'Step 5 Support Funds'!N47+'Step 5 Support Funds'!O47+'Step 5 Support Funds'!P47+'Step 5 Support Funds'!Q47+'Step 5 Support Funds'!R47</f>
        <v>0</v>
      </c>
      <c r="R47" s="78"/>
      <c r="S47" s="78">
        <v>0</v>
      </c>
      <c r="T47" s="78"/>
      <c r="U47" s="78">
        <f t="shared" si="5"/>
        <v>-75.407271716081581</v>
      </c>
      <c r="V47" s="78"/>
      <c r="W47" s="453">
        <f t="shared" si="6"/>
        <v>1500790.5299174413</v>
      </c>
      <c r="X47" s="203"/>
      <c r="Y47" s="960">
        <f>'Step 3 Dedicated Funds'!V47</f>
        <v>1522413</v>
      </c>
      <c r="Z47" s="68">
        <f>'Step 3 Dedicated Funds'!W47</f>
        <v>1522413</v>
      </c>
    </row>
    <row r="48" spans="1:26">
      <c r="A48" s="438" t="s">
        <v>129</v>
      </c>
      <c r="B48" s="267"/>
      <c r="C48" s="267">
        <f>'Step 5 Support Funds'!C48</f>
        <v>427000</v>
      </c>
      <c r="D48" s="267"/>
      <c r="E48" s="78"/>
      <c r="F48" s="452">
        <f>'Step 5 Support Funds'!F48+'Step 5 Support Funds'!G48+'Step 5 Support Funds'!H48+'Step 5 Support Funds'!I48</f>
        <v>3809320.6705968725</v>
      </c>
      <c r="G48" s="78"/>
      <c r="H48" s="452">
        <f>'Compile Productivity $'!B46</f>
        <v>0</v>
      </c>
      <c r="I48" s="452">
        <f>'Compile Productivity $'!C46</f>
        <v>0</v>
      </c>
      <c r="J48" s="452">
        <f>'Compile Productivity $'!D46</f>
        <v>0</v>
      </c>
      <c r="K48" s="452">
        <f>'Compile Productivity $'!E46</f>
        <v>0</v>
      </c>
      <c r="L48" s="452">
        <f>'Compile Productivity $'!F46</f>
        <v>0</v>
      </c>
      <c r="M48" s="452">
        <f>'Compile Productivity $'!G46</f>
        <v>72357</v>
      </c>
      <c r="N48" s="452">
        <f>'Compile Productivity $'!H46</f>
        <v>-72357</v>
      </c>
      <c r="O48" s="78"/>
      <c r="P48" s="452">
        <f>'Step 5 Support Funds'!M48</f>
        <v>0</v>
      </c>
      <c r="Q48" s="452">
        <f>'Step 5 Support Funds'!N48+'Step 5 Support Funds'!O48+'Step 5 Support Funds'!P48+'Step 5 Support Funds'!Q48+'Step 5 Support Funds'!R48</f>
        <v>3289388.6153846155</v>
      </c>
      <c r="R48" s="78"/>
      <c r="S48" s="267">
        <v>0</v>
      </c>
      <c r="T48" s="267"/>
      <c r="U48" s="267">
        <f t="shared" si="5"/>
        <v>0</v>
      </c>
      <c r="V48" s="267"/>
      <c r="W48" s="452">
        <f t="shared" si="6"/>
        <v>7525709.2859814875</v>
      </c>
      <c r="X48" s="203"/>
      <c r="Y48" s="290">
        <f>'Step 3 Dedicated Funds'!V48</f>
        <v>7582890</v>
      </c>
      <c r="Z48" s="63">
        <f>'Step 3 Dedicated Funds'!W48</f>
        <v>7582890</v>
      </c>
    </row>
    <row r="49" spans="1:26">
      <c r="A49" s="213" t="s">
        <v>130</v>
      </c>
      <c r="B49" s="68"/>
      <c r="C49" s="68">
        <f>'Step 5 Support Funds'!C49</f>
        <v>0</v>
      </c>
      <c r="D49" s="68"/>
      <c r="E49" s="78"/>
      <c r="F49" s="453">
        <f>'Step 5 Support Funds'!F49+'Step 5 Support Funds'!G49+'Step 5 Support Funds'!H49+'Step 5 Support Funds'!I49</f>
        <v>6505237.2654868942</v>
      </c>
      <c r="G49" s="68"/>
      <c r="H49" s="453">
        <f>'Compile Productivity $'!B47</f>
        <v>0</v>
      </c>
      <c r="I49" s="453">
        <f>'Compile Productivity $'!C47</f>
        <v>0</v>
      </c>
      <c r="J49" s="453">
        <f>'Compile Productivity $'!D47</f>
        <v>0</v>
      </c>
      <c r="K49" s="453">
        <f>'Compile Productivity $'!E47</f>
        <v>11032.846691728835</v>
      </c>
      <c r="L49" s="453">
        <f>'Compile Productivity $'!F47</f>
        <v>0</v>
      </c>
      <c r="M49" s="453">
        <f>'Compile Productivity $'!G47</f>
        <v>0</v>
      </c>
      <c r="N49" s="453">
        <f>'Compile Productivity $'!H47</f>
        <v>0</v>
      </c>
      <c r="O49" s="68"/>
      <c r="P49" s="453">
        <f>'Step 5 Support Funds'!M49</f>
        <v>-87039.54</v>
      </c>
      <c r="Q49" s="453">
        <f>'Step 5 Support Funds'!N49+'Step 5 Support Funds'!O49+'Step 5 Support Funds'!P49+'Step 5 Support Funds'!Q49+'Step 5 Support Funds'!R49</f>
        <v>1176210</v>
      </c>
      <c r="R49" s="78"/>
      <c r="S49" s="68">
        <v>0</v>
      </c>
      <c r="T49" s="68"/>
      <c r="U49" s="68">
        <f t="shared" si="5"/>
        <v>-43.117344022918282</v>
      </c>
      <c r="V49" s="68"/>
      <c r="W49" s="453">
        <f t="shared" si="6"/>
        <v>7605397.4548346</v>
      </c>
      <c r="X49" s="203"/>
      <c r="Y49" s="960">
        <f>'Step 3 Dedicated Funds'!V49</f>
        <v>7705927</v>
      </c>
      <c r="Z49" s="68">
        <f>'Step 3 Dedicated Funds'!W49</f>
        <v>7705927</v>
      </c>
    </row>
    <row r="50" spans="1:26">
      <c r="A50" s="213" t="s">
        <v>131</v>
      </c>
      <c r="B50" s="78"/>
      <c r="C50" s="78">
        <f>'Step 5 Support Funds'!C50</f>
        <v>0</v>
      </c>
      <c r="D50" s="78"/>
      <c r="E50" s="78"/>
      <c r="F50" s="454">
        <f>'Step 5 Support Funds'!F50+'Step 5 Support Funds'!G50+'Step 5 Support Funds'!H50+'Step 5 Support Funds'!I50</f>
        <v>10425001.048756639</v>
      </c>
      <c r="G50" s="78"/>
      <c r="H50" s="454">
        <f>'Compile Productivity $'!B48</f>
        <v>0</v>
      </c>
      <c r="I50" s="454">
        <f>'Compile Productivity $'!C48</f>
        <v>0</v>
      </c>
      <c r="J50" s="454">
        <f>'Compile Productivity $'!D48</f>
        <v>0</v>
      </c>
      <c r="K50" s="454">
        <f>'Compile Productivity $'!E48</f>
        <v>0</v>
      </c>
      <c r="L50" s="454">
        <f>'Compile Productivity $'!F48</f>
        <v>0</v>
      </c>
      <c r="M50" s="454">
        <f>'Compile Productivity $'!G48</f>
        <v>0</v>
      </c>
      <c r="N50" s="454">
        <f>'Compile Productivity $'!H48</f>
        <v>0</v>
      </c>
      <c r="O50" s="78"/>
      <c r="P50" s="454">
        <f>'Step 5 Support Funds'!M50</f>
        <v>0</v>
      </c>
      <c r="Q50" s="454">
        <f>'Step 5 Support Funds'!N50+'Step 5 Support Funds'!O50+'Step 5 Support Funds'!P50+'Step 5 Support Funds'!Q50+'Step 5 Support Funds'!R50</f>
        <v>1644694.3076923077</v>
      </c>
      <c r="R50" s="78"/>
      <c r="S50" s="78">
        <v>0</v>
      </c>
      <c r="T50" s="78"/>
      <c r="U50" s="78">
        <f t="shared" si="5"/>
        <v>0</v>
      </c>
      <c r="V50" s="78"/>
      <c r="W50" s="454">
        <f t="shared" si="6"/>
        <v>12069695.356448947</v>
      </c>
      <c r="X50" s="203"/>
      <c r="Y50" s="960">
        <f>'Step 3 Dedicated Funds'!V50</f>
        <v>12221894</v>
      </c>
      <c r="Z50" s="68">
        <f>'Step 3 Dedicated Funds'!W50</f>
        <v>12221894</v>
      </c>
    </row>
    <row r="51" spans="1:26">
      <c r="A51" s="438" t="s">
        <v>132</v>
      </c>
      <c r="B51" s="267"/>
      <c r="C51" s="267">
        <f>'Step 5 Support Funds'!C51</f>
        <v>40000</v>
      </c>
      <c r="D51" s="267"/>
      <c r="E51" s="78"/>
      <c r="F51" s="452">
        <f>'Step 5 Support Funds'!F51+'Step 5 Support Funds'!G51+'Step 5 Support Funds'!H51+'Step 5 Support Funds'!I51</f>
        <v>22950040.740364164</v>
      </c>
      <c r="G51" s="78"/>
      <c r="H51" s="452">
        <f>'Compile Productivity $'!B49</f>
        <v>0</v>
      </c>
      <c r="I51" s="452">
        <f>'Compile Productivity $'!C49</f>
        <v>0</v>
      </c>
      <c r="J51" s="452">
        <f>'Compile Productivity $'!D49</f>
        <v>0</v>
      </c>
      <c r="K51" s="452">
        <f>'Compile Productivity $'!E49</f>
        <v>0</v>
      </c>
      <c r="L51" s="452">
        <f>'Compile Productivity $'!F49</f>
        <v>0</v>
      </c>
      <c r="M51" s="452">
        <f>'Compile Productivity $'!G49</f>
        <v>0</v>
      </c>
      <c r="N51" s="452">
        <f>'Compile Productivity $'!H49</f>
        <v>0</v>
      </c>
      <c r="O51" s="78"/>
      <c r="P51" s="452">
        <f>'Step 5 Support Funds'!M51</f>
        <v>-27454</v>
      </c>
      <c r="Q51" s="452">
        <f>'Step 5 Support Funds'!N51+'Step 5 Support Funds'!O51+'Step 5 Support Funds'!P51+'Step 5 Support Funds'!Q51+'Step 5 Support Funds'!R51</f>
        <v>2015694.3076923077</v>
      </c>
      <c r="R51" s="78"/>
      <c r="S51" s="267">
        <v>0</v>
      </c>
      <c r="T51" s="267"/>
      <c r="U51" s="267">
        <f t="shared" si="5"/>
        <v>0</v>
      </c>
      <c r="V51" s="267"/>
      <c r="W51" s="452">
        <f t="shared" si="6"/>
        <v>24978281.048056472</v>
      </c>
      <c r="X51" s="203"/>
      <c r="Y51" s="290">
        <f>'Step 3 Dedicated Funds'!V51</f>
        <v>25322352</v>
      </c>
      <c r="Z51" s="63">
        <f>'Step 3 Dedicated Funds'!W51</f>
        <v>25322352</v>
      </c>
    </row>
    <row r="52" spans="1:26">
      <c r="A52" s="213" t="s">
        <v>133</v>
      </c>
      <c r="B52" s="68"/>
      <c r="C52" s="68">
        <f>'Step 5 Support Funds'!C52</f>
        <v>0</v>
      </c>
      <c r="D52" s="68"/>
      <c r="E52" s="78"/>
      <c r="F52" s="453">
        <f>'Step 5 Support Funds'!F52+'Step 5 Support Funds'!G52+'Step 5 Support Funds'!H52+'Step 5 Support Funds'!I52</f>
        <v>13195006.04547636</v>
      </c>
      <c r="G52" s="68"/>
      <c r="H52" s="453">
        <f>'Compile Productivity $'!B50</f>
        <v>0</v>
      </c>
      <c r="I52" s="453">
        <f>'Compile Productivity $'!C50</f>
        <v>0</v>
      </c>
      <c r="J52" s="453">
        <f>'Compile Productivity $'!D50</f>
        <v>0</v>
      </c>
      <c r="K52" s="453">
        <f>'Compile Productivity $'!E50</f>
        <v>0</v>
      </c>
      <c r="L52" s="453">
        <f>'Compile Productivity $'!F50</f>
        <v>0</v>
      </c>
      <c r="M52" s="453">
        <f>'Compile Productivity $'!G50</f>
        <v>0</v>
      </c>
      <c r="N52" s="453">
        <f>'Compile Productivity $'!H50</f>
        <v>0</v>
      </c>
      <c r="O52" s="68"/>
      <c r="P52" s="453">
        <f>'Step 5 Support Funds'!M52</f>
        <v>0</v>
      </c>
      <c r="Q52" s="453">
        <f>'Step 5 Support Funds'!N52+'Step 5 Support Funds'!O52+'Step 5 Support Funds'!P52+'Step 5 Support Funds'!Q52+'Step 5 Support Funds'!R52</f>
        <v>4522909.346153846</v>
      </c>
      <c r="R52" s="78"/>
      <c r="S52" s="68">
        <v>0</v>
      </c>
      <c r="T52" s="68"/>
      <c r="U52" s="68">
        <f t="shared" si="5"/>
        <v>0</v>
      </c>
      <c r="V52" s="68"/>
      <c r="W52" s="453">
        <f t="shared" si="6"/>
        <v>17717915.391630206</v>
      </c>
      <c r="X52" s="203"/>
      <c r="Y52" s="960">
        <f>'Step 3 Dedicated Funds'!V52</f>
        <v>17924002</v>
      </c>
      <c r="Z52" s="68">
        <f>'Step 3 Dedicated Funds'!W52</f>
        <v>17924002</v>
      </c>
    </row>
    <row r="53" spans="1:26">
      <c r="A53" s="213" t="s">
        <v>521</v>
      </c>
      <c r="B53" s="68"/>
      <c r="C53" s="68">
        <f>'Step 5 Support Funds'!C53</f>
        <v>0</v>
      </c>
      <c r="D53" s="68"/>
      <c r="E53" s="207"/>
      <c r="F53" s="453">
        <f>'Step 5 Support Funds'!F53+'Step 5 Support Funds'!G53+'Step 5 Support Funds'!H53+'Step 5 Support Funds'!I53</f>
        <v>3368209.818164113</v>
      </c>
      <c r="G53" s="68"/>
      <c r="H53" s="453">
        <f>'Compile Productivity $'!B51</f>
        <v>0</v>
      </c>
      <c r="I53" s="453">
        <f>'Compile Productivity $'!C51</f>
        <v>0</v>
      </c>
      <c r="J53" s="453">
        <f>'Compile Productivity $'!D51</f>
        <v>0</v>
      </c>
      <c r="K53" s="453">
        <f>'Compile Productivity $'!E51</f>
        <v>153.76930022652303</v>
      </c>
      <c r="L53" s="453">
        <f>'Compile Productivity $'!F51</f>
        <v>0</v>
      </c>
      <c r="M53" s="453">
        <f>'Compile Productivity $'!G51</f>
        <v>0</v>
      </c>
      <c r="N53" s="453">
        <f>'Compile Productivity $'!H51</f>
        <v>0</v>
      </c>
      <c r="O53" s="68"/>
      <c r="P53" s="453">
        <f>'Step 5 Support Funds'!M53</f>
        <v>-2960</v>
      </c>
      <c r="Q53" s="453">
        <f>'Step 5 Support Funds'!N53+'Step 5 Support Funds'!O53+'Step 5 Support Funds'!P53+'Step 5 Support Funds'!Q53+'Step 5 Support Funds'!R53</f>
        <v>40000</v>
      </c>
      <c r="R53" s="78"/>
      <c r="S53" s="68">
        <v>0</v>
      </c>
      <c r="T53" s="68"/>
      <c r="U53" s="68">
        <f t="shared" si="5"/>
        <v>-0.60094407212246559</v>
      </c>
      <c r="V53" s="68"/>
      <c r="W53" s="453">
        <f t="shared" si="6"/>
        <v>3405402.9865202676</v>
      </c>
      <c r="X53" s="203"/>
      <c r="Y53" s="960">
        <f>'Step 3 Dedicated Funds'!V53</f>
        <v>3458422</v>
      </c>
      <c r="Z53" s="68">
        <f>'Step 3 Dedicated Funds'!W53</f>
        <v>3458422</v>
      </c>
    </row>
    <row r="54" spans="1:26">
      <c r="A54" s="457" t="s">
        <v>554</v>
      </c>
      <c r="B54" s="266"/>
      <c r="C54" s="266">
        <f>'Step 5 Support Funds'!C54</f>
        <v>289720</v>
      </c>
      <c r="D54" s="266"/>
      <c r="E54" s="78"/>
      <c r="F54" s="452">
        <f>'Step 5 Support Funds'!F54+'Step 5 Support Funds'!G54+'Step 5 Support Funds'!H54+'Step 5 Support Funds'!I54</f>
        <v>1220347.3799284496</v>
      </c>
      <c r="G54" s="68"/>
      <c r="H54" s="452">
        <f>'Compile Productivity $'!B52</f>
        <v>0</v>
      </c>
      <c r="I54" s="452">
        <f>'Compile Productivity $'!C52</f>
        <v>0</v>
      </c>
      <c r="J54" s="452">
        <f>'Compile Productivity $'!D52</f>
        <v>0</v>
      </c>
      <c r="K54" s="452">
        <f>'Compile Productivity $'!E52</f>
        <v>0</v>
      </c>
      <c r="L54" s="452">
        <f>'Compile Productivity $'!F52</f>
        <v>0</v>
      </c>
      <c r="M54" s="452">
        <f>'Compile Productivity $'!G52</f>
        <v>0</v>
      </c>
      <c r="N54" s="452">
        <f>'Compile Productivity $'!H52</f>
        <v>0</v>
      </c>
      <c r="O54" s="68"/>
      <c r="P54" s="452">
        <f>'Step 5 Support Funds'!M54</f>
        <v>0</v>
      </c>
      <c r="Q54" s="452">
        <f>'Step 5 Support Funds'!N54+'Step 5 Support Funds'!O54+'Step 5 Support Funds'!P54+'Step 5 Support Funds'!Q54+'Step 5 Support Funds'!R54</f>
        <v>822347.15384615387</v>
      </c>
      <c r="R54" s="78"/>
      <c r="S54" s="266">
        <v>0</v>
      </c>
      <c r="T54" s="266"/>
      <c r="U54" s="266">
        <f t="shared" si="5"/>
        <v>0</v>
      </c>
      <c r="V54" s="266"/>
      <c r="W54" s="452">
        <f t="shared" si="6"/>
        <v>2332414.5337746036</v>
      </c>
      <c r="X54" s="203"/>
      <c r="Y54" s="290">
        <f>'Step 3 Dedicated Funds'!V54</f>
        <v>2369486</v>
      </c>
      <c r="Z54" s="63">
        <f>'Step 3 Dedicated Funds'!W54</f>
        <v>2369486</v>
      </c>
    </row>
    <row r="55" spans="1:26">
      <c r="A55" s="213" t="s">
        <v>134</v>
      </c>
      <c r="B55" s="78"/>
      <c r="C55" s="78">
        <f>'Step 5 Support Funds'!C55</f>
        <v>0</v>
      </c>
      <c r="D55" s="78"/>
      <c r="E55" s="213"/>
      <c r="F55" s="453">
        <f>'Step 5 Support Funds'!F55+'Step 5 Support Funds'!G55+'Step 5 Support Funds'!H55+'Step 5 Support Funds'!I55</f>
        <v>8122937.247648742</v>
      </c>
      <c r="G55" s="78"/>
      <c r="H55" s="453">
        <f>'Compile Productivity $'!B53</f>
        <v>0</v>
      </c>
      <c r="I55" s="453">
        <f>'Compile Productivity $'!C53</f>
        <v>0</v>
      </c>
      <c r="J55" s="453">
        <f>'Compile Productivity $'!D53</f>
        <v>0</v>
      </c>
      <c r="K55" s="453">
        <f>'Compile Productivity $'!E53</f>
        <v>0</v>
      </c>
      <c r="L55" s="453">
        <f>'Compile Productivity $'!F53</f>
        <v>0</v>
      </c>
      <c r="M55" s="453">
        <f>'Compile Productivity $'!G53</f>
        <v>0</v>
      </c>
      <c r="N55" s="453">
        <f>'Compile Productivity $'!H53</f>
        <v>0</v>
      </c>
      <c r="O55" s="78"/>
      <c r="P55" s="453">
        <f>'Step 5 Support Funds'!M55</f>
        <v>-4440</v>
      </c>
      <c r="Q55" s="453">
        <f>'Step 5 Support Funds'!N55+'Step 5 Support Funds'!O55+'Step 5 Support Funds'!P55+'Step 5 Support Funds'!Q55+'Step 5 Support Funds'!R55</f>
        <v>4171735.769230769</v>
      </c>
      <c r="R55" s="78"/>
      <c r="S55" s="78">
        <v>0</v>
      </c>
      <c r="T55" s="78"/>
      <c r="U55" s="78">
        <f t="shared" si="5"/>
        <v>0</v>
      </c>
      <c r="V55" s="78"/>
      <c r="W55" s="453">
        <f t="shared" si="6"/>
        <v>12290233.01687951</v>
      </c>
      <c r="X55" s="203"/>
      <c r="Y55" s="960">
        <f>'Step 3 Dedicated Funds'!V55</f>
        <v>12402374</v>
      </c>
      <c r="Z55" s="68">
        <f>'Step 3 Dedicated Funds'!W55</f>
        <v>12402374</v>
      </c>
    </row>
    <row r="56" spans="1:26">
      <c r="A56" s="445" t="s">
        <v>135</v>
      </c>
      <c r="B56" s="446">
        <f>SUM(B38:B55)</f>
        <v>0</v>
      </c>
      <c r="C56" s="446">
        <f>SUM(C38:C55)</f>
        <v>7883305</v>
      </c>
      <c r="D56" s="446">
        <f>SUM(D38:D55)</f>
        <v>11858786</v>
      </c>
      <c r="E56" s="462"/>
      <c r="F56" s="446">
        <f t="shared" ref="F56:N56" si="7">SUM(F38:F55)</f>
        <v>107280661.56528878</v>
      </c>
      <c r="G56" s="209">
        <f t="shared" si="7"/>
        <v>0</v>
      </c>
      <c r="H56" s="446">
        <f t="shared" si="7"/>
        <v>1691536.992324549</v>
      </c>
      <c r="I56" s="446">
        <f t="shared" si="7"/>
        <v>0</v>
      </c>
      <c r="J56" s="446">
        <f t="shared" si="7"/>
        <v>128387</v>
      </c>
      <c r="K56" s="446">
        <f t="shared" si="7"/>
        <v>86472.73008490236</v>
      </c>
      <c r="L56" s="446">
        <f t="shared" si="7"/>
        <v>3103.9000169344245</v>
      </c>
      <c r="M56" s="446">
        <f t="shared" si="7"/>
        <v>580237</v>
      </c>
      <c r="N56" s="446">
        <f t="shared" si="7"/>
        <v>-580237</v>
      </c>
      <c r="O56" s="209"/>
      <c r="P56" s="446">
        <f>SUM(P38:P55)</f>
        <v>-438230.73799999995</v>
      </c>
      <c r="Q56" s="446">
        <f>SUM(Q38:Q55)</f>
        <v>24836021.538461536</v>
      </c>
      <c r="R56" s="207"/>
      <c r="S56" s="446">
        <f t="shared" ref="S56:U56" si="8">SUM(S38:S55)</f>
        <v>0</v>
      </c>
      <c r="T56" s="446">
        <f t="shared" si="8"/>
        <v>0</v>
      </c>
      <c r="U56" s="446">
        <f t="shared" si="8"/>
        <v>-7462.4978982857256</v>
      </c>
      <c r="V56" s="446"/>
      <c r="W56" s="446">
        <f>SUM(W38:W55)</f>
        <v>153322581.49027842</v>
      </c>
      <c r="X56" s="203"/>
      <c r="Y56" s="446">
        <f>'Step 3 Dedicated Funds'!V56</f>
        <v>154921629</v>
      </c>
      <c r="Z56" s="446">
        <f>'Step 3 Dedicated Funds'!W56</f>
        <v>154921629</v>
      </c>
    </row>
    <row r="57" spans="1:26" ht="16.5" thickBot="1">
      <c r="A57" s="447" t="s">
        <v>136</v>
      </c>
      <c r="B57" s="448">
        <f>B6+B7+B8+B9+B10+B11+B12+B34+B56</f>
        <v>54069672.159999996</v>
      </c>
      <c r="C57" s="448">
        <f>C6+C7+C8+C9+C10+C11+C12+C34+C56</f>
        <v>11060239.18</v>
      </c>
      <c r="D57" s="448">
        <f>D6+D7+D8+D9+D10+D11+D12+D34+D56</f>
        <v>28449144.77</v>
      </c>
      <c r="E57" s="462"/>
      <c r="F57" s="448">
        <f>F6+F7+F8+F9+F10+F11+F12+F34+F56</f>
        <v>121434509.4979278</v>
      </c>
      <c r="G57" s="236">
        <f>G6+G7+G8+G11+G12+G34+G56</f>
        <v>0</v>
      </c>
      <c r="H57" s="448">
        <f t="shared" ref="H57:N57" si="9">H6+H7+H8+H9+H10+H11+H12+H34+H56</f>
        <v>75838023.382972881</v>
      </c>
      <c r="I57" s="448">
        <f t="shared" si="9"/>
        <v>41669243.617018059</v>
      </c>
      <c r="J57" s="448">
        <f t="shared" si="9"/>
        <v>52130127</v>
      </c>
      <c r="K57" s="448">
        <f t="shared" si="9"/>
        <v>8333848.723403614</v>
      </c>
      <c r="L57" s="448">
        <f t="shared" si="9"/>
        <v>7500463.8510632524</v>
      </c>
      <c r="M57" s="448">
        <f t="shared" si="9"/>
        <v>19289349</v>
      </c>
      <c r="N57" s="448">
        <f t="shared" si="9"/>
        <v>14046045.893614452</v>
      </c>
      <c r="O57" s="236"/>
      <c r="P57" s="448">
        <f>P6+P7+P8+P9+P10+P11+P12+P34+P56</f>
        <v>-3568600.42</v>
      </c>
      <c r="Q57" s="448">
        <f>Q6+Q7+Q8+Q9+Q10+Q11+Q12+Q34+Q56</f>
        <v>122759892.344</v>
      </c>
      <c r="R57" s="78"/>
      <c r="S57" s="448">
        <f t="shared" ref="S57:U57" si="10">S6+S7+S8+S9+S10+S11+S12+S34+S56</f>
        <v>0</v>
      </c>
      <c r="T57" s="448">
        <f t="shared" si="10"/>
        <v>0</v>
      </c>
      <c r="U57" s="448">
        <f t="shared" si="10"/>
        <v>-9.9134922493249178E-11</v>
      </c>
      <c r="V57" s="448"/>
      <c r="W57" s="448">
        <f>W6+W7+W8+W9+W10+W11+W12+W34+W56</f>
        <v>553011959</v>
      </c>
      <c r="X57" s="780"/>
      <c r="Y57" s="448">
        <f>'Step 3 Dedicated Funds'!V57</f>
        <v>553011959.38800001</v>
      </c>
      <c r="Z57" s="448">
        <f>'Step 3 Dedicated Funds'!W57</f>
        <v>553011959.38800001</v>
      </c>
    </row>
    <row r="58" spans="1:26" ht="17.25" thickTop="1" thickBot="1">
      <c r="A58" s="213"/>
      <c r="B58" s="213"/>
      <c r="C58" s="213"/>
      <c r="D58" s="213"/>
      <c r="E58" s="202"/>
      <c r="F58" s="213"/>
      <c r="G58" s="213"/>
      <c r="H58" s="213"/>
      <c r="I58" s="213"/>
      <c r="J58" s="213"/>
      <c r="K58" s="213"/>
      <c r="L58" s="213"/>
      <c r="M58" s="207"/>
      <c r="N58" s="207"/>
      <c r="O58" s="207"/>
      <c r="P58" s="78"/>
      <c r="Q58" s="78"/>
      <c r="R58" s="78"/>
      <c r="S58" s="78"/>
      <c r="T58" s="78"/>
      <c r="U58" s="78"/>
      <c r="V58" s="78"/>
      <c r="W58" s="206">
        <f>B57+C57+D57+F57+H57+I57+J57+K57+L57+M57+N57+P57+Q57+S57</f>
        <v>553011959.00000012</v>
      </c>
      <c r="X58" s="203"/>
      <c r="Y58" s="206"/>
      <c r="Z58" s="203"/>
    </row>
    <row r="59" spans="1:26">
      <c r="A59" s="202"/>
      <c r="B59" s="202"/>
      <c r="C59" s="202"/>
      <c r="D59" s="202"/>
      <c r="E59" s="202"/>
      <c r="F59" s="202"/>
      <c r="G59" s="202"/>
      <c r="H59" s="202"/>
      <c r="I59" s="202"/>
      <c r="J59" s="202"/>
      <c r="K59" s="202"/>
      <c r="L59" s="363" t="s">
        <v>353</v>
      </c>
      <c r="M59" s="1617">
        <f>H57+I57+J57+K57+L57+M57+N57</f>
        <v>218807101.46807224</v>
      </c>
      <c r="N59" s="1618"/>
      <c r="O59" s="204"/>
      <c r="P59" s="204"/>
      <c r="Q59" s="204">
        <f>SUM(P57:Q57)</f>
        <v>119191291.92399999</v>
      </c>
      <c r="R59" s="204"/>
      <c r="S59" s="204"/>
      <c r="T59" s="204"/>
      <c r="U59" s="204"/>
      <c r="V59" s="204"/>
      <c r="W59" s="204">
        <f>SUM(B57:R57)</f>
        <v>553011959.00000012</v>
      </c>
      <c r="X59" s="203"/>
      <c r="Y59" s="204">
        <f>Y34+Y56+Y6+Y7+Y8+Y11+Y12</f>
        <v>553011959</v>
      </c>
      <c r="Z59" s="202"/>
    </row>
    <row r="60" spans="1:26">
      <c r="A60" s="202"/>
      <c r="B60" s="202"/>
      <c r="C60" s="202"/>
      <c r="D60" s="202"/>
      <c r="E60" s="202"/>
      <c r="F60" s="202"/>
      <c r="G60" s="202"/>
      <c r="H60" s="202"/>
      <c r="I60" s="204"/>
      <c r="J60" s="202"/>
      <c r="K60" s="202"/>
      <c r="L60" s="364" t="s">
        <v>354</v>
      </c>
      <c r="M60" s="365"/>
      <c r="N60" s="366">
        <f>M59-'Dashboard-Academic Allocation'!E1</f>
        <v>0</v>
      </c>
      <c r="O60" s="202"/>
      <c r="P60" s="202"/>
      <c r="Q60" s="12">
        <f>-Q8-P8</f>
        <v>-3750300</v>
      </c>
      <c r="W60" s="202"/>
      <c r="X60" s="203"/>
      <c r="Y60" s="220">
        <f>SUM(Y38:Y55)</f>
        <v>154921629</v>
      </c>
      <c r="Z60" s="202"/>
    </row>
    <row r="61" spans="1:26" ht="16.5" thickBot="1">
      <c r="A61" s="202"/>
      <c r="B61" s="202"/>
      <c r="C61" s="202"/>
      <c r="D61" s="202"/>
      <c r="E61" s="202"/>
      <c r="F61" s="202"/>
      <c r="G61" s="202"/>
      <c r="H61" s="202"/>
      <c r="I61" s="202"/>
      <c r="J61" s="202"/>
      <c r="K61" s="202"/>
      <c r="L61" s="367"/>
      <c r="M61" s="368"/>
      <c r="N61" s="369" t="str">
        <f>IF(N60=0,"OK","ERROR")</f>
        <v>OK</v>
      </c>
      <c r="O61" s="202"/>
      <c r="P61" s="202"/>
      <c r="Q61" s="12">
        <f>Q59+Q60</f>
        <v>115440991.92399999</v>
      </c>
      <c r="W61" s="204">
        <f>W58-W59</f>
        <v>0</v>
      </c>
      <c r="X61" s="202"/>
      <c r="Y61" s="202"/>
      <c r="Z61" s="202"/>
    </row>
    <row r="62" spans="1:26">
      <c r="A62" s="202"/>
      <c r="B62" s="202"/>
      <c r="C62" s="202"/>
      <c r="D62" s="202"/>
      <c r="E62" s="202"/>
      <c r="F62" s="202"/>
      <c r="G62" s="202"/>
      <c r="H62" s="204"/>
      <c r="I62" s="204"/>
      <c r="J62" s="204"/>
      <c r="K62" s="204"/>
      <c r="L62" s="204"/>
      <c r="M62" s="204"/>
      <c r="N62" s="202"/>
      <c r="O62" s="202"/>
      <c r="P62" s="202"/>
      <c r="W62" s="228"/>
      <c r="X62" s="228"/>
      <c r="Y62" s="228"/>
      <c r="Z62" s="228"/>
    </row>
    <row r="63" spans="1:26">
      <c r="A63" s="228"/>
      <c r="B63" s="228"/>
      <c r="C63" s="228"/>
      <c r="D63" s="228"/>
      <c r="E63" s="228"/>
      <c r="F63" s="202"/>
      <c r="G63" s="202"/>
      <c r="H63" s="202"/>
      <c r="I63" s="202"/>
      <c r="J63" s="202"/>
      <c r="K63" s="202"/>
      <c r="L63" s="202"/>
      <c r="M63" s="220"/>
      <c r="N63" s="204">
        <f>SUM(H57:N57)</f>
        <v>218807101.46807224</v>
      </c>
      <c r="O63" s="202"/>
      <c r="P63" s="202"/>
      <c r="W63" s="228"/>
      <c r="X63" s="228"/>
      <c r="Y63" s="228"/>
      <c r="Z63" s="228"/>
    </row>
    <row r="64" spans="1:26">
      <c r="A64" s="228"/>
      <c r="B64" s="228"/>
      <c r="C64" s="228"/>
      <c r="D64" s="228"/>
      <c r="E64" s="228"/>
      <c r="F64" s="202"/>
      <c r="G64" s="202"/>
      <c r="H64" s="204"/>
      <c r="I64" s="204"/>
      <c r="J64" s="204"/>
      <c r="K64" s="204"/>
      <c r="L64" s="204"/>
      <c r="M64" s="204"/>
      <c r="N64" s="204"/>
      <c r="O64" s="202"/>
      <c r="P64" s="202"/>
      <c r="Z64" s="228"/>
    </row>
    <row r="65" spans="6:25">
      <c r="F65" s="202"/>
      <c r="G65" s="202"/>
      <c r="H65" s="202"/>
      <c r="I65" s="202"/>
      <c r="J65" s="202"/>
      <c r="K65" s="202"/>
      <c r="L65" s="202"/>
      <c r="M65" s="202"/>
      <c r="N65" s="202"/>
      <c r="O65" s="202"/>
      <c r="P65" s="202"/>
    </row>
    <row r="66" spans="6:25">
      <c r="F66" s="228"/>
      <c r="G66" s="228"/>
      <c r="H66" s="228">
        <v>74944364.160632506</v>
      </c>
      <c r="I66" s="228"/>
      <c r="J66" s="228"/>
      <c r="K66" s="228"/>
      <c r="L66" s="228"/>
      <c r="M66" s="228"/>
      <c r="N66" s="933"/>
      <c r="O66" s="228"/>
      <c r="P66" s="228"/>
      <c r="Q66" s="228"/>
      <c r="R66" s="228"/>
      <c r="S66" s="228"/>
      <c r="T66" s="228"/>
      <c r="U66" s="228"/>
      <c r="V66" s="228"/>
      <c r="W66" s="228"/>
      <c r="X66" s="228"/>
      <c r="Y66" s="228"/>
    </row>
    <row r="67" spans="6:25">
      <c r="F67" s="228"/>
      <c r="G67" s="228"/>
      <c r="H67" s="933">
        <f>H57-H66</f>
        <v>893659.22234037519</v>
      </c>
      <c r="I67" s="228">
        <f>H66+H69</f>
        <v>75777079.317972869</v>
      </c>
      <c r="J67" s="228"/>
      <c r="K67" s="228"/>
      <c r="L67" s="228"/>
      <c r="M67" s="228"/>
      <c r="N67" s="228"/>
      <c r="O67" s="228"/>
      <c r="P67" s="228"/>
      <c r="Q67" s="228"/>
      <c r="R67" s="228"/>
      <c r="S67" s="228"/>
      <c r="T67" s="228"/>
      <c r="U67" s="228"/>
      <c r="V67" s="228"/>
      <c r="W67" s="228"/>
      <c r="X67" s="228"/>
      <c r="Y67" s="228"/>
    </row>
    <row r="69" spans="6:25">
      <c r="H69">
        <v>832715.15734036115</v>
      </c>
    </row>
    <row r="70" spans="6:25">
      <c r="H70" s="12">
        <f>I67-H57</f>
        <v>-60944.065000012517</v>
      </c>
    </row>
    <row r="72" spans="6:25">
      <c r="J72" s="12"/>
    </row>
    <row r="74" spans="6:25">
      <c r="H74">
        <v>43971951.288455717</v>
      </c>
      <c r="I74">
        <f>H74+H75</f>
        <v>52264070</v>
      </c>
    </row>
    <row r="75" spans="6:25">
      <c r="H75">
        <v>8292118.7115442827</v>
      </c>
    </row>
    <row r="76" spans="6:25">
      <c r="H76">
        <v>0</v>
      </c>
    </row>
    <row r="77" spans="6:25">
      <c r="H77">
        <v>0</v>
      </c>
    </row>
    <row r="79" spans="6:25">
      <c r="H79">
        <v>6661721.2587228892</v>
      </c>
    </row>
  </sheetData>
  <mergeCells count="6">
    <mergeCell ref="Z6:Z12"/>
    <mergeCell ref="M59:N59"/>
    <mergeCell ref="B4:D4"/>
    <mergeCell ref="H4:N4"/>
    <mergeCell ref="P4:Q4"/>
    <mergeCell ref="Y6:Y12"/>
  </mergeCells>
  <phoneticPr fontId="62" type="noConversion"/>
  <pageMargins left="0.75" right="0.75" top="1" bottom="1" header="0.5" footer="0.5"/>
  <pageSetup paperSize="5" scale="54" orientation="landscape" horizontalDpi="4294967292" verticalDpi="4294967292"/>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67"/>
  <sheetViews>
    <sheetView workbookViewId="0">
      <pane xSplit="1" ySplit="12" topLeftCell="B49" activePane="bottomRight" state="frozen"/>
      <selection pane="topRight" activeCell="B1" sqref="B1"/>
      <selection pane="bottomLeft" activeCell="A13" sqref="A13"/>
      <selection pane="bottomRight" activeCell="T15" sqref="T15:T57"/>
    </sheetView>
  </sheetViews>
  <sheetFormatPr defaultColWidth="11" defaultRowHeight="15.75"/>
  <cols>
    <col min="1" max="1" width="38.375" customWidth="1"/>
    <col min="4" max="4" width="12.5" customWidth="1"/>
    <col min="5" max="5" width="2.5" customWidth="1"/>
    <col min="6" max="6" width="12.875" customWidth="1"/>
    <col min="7" max="7" width="2.375" customWidth="1"/>
    <col min="8" max="8" width="11.625" customWidth="1"/>
    <col min="10" max="10" width="11.625" customWidth="1"/>
    <col min="13" max="13" width="12.625" customWidth="1"/>
    <col min="15" max="15" width="3" customWidth="1"/>
    <col min="17" max="17" width="12.5" customWidth="1"/>
    <col min="18" max="18" width="3" customWidth="1"/>
    <col min="19" max="19" width="13.375" customWidth="1"/>
    <col min="20" max="20" width="15.625" customWidth="1"/>
    <col min="21" max="21" width="5.875" customWidth="1"/>
    <col min="22" max="22" width="14.625" customWidth="1"/>
    <col min="23" max="23" width="14.125" customWidth="1"/>
    <col min="24" max="24" width="8.375" customWidth="1"/>
    <col min="25" max="25" width="12.5" customWidth="1"/>
    <col min="26" max="26" width="12.875" bestFit="1" customWidth="1"/>
    <col min="27" max="27" width="12.625" customWidth="1"/>
  </cols>
  <sheetData>
    <row r="1" spans="1:27" ht="16.5" thickBot="1">
      <c r="A1" s="210" t="s">
        <v>77</v>
      </c>
      <c r="B1" s="210"/>
      <c r="C1" s="210"/>
      <c r="D1" s="210"/>
      <c r="E1" s="210"/>
      <c r="F1" s="210"/>
      <c r="G1" s="210"/>
      <c r="H1" s="210"/>
      <c r="I1" s="210"/>
      <c r="J1" s="210"/>
      <c r="K1" s="210"/>
      <c r="L1" s="210"/>
      <c r="M1" s="210"/>
      <c r="N1" s="210"/>
      <c r="O1" s="210"/>
      <c r="P1" s="225"/>
      <c r="Q1" s="210"/>
      <c r="R1" s="210"/>
      <c r="S1" s="210"/>
      <c r="T1" s="776"/>
      <c r="U1" s="776"/>
      <c r="V1" s="776"/>
      <c r="W1" s="776"/>
    </row>
    <row r="2" spans="1:27">
      <c r="A2" s="210" t="s">
        <v>1171</v>
      </c>
      <c r="B2" s="210"/>
      <c r="C2" s="210"/>
      <c r="D2" s="210"/>
      <c r="E2" s="210"/>
      <c r="F2" s="210"/>
      <c r="G2" s="210"/>
      <c r="H2" s="210"/>
      <c r="I2" s="210"/>
      <c r="J2" s="210"/>
      <c r="K2" s="210"/>
      <c r="L2" s="210"/>
      <c r="M2" s="210"/>
      <c r="N2" s="210"/>
      <c r="O2" s="210"/>
      <c r="P2" s="210"/>
      <c r="Q2" s="210"/>
      <c r="R2" s="210"/>
      <c r="S2" s="210"/>
      <c r="T2" s="238" t="s">
        <v>218</v>
      </c>
      <c r="U2" s="239"/>
      <c r="V2" s="243">
        <f>'Step 6 Acad Productivity+Floor'!Y2</f>
        <v>553011959</v>
      </c>
      <c r="W2" s="776"/>
    </row>
    <row r="3" spans="1:27" ht="16.5" thickBot="1">
      <c r="A3" s="210"/>
      <c r="B3" s="210"/>
      <c r="C3" s="210"/>
      <c r="D3" s="210"/>
      <c r="E3" s="210"/>
      <c r="F3" s="210"/>
      <c r="G3" s="210"/>
      <c r="H3" s="210"/>
      <c r="I3" s="210"/>
      <c r="J3" s="210"/>
      <c r="K3" s="210"/>
      <c r="L3" s="210"/>
      <c r="M3" s="210"/>
      <c r="N3" s="210"/>
      <c r="O3" s="210"/>
      <c r="P3" s="210"/>
      <c r="Q3" s="210"/>
      <c r="R3" s="210"/>
      <c r="S3" s="210"/>
      <c r="T3" s="240" t="s">
        <v>219</v>
      </c>
      <c r="U3" s="241"/>
      <c r="V3" s="242">
        <f>V2-T57</f>
        <v>0</v>
      </c>
      <c r="W3" s="776"/>
    </row>
    <row r="4" spans="1:27">
      <c r="A4" s="211"/>
      <c r="B4" s="1619" t="s">
        <v>207</v>
      </c>
      <c r="C4" s="1619"/>
      <c r="D4" s="1619"/>
      <c r="E4" s="231"/>
      <c r="F4" s="718"/>
      <c r="G4" s="237"/>
      <c r="H4" s="1620" t="s">
        <v>779</v>
      </c>
      <c r="I4" s="1620"/>
      <c r="J4" s="1620"/>
      <c r="K4" s="1620"/>
      <c r="L4" s="1620"/>
      <c r="M4" s="1620"/>
      <c r="N4" s="1620"/>
      <c r="O4" s="211"/>
      <c r="P4" s="1616" t="s">
        <v>193</v>
      </c>
      <c r="Q4" s="1616"/>
      <c r="R4" s="231"/>
      <c r="S4" s="775"/>
      <c r="T4" s="777"/>
      <c r="U4" s="777"/>
      <c r="V4" s="777"/>
      <c r="W4" s="777"/>
    </row>
    <row r="5" spans="1:27" ht="63.75">
      <c r="A5" s="221" t="s">
        <v>90</v>
      </c>
      <c r="B5" s="222" t="s">
        <v>215</v>
      </c>
      <c r="C5" s="222" t="s">
        <v>868</v>
      </c>
      <c r="D5" s="222" t="s">
        <v>869</v>
      </c>
      <c r="E5" s="284"/>
      <c r="F5" s="282" t="s">
        <v>205</v>
      </c>
      <c r="G5" s="283"/>
      <c r="H5" s="781" t="s">
        <v>767</v>
      </c>
      <c r="I5" s="781" t="s">
        <v>768</v>
      </c>
      <c r="J5" s="781" t="s">
        <v>769</v>
      </c>
      <c r="K5" s="781" t="s">
        <v>458</v>
      </c>
      <c r="L5" s="781" t="s">
        <v>770</v>
      </c>
      <c r="M5" s="781" t="s">
        <v>780</v>
      </c>
      <c r="N5" s="781" t="s">
        <v>781</v>
      </c>
      <c r="O5" s="270"/>
      <c r="P5" s="270" t="s">
        <v>206</v>
      </c>
      <c r="Q5" s="270" t="s">
        <v>210</v>
      </c>
      <c r="R5" s="284"/>
      <c r="S5" s="284" t="s">
        <v>963</v>
      </c>
      <c r="T5" s="270" t="s">
        <v>1282</v>
      </c>
      <c r="U5" s="1445"/>
      <c r="V5" s="1446" t="s">
        <v>1283</v>
      </c>
      <c r="W5" s="270" t="s">
        <v>1284</v>
      </c>
      <c r="Y5" s="232" t="s">
        <v>964</v>
      </c>
      <c r="Z5" s="232"/>
    </row>
    <row r="6" spans="1:27">
      <c r="A6" s="212" t="s">
        <v>548</v>
      </c>
      <c r="B6" s="68">
        <f>'Step 6 Acad Productivity+Floor'!B6</f>
        <v>4544301.7949999999</v>
      </c>
      <c r="C6" s="68">
        <f>'Step 6 Acad Productivity+Floor'!C6</f>
        <v>0</v>
      </c>
      <c r="D6" s="68">
        <f>'Step 6 Acad Productivity+Floor'!D6</f>
        <v>0</v>
      </c>
      <c r="E6" s="78"/>
      <c r="F6" s="63">
        <f>'Step 6 Acad Productivity+Floor'!F6</f>
        <v>0</v>
      </c>
      <c r="G6" s="68"/>
      <c r="H6" s="63">
        <f>'Step 6 Acad Productivity+Floor'!H6</f>
        <v>0</v>
      </c>
      <c r="I6" s="63">
        <f>'Step 6 Acad Productivity+Floor'!I6</f>
        <v>0</v>
      </c>
      <c r="J6" s="63">
        <f>'Step 6 Acad Productivity+Floor'!J6</f>
        <v>0</v>
      </c>
      <c r="K6" s="63">
        <f>'Step 6 Acad Productivity+Floor'!K6</f>
        <v>0</v>
      </c>
      <c r="L6" s="63">
        <f>'Step 6 Acad Productivity+Floor'!L6</f>
        <v>0</v>
      </c>
      <c r="M6" s="63">
        <f>'Step 6 Acad Productivity+Floor'!M6</f>
        <v>0</v>
      </c>
      <c r="N6" s="63">
        <f>'Step 6 Acad Productivity+Floor'!N6</f>
        <v>0</v>
      </c>
      <c r="O6" s="68"/>
      <c r="P6" s="63">
        <f>'Step 6 Acad Productivity+Floor'!P6</f>
        <v>0</v>
      </c>
      <c r="Q6" s="63">
        <f>'Step 6 Acad Productivity+Floor'!Q6</f>
        <v>0</v>
      </c>
      <c r="R6" s="78"/>
      <c r="S6" s="63">
        <f>SUM('Step 6 Acad Productivity+Floor'!S6:V6)</f>
        <v>0</v>
      </c>
      <c r="T6" s="63">
        <f>SUM(B6:S6)</f>
        <v>4544301.7949999999</v>
      </c>
      <c r="U6" s="202"/>
      <c r="V6" s="1594">
        <f>'Step 1 Contract and Reserves'!V6:V12</f>
        <v>61119672</v>
      </c>
      <c r="W6" s="1594">
        <f>'Step 1 Contract and Reserves'!W6:W12</f>
        <v>61119672</v>
      </c>
      <c r="Y6" s="1594">
        <f>SUM(T6:T12)-V6</f>
        <v>-4049999.8400000036</v>
      </c>
    </row>
    <row r="7" spans="1:27">
      <c r="A7" s="212" t="s">
        <v>555</v>
      </c>
      <c r="B7" s="68">
        <f>'Step 6 Acad Productivity+Floor'!B7</f>
        <v>-3508451.7949999999</v>
      </c>
      <c r="C7" s="68">
        <f>'Step 6 Acad Productivity+Floor'!C7</f>
        <v>3000000</v>
      </c>
      <c r="D7" s="68">
        <f>'Step 6 Acad Productivity+Floor'!D7</f>
        <v>0</v>
      </c>
      <c r="E7" s="78"/>
      <c r="F7" s="63">
        <f>'Step 6 Acad Productivity+Floor'!F7</f>
        <v>0</v>
      </c>
      <c r="G7" s="68"/>
      <c r="H7" s="63">
        <f>'Step 6 Acad Productivity+Floor'!H7</f>
        <v>0</v>
      </c>
      <c r="I7" s="63">
        <f>'Step 6 Acad Productivity+Floor'!I7</f>
        <v>0</v>
      </c>
      <c r="J7" s="63">
        <f>'Step 6 Acad Productivity+Floor'!J7</f>
        <v>0</v>
      </c>
      <c r="K7" s="63">
        <f>'Step 6 Acad Productivity+Floor'!K7</f>
        <v>0</v>
      </c>
      <c r="L7" s="63">
        <f>'Step 6 Acad Productivity+Floor'!L7</f>
        <v>0</v>
      </c>
      <c r="M7" s="63">
        <f>'Step 6 Acad Productivity+Floor'!M7</f>
        <v>0</v>
      </c>
      <c r="N7" s="63">
        <f>'Step 6 Acad Productivity+Floor'!N7</f>
        <v>0</v>
      </c>
      <c r="O7" s="68"/>
      <c r="P7" s="63">
        <f>'Step 6 Acad Productivity+Floor'!P7</f>
        <v>0</v>
      </c>
      <c r="Q7" s="63">
        <f>'Step 6 Acad Productivity+Floor'!Q7</f>
        <v>0</v>
      </c>
      <c r="R7" s="78"/>
      <c r="S7" s="63">
        <f>SUM('Step 6 Acad Productivity+Floor'!S7:V7)</f>
        <v>0</v>
      </c>
      <c r="T7" s="63">
        <f t="shared" ref="T7:T12" si="0">SUM(B7:S7)</f>
        <v>-508451.79499999993</v>
      </c>
      <c r="U7" s="202"/>
      <c r="V7" s="1595"/>
      <c r="W7" s="1595"/>
      <c r="Y7" s="1595"/>
    </row>
    <row r="8" spans="1:27">
      <c r="A8" s="212" t="s">
        <v>864</v>
      </c>
      <c r="B8" s="68">
        <f>'Step 6 Acad Productivity+Floor'!B8</f>
        <v>0</v>
      </c>
      <c r="C8" s="68">
        <f>'Step 6 Acad Productivity+Floor'!C8</f>
        <v>139144.1799999997</v>
      </c>
      <c r="D8" s="68">
        <f>'Step 6 Acad Productivity+Floor'!D8</f>
        <v>16590358.77</v>
      </c>
      <c r="E8" s="78"/>
      <c r="F8" s="63">
        <f>'Step 6 Acad Productivity+Floor'!F8</f>
        <v>0</v>
      </c>
      <c r="G8" s="68"/>
      <c r="H8" s="63">
        <f>'Step 6 Acad Productivity+Floor'!H8</f>
        <v>0</v>
      </c>
      <c r="I8" s="63">
        <f>'Step 6 Acad Productivity+Floor'!I8</f>
        <v>0</v>
      </c>
      <c r="J8" s="63">
        <f>'Step 6 Acad Productivity+Floor'!J8</f>
        <v>0</v>
      </c>
      <c r="K8" s="63">
        <f>'Step 6 Acad Productivity+Floor'!K8</f>
        <v>0</v>
      </c>
      <c r="L8" s="63">
        <f>'Step 6 Acad Productivity+Floor'!L8</f>
        <v>0</v>
      </c>
      <c r="M8" s="63">
        <f>'Step 6 Acad Productivity+Floor'!M8</f>
        <v>0</v>
      </c>
      <c r="N8" s="63">
        <f>'Step 6 Acad Productivity+Floor'!N8</f>
        <v>0</v>
      </c>
      <c r="O8" s="68"/>
      <c r="P8" s="63">
        <f>'Step 6 Acad Productivity+Floor'!P8</f>
        <v>-299700</v>
      </c>
      <c r="Q8" s="63">
        <f>'Step 6 Acad Productivity+Floor'!Q8</f>
        <v>4050000</v>
      </c>
      <c r="R8" s="78"/>
      <c r="S8" s="63">
        <f>SUM('Step 6 Acad Productivity+Floor'!S8:V8)</f>
        <v>-20479802.949999999</v>
      </c>
      <c r="T8" s="63">
        <f t="shared" si="0"/>
        <v>0</v>
      </c>
      <c r="U8" s="202"/>
      <c r="V8" s="1595"/>
      <c r="W8" s="1595"/>
      <c r="Y8" s="1595"/>
    </row>
    <row r="9" spans="1:27">
      <c r="A9" s="212" t="s">
        <v>899</v>
      </c>
      <c r="B9" s="68">
        <f>'Step 6 Acad Productivity+Floor'!B9</f>
        <v>5000000</v>
      </c>
      <c r="C9" s="68"/>
      <c r="D9" s="68"/>
      <c r="E9" s="78"/>
      <c r="F9" s="63"/>
      <c r="G9" s="68"/>
      <c r="H9" s="63"/>
      <c r="I9" s="63"/>
      <c r="J9" s="63"/>
      <c r="K9" s="63"/>
      <c r="L9" s="63"/>
      <c r="M9" s="63"/>
      <c r="N9" s="63"/>
      <c r="O9" s="68"/>
      <c r="P9" s="63"/>
      <c r="Q9" s="63"/>
      <c r="R9" s="78"/>
      <c r="S9" s="63">
        <f>SUM('Step 6 Acad Productivity+Floor'!S9:V9)</f>
        <v>0</v>
      </c>
      <c r="T9" s="63">
        <f t="shared" si="0"/>
        <v>5000000</v>
      </c>
      <c r="U9" s="202"/>
      <c r="V9" s="1595"/>
      <c r="W9" s="1595"/>
      <c r="Y9" s="1595"/>
    </row>
    <row r="10" spans="1:27">
      <c r="A10" s="212" t="s">
        <v>549</v>
      </c>
      <c r="B10" s="68">
        <f>'Step 6 Acad Productivity+Floor'!B10</f>
        <v>21345070</v>
      </c>
      <c r="C10" s="68">
        <f>'Step 6 Acad Productivity+Floor'!C10</f>
        <v>0</v>
      </c>
      <c r="D10" s="68">
        <f>'Step 6 Acad Productivity+Floor'!D10</f>
        <v>0</v>
      </c>
      <c r="E10" s="78"/>
      <c r="F10" s="63"/>
      <c r="G10" s="68"/>
      <c r="H10" s="63"/>
      <c r="I10" s="63"/>
      <c r="J10" s="63"/>
      <c r="K10" s="63"/>
      <c r="L10" s="63"/>
      <c r="M10" s="63"/>
      <c r="N10" s="63"/>
      <c r="O10" s="68"/>
      <c r="P10" s="1104">
        <f>'Step 6 Acad Productivity+Floor'!P10</f>
        <v>0</v>
      </c>
      <c r="Q10" s="1104">
        <f>'Step 6 Acad Productivity+Floor'!Q10</f>
        <v>0</v>
      </c>
      <c r="R10" s="78"/>
      <c r="S10" s="63">
        <f>SUM('Step 6 Acad Productivity+Floor'!S10:V10)</f>
        <v>0</v>
      </c>
      <c r="T10" s="63">
        <f>SUM(B10:S10)</f>
        <v>21345070</v>
      </c>
      <c r="U10" s="202"/>
      <c r="V10" s="1595"/>
      <c r="W10" s="1595"/>
      <c r="Y10" s="1595"/>
    </row>
    <row r="11" spans="1:27">
      <c r="A11" s="212" t="s">
        <v>550</v>
      </c>
      <c r="B11" s="68">
        <f>'Step 6 Acad Productivity+Floor'!B11</f>
        <v>4025000</v>
      </c>
      <c r="C11" s="68">
        <f>'Step 6 Acad Productivity+Floor'!C11</f>
        <v>0</v>
      </c>
      <c r="D11" s="68">
        <f>'Step 6 Acad Productivity+Floor'!D11</f>
        <v>0</v>
      </c>
      <c r="E11" s="78"/>
      <c r="F11" s="63">
        <f>'Step 6 Acad Productivity+Floor'!F11</f>
        <v>0</v>
      </c>
      <c r="G11" s="68"/>
      <c r="H11" s="63">
        <f>'Step 6 Acad Productivity+Floor'!H11</f>
        <v>0</v>
      </c>
      <c r="I11" s="63">
        <f>'Step 6 Acad Productivity+Floor'!I11</f>
        <v>0</v>
      </c>
      <c r="J11" s="63">
        <f>'Step 6 Acad Productivity+Floor'!J11</f>
        <v>0</v>
      </c>
      <c r="K11" s="63">
        <f>'Step 6 Acad Productivity+Floor'!K11</f>
        <v>0</v>
      </c>
      <c r="L11" s="63">
        <f>'Step 6 Acad Productivity+Floor'!L11</f>
        <v>0</v>
      </c>
      <c r="M11" s="63">
        <f>'Step 6 Acad Productivity+Floor'!M11</f>
        <v>0</v>
      </c>
      <c r="N11" s="63">
        <f>'Step 6 Acad Productivity+Floor'!N11</f>
        <v>0</v>
      </c>
      <c r="O11" s="68"/>
      <c r="P11" s="63">
        <f>'Step 6 Acad Productivity+Floor'!P11</f>
        <v>0</v>
      </c>
      <c r="Q11" s="63">
        <f>'Step 6 Acad Productivity+Floor'!Q11</f>
        <v>0</v>
      </c>
      <c r="R11" s="78"/>
      <c r="S11" s="63">
        <f>SUM('Step 6 Acad Productivity+Floor'!S11:V11)</f>
        <v>0</v>
      </c>
      <c r="T11" s="63">
        <f t="shared" si="0"/>
        <v>4025000</v>
      </c>
      <c r="U11" s="202"/>
      <c r="V11" s="1595"/>
      <c r="W11" s="1595"/>
      <c r="Y11" s="1595"/>
    </row>
    <row r="12" spans="1:27">
      <c r="A12" s="212" t="s">
        <v>551</v>
      </c>
      <c r="B12" s="68">
        <f>'Step 6 Acad Productivity+Floor'!B12</f>
        <v>22663752.16</v>
      </c>
      <c r="C12" s="68">
        <f>'Step 6 Acad Productivity+Floor'!C12</f>
        <v>0</v>
      </c>
      <c r="D12" s="68">
        <f>'Step 6 Acad Productivity+Floor'!D12</f>
        <v>0</v>
      </c>
      <c r="E12" s="78"/>
      <c r="F12" s="63">
        <f>'Step 6 Acad Productivity+Floor'!F12</f>
        <v>0</v>
      </c>
      <c r="G12" s="68"/>
      <c r="H12" s="63">
        <f>'Step 6 Acad Productivity+Floor'!H12</f>
        <v>0</v>
      </c>
      <c r="I12" s="63">
        <f>'Step 6 Acad Productivity+Floor'!I12</f>
        <v>0</v>
      </c>
      <c r="J12" s="63">
        <f>'Step 6 Acad Productivity+Floor'!J12</f>
        <v>0</v>
      </c>
      <c r="K12" s="63">
        <f>'Step 6 Acad Productivity+Floor'!K12</f>
        <v>0</v>
      </c>
      <c r="L12" s="63">
        <f>'Step 6 Acad Productivity+Floor'!L12</f>
        <v>0</v>
      </c>
      <c r="M12" s="63">
        <f>'Step 6 Acad Productivity+Floor'!M12</f>
        <v>0</v>
      </c>
      <c r="N12" s="63">
        <f>'Step 6 Acad Productivity+Floor'!N12</f>
        <v>0</v>
      </c>
      <c r="O12" s="68"/>
      <c r="P12" s="63">
        <f>'Step 6 Acad Productivity+Floor'!P12</f>
        <v>0</v>
      </c>
      <c r="Q12" s="63">
        <f>'Step 6 Acad Productivity+Floor'!Q12</f>
        <v>0</v>
      </c>
      <c r="R12" s="78"/>
      <c r="S12" s="63">
        <f>SUM('Step 6 Acad Productivity+Floor'!S12:V12)</f>
        <v>0</v>
      </c>
      <c r="T12" s="63">
        <f t="shared" si="0"/>
        <v>22663752.16</v>
      </c>
      <c r="U12" s="202"/>
      <c r="V12" s="1595"/>
      <c r="W12" s="1595"/>
      <c r="Y12" s="1595"/>
    </row>
    <row r="13" spans="1:27">
      <c r="A13" s="203"/>
      <c r="B13" s="68"/>
      <c r="C13" s="68"/>
      <c r="D13" s="68"/>
      <c r="E13" s="78"/>
      <c r="F13" s="68"/>
      <c r="G13" s="68"/>
      <c r="H13" s="68"/>
      <c r="I13" s="68"/>
      <c r="J13" s="68"/>
      <c r="K13" s="68"/>
      <c r="L13" s="68"/>
      <c r="M13" s="68"/>
      <c r="N13" s="68"/>
      <c r="O13" s="68"/>
      <c r="P13" s="68"/>
      <c r="Q13" s="68"/>
      <c r="R13" s="68"/>
      <c r="S13" s="68"/>
      <c r="T13" s="68"/>
      <c r="U13" s="203"/>
      <c r="V13" s="68"/>
      <c r="W13" s="68"/>
      <c r="Y13" s="68"/>
    </row>
    <row r="14" spans="1:27">
      <c r="A14" s="71" t="s">
        <v>101</v>
      </c>
      <c r="B14" s="42"/>
      <c r="C14" s="42"/>
      <c r="D14" s="42"/>
      <c r="E14" s="76"/>
      <c r="F14" s="42"/>
      <c r="G14" s="69"/>
      <c r="H14" s="42"/>
      <c r="I14" s="42"/>
      <c r="J14" s="42"/>
      <c r="K14" s="42"/>
      <c r="L14" s="42"/>
      <c r="M14" s="42"/>
      <c r="N14" s="42"/>
      <c r="O14" s="69"/>
      <c r="P14" s="42"/>
      <c r="Q14" s="42"/>
      <c r="R14" s="76"/>
      <c r="S14" s="42"/>
      <c r="T14" s="42"/>
      <c r="U14" s="202"/>
      <c r="V14" s="42"/>
      <c r="W14" s="73"/>
      <c r="Y14" s="73"/>
    </row>
    <row r="15" spans="1:27">
      <c r="A15" s="214" t="s">
        <v>102</v>
      </c>
      <c r="B15" s="63"/>
      <c r="C15" s="68">
        <f>'Step 6 Acad Productivity+Floor'!C15</f>
        <v>0</v>
      </c>
      <c r="D15" s="63"/>
      <c r="E15" s="78"/>
      <c r="F15" s="452">
        <f>'Step 5 Support Funds'!F15+'Step 5 Support Funds'!G15+'Step 5 Support Funds'!H15+'Step 5 Support Funds'!I15</f>
        <v>0</v>
      </c>
      <c r="G15" s="68"/>
      <c r="H15" s="452">
        <f>'Compile Productivity $'!B13</f>
        <v>4339338.4170626244</v>
      </c>
      <c r="I15" s="452">
        <f>'Compile Productivity $'!C13</f>
        <v>4549327.9764392469</v>
      </c>
      <c r="J15" s="452">
        <f>'Compile Productivity $'!D13</f>
        <v>7204500</v>
      </c>
      <c r="K15" s="452">
        <f>'Compile Productivity $'!E13</f>
        <v>1578296.4059457004</v>
      </c>
      <c r="L15" s="452">
        <f>'Compile Productivity $'!F13</f>
        <v>564328.8085446998</v>
      </c>
      <c r="M15" s="452">
        <f>'Compile Productivity $'!G13</f>
        <v>2840414</v>
      </c>
      <c r="N15" s="452">
        <f>'Compile Productivity $'!H13</f>
        <v>705616.14627700392</v>
      </c>
      <c r="O15" s="68"/>
      <c r="P15" s="452">
        <f>'Step 5 Support Funds'!M15</f>
        <v>-132207.80799999999</v>
      </c>
      <c r="Q15" s="452">
        <f>'Step 5 Support Funds'!N15+'Step 5 Support Funds'!O15+'Step 5 Support Funds'!P15+'Step 5 Support Funds'!Q15+'Step 5 Support Funds'!R15</f>
        <v>3686592</v>
      </c>
      <c r="R15" s="78"/>
      <c r="S15" s="452">
        <f>SUM('Step 6 Acad Productivity+Floor'!S15:V15)</f>
        <v>-85125.292525708603</v>
      </c>
      <c r="T15" s="452">
        <f t="shared" ref="T15:T33" si="1">SUM(B15:S15)</f>
        <v>25251080.653743565</v>
      </c>
      <c r="U15" s="203"/>
      <c r="V15" s="290">
        <f>'Step 3 Dedicated Funds'!V15</f>
        <v>24160078</v>
      </c>
      <c r="W15" s="63">
        <f>'Step 3 Dedicated Funds'!W15</f>
        <v>24160078</v>
      </c>
      <c r="Y15" s="452">
        <f>T15-V15</f>
        <v>1091002.6537435651</v>
      </c>
      <c r="Z15" s="14">
        <f>Y15/V15</f>
        <v>4.515724881946015E-2</v>
      </c>
      <c r="AA15" s="12">
        <f>M15+N15</f>
        <v>3546030.1462770039</v>
      </c>
    </row>
    <row r="16" spans="1:27">
      <c r="A16" s="76" t="s">
        <v>103</v>
      </c>
      <c r="B16" s="68"/>
      <c r="C16" s="68">
        <f>'Step 6 Acad Productivity+Floor'!C16</f>
        <v>0</v>
      </c>
      <c r="D16" s="68"/>
      <c r="E16" s="78"/>
      <c r="F16" s="453">
        <f>'Step 5 Support Funds'!F16+'Step 5 Support Funds'!G16+'Step 5 Support Funds'!H16+'Step 5 Support Funds'!I16</f>
        <v>0</v>
      </c>
      <c r="G16" s="68"/>
      <c r="H16" s="453">
        <f>'Compile Productivity $'!B14</f>
        <v>5989055.9423627155</v>
      </c>
      <c r="I16" s="453">
        <f>'Compile Productivity $'!C14</f>
        <v>5058150.0758163491</v>
      </c>
      <c r="J16" s="453">
        <f>'Compile Productivity $'!D14</f>
        <v>3528000</v>
      </c>
      <c r="K16" s="453">
        <f>'Compile Productivity $'!E14</f>
        <v>5294.2119488917269</v>
      </c>
      <c r="L16" s="453">
        <f>'Compile Productivity $'!F14</f>
        <v>1231848.4990211879</v>
      </c>
      <c r="M16" s="453">
        <f>'Compile Productivity $'!G14</f>
        <v>312414</v>
      </c>
      <c r="N16" s="453">
        <f>'Compile Productivity $'!H14</f>
        <v>1212579.742287562</v>
      </c>
      <c r="O16" s="68"/>
      <c r="P16" s="453">
        <f>'Step 5 Support Funds'!M16</f>
        <v>-27905.178</v>
      </c>
      <c r="Q16" s="453">
        <f>'Step 5 Support Funds'!N16+'Step 5 Support Funds'!O16+'Step 5 Support Funds'!P16+'Step 5 Support Funds'!Q16+'Step 5 Support Funds'!R16</f>
        <v>3318878.6440000003</v>
      </c>
      <c r="R16" s="78"/>
      <c r="S16" s="453">
        <f>SUM('Step 6 Acad Productivity+Floor'!S16:V16)</f>
        <v>-67755.873046301698</v>
      </c>
      <c r="T16" s="453">
        <f t="shared" si="1"/>
        <v>20560560.064390406</v>
      </c>
      <c r="U16" s="203"/>
      <c r="V16" s="960">
        <f>'Step 3 Dedicated Funds'!V16</f>
        <v>20462422</v>
      </c>
      <c r="W16" s="68">
        <f>'Step 3 Dedicated Funds'!W16</f>
        <v>20462422</v>
      </c>
      <c r="Y16" s="453">
        <f t="shared" ref="Y16:Y33" si="2">T16-V16</f>
        <v>98138.064390406013</v>
      </c>
      <c r="Z16" s="14">
        <f t="shared" ref="Z16:Z33" si="3">Y16/V16</f>
        <v>4.7960140979599582E-3</v>
      </c>
      <c r="AA16" s="12">
        <f t="shared" ref="AA16:AA33" si="4">M16+N16</f>
        <v>1524993.742287562</v>
      </c>
    </row>
    <row r="17" spans="1:27">
      <c r="A17" s="213" t="s">
        <v>104</v>
      </c>
      <c r="B17" s="68"/>
      <c r="C17" s="68">
        <f>'Step 6 Acad Productivity+Floor'!C17</f>
        <v>0</v>
      </c>
      <c r="D17" s="68"/>
      <c r="E17" s="78"/>
      <c r="F17" s="453">
        <f>'Step 5 Support Funds'!F17+'Step 5 Support Funds'!G17+'Step 5 Support Funds'!H17+'Step 5 Support Funds'!I17</f>
        <v>0</v>
      </c>
      <c r="G17" s="68"/>
      <c r="H17" s="453">
        <f>'Compile Productivity $'!B15</f>
        <v>6180232.1297481488</v>
      </c>
      <c r="I17" s="453">
        <f>'Compile Productivity $'!C15</f>
        <v>12198318.468291897</v>
      </c>
      <c r="J17" s="453">
        <f>'Compile Productivity $'!D15</f>
        <v>13500000</v>
      </c>
      <c r="K17" s="453">
        <f>'Compile Productivity $'!E15</f>
        <v>1792648.3776207753</v>
      </c>
      <c r="L17" s="453">
        <f>'Compile Productivity $'!F15</f>
        <v>1840141.0332934328</v>
      </c>
      <c r="M17" s="453">
        <f>'Compile Productivity $'!G15</f>
        <v>4224817</v>
      </c>
      <c r="N17" s="453">
        <f>'Compile Productivity $'!H15</f>
        <v>5442685.8682717104</v>
      </c>
      <c r="O17" s="68"/>
      <c r="P17" s="453">
        <f>'Step 5 Support Funds'!M17</f>
        <v>-632693.11800000002</v>
      </c>
      <c r="Q17" s="453">
        <f>'Step 5 Support Funds'!N17+'Step 5 Support Funds'!O17+'Step 5 Support Funds'!P17+'Step 5 Support Funds'!Q17+'Step 5 Support Funds'!R17</f>
        <v>20391968.130000003</v>
      </c>
      <c r="R17" s="78"/>
      <c r="S17" s="453">
        <f>SUM('Step 6 Acad Productivity+Floor'!S17:V17)</f>
        <v>-176562.92753121493</v>
      </c>
      <c r="T17" s="453">
        <f t="shared" si="1"/>
        <v>64761554.961694747</v>
      </c>
      <c r="U17" s="203"/>
      <c r="V17" s="960">
        <f>'Step 3 Dedicated Funds'!V17</f>
        <v>61306607</v>
      </c>
      <c r="W17" s="68">
        <f>'Step 3 Dedicated Funds'!W17</f>
        <v>61306607</v>
      </c>
      <c r="Y17" s="453">
        <f t="shared" si="2"/>
        <v>3454947.9616947472</v>
      </c>
      <c r="Z17" s="14">
        <f t="shared" si="3"/>
        <v>5.6355230386420624E-2</v>
      </c>
      <c r="AA17" s="12">
        <f t="shared" si="4"/>
        <v>9667502.8682717104</v>
      </c>
    </row>
    <row r="18" spans="1:27">
      <c r="A18" s="214" t="s">
        <v>105</v>
      </c>
      <c r="B18" s="63"/>
      <c r="C18" s="68">
        <f>'Step 6 Acad Productivity+Floor'!C18</f>
        <v>0</v>
      </c>
      <c r="D18" s="63"/>
      <c r="E18" s="78"/>
      <c r="F18" s="452">
        <f>'Step 5 Support Funds'!F18+'Step 5 Support Funds'!G18+'Step 5 Support Funds'!H18+'Step 5 Support Funds'!I18</f>
        <v>0</v>
      </c>
      <c r="G18" s="68"/>
      <c r="H18" s="452">
        <f>'Compile Productivity $'!B16</f>
        <v>1062251.9853373312</v>
      </c>
      <c r="I18" s="452">
        <f>'Compile Productivity $'!C16</f>
        <v>1279847.5389440395</v>
      </c>
      <c r="J18" s="452">
        <f>'Compile Productivity $'!D16</f>
        <v>1250000</v>
      </c>
      <c r="K18" s="452">
        <f>'Compile Productivity $'!E16</f>
        <v>383210.87974740332</v>
      </c>
      <c r="L18" s="452">
        <f>'Compile Productivity $'!F16</f>
        <v>199894.14914603735</v>
      </c>
      <c r="M18" s="452">
        <f>'Compile Productivity $'!G16</f>
        <v>1161209</v>
      </c>
      <c r="N18" s="452">
        <f>'Compile Productivity $'!H16</f>
        <v>220973.12212349451</v>
      </c>
      <c r="O18" s="68"/>
      <c r="P18" s="452">
        <f>'Step 5 Support Funds'!M18</f>
        <v>-201043.052</v>
      </c>
      <c r="Q18" s="452">
        <f>'Step 5 Support Funds'!N18+'Step 5 Support Funds'!O18+'Step 5 Support Funds'!P18+'Step 5 Support Funds'!Q18+'Step 5 Support Funds'!R18</f>
        <v>3336678.2199999997</v>
      </c>
      <c r="R18" s="78"/>
      <c r="S18" s="452">
        <f>SUM('Step 6 Acad Productivity+Floor'!S18:V18)</f>
        <v>502621.58936336299</v>
      </c>
      <c r="T18" s="452">
        <f t="shared" si="1"/>
        <v>9195643.4326616675</v>
      </c>
      <c r="U18" s="203"/>
      <c r="V18" s="290">
        <f>'Step 3 Dedicated Funds'!V18</f>
        <v>9355600</v>
      </c>
      <c r="W18" s="63">
        <f>'Step 3 Dedicated Funds'!W18</f>
        <v>9355600</v>
      </c>
      <c r="Y18" s="452">
        <f t="shared" si="2"/>
        <v>-159956.56733833253</v>
      </c>
      <c r="Z18" s="14">
        <f t="shared" si="3"/>
        <v>-1.7097414098329614E-2</v>
      </c>
      <c r="AA18" s="12">
        <f t="shared" si="4"/>
        <v>1382182.1221234945</v>
      </c>
    </row>
    <row r="19" spans="1:27">
      <c r="A19" s="76" t="s">
        <v>106</v>
      </c>
      <c r="B19" s="68"/>
      <c r="C19" s="68">
        <f>'Step 6 Acad Productivity+Floor'!C19</f>
        <v>0</v>
      </c>
      <c r="D19" s="68"/>
      <c r="E19" s="78"/>
      <c r="F19" s="453">
        <f>'Step 5 Support Funds'!F19+'Step 5 Support Funds'!G19+'Step 5 Support Funds'!H19+'Step 5 Support Funds'!I19</f>
        <v>0</v>
      </c>
      <c r="G19" s="68"/>
      <c r="H19" s="453">
        <f>'Compile Productivity $'!B17</f>
        <v>5043650.9942868846</v>
      </c>
      <c r="I19" s="453">
        <f>'Compile Productivity $'!C17</f>
        <v>4750541.314223161</v>
      </c>
      <c r="J19" s="453">
        <f>'Compile Productivity $'!D17</f>
        <v>3650000</v>
      </c>
      <c r="K19" s="453">
        <f>'Compile Productivity $'!E17</f>
        <v>730812.16729338747</v>
      </c>
      <c r="L19" s="453">
        <f>'Compile Productivity $'!F17</f>
        <v>1024820.6645942361</v>
      </c>
      <c r="M19" s="453">
        <f>'Compile Productivity $'!G17</f>
        <v>1571883</v>
      </c>
      <c r="N19" s="453">
        <f>'Compile Productivity $'!H17</f>
        <v>455200.0349747173</v>
      </c>
      <c r="O19" s="68"/>
      <c r="P19" s="453">
        <f>'Step 5 Support Funds'!M19</f>
        <v>-96783.046000000002</v>
      </c>
      <c r="Q19" s="453">
        <f>'Step 5 Support Funds'!N19+'Step 5 Support Funds'!O19+'Step 5 Support Funds'!P19+'Step 5 Support Funds'!Q19+'Step 5 Support Funds'!R19</f>
        <v>2336828.63</v>
      </c>
      <c r="R19" s="78"/>
      <c r="S19" s="453">
        <f>SUM('Step 6 Acad Productivity+Floor'!S19:V19)</f>
        <v>-67324.28601637372</v>
      </c>
      <c r="T19" s="453">
        <f t="shared" si="1"/>
        <v>19399629.473356012</v>
      </c>
      <c r="U19" s="203"/>
      <c r="V19" s="960">
        <f>'Step 3 Dedicated Funds'!V19</f>
        <v>20440194</v>
      </c>
      <c r="W19" s="68">
        <f>'Step 3 Dedicated Funds'!W19</f>
        <v>20440194</v>
      </c>
      <c r="Y19" s="453">
        <f t="shared" si="2"/>
        <v>-1040564.5266439877</v>
      </c>
      <c r="Z19" s="14">
        <f t="shared" si="3"/>
        <v>-5.0907761768013933E-2</v>
      </c>
      <c r="AA19" s="12">
        <f t="shared" si="4"/>
        <v>2027083.0349747173</v>
      </c>
    </row>
    <row r="20" spans="1:27">
      <c r="A20" s="213" t="s">
        <v>107</v>
      </c>
      <c r="B20" s="68"/>
      <c r="C20" s="68">
        <f>'Step 6 Acad Productivity+Floor'!C20</f>
        <v>0</v>
      </c>
      <c r="D20" s="68"/>
      <c r="E20" s="78"/>
      <c r="F20" s="453">
        <f>'Step 5 Support Funds'!F20+'Step 5 Support Funds'!G20+'Step 5 Support Funds'!H20+'Step 5 Support Funds'!I20</f>
        <v>0</v>
      </c>
      <c r="G20" s="68"/>
      <c r="H20" s="453">
        <f>'Compile Productivity $'!B18</f>
        <v>1165647.3542221715</v>
      </c>
      <c r="I20" s="453">
        <f>'Compile Productivity $'!C18</f>
        <v>227220.77037863396</v>
      </c>
      <c r="J20" s="453">
        <f>'Compile Productivity $'!D18</f>
        <v>1683240</v>
      </c>
      <c r="K20" s="453">
        <f>'Compile Productivity $'!E18</f>
        <v>25934.589272998794</v>
      </c>
      <c r="L20" s="453">
        <f>'Compile Productivity $'!F18</f>
        <v>241673.46363821795</v>
      </c>
      <c r="M20" s="453">
        <f>'Compile Productivity $'!G18</f>
        <v>98677</v>
      </c>
      <c r="N20" s="453">
        <f>'Compile Productivity $'!H18</f>
        <v>1107043.6226141171</v>
      </c>
      <c r="O20" s="68"/>
      <c r="P20" s="453">
        <f>'Step 5 Support Funds'!M20</f>
        <v>-5550.5919999999996</v>
      </c>
      <c r="Q20" s="453">
        <f>'Step 5 Support Funds'!N20+'Step 5 Support Funds'!O20+'Step 5 Support Funds'!P20+'Step 5 Support Funds'!Q20+'Step 5 Support Funds'!R20</f>
        <v>90794</v>
      </c>
      <c r="R20" s="78"/>
      <c r="S20" s="453">
        <f>SUM('Step 6 Acad Productivity+Floor'!S20:V20)</f>
        <v>75350.397102019342</v>
      </c>
      <c r="T20" s="453">
        <f t="shared" si="1"/>
        <v>4710030.6052281586</v>
      </c>
      <c r="U20" s="203"/>
      <c r="V20" s="960">
        <f>'Step 3 Dedicated Funds'!V20</f>
        <v>4806568</v>
      </c>
      <c r="W20" s="68">
        <f>'Step 3 Dedicated Funds'!W20</f>
        <v>4806568</v>
      </c>
      <c r="Y20" s="453">
        <f t="shared" si="2"/>
        <v>-96537.394771841355</v>
      </c>
      <c r="Z20" s="14">
        <f t="shared" si="3"/>
        <v>-2.0084474987525684E-2</v>
      </c>
      <c r="AA20" s="12">
        <f t="shared" si="4"/>
        <v>1205720.6226141171</v>
      </c>
    </row>
    <row r="21" spans="1:27">
      <c r="A21" s="214" t="s">
        <v>108</v>
      </c>
      <c r="B21" s="63"/>
      <c r="C21" s="68">
        <f>'Step 6 Acad Productivity+Floor'!C21</f>
        <v>75000</v>
      </c>
      <c r="D21" s="63"/>
      <c r="E21" s="78"/>
      <c r="F21" s="452">
        <f>'Step 5 Support Funds'!F21+'Step 5 Support Funds'!G21+'Step 5 Support Funds'!H21+'Step 5 Support Funds'!I21</f>
        <v>0</v>
      </c>
      <c r="G21" s="68"/>
      <c r="H21" s="452">
        <f>'Compile Productivity $'!B19</f>
        <v>21556657.85615864</v>
      </c>
      <c r="I21" s="452">
        <f>'Compile Productivity $'!C19</f>
        <v>6493890.4712111112</v>
      </c>
      <c r="J21" s="452">
        <f>'Compile Productivity $'!D19</f>
        <v>13470000</v>
      </c>
      <c r="K21" s="452">
        <f>'Compile Productivity $'!E19</f>
        <v>62457.884903115286</v>
      </c>
      <c r="L21" s="452">
        <f>'Compile Productivity $'!F19</f>
        <v>1295650.445246716</v>
      </c>
      <c r="M21" s="452">
        <f>'Compile Productivity $'!G19</f>
        <v>3146854</v>
      </c>
      <c r="N21" s="452">
        <f>'Compile Productivity $'!H19</f>
        <v>-1052851.2003483265</v>
      </c>
      <c r="O21" s="68"/>
      <c r="P21" s="452">
        <f>'Step 5 Support Funds'!M21</f>
        <v>-126370.466</v>
      </c>
      <c r="Q21" s="452">
        <f>'Step 5 Support Funds'!N21+'Step 5 Support Funds'!O21+'Step 5 Support Funds'!P21+'Step 5 Support Funds'!Q21+'Step 5 Support Funds'!R21</f>
        <v>1807209</v>
      </c>
      <c r="R21" s="78"/>
      <c r="S21" s="452">
        <f>SUM('Step 6 Acad Productivity+Floor'!S21:V21)</f>
        <v>-175757.14442711495</v>
      </c>
      <c r="T21" s="452">
        <f t="shared" si="1"/>
        <v>46552740.84674415</v>
      </c>
      <c r="U21" s="203"/>
      <c r="V21" s="290">
        <f>'Step 3 Dedicated Funds'!V21</f>
        <v>45894131</v>
      </c>
      <c r="W21" s="63">
        <f>'Step 3 Dedicated Funds'!W21</f>
        <v>45894131</v>
      </c>
      <c r="Y21" s="452">
        <f t="shared" si="2"/>
        <v>658609.84674414992</v>
      </c>
      <c r="Z21" s="14">
        <f t="shared" si="3"/>
        <v>1.4350633346650576E-2</v>
      </c>
      <c r="AA21" s="12">
        <f t="shared" si="4"/>
        <v>2094002.7996516735</v>
      </c>
    </row>
    <row r="22" spans="1:27">
      <c r="A22" s="213" t="s">
        <v>109</v>
      </c>
      <c r="B22" s="68"/>
      <c r="C22" s="68">
        <f>'Step 6 Acad Productivity+Floor'!C22</f>
        <v>10875</v>
      </c>
      <c r="D22" s="68"/>
      <c r="E22" s="78"/>
      <c r="F22" s="453">
        <f>'Step 5 Support Funds'!F22+'Step 5 Support Funds'!G22+'Step 5 Support Funds'!H22+'Step 5 Support Funds'!I22</f>
        <v>0</v>
      </c>
      <c r="G22" s="68"/>
      <c r="H22" s="453">
        <f>'Compile Productivity $'!B20</f>
        <v>2785823.4700941653</v>
      </c>
      <c r="I22" s="453">
        <f>'Compile Productivity $'!C20</f>
        <v>926738.7608623344</v>
      </c>
      <c r="J22" s="453">
        <f>'Compile Productivity $'!D20</f>
        <v>1345000</v>
      </c>
      <c r="K22" s="453">
        <f>'Compile Productivity $'!E20</f>
        <v>1840409.3292187264</v>
      </c>
      <c r="L22" s="453">
        <f>'Compile Productivity $'!F20</f>
        <v>183428.56098377611</v>
      </c>
      <c r="M22" s="453">
        <f>'Compile Productivity $'!G20</f>
        <v>676018</v>
      </c>
      <c r="N22" s="453">
        <f>'Compile Productivity $'!H20</f>
        <v>873091.1869779767</v>
      </c>
      <c r="O22" s="68"/>
      <c r="P22" s="453">
        <f>'Step 5 Support Funds'!M22</f>
        <v>-62400.944000000003</v>
      </c>
      <c r="Q22" s="453">
        <f>'Step 5 Support Funds'!N22+'Step 5 Support Funds'!O22+'Step 5 Support Funds'!P22+'Step 5 Support Funds'!Q22+'Step 5 Support Funds'!R22</f>
        <v>3743256</v>
      </c>
      <c r="R22" s="78"/>
      <c r="S22" s="453">
        <f>SUM('Step 6 Acad Productivity+Floor'!S22:V22)</f>
        <v>1600644.0215396825</v>
      </c>
      <c r="T22" s="453">
        <f t="shared" si="1"/>
        <v>13922883.385676662</v>
      </c>
      <c r="U22" s="203"/>
      <c r="V22" s="960">
        <f>'Step 3 Dedicated Funds'!V22</f>
        <v>14831995</v>
      </c>
      <c r="W22" s="68">
        <f>'Step 3 Dedicated Funds'!W22</f>
        <v>14831995</v>
      </c>
      <c r="Y22" s="453">
        <f t="shared" si="2"/>
        <v>-909111.61432333849</v>
      </c>
      <c r="Z22" s="14">
        <f t="shared" si="3"/>
        <v>-6.1293953667280666E-2</v>
      </c>
      <c r="AA22" s="12">
        <f t="shared" si="4"/>
        <v>1549109.1869779767</v>
      </c>
    </row>
    <row r="23" spans="1:27">
      <c r="A23" s="213" t="s">
        <v>110</v>
      </c>
      <c r="B23" s="78"/>
      <c r="C23" s="68">
        <f>'Step 6 Acad Productivity+Floor'!C23</f>
        <v>0</v>
      </c>
      <c r="D23" s="78"/>
      <c r="E23" s="78"/>
      <c r="F23" s="454">
        <f>'Step 5 Support Funds'!F23+'Step 5 Support Funds'!G23+'Step 5 Support Funds'!H23+'Step 5 Support Funds'!I23</f>
        <v>0</v>
      </c>
      <c r="G23" s="78"/>
      <c r="H23" s="454">
        <f>'Compile Productivity $'!B21</f>
        <v>153675.4160023297</v>
      </c>
      <c r="I23" s="454">
        <f>'Compile Productivity $'!C21</f>
        <v>0</v>
      </c>
      <c r="J23" s="454">
        <f>'Compile Productivity $'!D21</f>
        <v>80000</v>
      </c>
      <c r="K23" s="454">
        <f>'Compile Productivity $'!E21</f>
        <v>169699.25368925775</v>
      </c>
      <c r="L23" s="454">
        <f>'Compile Productivity $'!F21</f>
        <v>67391.173275644498</v>
      </c>
      <c r="M23" s="454">
        <f>'Compile Productivity $'!G21</f>
        <v>298116</v>
      </c>
      <c r="N23" s="454">
        <f>'Compile Productivity $'!H21</f>
        <v>3414784.3802159945</v>
      </c>
      <c r="O23" s="78"/>
      <c r="P23" s="454">
        <f>'Step 5 Support Funds'!M23</f>
        <v>-106069.01</v>
      </c>
      <c r="Q23" s="454">
        <f>'Step 5 Support Funds'!N23+'Step 5 Support Funds'!O23+'Step 5 Support Funds'!P23+'Step 5 Support Funds'!Q23+'Step 5 Support Funds'!R23</f>
        <v>5191878.72</v>
      </c>
      <c r="R23" s="78"/>
      <c r="S23" s="454">
        <f>SUM('Step 6 Acad Productivity+Floor'!S23:V23)</f>
        <v>3411247.6586905476</v>
      </c>
      <c r="T23" s="454">
        <f t="shared" si="1"/>
        <v>12680723.591873774</v>
      </c>
      <c r="U23" s="203"/>
      <c r="V23" s="960">
        <f>'Step 3 Dedicated Funds'!V23</f>
        <v>12737398</v>
      </c>
      <c r="W23" s="68">
        <f>'Step 3 Dedicated Funds'!W23</f>
        <v>12737398</v>
      </c>
      <c r="Y23" s="454">
        <f t="shared" si="2"/>
        <v>-56674.408126225695</v>
      </c>
      <c r="Z23" s="14">
        <f t="shared" si="3"/>
        <v>-4.4494494186509441E-3</v>
      </c>
      <c r="AA23" s="12">
        <f t="shared" si="4"/>
        <v>3712900.3802159945</v>
      </c>
    </row>
    <row r="24" spans="1:27">
      <c r="A24" s="214" t="s">
        <v>111</v>
      </c>
      <c r="B24" s="63"/>
      <c r="C24" s="68">
        <f>'Step 6 Acad Productivity+Floor'!C24</f>
        <v>0</v>
      </c>
      <c r="D24" s="63"/>
      <c r="E24" s="78"/>
      <c r="F24" s="452">
        <f>'Step 5 Support Funds'!F24+'Step 5 Support Funds'!G24+'Step 5 Support Funds'!H24+'Step 5 Support Funds'!I24</f>
        <v>0</v>
      </c>
      <c r="G24" s="68"/>
      <c r="H24" s="452">
        <f>'Compile Productivity $'!B22</f>
        <v>24086914.380360514</v>
      </c>
      <c r="I24" s="452">
        <f>'Compile Productivity $'!C22</f>
        <v>5416643.8763528112</v>
      </c>
      <c r="J24" s="452">
        <f>'Compile Productivity $'!D22</f>
        <v>6100000</v>
      </c>
      <c r="K24" s="452">
        <f>'Compile Productivity $'!E22</f>
        <v>638243.20965819864</v>
      </c>
      <c r="L24" s="452">
        <f>'Compile Productivity $'!F22</f>
        <v>754421.45453500818</v>
      </c>
      <c r="M24" s="452">
        <f>'Compile Productivity $'!G22</f>
        <v>4177098</v>
      </c>
      <c r="N24" s="452">
        <f>'Compile Productivity $'!H22</f>
        <v>-697599.04688451719</v>
      </c>
      <c r="O24" s="68"/>
      <c r="P24" s="452">
        <f>'Step 5 Support Funds'!M24</f>
        <v>-114048.57799999999</v>
      </c>
      <c r="Q24" s="452">
        <f>'Step 5 Support Funds'!N24+'Step 5 Support Funds'!O24+'Step 5 Support Funds'!P24+'Step 5 Support Funds'!Q24+'Step 5 Support Funds'!R24</f>
        <v>2321197</v>
      </c>
      <c r="R24" s="78"/>
      <c r="S24" s="452">
        <f>SUM('Step 6 Acad Productivity+Floor'!S24:V24)</f>
        <v>-158182.71325446051</v>
      </c>
      <c r="T24" s="452">
        <f t="shared" si="1"/>
        <v>42524687.582767554</v>
      </c>
      <c r="U24" s="203"/>
      <c r="V24" s="290">
        <f>'Step 3 Dedicated Funds'!V24</f>
        <v>41127158</v>
      </c>
      <c r="W24" s="63">
        <f>'Step 3 Dedicated Funds'!W24</f>
        <v>41127158</v>
      </c>
      <c r="Y24" s="452">
        <f t="shared" si="2"/>
        <v>1397529.5827675536</v>
      </c>
      <c r="Z24" s="14">
        <f t="shared" si="3"/>
        <v>3.3980699146961571E-2</v>
      </c>
      <c r="AA24" s="12">
        <f t="shared" si="4"/>
        <v>3479498.9531154828</v>
      </c>
    </row>
    <row r="25" spans="1:27">
      <c r="A25" s="213" t="s">
        <v>112</v>
      </c>
      <c r="B25" s="78"/>
      <c r="C25" s="68">
        <f>'Step 6 Acad Productivity+Floor'!C25</f>
        <v>-48085</v>
      </c>
      <c r="D25" s="78"/>
      <c r="E25" s="78"/>
      <c r="F25" s="454">
        <f>'Step 5 Support Funds'!F25+'Step 5 Support Funds'!G25+'Step 5 Support Funds'!H25+'Step 5 Support Funds'!I25</f>
        <v>0</v>
      </c>
      <c r="G25" s="78"/>
      <c r="H25" s="454">
        <f>'Compile Productivity $'!B23</f>
        <v>230774.59550508394</v>
      </c>
      <c r="I25" s="454">
        <f>'Compile Productivity $'!C23</f>
        <v>0</v>
      </c>
      <c r="J25" s="454">
        <f>'Compile Productivity $'!D23</f>
        <v>0</v>
      </c>
      <c r="K25" s="454">
        <f>'Compile Productivity $'!E23</f>
        <v>129683.40658641944</v>
      </c>
      <c r="L25" s="454">
        <f>'Compile Productivity $'!F23</f>
        <v>34212.335454584194</v>
      </c>
      <c r="M25" s="454">
        <f>'Compile Productivity $'!G23</f>
        <v>162608</v>
      </c>
      <c r="N25" s="454">
        <f>'Compile Productivity $'!H23</f>
        <v>2349622.6266447878</v>
      </c>
      <c r="O25" s="78"/>
      <c r="P25" s="454">
        <f>'Step 5 Support Funds'!M25</f>
        <v>-983794.70200000005</v>
      </c>
      <c r="Q25" s="454">
        <f>'Step 5 Support Funds'!N25+'Step 5 Support Funds'!O25+'Step 5 Support Funds'!P25+'Step 5 Support Funds'!Q25+'Step 5 Support Funds'!R25</f>
        <v>16556227</v>
      </c>
      <c r="R25" s="78"/>
      <c r="S25" s="454">
        <f>SUM('Step 6 Acad Productivity+Floor'!S25:V25)</f>
        <v>6803210.0268571628</v>
      </c>
      <c r="T25" s="454">
        <f t="shared" si="1"/>
        <v>25234458.289048038</v>
      </c>
      <c r="U25" s="203"/>
      <c r="V25" s="960">
        <f>'Step 3 Dedicated Funds'!V25</f>
        <v>24909417</v>
      </c>
      <c r="W25" s="68">
        <f>'Step 3 Dedicated Funds'!W25</f>
        <v>24909417</v>
      </c>
      <c r="Y25" s="454">
        <f t="shared" si="2"/>
        <v>325041.28904803842</v>
      </c>
      <c r="Z25" s="14">
        <f t="shared" si="3"/>
        <v>1.3048932018282019E-2</v>
      </c>
      <c r="AA25" s="12">
        <f t="shared" si="4"/>
        <v>2512230.6266447878</v>
      </c>
    </row>
    <row r="26" spans="1:27">
      <c r="A26" s="213" t="s">
        <v>113</v>
      </c>
      <c r="B26" s="68"/>
      <c r="C26" s="68">
        <f>'Step 6 Acad Productivity+Floor'!C26</f>
        <v>0</v>
      </c>
      <c r="D26" s="68"/>
      <c r="E26" s="78"/>
      <c r="F26" s="453">
        <f>'Step 5 Support Funds'!F26+'Step 5 Support Funds'!G26+'Step 5 Support Funds'!H26+'Step 5 Support Funds'!I26</f>
        <v>535112.03073288093</v>
      </c>
      <c r="G26" s="68"/>
      <c r="H26" s="453">
        <f>'Compile Productivity $'!B24</f>
        <v>0</v>
      </c>
      <c r="I26" s="453">
        <f>'Compile Productivity $'!C24</f>
        <v>0</v>
      </c>
      <c r="J26" s="453">
        <f>'Compile Productivity $'!D24</f>
        <v>0</v>
      </c>
      <c r="K26" s="453">
        <f>'Compile Productivity $'!E24</f>
        <v>0</v>
      </c>
      <c r="L26" s="453">
        <f>'Compile Productivity $'!F24</f>
        <v>0</v>
      </c>
      <c r="M26" s="453">
        <f>'Compile Productivity $'!G24</f>
        <v>0</v>
      </c>
      <c r="N26" s="453">
        <f>'Compile Productivity $'!H24</f>
        <v>0</v>
      </c>
      <c r="O26" s="68"/>
      <c r="P26" s="453">
        <f>'Step 5 Support Funds'!M26</f>
        <v>0</v>
      </c>
      <c r="Q26" s="453">
        <f>'Step 5 Support Funds'!N26+'Step 5 Support Funds'!O26+'Step 5 Support Funds'!P26+'Step 5 Support Funds'!Q26+'Step 5 Support Funds'!R26</f>
        <v>0</v>
      </c>
      <c r="R26" s="78"/>
      <c r="S26" s="453">
        <f>SUM('Step 6 Acad Productivity+Floor'!S26:V26)</f>
        <v>0</v>
      </c>
      <c r="T26" s="453">
        <f t="shared" si="1"/>
        <v>535112.03073288093</v>
      </c>
      <c r="U26" s="203"/>
      <c r="V26" s="960">
        <f>'Step 3 Dedicated Funds'!V26</f>
        <v>543366</v>
      </c>
      <c r="W26" s="68">
        <f>'Step 3 Dedicated Funds'!W26</f>
        <v>543366</v>
      </c>
      <c r="Y26" s="453">
        <f t="shared" si="2"/>
        <v>-8253.9692671190714</v>
      </c>
      <c r="Z26" s="14">
        <f t="shared" si="3"/>
        <v>-1.5190441189031097E-2</v>
      </c>
      <c r="AA26" s="12">
        <f t="shared" si="4"/>
        <v>0</v>
      </c>
    </row>
    <row r="27" spans="1:27">
      <c r="A27" s="214" t="s">
        <v>114</v>
      </c>
      <c r="B27" s="63"/>
      <c r="C27" s="68">
        <f>'Step 6 Acad Productivity+Floor'!C27</f>
        <v>0</v>
      </c>
      <c r="D27" s="63"/>
      <c r="E27" s="78"/>
      <c r="F27" s="452">
        <f>'Step 5 Support Funds'!F27+'Step 5 Support Funds'!G27+'Step 5 Support Funds'!H27+'Step 5 Support Funds'!I27</f>
        <v>0</v>
      </c>
      <c r="G27" s="68"/>
      <c r="H27" s="452">
        <f>'Compile Productivity $'!B25</f>
        <v>1097345.5671563721</v>
      </c>
      <c r="I27" s="452">
        <f>'Compile Productivity $'!C25</f>
        <v>768564.36449847114</v>
      </c>
      <c r="J27" s="452">
        <f>'Compile Productivity $'!D25</f>
        <v>1000</v>
      </c>
      <c r="K27" s="452">
        <f>'Compile Productivity $'!E25</f>
        <v>0</v>
      </c>
      <c r="L27" s="452">
        <f>'Compile Productivity $'!F25</f>
        <v>0</v>
      </c>
      <c r="M27" s="452">
        <f>'Compile Productivity $'!G25</f>
        <v>39004</v>
      </c>
      <c r="N27" s="452">
        <f>'Compile Productivity $'!H25</f>
        <v>-39004</v>
      </c>
      <c r="O27" s="68"/>
      <c r="P27" s="452">
        <f>'Step 5 Support Funds'!M27</f>
        <v>-1147</v>
      </c>
      <c r="Q27" s="452">
        <f>'Step 5 Support Funds'!N27+'Step 5 Support Funds'!O27+'Step 5 Support Funds'!P27+'Step 5 Support Funds'!Q27+'Step 5 Support Funds'!R27</f>
        <v>1260085</v>
      </c>
      <c r="R27" s="78"/>
      <c r="S27" s="452">
        <f>SUM('Step 6 Acad Productivity+Floor'!S27:V27)</f>
        <v>-7296.0496988788527</v>
      </c>
      <c r="T27" s="452">
        <f t="shared" si="1"/>
        <v>3118551.8819559645</v>
      </c>
      <c r="U27" s="203"/>
      <c r="V27" s="290">
        <f>'Step 3 Dedicated Funds'!V27</f>
        <v>2839964</v>
      </c>
      <c r="W27" s="63">
        <f>'Step 3 Dedicated Funds'!W27</f>
        <v>2839964</v>
      </c>
      <c r="Y27" s="452">
        <f t="shared" si="2"/>
        <v>278587.88195596449</v>
      </c>
      <c r="Z27" s="14">
        <f t="shared" si="3"/>
        <v>9.8095568097329569E-2</v>
      </c>
      <c r="AA27" s="12">
        <f t="shared" si="4"/>
        <v>0</v>
      </c>
    </row>
    <row r="28" spans="1:27">
      <c r="A28" s="76" t="s">
        <v>116</v>
      </c>
      <c r="B28" s="78"/>
      <c r="C28" s="68">
        <f>'Step 6 Acad Productivity+Floor'!C28</f>
        <v>0</v>
      </c>
      <c r="D28" s="78"/>
      <c r="E28" s="78"/>
      <c r="F28" s="78">
        <f>'Step 5 Support Funds'!F28+'Step 5 Support Funds'!G28+'Step 5 Support Funds'!H28+'Step 5 Support Funds'!I28</f>
        <v>0</v>
      </c>
      <c r="G28" s="78"/>
      <c r="H28" s="78">
        <f>'Compile Productivity $'!B26</f>
        <v>0</v>
      </c>
      <c r="I28" s="78">
        <f>'Compile Productivity $'!C26</f>
        <v>0</v>
      </c>
      <c r="J28" s="78">
        <f>'Compile Productivity $'!D26</f>
        <v>0</v>
      </c>
      <c r="K28" s="78">
        <f>'Compile Productivity $'!E26</f>
        <v>0</v>
      </c>
      <c r="L28" s="78">
        <f>'Compile Productivity $'!F26</f>
        <v>0</v>
      </c>
      <c r="M28" s="78">
        <f>'Compile Productivity $'!G26</f>
        <v>0</v>
      </c>
      <c r="N28" s="78">
        <f>'Compile Productivity $'!H26</f>
        <v>0</v>
      </c>
      <c r="O28" s="78"/>
      <c r="P28" s="78">
        <f>'Step 5 Support Funds'!M28</f>
        <v>0</v>
      </c>
      <c r="Q28" s="78">
        <f>'Step 5 Support Funds'!N28+'Step 5 Support Funds'!O28+'Step 5 Support Funds'!P28+'Step 5 Support Funds'!Q28+'Step 5 Support Funds'!R28</f>
        <v>18786975</v>
      </c>
      <c r="R28" s="78"/>
      <c r="S28" s="78">
        <f>SUM('Step 6 Acad Productivity+Floor'!S28:V28)</f>
        <v>0</v>
      </c>
      <c r="T28" s="78">
        <f t="shared" si="1"/>
        <v>18786975</v>
      </c>
      <c r="U28" s="203"/>
      <c r="V28" s="960">
        <f>'Step 3 Dedicated Funds'!V28</f>
        <v>18786975</v>
      </c>
      <c r="W28" s="68">
        <f>'Step 3 Dedicated Funds'!W28</f>
        <v>18786975</v>
      </c>
      <c r="Y28" s="78">
        <f t="shared" si="2"/>
        <v>0</v>
      </c>
      <c r="Z28" s="14">
        <f t="shared" si="3"/>
        <v>0</v>
      </c>
      <c r="AA28" s="12">
        <f t="shared" si="4"/>
        <v>0</v>
      </c>
    </row>
    <row r="29" spans="1:27">
      <c r="A29" s="213" t="s">
        <v>117</v>
      </c>
      <c r="B29" s="68"/>
      <c r="C29" s="68">
        <f>'Step 6 Acad Productivity+Floor'!C29</f>
        <v>0</v>
      </c>
      <c r="D29" s="68"/>
      <c r="E29" s="78"/>
      <c r="F29" s="68">
        <f>'Step 5 Support Funds'!F29+'Step 5 Support Funds'!G29+'Step 5 Support Funds'!H29+'Step 5 Support Funds'!I29</f>
        <v>0</v>
      </c>
      <c r="G29" s="68"/>
      <c r="H29" s="68">
        <f>'Compile Productivity $'!B27</f>
        <v>0</v>
      </c>
      <c r="I29" s="68">
        <f>'Compile Productivity $'!C27</f>
        <v>0</v>
      </c>
      <c r="J29" s="68">
        <f>'Compile Productivity $'!D27</f>
        <v>0</v>
      </c>
      <c r="K29" s="68">
        <f>'Compile Productivity $'!E27</f>
        <v>0</v>
      </c>
      <c r="L29" s="68">
        <f>'Compile Productivity $'!F27</f>
        <v>0</v>
      </c>
      <c r="M29" s="68">
        <f>'Compile Productivity $'!G27</f>
        <v>0</v>
      </c>
      <c r="N29" s="68">
        <f>'Compile Productivity $'!H27</f>
        <v>0</v>
      </c>
      <c r="O29" s="68"/>
      <c r="P29" s="68">
        <f>'Step 5 Support Funds'!M29</f>
        <v>0</v>
      </c>
      <c r="Q29" s="68">
        <f>'Step 5 Support Funds'!N29+'Step 5 Support Funds'!O29+'Step 5 Support Funds'!P29+'Step 5 Support Funds'!Q29+'Step 5 Support Funds'!R29</f>
        <v>3296000</v>
      </c>
      <c r="R29" s="78"/>
      <c r="S29" s="68">
        <f>SUM('Step 6 Acad Productivity+Floor'!S29:V29)</f>
        <v>0</v>
      </c>
      <c r="T29" s="68">
        <f t="shared" si="1"/>
        <v>3296000</v>
      </c>
      <c r="U29" s="203"/>
      <c r="V29" s="290">
        <f>'Step 3 Dedicated Funds'!V29</f>
        <v>3296000</v>
      </c>
      <c r="W29" s="63">
        <f>'Step 3 Dedicated Funds'!W29</f>
        <v>3296000</v>
      </c>
      <c r="Y29" s="68">
        <f t="shared" si="2"/>
        <v>0</v>
      </c>
      <c r="Z29" s="14">
        <f t="shared" si="3"/>
        <v>0</v>
      </c>
      <c r="AA29" s="12">
        <f t="shared" si="4"/>
        <v>0</v>
      </c>
    </row>
    <row r="30" spans="1:27">
      <c r="A30" s="438" t="s">
        <v>523</v>
      </c>
      <c r="B30" s="266"/>
      <c r="C30" s="68">
        <f>'Step 6 Acad Productivity+Floor'!C30</f>
        <v>0</v>
      </c>
      <c r="D30" s="266"/>
      <c r="E30" s="78"/>
      <c r="F30" s="266">
        <f>'Step 5 Support Funds'!F30+'Step 5 Support Funds'!G30+'Step 5 Support Funds'!H30+'Step 5 Support Funds'!I30</f>
        <v>1953958.530465791</v>
      </c>
      <c r="G30" s="68"/>
      <c r="H30" s="266">
        <f>'Compile Productivity $'!B28</f>
        <v>126306.48427682419</v>
      </c>
      <c r="I30" s="266">
        <f>'Compile Productivity $'!C28</f>
        <v>0</v>
      </c>
      <c r="J30" s="266">
        <f>'Compile Productivity $'!D28</f>
        <v>0</v>
      </c>
      <c r="K30" s="266">
        <f>'Compile Productivity $'!E28</f>
        <v>0</v>
      </c>
      <c r="L30" s="266">
        <f>'Compile Productivity $'!F28</f>
        <v>2243.7014263473907</v>
      </c>
      <c r="M30" s="266">
        <f>'Compile Productivity $'!G28</f>
        <v>0</v>
      </c>
      <c r="N30" s="266">
        <f>'Compile Productivity $'!H28</f>
        <v>0</v>
      </c>
      <c r="O30" s="68"/>
      <c r="P30" s="266">
        <f>'Step 5 Support Funds'!M30</f>
        <v>-209046.3</v>
      </c>
      <c r="Q30" s="266">
        <f>'Step 5 Support Funds'!N30+'Step 5 Support Funds'!O30+'Step 5 Support Funds'!P30+'Step 5 Support Funds'!Q30+'Step 5 Support Funds'!R30</f>
        <v>2824950</v>
      </c>
      <c r="R30" s="78"/>
      <c r="S30" s="266">
        <f>SUM('Step 6 Acad Productivity+Floor'!S30:V30)</f>
        <v>-502.38553439965716</v>
      </c>
      <c r="T30" s="266">
        <f t="shared" si="1"/>
        <v>4697910.0306345625</v>
      </c>
      <c r="U30" s="203"/>
      <c r="V30" s="960">
        <f>'Step 3 Dedicated Funds'!V30</f>
        <v>4706010</v>
      </c>
      <c r="W30" s="68">
        <f>'Step 3 Dedicated Funds'!W30</f>
        <v>4706010</v>
      </c>
      <c r="Y30" s="266">
        <f t="shared" si="2"/>
        <v>-8099.9693654375151</v>
      </c>
      <c r="Z30" s="14">
        <f t="shared" si="3"/>
        <v>-1.7211968026921989E-3</v>
      </c>
      <c r="AA30" s="12">
        <f t="shared" si="4"/>
        <v>0</v>
      </c>
    </row>
    <row r="31" spans="1:27">
      <c r="A31" s="437" t="s">
        <v>524</v>
      </c>
      <c r="B31" s="78"/>
      <c r="C31" s="68">
        <f>'Step 6 Acad Productivity+Floor'!C31</f>
        <v>0</v>
      </c>
      <c r="D31" s="78"/>
      <c r="E31" s="78"/>
      <c r="F31" s="78">
        <f>'Step 5 Support Funds'!F31+'Step 5 Support Funds'!G31+'Step 5 Support Funds'!H31+'Step 5 Support Funds'!I31</f>
        <v>0</v>
      </c>
      <c r="G31" s="78"/>
      <c r="H31" s="78">
        <f>'Compile Productivity $'!B29</f>
        <v>328811.79807451478</v>
      </c>
      <c r="I31" s="78">
        <f>'Compile Productivity $'!C29</f>
        <v>0</v>
      </c>
      <c r="J31" s="78">
        <f>'Compile Productivity $'!D29</f>
        <v>190000</v>
      </c>
      <c r="K31" s="78">
        <f>'Compile Productivity $'!E29</f>
        <v>0</v>
      </c>
      <c r="L31" s="78">
        <f>'Compile Productivity $'!F29</f>
        <v>57305.661886428526</v>
      </c>
      <c r="M31" s="78">
        <f>'Compile Productivity $'!G29</f>
        <v>0</v>
      </c>
      <c r="N31" s="78">
        <f>'Compile Productivity $'!H29</f>
        <v>634140.4104599295</v>
      </c>
      <c r="O31" s="78"/>
      <c r="P31" s="78">
        <f>'Step 5 Support Funds'!M31</f>
        <v>0</v>
      </c>
      <c r="Q31" s="78">
        <f>'Step 5 Support Funds'!N31+'Step 5 Support Funds'!O31+'Step 5 Support Funds'!P31+'Step 5 Support Funds'!Q31+'Step 5 Support Funds'!R31</f>
        <v>0</v>
      </c>
      <c r="R31" s="78"/>
      <c r="S31" s="78">
        <f>SUM('Step 6 Acad Productivity+Floor'!S31:V31)</f>
        <v>-4729.7951665096671</v>
      </c>
      <c r="T31" s="78">
        <f t="shared" si="1"/>
        <v>1205528.075254363</v>
      </c>
      <c r="U31" s="203"/>
      <c r="V31" s="960">
        <f>'Step 3 Dedicated Funds'!V31</f>
        <v>833083</v>
      </c>
      <c r="W31" s="68">
        <f>'Step 3 Dedicated Funds'!W31</f>
        <v>14579074</v>
      </c>
      <c r="Y31" s="78">
        <f t="shared" si="2"/>
        <v>372445.07525436301</v>
      </c>
      <c r="Z31" s="14">
        <f t="shared" si="3"/>
        <v>0.44706838964948631</v>
      </c>
      <c r="AA31" s="12">
        <f t="shared" si="4"/>
        <v>634140.4104599295</v>
      </c>
    </row>
    <row r="32" spans="1:27">
      <c r="A32" s="213" t="s">
        <v>118</v>
      </c>
      <c r="B32" s="68"/>
      <c r="C32" s="68">
        <f>'Step 6 Acad Productivity+Floor'!C32</f>
        <v>0</v>
      </c>
      <c r="D32" s="68"/>
      <c r="E32" s="78"/>
      <c r="F32" s="68">
        <f>'Step 5 Support Funds'!F32+'Step 5 Support Funds'!G32+'Step 5 Support Funds'!H32+'Step 5 Support Funds'!I32</f>
        <v>11664777.371440345</v>
      </c>
      <c r="G32" s="68"/>
      <c r="H32" s="68">
        <f>'Compile Productivity $'!B30</f>
        <v>0</v>
      </c>
      <c r="I32" s="68">
        <f>'Compile Productivity $'!C30</f>
        <v>0</v>
      </c>
      <c r="J32" s="68">
        <f>'Compile Productivity $'!D30</f>
        <v>0</v>
      </c>
      <c r="K32" s="68">
        <f>'Compile Productivity $'!E30</f>
        <v>3771.445999835144</v>
      </c>
      <c r="L32" s="68">
        <f>'Compile Productivity $'!F30</f>
        <v>0</v>
      </c>
      <c r="M32" s="68">
        <f>'Compile Productivity $'!G30</f>
        <v>0</v>
      </c>
      <c r="N32" s="68">
        <f>'Compile Productivity $'!H30</f>
        <v>0</v>
      </c>
      <c r="O32" s="68"/>
      <c r="P32" s="68">
        <f>'Step 5 Support Funds'!M32</f>
        <v>-20779.347999999998</v>
      </c>
      <c r="Q32" s="68">
        <f>'Step 5 Support Funds'!N32+'Step 5 Support Funds'!O32+'Step 5 Support Funds'!P32+'Step 5 Support Funds'!Q32+'Step 5 Support Funds'!R32</f>
        <v>2747843.4615384615</v>
      </c>
      <c r="R32" s="78"/>
      <c r="S32" s="68">
        <f>SUM('Step 6 Acad Productivity+Floor'!S32:V32)</f>
        <v>-14.739145678572765</v>
      </c>
      <c r="T32" s="68">
        <f t="shared" si="1"/>
        <v>14395598.191832963</v>
      </c>
      <c r="U32" s="203"/>
      <c r="V32" s="290">
        <f>'Step 3 Dedicated Funds'!V32</f>
        <v>14579074</v>
      </c>
      <c r="W32" s="63">
        <f>'Step 3 Dedicated Funds'!W32</f>
        <v>11354618</v>
      </c>
      <c r="Y32" s="68">
        <f t="shared" si="2"/>
        <v>-183475.80816703662</v>
      </c>
      <c r="Z32" s="14">
        <f t="shared" si="3"/>
        <v>-1.258487392045864E-2</v>
      </c>
      <c r="AA32" s="12">
        <f t="shared" si="4"/>
        <v>0</v>
      </c>
    </row>
    <row r="33" spans="1:27">
      <c r="A33" s="438" t="s">
        <v>119</v>
      </c>
      <c r="B33" s="266"/>
      <c r="C33" s="68">
        <f>'Step 6 Acad Productivity+Floor'!C33</f>
        <v>0</v>
      </c>
      <c r="D33" s="266"/>
      <c r="E33" s="78"/>
      <c r="F33" s="455">
        <f>'Step 5 Support Funds'!F33+'Step 5 Support Funds'!G33+'Step 5 Support Funds'!H33+'Step 5 Support Funds'!I33</f>
        <v>0</v>
      </c>
      <c r="G33" s="68"/>
      <c r="H33" s="455">
        <f>'Compile Productivity $'!B31</f>
        <v>0</v>
      </c>
      <c r="I33" s="455">
        <f>'Compile Productivity $'!C31</f>
        <v>0</v>
      </c>
      <c r="J33" s="455">
        <f>'Compile Productivity $'!D31</f>
        <v>0</v>
      </c>
      <c r="K33" s="455">
        <f>'Compile Productivity $'!E31</f>
        <v>886914.83143400238</v>
      </c>
      <c r="L33" s="455">
        <f>'Compile Productivity $'!F31</f>
        <v>0</v>
      </c>
      <c r="M33" s="455">
        <f>'Compile Productivity $'!G31</f>
        <v>0</v>
      </c>
      <c r="N33" s="455">
        <f>'Compile Productivity $'!H31</f>
        <v>0</v>
      </c>
      <c r="O33" s="68"/>
      <c r="P33" s="455">
        <f>'Step 5 Support Funds'!M33</f>
        <v>-110830.54</v>
      </c>
      <c r="Q33" s="455">
        <f>'Step 5 Support Funds'!N33+'Step 5 Support Funds'!O33+'Step 5 Support Funds'!P33+'Step 5 Support Funds'!Q33+'Step 5 Support Funds'!R33</f>
        <v>2176510</v>
      </c>
      <c r="R33" s="78"/>
      <c r="S33" s="455">
        <f>SUM('Step 6 Acad Productivity+Floor'!S33:V33)</f>
        <v>8837442.9606921505</v>
      </c>
      <c r="T33" s="455">
        <f t="shared" si="1"/>
        <v>11790037.252126154</v>
      </c>
      <c r="U33" s="203"/>
      <c r="V33" s="960">
        <f>'Step 3 Dedicated Funds'!V33</f>
        <v>11354618</v>
      </c>
      <c r="W33" s="68">
        <f>'Step 3 Dedicated Funds'!W33</f>
        <v>833083</v>
      </c>
      <c r="Y33" s="455">
        <f t="shared" si="2"/>
        <v>435419.25212615356</v>
      </c>
      <c r="Z33" s="14">
        <f t="shared" si="3"/>
        <v>3.8347327239556063E-2</v>
      </c>
      <c r="AA33" s="12">
        <f t="shared" si="4"/>
        <v>0</v>
      </c>
    </row>
    <row r="34" spans="1:27">
      <c r="A34" s="441" t="s">
        <v>120</v>
      </c>
      <c r="B34" s="442">
        <f>SUM(B15:B33)</f>
        <v>0</v>
      </c>
      <c r="C34" s="442">
        <f>SUM(C15:C33)</f>
        <v>37790</v>
      </c>
      <c r="D34" s="442">
        <f>SUM(D15:D33)</f>
        <v>0</v>
      </c>
      <c r="E34" s="778"/>
      <c r="F34" s="442">
        <f t="shared" ref="F34:N34" si="5">SUM(F15:F33)</f>
        <v>14153847.932639018</v>
      </c>
      <c r="G34" s="442">
        <f t="shared" si="5"/>
        <v>0</v>
      </c>
      <c r="H34" s="442">
        <f t="shared" si="5"/>
        <v>74146486.390648335</v>
      </c>
      <c r="I34" s="442">
        <f t="shared" si="5"/>
        <v>41669243.617018059</v>
      </c>
      <c r="J34" s="442">
        <f t="shared" si="5"/>
        <v>52001740</v>
      </c>
      <c r="K34" s="442">
        <f t="shared" si="5"/>
        <v>8247375.9933187114</v>
      </c>
      <c r="L34" s="442">
        <f t="shared" si="5"/>
        <v>7497359.9510463178</v>
      </c>
      <c r="M34" s="442">
        <f t="shared" si="5"/>
        <v>18709112</v>
      </c>
      <c r="N34" s="442">
        <f t="shared" si="5"/>
        <v>14626282.893614452</v>
      </c>
      <c r="O34" s="442"/>
      <c r="P34" s="442">
        <f>SUM(P15:P33)</f>
        <v>-2830669.682</v>
      </c>
      <c r="Q34" s="442">
        <f>SUM(Q15:Q33)</f>
        <v>93873870.805538461</v>
      </c>
      <c r="R34" s="779"/>
      <c r="S34" s="442">
        <f>SUM(S15:S33)</f>
        <v>20487265.447898284</v>
      </c>
      <c r="T34" s="442">
        <f>SUM(T15:T33)</f>
        <v>342619705.34972161</v>
      </c>
      <c r="U34" s="203"/>
      <c r="V34" s="442">
        <f>'Step 3 Dedicated Funds'!V34</f>
        <v>336970658</v>
      </c>
      <c r="W34" s="442">
        <f>'Step 3 Dedicated Funds'!W34</f>
        <v>336970658</v>
      </c>
      <c r="Y34" s="442">
        <f>SUM(Y15:Y33)</f>
        <v>5649047.3497216227</v>
      </c>
      <c r="AA34" s="12"/>
    </row>
    <row r="35" spans="1:27">
      <c r="A35" s="213"/>
      <c r="B35" s="66"/>
      <c r="C35" s="66"/>
      <c r="D35" s="66"/>
      <c r="E35" s="216"/>
      <c r="F35" s="66"/>
      <c r="G35" s="66"/>
      <c r="H35" s="66"/>
      <c r="I35" s="66"/>
      <c r="J35" s="66"/>
      <c r="K35" s="66"/>
      <c r="L35" s="66"/>
      <c r="M35" s="66"/>
      <c r="N35" s="66"/>
      <c r="O35" s="66"/>
      <c r="P35" s="66"/>
      <c r="Q35" s="66"/>
      <c r="R35" s="66"/>
      <c r="S35" s="66"/>
      <c r="T35" s="66"/>
      <c r="U35" s="203"/>
      <c r="V35" s="62"/>
      <c r="W35" s="63"/>
      <c r="Y35" s="66"/>
    </row>
    <row r="36" spans="1:27">
      <c r="A36" s="203"/>
      <c r="E36" s="67"/>
      <c r="G36" s="66"/>
      <c r="O36" s="66"/>
      <c r="R36" s="66"/>
      <c r="U36" s="208"/>
      <c r="V36" s="208"/>
      <c r="W36" s="68"/>
    </row>
    <row r="37" spans="1:27">
      <c r="A37" s="76" t="s">
        <v>121</v>
      </c>
      <c r="B37" s="78"/>
      <c r="C37" s="78"/>
      <c r="D37" s="78"/>
      <c r="E37" s="67"/>
      <c r="F37" s="78"/>
      <c r="G37" s="78"/>
      <c r="H37" s="78"/>
      <c r="I37" s="78"/>
      <c r="J37" s="78"/>
      <c r="K37" s="78"/>
      <c r="L37" s="78"/>
      <c r="M37" s="78"/>
      <c r="N37" s="78"/>
      <c r="O37" s="78"/>
      <c r="P37" s="78"/>
      <c r="Q37" s="78"/>
      <c r="R37" s="78"/>
      <c r="S37" s="78"/>
      <c r="T37" s="78"/>
      <c r="U37" s="203"/>
      <c r="V37" s="78"/>
      <c r="W37" s="68"/>
      <c r="Y37" s="78"/>
    </row>
    <row r="38" spans="1:27">
      <c r="A38" s="214" t="s">
        <v>122</v>
      </c>
      <c r="B38" s="63"/>
      <c r="C38" s="68">
        <f>'Step 6 Acad Productivity+Floor'!C38</f>
        <v>20000</v>
      </c>
      <c r="D38" s="68">
        <f>'Step 6 Acad Productivity+Floor'!D38</f>
        <v>8368275</v>
      </c>
      <c r="E38" s="78"/>
      <c r="F38" s="452">
        <f>'Step 5 Support Funds'!F38+'Step 5 Support Funds'!G38+'Step 5 Support Funds'!H38+'Step 5 Support Funds'!I38</f>
        <v>0</v>
      </c>
      <c r="G38" s="218"/>
      <c r="H38" s="452">
        <f>'Compile Productivity $'!B36</f>
        <v>0</v>
      </c>
      <c r="I38" s="452">
        <f>'Compile Productivity $'!C36</f>
        <v>0</v>
      </c>
      <c r="J38" s="452">
        <f>'Compile Productivity $'!D36</f>
        <v>0</v>
      </c>
      <c r="K38" s="452">
        <f>'Compile Productivity $'!E36</f>
        <v>2716.5065167470298</v>
      </c>
      <c r="L38" s="452">
        <f>'Compile Productivity $'!F36</f>
        <v>0</v>
      </c>
      <c r="M38" s="452">
        <f>'Compile Productivity $'!G36</f>
        <v>0</v>
      </c>
      <c r="N38" s="452">
        <f>'Compile Productivity $'!H36</f>
        <v>0</v>
      </c>
      <c r="O38" s="68"/>
      <c r="P38" s="452">
        <f>'Step 5 Support Funds'!M38</f>
        <v>0</v>
      </c>
      <c r="Q38" s="452">
        <f>'Step 5 Support Funds'!N38+'Step 5 Support Funds'!O38+'Step 5 Support Funds'!P38+'Step 5 Support Funds'!Q38+'Step 5 Support Funds'!R38</f>
        <v>0</v>
      </c>
      <c r="R38" s="78"/>
      <c r="S38" s="452">
        <f>SUM('Step 6 Acad Productivity+Floor'!S38:V38)</f>
        <v>-10.616348554076318</v>
      </c>
      <c r="T38" s="452">
        <f t="shared" ref="T38:T55" si="6">SUM(B38:S38)</f>
        <v>8390980.8901681937</v>
      </c>
      <c r="U38" s="203"/>
      <c r="V38" s="290">
        <f>'Step 3 Dedicated Funds'!V38</f>
        <v>8388275</v>
      </c>
      <c r="W38" s="63">
        <f>'Step 3 Dedicated Funds'!W38</f>
        <v>8388275</v>
      </c>
      <c r="Y38" s="452">
        <f t="shared" ref="Y38:Y55" si="7">T38-V38</f>
        <v>2705.8901681937277</v>
      </c>
      <c r="Z38" s="1173"/>
      <c r="AA38" s="12"/>
    </row>
    <row r="39" spans="1:27">
      <c r="A39" s="213" t="s">
        <v>123</v>
      </c>
      <c r="B39" s="78"/>
      <c r="C39" s="68">
        <f>'Step 6 Acad Productivity+Floor'!C39</f>
        <v>26585</v>
      </c>
      <c r="D39" s="68">
        <f>'Step 6 Acad Productivity+Floor'!D39</f>
        <v>0</v>
      </c>
      <c r="E39" s="219"/>
      <c r="F39" s="454">
        <f>'Step 5 Support Funds'!F39+'Step 5 Support Funds'!G39+'Step 5 Support Funds'!H39+'Step 5 Support Funds'!I39</f>
        <v>3895010.722203155</v>
      </c>
      <c r="G39" s="78"/>
      <c r="H39" s="454">
        <f>'Compile Productivity $'!B37</f>
        <v>0</v>
      </c>
      <c r="I39" s="454">
        <f>'Compile Productivity $'!C37</f>
        <v>0</v>
      </c>
      <c r="J39" s="454">
        <f>'Compile Productivity $'!D37</f>
        <v>0</v>
      </c>
      <c r="K39" s="454">
        <f>'Compile Productivity $'!E37</f>
        <v>0</v>
      </c>
      <c r="L39" s="454">
        <f>'Compile Productivity $'!F37</f>
        <v>0</v>
      </c>
      <c r="M39" s="454">
        <f>'Compile Productivity $'!G37</f>
        <v>0</v>
      </c>
      <c r="N39" s="454">
        <f>'Compile Productivity $'!H37</f>
        <v>0</v>
      </c>
      <c r="O39" s="78"/>
      <c r="P39" s="454">
        <f>'Step 5 Support Funds'!M39</f>
        <v>0</v>
      </c>
      <c r="Q39" s="454">
        <f>'Step 5 Support Funds'!N39+'Step 5 Support Funds'!O39+'Step 5 Support Funds'!P39+'Step 5 Support Funds'!Q39+'Step 5 Support Funds'!R39</f>
        <v>0</v>
      </c>
      <c r="R39" s="78"/>
      <c r="S39" s="454">
        <f>SUM('Step 6 Acad Productivity+Floor'!S39:V39)</f>
        <v>0</v>
      </c>
      <c r="T39" s="454">
        <f t="shared" si="6"/>
        <v>3921595.722203155</v>
      </c>
      <c r="U39" s="203"/>
      <c r="V39" s="960">
        <f>'Step 3 Dedicated Funds'!V39</f>
        <v>3982978</v>
      </c>
      <c r="W39" s="68">
        <f>'Step 3 Dedicated Funds'!W39</f>
        <v>3982978</v>
      </c>
      <c r="Y39" s="454">
        <f t="shared" si="7"/>
        <v>-61382.277796844952</v>
      </c>
      <c r="Z39" s="1173"/>
      <c r="AA39" s="12"/>
    </row>
    <row r="40" spans="1:27">
      <c r="A40" s="76" t="s">
        <v>124</v>
      </c>
      <c r="B40" s="78"/>
      <c r="C40" s="68">
        <f>'Step 6 Acad Productivity+Floor'!C40</f>
        <v>0</v>
      </c>
      <c r="D40" s="68">
        <f>'Step 6 Acad Productivity+Floor'!D40</f>
        <v>1441801</v>
      </c>
      <c r="E40" s="78"/>
      <c r="F40" s="454">
        <f>'Step 5 Support Funds'!F40+'Step 5 Support Funds'!G40+'Step 5 Support Funds'!H40+'Step 5 Support Funds'!I40</f>
        <v>0</v>
      </c>
      <c r="G40" s="219"/>
      <c r="H40" s="454">
        <f>'Compile Productivity $'!B38</f>
        <v>0</v>
      </c>
      <c r="I40" s="454">
        <f>'Compile Productivity $'!C38</f>
        <v>0</v>
      </c>
      <c r="J40" s="454">
        <f>'Compile Productivity $'!D38</f>
        <v>0</v>
      </c>
      <c r="K40" s="454">
        <f>'Compile Productivity $'!E38</f>
        <v>0</v>
      </c>
      <c r="L40" s="454">
        <f>'Compile Productivity $'!F38</f>
        <v>0</v>
      </c>
      <c r="M40" s="454">
        <f>'Compile Productivity $'!G38</f>
        <v>0</v>
      </c>
      <c r="N40" s="454">
        <f>'Compile Productivity $'!H38</f>
        <v>0</v>
      </c>
      <c r="O40" s="78"/>
      <c r="P40" s="454">
        <f>'Step 5 Support Funds'!M40</f>
        <v>0</v>
      </c>
      <c r="Q40" s="454">
        <f>'Step 5 Support Funds'!N40+'Step 5 Support Funds'!O40+'Step 5 Support Funds'!P40+'Step 5 Support Funds'!Q40+'Step 5 Support Funds'!R40</f>
        <v>0</v>
      </c>
      <c r="R40" s="78"/>
      <c r="S40" s="454">
        <f>SUM('Step 6 Acad Productivity+Floor'!S40:V40)</f>
        <v>0</v>
      </c>
      <c r="T40" s="454">
        <f t="shared" si="6"/>
        <v>1441801</v>
      </c>
      <c r="U40" s="203"/>
      <c r="V40" s="960">
        <f>'Step 3 Dedicated Funds'!V40</f>
        <v>1441801</v>
      </c>
      <c r="W40" s="68">
        <f>'Step 3 Dedicated Funds'!W40</f>
        <v>1441801</v>
      </c>
      <c r="Y40" s="454">
        <f t="shared" si="7"/>
        <v>0</v>
      </c>
      <c r="Z40" s="1173"/>
      <c r="AA40" s="12"/>
    </row>
    <row r="41" spans="1:27">
      <c r="A41" s="214" t="s">
        <v>125</v>
      </c>
      <c r="B41" s="63"/>
      <c r="C41" s="68">
        <f>'Step 6 Acad Productivity+Floor'!C41</f>
        <v>5900000</v>
      </c>
      <c r="D41" s="68">
        <f>'Step 6 Acad Productivity+Floor'!D41</f>
        <v>2048710</v>
      </c>
      <c r="E41" s="219"/>
      <c r="F41" s="452">
        <f>'Step 5 Support Funds'!F41+'Step 5 Support Funds'!G41+'Step 5 Support Funds'!H41+'Step 5 Support Funds'!I41</f>
        <v>0</v>
      </c>
      <c r="G41" s="218"/>
      <c r="H41" s="452">
        <f>'Compile Productivity $'!B39</f>
        <v>0</v>
      </c>
      <c r="I41" s="452">
        <f>'Compile Productivity $'!C39</f>
        <v>0</v>
      </c>
      <c r="J41" s="452">
        <f>'Compile Productivity $'!D39</f>
        <v>0</v>
      </c>
      <c r="K41" s="452">
        <f>'Compile Productivity $'!E39</f>
        <v>0</v>
      </c>
      <c r="L41" s="452">
        <f>'Compile Productivity $'!F39</f>
        <v>0</v>
      </c>
      <c r="M41" s="452">
        <f>'Compile Productivity $'!G39</f>
        <v>0</v>
      </c>
      <c r="N41" s="452">
        <f>'Compile Productivity $'!H39</f>
        <v>0</v>
      </c>
      <c r="O41" s="68"/>
      <c r="P41" s="452">
        <f>'Step 5 Support Funds'!M41</f>
        <v>0</v>
      </c>
      <c r="Q41" s="452">
        <f>'Step 5 Support Funds'!N41+'Step 5 Support Funds'!O41+'Step 5 Support Funds'!P41+'Step 5 Support Funds'!Q41+'Step 5 Support Funds'!R41</f>
        <v>0</v>
      </c>
      <c r="R41" s="78"/>
      <c r="S41" s="452">
        <f>SUM('Step 6 Acad Productivity+Floor'!S41:V41)</f>
        <v>0</v>
      </c>
      <c r="T41" s="452">
        <f>SUM(B41:S41)</f>
        <v>7948710</v>
      </c>
      <c r="U41" s="203"/>
      <c r="V41" s="290">
        <f>'Step 3 Dedicated Funds'!V41</f>
        <v>7948710</v>
      </c>
      <c r="W41" s="63">
        <f>'Step 3 Dedicated Funds'!W41</f>
        <v>7948710</v>
      </c>
      <c r="Y41" s="452">
        <f t="shared" si="7"/>
        <v>0</v>
      </c>
      <c r="Z41" s="1173"/>
      <c r="AA41" s="12"/>
    </row>
    <row r="42" spans="1:27">
      <c r="A42" s="213" t="s">
        <v>126</v>
      </c>
      <c r="B42" s="78"/>
      <c r="C42" s="68">
        <f>'Step 6 Acad Productivity+Floor'!C42</f>
        <v>0</v>
      </c>
      <c r="D42" s="78"/>
      <c r="E42" s="219"/>
      <c r="F42" s="454">
        <f>'Step 5 Support Funds'!F42+'Step 5 Support Funds'!G42+'Step 5 Support Funds'!H42+'Step 5 Support Funds'!I42</f>
        <v>6666508.0818057153</v>
      </c>
      <c r="G42" s="78"/>
      <c r="H42" s="454">
        <f>'Compile Productivity $'!B40</f>
        <v>0</v>
      </c>
      <c r="I42" s="454">
        <f>'Compile Productivity $'!C40</f>
        <v>0</v>
      </c>
      <c r="J42" s="454">
        <f>'Compile Productivity $'!D40</f>
        <v>0</v>
      </c>
      <c r="K42" s="454">
        <f>'Compile Productivity $'!E40</f>
        <v>36809.196993930658</v>
      </c>
      <c r="L42" s="454">
        <f>'Compile Productivity $'!F40</f>
        <v>0</v>
      </c>
      <c r="M42" s="454">
        <f>'Compile Productivity $'!G40</f>
        <v>0</v>
      </c>
      <c r="N42" s="454">
        <f>'Compile Productivity $'!H40</f>
        <v>0</v>
      </c>
      <c r="O42" s="78"/>
      <c r="P42" s="454">
        <f>'Step 5 Support Funds'!M42</f>
        <v>-233029.848</v>
      </c>
      <c r="Q42" s="454">
        <f>'Step 5 Support Funds'!N42+'Step 5 Support Funds'!O42+'Step 5 Support Funds'!P42+'Step 5 Support Funds'!Q42+'Step 5 Support Funds'!R42</f>
        <v>3149052</v>
      </c>
      <c r="R42" s="78"/>
      <c r="S42" s="454">
        <f>SUM('Step 6 Acad Productivity+Floor'!S42:V42)</f>
        <v>-143.85360862346747</v>
      </c>
      <c r="T42" s="454">
        <f t="shared" si="6"/>
        <v>9619195.5771910213</v>
      </c>
      <c r="U42" s="203"/>
      <c r="V42" s="960">
        <f>'Step 3 Dedicated Funds'!V42</f>
        <v>9724870</v>
      </c>
      <c r="W42" s="68">
        <f>'Step 3 Dedicated Funds'!W42</f>
        <v>9724870</v>
      </c>
      <c r="Y42" s="454">
        <f t="shared" si="7"/>
        <v>-105674.42280897871</v>
      </c>
      <c r="Z42" s="1173"/>
      <c r="AA42" s="12"/>
    </row>
    <row r="43" spans="1:27">
      <c r="A43" s="437" t="s">
        <v>552</v>
      </c>
      <c r="B43" s="78"/>
      <c r="C43" s="68">
        <f>'Step 6 Acad Productivity+Floor'!C43</f>
        <v>0</v>
      </c>
      <c r="D43" s="78"/>
      <c r="E43" s="78"/>
      <c r="F43" s="454">
        <f>'Step 5 Support Funds'!F43+'Step 5 Support Funds'!G43+'Step 5 Support Funds'!H43+'Step 5 Support Funds'!I43</f>
        <v>3120924.9273157618</v>
      </c>
      <c r="G43" s="78"/>
      <c r="H43" s="454">
        <f>'Compile Productivity $'!B41</f>
        <v>1691536.992324549</v>
      </c>
      <c r="I43" s="454">
        <f>'Compile Productivity $'!C41</f>
        <v>0</v>
      </c>
      <c r="J43" s="454">
        <f>'Compile Productivity $'!D41</f>
        <v>128387</v>
      </c>
      <c r="K43" s="454">
        <f>'Compile Productivity $'!E41</f>
        <v>6650.372311343961</v>
      </c>
      <c r="L43" s="454">
        <f>'Compile Productivity $'!F41</f>
        <v>3103.9000169344245</v>
      </c>
      <c r="M43" s="454">
        <f>'Compile Productivity $'!G41</f>
        <v>0</v>
      </c>
      <c r="N43" s="454">
        <f>'Compile Productivity $'!H41</f>
        <v>0</v>
      </c>
      <c r="O43" s="78"/>
      <c r="P43" s="454">
        <f>'Step 5 Support Funds'!M43</f>
        <v>-2294</v>
      </c>
      <c r="Q43" s="454">
        <f>'Step 5 Support Funds'!N43+'Step 5 Support Funds'!O43+'Step 5 Support Funds'!P43+'Step 5 Support Funds'!Q43+'Step 5 Support Funds'!R43</f>
        <v>31000</v>
      </c>
      <c r="R43" s="78"/>
      <c r="S43" s="454">
        <f>SUM('Step 6 Acad Productivity+Floor'!S43:V43)</f>
        <v>-7150.5450399700921</v>
      </c>
      <c r="T43" s="454">
        <f t="shared" si="6"/>
        <v>4972158.6469286196</v>
      </c>
      <c r="U43" s="203"/>
      <c r="V43" s="960">
        <f>'Step 3 Dedicated Funds'!V43</f>
        <v>5000049</v>
      </c>
      <c r="W43" s="68">
        <f>'Step 3 Dedicated Funds'!W43</f>
        <v>5000049</v>
      </c>
      <c r="Y43" s="454">
        <f t="shared" si="7"/>
        <v>-27890.353071380407</v>
      </c>
      <c r="Z43" s="1173"/>
      <c r="AA43" s="12"/>
    </row>
    <row r="44" spans="1:27">
      <c r="A44" s="213" t="s">
        <v>127</v>
      </c>
      <c r="B44" s="78"/>
      <c r="C44" s="68">
        <f>'Step 6 Acad Productivity+Floor'!C44</f>
        <v>0</v>
      </c>
      <c r="D44" s="78"/>
      <c r="E44" s="78"/>
      <c r="F44" s="454">
        <f>'Step 5 Support Funds'!F44+'Step 5 Support Funds'!G44+'Step 5 Support Funds'!H44+'Step 5 Support Funds'!I44</f>
        <v>3588041.1172417118</v>
      </c>
      <c r="G44" s="78"/>
      <c r="H44" s="454">
        <f>'Compile Productivity $'!B42</f>
        <v>0</v>
      </c>
      <c r="I44" s="454">
        <f>'Compile Productivity $'!C42</f>
        <v>0</v>
      </c>
      <c r="J44" s="454">
        <f>'Compile Productivity $'!D42</f>
        <v>0</v>
      </c>
      <c r="K44" s="454">
        <f>'Compile Productivity $'!E42</f>
        <v>0</v>
      </c>
      <c r="L44" s="454">
        <f>'Compile Productivity $'!F42</f>
        <v>0</v>
      </c>
      <c r="M44" s="454">
        <f>'Compile Productivity $'!G42</f>
        <v>0</v>
      </c>
      <c r="N44" s="454">
        <f>'Compile Productivity $'!H42</f>
        <v>0</v>
      </c>
      <c r="O44" s="78"/>
      <c r="P44" s="454">
        <f>'Step 5 Support Funds'!M44</f>
        <v>-740</v>
      </c>
      <c r="Q44" s="454">
        <f>'Step 5 Support Funds'!N44+'Step 5 Support Funds'!O44+'Step 5 Support Funds'!P44+'Step 5 Support Funds'!Q44+'Step 5 Support Funds'!R44</f>
        <v>10000</v>
      </c>
      <c r="R44" s="78"/>
      <c r="S44" s="454">
        <f>SUM('Step 6 Acad Productivity+Floor'!S44:V44)</f>
        <v>0</v>
      </c>
      <c r="T44" s="454">
        <f t="shared" si="6"/>
        <v>3597301.1172417118</v>
      </c>
      <c r="U44" s="203"/>
      <c r="V44" s="960">
        <f>'Step 3 Dedicated Funds'!V44</f>
        <v>3643184</v>
      </c>
      <c r="W44" s="68">
        <f>'Step 3 Dedicated Funds'!W44</f>
        <v>3643184</v>
      </c>
      <c r="Y44" s="454">
        <f t="shared" si="7"/>
        <v>-45882.882758288179</v>
      </c>
      <c r="Z44" s="1173"/>
      <c r="AA44" s="12"/>
    </row>
    <row r="45" spans="1:27">
      <c r="A45" s="214" t="s">
        <v>128</v>
      </c>
      <c r="B45" s="63"/>
      <c r="C45" s="68">
        <f>'Step 6 Acad Productivity+Floor'!C45</f>
        <v>150000</v>
      </c>
      <c r="D45" s="63"/>
      <c r="E45" s="78"/>
      <c r="F45" s="452">
        <f>'Step 5 Support Funds'!F45+'Step 5 Support Funds'!G45+'Step 5 Support Funds'!H45+'Step 5 Support Funds'!I45</f>
        <v>16874972.849656563</v>
      </c>
      <c r="G45" s="68"/>
      <c r="H45" s="452">
        <f>'Compile Productivity $'!B43</f>
        <v>0</v>
      </c>
      <c r="I45" s="452">
        <f>'Compile Productivity $'!C43</f>
        <v>0</v>
      </c>
      <c r="J45" s="452">
        <f>'Compile Productivity $'!D43</f>
        <v>0</v>
      </c>
      <c r="K45" s="452">
        <f>'Compile Productivity $'!E43</f>
        <v>9814.8593321935041</v>
      </c>
      <c r="L45" s="452">
        <f>'Compile Productivity $'!F43</f>
        <v>0</v>
      </c>
      <c r="M45" s="452">
        <f>'Compile Productivity $'!G43</f>
        <v>0</v>
      </c>
      <c r="N45" s="452">
        <f>'Compile Productivity $'!H43</f>
        <v>0</v>
      </c>
      <c r="O45" s="68"/>
      <c r="P45" s="452">
        <f>'Step 5 Support Funds'!M45</f>
        <v>-1968.3999999999999</v>
      </c>
      <c r="Q45" s="452">
        <f>'Step 5 Support Funds'!N45+'Step 5 Support Funds'!O45+'Step 5 Support Funds'!P45+'Step 5 Support Funds'!Q45+'Step 5 Support Funds'!R45</f>
        <v>2493641.4615384615</v>
      </c>
      <c r="R45" s="78"/>
      <c r="S45" s="452">
        <f>SUM('Step 6 Acad Productivity+Floor'!S45:V45)</f>
        <v>-38.357341326966605</v>
      </c>
      <c r="T45" s="452">
        <f t="shared" si="6"/>
        <v>19526422.413185891</v>
      </c>
      <c r="U45" s="203"/>
      <c r="V45" s="290">
        <f>'Step 3 Dedicated Funds'!V45</f>
        <v>19774816</v>
      </c>
      <c r="W45" s="63">
        <f>'Step 3 Dedicated Funds'!W45</f>
        <v>19774816</v>
      </c>
      <c r="Y45" s="452">
        <f t="shared" si="7"/>
        <v>-248393.58681410924</v>
      </c>
      <c r="Z45" s="1173"/>
      <c r="AA45" s="12"/>
    </row>
    <row r="46" spans="1:27">
      <c r="A46" s="213" t="s">
        <v>553</v>
      </c>
      <c r="B46" s="78"/>
      <c r="C46" s="68">
        <f>'Step 6 Acad Productivity+Floor'!C46</f>
        <v>1030000</v>
      </c>
      <c r="D46" s="78"/>
      <c r="E46" s="78"/>
      <c r="F46" s="454">
        <f>'Step 5 Support Funds'!F46+'Step 5 Support Funds'!G46+'Step 5 Support Funds'!H46+'Step 5 Support Funds'!I46</f>
        <v>2057532.8923932188</v>
      </c>
      <c r="G46" s="78"/>
      <c r="H46" s="454">
        <f>'Compile Productivity $'!B44</f>
        <v>0</v>
      </c>
      <c r="I46" s="454">
        <f>'Compile Productivity $'!C44</f>
        <v>0</v>
      </c>
      <c r="J46" s="454">
        <f>'Compile Productivity $'!D44</f>
        <v>0</v>
      </c>
      <c r="K46" s="454">
        <f>'Compile Productivity $'!E44</f>
        <v>0</v>
      </c>
      <c r="L46" s="454">
        <f>'Compile Productivity $'!F44</f>
        <v>0</v>
      </c>
      <c r="M46" s="454">
        <f>'Compile Productivity $'!G44</f>
        <v>507880</v>
      </c>
      <c r="N46" s="454">
        <f>'Compile Productivity $'!H44</f>
        <v>-507880</v>
      </c>
      <c r="O46" s="78"/>
      <c r="P46" s="454">
        <f>'Step 5 Support Funds'!M46</f>
        <v>-78304.95</v>
      </c>
      <c r="Q46" s="454">
        <f>'Step 5 Support Funds'!N46+'Step 5 Support Funds'!O46+'Step 5 Support Funds'!P46+'Step 5 Support Funds'!Q46+'Step 5 Support Funds'!R46</f>
        <v>1469348.576923077</v>
      </c>
      <c r="R46" s="78"/>
      <c r="S46" s="454">
        <f>SUM('Step 6 Acad Productivity+Floor'!S46:V46)</f>
        <v>0</v>
      </c>
      <c r="T46" s="454">
        <f t="shared" si="6"/>
        <v>4478576.5193162952</v>
      </c>
      <c r="U46" s="203"/>
      <c r="V46" s="960">
        <f>'Step 3 Dedicated Funds'!V46</f>
        <v>4507186</v>
      </c>
      <c r="W46" s="68">
        <f>'Step 3 Dedicated Funds'!W46</f>
        <v>4507186</v>
      </c>
      <c r="Y46" s="454">
        <f t="shared" si="7"/>
        <v>-28609.480683704838</v>
      </c>
      <c r="Z46" s="1173"/>
      <c r="AA46" s="12"/>
    </row>
    <row r="47" spans="1:27">
      <c r="A47" s="76" t="s">
        <v>115</v>
      </c>
      <c r="B47" s="78"/>
      <c r="C47" s="68">
        <f>'Step 6 Acad Productivity+Floor'!C47</f>
        <v>0</v>
      </c>
      <c r="D47" s="78"/>
      <c r="E47" s="78"/>
      <c r="F47" s="453">
        <f>'Step 5 Support Funds'!F47+'Step 5 Support Funds'!G47+'Step 5 Support Funds'!H47+'Step 5 Support Funds'!I47</f>
        <v>1481570.7582504256</v>
      </c>
      <c r="G47" s="78"/>
      <c r="H47" s="453">
        <f>'Compile Productivity $'!B45</f>
        <v>0</v>
      </c>
      <c r="I47" s="453">
        <f>'Compile Productivity $'!C45</f>
        <v>0</v>
      </c>
      <c r="J47" s="453">
        <f>'Compile Productivity $'!D45</f>
        <v>0</v>
      </c>
      <c r="K47" s="453">
        <f>'Compile Productivity $'!E45</f>
        <v>19295.178938731842</v>
      </c>
      <c r="L47" s="453">
        <f>'Compile Productivity $'!F45</f>
        <v>0</v>
      </c>
      <c r="M47" s="453">
        <f>'Compile Productivity $'!G45</f>
        <v>0</v>
      </c>
      <c r="N47" s="453">
        <f>'Compile Productivity $'!H45</f>
        <v>0</v>
      </c>
      <c r="O47" s="78"/>
      <c r="P47" s="453">
        <f>'Step 5 Support Funds'!M47</f>
        <v>0</v>
      </c>
      <c r="Q47" s="453">
        <f>'Step 5 Support Funds'!N47+'Step 5 Support Funds'!O47+'Step 5 Support Funds'!P47+'Step 5 Support Funds'!Q47+'Step 5 Support Funds'!R47</f>
        <v>0</v>
      </c>
      <c r="R47" s="78"/>
      <c r="S47" s="453">
        <f>SUM('Step 6 Acad Productivity+Floor'!S47:V47)</f>
        <v>-75.407271716081581</v>
      </c>
      <c r="T47" s="453">
        <f t="shared" si="6"/>
        <v>1500790.5299174413</v>
      </c>
      <c r="U47" s="203"/>
      <c r="V47" s="960">
        <f>'Step 3 Dedicated Funds'!V47</f>
        <v>1522413</v>
      </c>
      <c r="W47" s="68">
        <f>'Step 3 Dedicated Funds'!W47</f>
        <v>1522413</v>
      </c>
      <c r="Y47" s="453">
        <f t="shared" si="7"/>
        <v>-21622.470082558692</v>
      </c>
      <c r="Z47" s="1173"/>
      <c r="AA47" s="12"/>
    </row>
    <row r="48" spans="1:27">
      <c r="A48" s="438" t="s">
        <v>129</v>
      </c>
      <c r="B48" s="267"/>
      <c r="C48" s="68">
        <f>'Step 6 Acad Productivity+Floor'!C48</f>
        <v>427000</v>
      </c>
      <c r="D48" s="267"/>
      <c r="E48" s="78"/>
      <c r="F48" s="452">
        <f>'Step 5 Support Funds'!F48+'Step 5 Support Funds'!G48+'Step 5 Support Funds'!H48+'Step 5 Support Funds'!I48</f>
        <v>3809320.6705968725</v>
      </c>
      <c r="G48" s="78"/>
      <c r="H48" s="452">
        <f>'Compile Productivity $'!B46</f>
        <v>0</v>
      </c>
      <c r="I48" s="452">
        <f>'Compile Productivity $'!C46</f>
        <v>0</v>
      </c>
      <c r="J48" s="452">
        <f>'Compile Productivity $'!D46</f>
        <v>0</v>
      </c>
      <c r="K48" s="452">
        <f>'Compile Productivity $'!E46</f>
        <v>0</v>
      </c>
      <c r="L48" s="452">
        <f>'Compile Productivity $'!F46</f>
        <v>0</v>
      </c>
      <c r="M48" s="452">
        <f>'Compile Productivity $'!G46</f>
        <v>72357</v>
      </c>
      <c r="N48" s="452">
        <f>'Compile Productivity $'!H46</f>
        <v>-72357</v>
      </c>
      <c r="O48" s="78"/>
      <c r="P48" s="452">
        <f>'Step 5 Support Funds'!M48</f>
        <v>0</v>
      </c>
      <c r="Q48" s="452">
        <f>'Step 5 Support Funds'!N48+'Step 5 Support Funds'!O48+'Step 5 Support Funds'!P48+'Step 5 Support Funds'!Q48+'Step 5 Support Funds'!R48</f>
        <v>3289388.6153846155</v>
      </c>
      <c r="R48" s="78"/>
      <c r="S48" s="452">
        <f>SUM('Step 6 Acad Productivity+Floor'!S48:V48)</f>
        <v>0</v>
      </c>
      <c r="T48" s="452">
        <f t="shared" si="6"/>
        <v>7525709.2859814875</v>
      </c>
      <c r="U48" s="203"/>
      <c r="V48" s="290">
        <f>'Step 3 Dedicated Funds'!V48</f>
        <v>7582890</v>
      </c>
      <c r="W48" s="63">
        <f>'Step 3 Dedicated Funds'!W48</f>
        <v>7582890</v>
      </c>
      <c r="Y48" s="452">
        <f t="shared" si="7"/>
        <v>-57180.714018512517</v>
      </c>
      <c r="Z48" s="1173"/>
      <c r="AA48" s="12"/>
    </row>
    <row r="49" spans="1:27">
      <c r="A49" s="213" t="s">
        <v>130</v>
      </c>
      <c r="B49" s="68"/>
      <c r="C49" s="68">
        <f>'Step 6 Acad Productivity+Floor'!C49</f>
        <v>0</v>
      </c>
      <c r="D49" s="68"/>
      <c r="E49" s="78"/>
      <c r="F49" s="453">
        <f>'Step 5 Support Funds'!F49+'Step 5 Support Funds'!G49+'Step 5 Support Funds'!H49+'Step 5 Support Funds'!I49</f>
        <v>6505237.2654868942</v>
      </c>
      <c r="G49" s="68"/>
      <c r="H49" s="453">
        <f>'Compile Productivity $'!B47</f>
        <v>0</v>
      </c>
      <c r="I49" s="453">
        <f>'Compile Productivity $'!C47</f>
        <v>0</v>
      </c>
      <c r="J49" s="453">
        <f>'Compile Productivity $'!D47</f>
        <v>0</v>
      </c>
      <c r="K49" s="453">
        <f>'Compile Productivity $'!E47</f>
        <v>11032.846691728835</v>
      </c>
      <c r="L49" s="453">
        <f>'Compile Productivity $'!F47</f>
        <v>0</v>
      </c>
      <c r="M49" s="453">
        <f>'Compile Productivity $'!G47</f>
        <v>0</v>
      </c>
      <c r="N49" s="453">
        <f>'Compile Productivity $'!H47</f>
        <v>0</v>
      </c>
      <c r="O49" s="68"/>
      <c r="P49" s="453">
        <f>'Step 5 Support Funds'!M49</f>
        <v>-87039.54</v>
      </c>
      <c r="Q49" s="453">
        <f>'Step 5 Support Funds'!N49+'Step 5 Support Funds'!O49+'Step 5 Support Funds'!P49+'Step 5 Support Funds'!Q49+'Step 5 Support Funds'!R49</f>
        <v>1176210</v>
      </c>
      <c r="R49" s="78"/>
      <c r="S49" s="453">
        <f>SUM('Step 6 Acad Productivity+Floor'!S49:V49)</f>
        <v>-43.117344022918282</v>
      </c>
      <c r="T49" s="453">
        <f t="shared" si="6"/>
        <v>7605397.4548346</v>
      </c>
      <c r="U49" s="203"/>
      <c r="V49" s="960">
        <f>'Step 3 Dedicated Funds'!V49</f>
        <v>7705927</v>
      </c>
      <c r="W49" s="68">
        <f>'Step 3 Dedicated Funds'!W49</f>
        <v>7705927</v>
      </c>
      <c r="Y49" s="453">
        <f t="shared" si="7"/>
        <v>-100529.54516540002</v>
      </c>
      <c r="Z49" s="1173"/>
      <c r="AA49" s="12"/>
    </row>
    <row r="50" spans="1:27">
      <c r="A50" s="213" t="s">
        <v>131</v>
      </c>
      <c r="B50" s="78"/>
      <c r="C50" s="68">
        <f>'Step 6 Acad Productivity+Floor'!C50</f>
        <v>0</v>
      </c>
      <c r="D50" s="78"/>
      <c r="E50" s="78"/>
      <c r="F50" s="454">
        <f>'Step 5 Support Funds'!F50+'Step 5 Support Funds'!G50+'Step 5 Support Funds'!H50+'Step 5 Support Funds'!I50</f>
        <v>10425001.048756639</v>
      </c>
      <c r="G50" s="78"/>
      <c r="H50" s="454">
        <f>'Compile Productivity $'!B48</f>
        <v>0</v>
      </c>
      <c r="I50" s="454">
        <f>'Compile Productivity $'!C48</f>
        <v>0</v>
      </c>
      <c r="J50" s="454">
        <f>'Compile Productivity $'!D48</f>
        <v>0</v>
      </c>
      <c r="K50" s="454">
        <f>'Compile Productivity $'!E48</f>
        <v>0</v>
      </c>
      <c r="L50" s="454">
        <f>'Compile Productivity $'!F48</f>
        <v>0</v>
      </c>
      <c r="M50" s="454">
        <f>'Compile Productivity $'!G48</f>
        <v>0</v>
      </c>
      <c r="N50" s="454">
        <f>'Compile Productivity $'!H48</f>
        <v>0</v>
      </c>
      <c r="O50" s="78"/>
      <c r="P50" s="454">
        <f>'Step 5 Support Funds'!M50</f>
        <v>0</v>
      </c>
      <c r="Q50" s="454">
        <f>'Step 5 Support Funds'!N50+'Step 5 Support Funds'!O50+'Step 5 Support Funds'!P50+'Step 5 Support Funds'!Q50+'Step 5 Support Funds'!R50</f>
        <v>1644694.3076923077</v>
      </c>
      <c r="R50" s="78"/>
      <c r="S50" s="454">
        <f>SUM('Step 6 Acad Productivity+Floor'!S50:V50)</f>
        <v>0</v>
      </c>
      <c r="T50" s="454">
        <f t="shared" si="6"/>
        <v>12069695.356448947</v>
      </c>
      <c r="U50" s="203"/>
      <c r="V50" s="960">
        <f>'Step 3 Dedicated Funds'!V50</f>
        <v>12221894</v>
      </c>
      <c r="W50" s="68">
        <f>'Step 3 Dedicated Funds'!W50</f>
        <v>12221894</v>
      </c>
      <c r="Y50" s="454">
        <f t="shared" si="7"/>
        <v>-152198.64355105348</v>
      </c>
      <c r="Z50" s="1173"/>
      <c r="AA50" s="12"/>
    </row>
    <row r="51" spans="1:27">
      <c r="A51" s="438" t="s">
        <v>132</v>
      </c>
      <c r="B51" s="267"/>
      <c r="C51" s="68">
        <f>'Step 6 Acad Productivity+Floor'!C51</f>
        <v>40000</v>
      </c>
      <c r="D51" s="267"/>
      <c r="E51" s="78"/>
      <c r="F51" s="452">
        <f>'Step 5 Support Funds'!F51+'Step 5 Support Funds'!G51+'Step 5 Support Funds'!H51+'Step 5 Support Funds'!I51</f>
        <v>22950040.740364164</v>
      </c>
      <c r="G51" s="78"/>
      <c r="H51" s="452">
        <f>'Compile Productivity $'!B49</f>
        <v>0</v>
      </c>
      <c r="I51" s="452">
        <f>'Compile Productivity $'!C49</f>
        <v>0</v>
      </c>
      <c r="J51" s="452">
        <f>'Compile Productivity $'!D49</f>
        <v>0</v>
      </c>
      <c r="K51" s="452">
        <f>'Compile Productivity $'!E49</f>
        <v>0</v>
      </c>
      <c r="L51" s="452">
        <f>'Compile Productivity $'!F49</f>
        <v>0</v>
      </c>
      <c r="M51" s="452">
        <f>'Compile Productivity $'!G49</f>
        <v>0</v>
      </c>
      <c r="N51" s="452">
        <f>'Compile Productivity $'!H49</f>
        <v>0</v>
      </c>
      <c r="O51" s="78"/>
      <c r="P51" s="452">
        <f>'Step 5 Support Funds'!M51</f>
        <v>-27454</v>
      </c>
      <c r="Q51" s="452">
        <f>'Step 5 Support Funds'!N51+'Step 5 Support Funds'!O51+'Step 5 Support Funds'!P51+'Step 5 Support Funds'!Q51+'Step 5 Support Funds'!R51</f>
        <v>2015694.3076923077</v>
      </c>
      <c r="R51" s="78"/>
      <c r="S51" s="452">
        <f>SUM('Step 6 Acad Productivity+Floor'!S51:V51)</f>
        <v>0</v>
      </c>
      <c r="T51" s="452">
        <f t="shared" si="6"/>
        <v>24978281.048056472</v>
      </c>
      <c r="U51" s="203"/>
      <c r="V51" s="290">
        <f>'Step 3 Dedicated Funds'!V51</f>
        <v>25322352</v>
      </c>
      <c r="W51" s="63">
        <f>'Step 3 Dedicated Funds'!W51</f>
        <v>25322352</v>
      </c>
      <c r="Y51" s="452">
        <f>T51-V51</f>
        <v>-344070.95194352791</v>
      </c>
      <c r="Z51" s="1173"/>
      <c r="AA51" s="12"/>
    </row>
    <row r="52" spans="1:27">
      <c r="A52" s="213" t="s">
        <v>133</v>
      </c>
      <c r="B52" s="68"/>
      <c r="C52" s="68">
        <f>'Step 6 Acad Productivity+Floor'!C52</f>
        <v>0</v>
      </c>
      <c r="D52" s="68"/>
      <c r="E52" s="78"/>
      <c r="F52" s="453">
        <f>'Step 5 Support Funds'!F52+'Step 5 Support Funds'!G52+'Step 5 Support Funds'!H52+'Step 5 Support Funds'!I52</f>
        <v>13195006.04547636</v>
      </c>
      <c r="G52" s="68"/>
      <c r="H52" s="453">
        <f>'Compile Productivity $'!B50</f>
        <v>0</v>
      </c>
      <c r="I52" s="453">
        <f>'Compile Productivity $'!C50</f>
        <v>0</v>
      </c>
      <c r="J52" s="453">
        <f>'Compile Productivity $'!D50</f>
        <v>0</v>
      </c>
      <c r="K52" s="453">
        <f>'Compile Productivity $'!E50</f>
        <v>0</v>
      </c>
      <c r="L52" s="453">
        <f>'Compile Productivity $'!F50</f>
        <v>0</v>
      </c>
      <c r="M52" s="453">
        <f>'Compile Productivity $'!G50</f>
        <v>0</v>
      </c>
      <c r="N52" s="453">
        <f>'Compile Productivity $'!H50</f>
        <v>0</v>
      </c>
      <c r="O52" s="68"/>
      <c r="P52" s="453">
        <f>'Step 5 Support Funds'!M52</f>
        <v>0</v>
      </c>
      <c r="Q52" s="453">
        <f>'Step 5 Support Funds'!N52+'Step 5 Support Funds'!O52+'Step 5 Support Funds'!P52+'Step 5 Support Funds'!Q52+'Step 5 Support Funds'!R52</f>
        <v>4522909.346153846</v>
      </c>
      <c r="R52" s="78"/>
      <c r="S52" s="453">
        <f>SUM('Step 6 Acad Productivity+Floor'!S52:V52)</f>
        <v>0</v>
      </c>
      <c r="T52" s="453">
        <f t="shared" si="6"/>
        <v>17717915.391630206</v>
      </c>
      <c r="U52" s="203"/>
      <c r="V52" s="960">
        <f>'Step 3 Dedicated Funds'!V52</f>
        <v>17924002</v>
      </c>
      <c r="W52" s="68">
        <f>'Step 3 Dedicated Funds'!W52</f>
        <v>17924002</v>
      </c>
      <c r="Y52" s="453">
        <f t="shared" si="7"/>
        <v>-206086.60836979374</v>
      </c>
      <c r="Z52" s="1173"/>
      <c r="AA52" s="12"/>
    </row>
    <row r="53" spans="1:27">
      <c r="A53" s="213" t="s">
        <v>521</v>
      </c>
      <c r="B53" s="68"/>
      <c r="C53" s="68">
        <f>'Step 6 Acad Productivity+Floor'!C53</f>
        <v>0</v>
      </c>
      <c r="D53" s="68"/>
      <c r="E53" s="207"/>
      <c r="F53" s="453">
        <f>'Step 5 Support Funds'!F53+'Step 5 Support Funds'!G53+'Step 5 Support Funds'!H53+'Step 5 Support Funds'!I53</f>
        <v>3368209.818164113</v>
      </c>
      <c r="G53" s="68"/>
      <c r="H53" s="453">
        <f>'Compile Productivity $'!B51</f>
        <v>0</v>
      </c>
      <c r="I53" s="453">
        <f>'Compile Productivity $'!C51</f>
        <v>0</v>
      </c>
      <c r="J53" s="453">
        <f>'Compile Productivity $'!D51</f>
        <v>0</v>
      </c>
      <c r="K53" s="453">
        <f>'Compile Productivity $'!E51</f>
        <v>153.76930022652303</v>
      </c>
      <c r="L53" s="453">
        <f>'Compile Productivity $'!F51</f>
        <v>0</v>
      </c>
      <c r="M53" s="453">
        <f>'Compile Productivity $'!G51</f>
        <v>0</v>
      </c>
      <c r="N53" s="453">
        <f>'Compile Productivity $'!H51</f>
        <v>0</v>
      </c>
      <c r="O53" s="68"/>
      <c r="P53" s="453">
        <f>'Step 5 Support Funds'!M53</f>
        <v>-2960</v>
      </c>
      <c r="Q53" s="453">
        <f>'Step 5 Support Funds'!N53+'Step 5 Support Funds'!O53+'Step 5 Support Funds'!P53+'Step 5 Support Funds'!Q53+'Step 5 Support Funds'!R53</f>
        <v>40000</v>
      </c>
      <c r="R53" s="78"/>
      <c r="S53" s="453">
        <f>SUM('Step 6 Acad Productivity+Floor'!S53:V53)</f>
        <v>-0.60094407212246559</v>
      </c>
      <c r="T53" s="453">
        <f t="shared" si="6"/>
        <v>3405402.9865202676</v>
      </c>
      <c r="U53" s="203"/>
      <c r="V53" s="960">
        <f>'Step 3 Dedicated Funds'!V53</f>
        <v>3458422</v>
      </c>
      <c r="W53" s="68">
        <f>'Step 3 Dedicated Funds'!W53</f>
        <v>3458422</v>
      </c>
      <c r="Y53" s="453">
        <f t="shared" si="7"/>
        <v>-53019.013479732443</v>
      </c>
      <c r="Z53" s="1173"/>
      <c r="AA53" s="12"/>
    </row>
    <row r="54" spans="1:27">
      <c r="A54" s="457" t="s">
        <v>554</v>
      </c>
      <c r="B54" s="266"/>
      <c r="C54" s="68">
        <f>'Step 6 Acad Productivity+Floor'!C54</f>
        <v>289720</v>
      </c>
      <c r="D54" s="266"/>
      <c r="E54" s="78"/>
      <c r="F54" s="452">
        <f>'Step 5 Support Funds'!F54+'Step 5 Support Funds'!G54+'Step 5 Support Funds'!H54+'Step 5 Support Funds'!I54</f>
        <v>1220347.3799284496</v>
      </c>
      <c r="G54" s="68"/>
      <c r="H54" s="452">
        <f>'Compile Productivity $'!B52</f>
        <v>0</v>
      </c>
      <c r="I54" s="452">
        <f>'Compile Productivity $'!C52</f>
        <v>0</v>
      </c>
      <c r="J54" s="452">
        <f>'Compile Productivity $'!D52</f>
        <v>0</v>
      </c>
      <c r="K54" s="452">
        <f>'Compile Productivity $'!E52</f>
        <v>0</v>
      </c>
      <c r="L54" s="452">
        <f>'Compile Productivity $'!F52</f>
        <v>0</v>
      </c>
      <c r="M54" s="452">
        <f>'Compile Productivity $'!G52</f>
        <v>0</v>
      </c>
      <c r="N54" s="452">
        <f>'Compile Productivity $'!H52</f>
        <v>0</v>
      </c>
      <c r="O54" s="68"/>
      <c r="P54" s="452">
        <f>'Step 5 Support Funds'!M54</f>
        <v>0</v>
      </c>
      <c r="Q54" s="452">
        <f>'Step 5 Support Funds'!N54+'Step 5 Support Funds'!O54+'Step 5 Support Funds'!P54+'Step 5 Support Funds'!Q54+'Step 5 Support Funds'!R54</f>
        <v>822347.15384615387</v>
      </c>
      <c r="R54" s="78"/>
      <c r="S54" s="452">
        <f>SUM('Step 6 Acad Productivity+Floor'!S54:V54)</f>
        <v>0</v>
      </c>
      <c r="T54" s="452">
        <f t="shared" si="6"/>
        <v>2332414.5337746036</v>
      </c>
      <c r="U54" s="203"/>
      <c r="V54" s="290">
        <f>'Step 3 Dedicated Funds'!V54</f>
        <v>2369486</v>
      </c>
      <c r="W54" s="63">
        <f>'Step 3 Dedicated Funds'!W54</f>
        <v>2369486</v>
      </c>
      <c r="Y54" s="452">
        <f t="shared" si="7"/>
        <v>-37071.466225396376</v>
      </c>
      <c r="Z54" s="1173"/>
      <c r="AA54" s="12"/>
    </row>
    <row r="55" spans="1:27">
      <c r="A55" s="213" t="s">
        <v>134</v>
      </c>
      <c r="B55" s="78"/>
      <c r="C55" s="68">
        <f>'Step 6 Acad Productivity+Floor'!C55</f>
        <v>0</v>
      </c>
      <c r="D55" s="78"/>
      <c r="E55" s="213"/>
      <c r="F55" s="453">
        <f>'Step 5 Support Funds'!F55+'Step 5 Support Funds'!G55+'Step 5 Support Funds'!H55+'Step 5 Support Funds'!I55</f>
        <v>8122937.247648742</v>
      </c>
      <c r="G55" s="78"/>
      <c r="H55" s="453">
        <f>'Compile Productivity $'!B53</f>
        <v>0</v>
      </c>
      <c r="I55" s="453">
        <f>'Compile Productivity $'!C53</f>
        <v>0</v>
      </c>
      <c r="J55" s="453">
        <f>'Compile Productivity $'!D53</f>
        <v>0</v>
      </c>
      <c r="K55" s="453">
        <f>'Compile Productivity $'!E53</f>
        <v>0</v>
      </c>
      <c r="L55" s="453">
        <f>'Compile Productivity $'!F53</f>
        <v>0</v>
      </c>
      <c r="M55" s="453">
        <f>'Compile Productivity $'!G53</f>
        <v>0</v>
      </c>
      <c r="N55" s="453">
        <f>'Compile Productivity $'!H53</f>
        <v>0</v>
      </c>
      <c r="O55" s="78"/>
      <c r="P55" s="453">
        <f>'Step 5 Support Funds'!M55</f>
        <v>-4440</v>
      </c>
      <c r="Q55" s="453">
        <f>'Step 5 Support Funds'!N55+'Step 5 Support Funds'!O55+'Step 5 Support Funds'!P55+'Step 5 Support Funds'!Q55+'Step 5 Support Funds'!R55</f>
        <v>4171735.769230769</v>
      </c>
      <c r="R55" s="78"/>
      <c r="S55" s="453">
        <f>SUM('Step 6 Acad Productivity+Floor'!S55:V55)</f>
        <v>0</v>
      </c>
      <c r="T55" s="453">
        <f t="shared" si="6"/>
        <v>12290233.01687951</v>
      </c>
      <c r="U55" s="203"/>
      <c r="V55" s="960">
        <f>'Step 3 Dedicated Funds'!V55</f>
        <v>12402374</v>
      </c>
      <c r="W55" s="68">
        <f>'Step 3 Dedicated Funds'!W55</f>
        <v>12402374</v>
      </c>
      <c r="Y55" s="453">
        <f t="shared" si="7"/>
        <v>-112140.98312048987</v>
      </c>
      <c r="Z55" s="1173"/>
      <c r="AA55" s="12"/>
    </row>
    <row r="56" spans="1:27">
      <c r="A56" s="445" t="s">
        <v>135</v>
      </c>
      <c r="B56" s="446">
        <f>SUM(B38:B55)</f>
        <v>0</v>
      </c>
      <c r="C56" s="446">
        <f>SUM(C38:C55)</f>
        <v>7883305</v>
      </c>
      <c r="D56" s="446">
        <f>SUM(D38:D55)</f>
        <v>11858786</v>
      </c>
      <c r="E56" s="462"/>
      <c r="F56" s="446">
        <f t="shared" ref="F56:N56" si="8">SUM(F38:F55)</f>
        <v>107280661.56528878</v>
      </c>
      <c r="G56" s="209">
        <f t="shared" si="8"/>
        <v>0</v>
      </c>
      <c r="H56" s="446">
        <f t="shared" si="8"/>
        <v>1691536.992324549</v>
      </c>
      <c r="I56" s="446">
        <f t="shared" si="8"/>
        <v>0</v>
      </c>
      <c r="J56" s="446">
        <f t="shared" si="8"/>
        <v>128387</v>
      </c>
      <c r="K56" s="446">
        <f t="shared" si="8"/>
        <v>86472.73008490236</v>
      </c>
      <c r="L56" s="446">
        <f t="shared" si="8"/>
        <v>3103.9000169344245</v>
      </c>
      <c r="M56" s="446">
        <f t="shared" si="8"/>
        <v>580237</v>
      </c>
      <c r="N56" s="446">
        <f t="shared" si="8"/>
        <v>-580237</v>
      </c>
      <c r="O56" s="209"/>
      <c r="P56" s="446">
        <f>SUM(P38:P55)</f>
        <v>-438230.73799999995</v>
      </c>
      <c r="Q56" s="446">
        <f>SUM(Q38:Q55)</f>
        <v>24836021.538461536</v>
      </c>
      <c r="R56" s="207"/>
      <c r="S56" s="446">
        <f>SUM(S38:S55)</f>
        <v>-7462.4978982857256</v>
      </c>
      <c r="T56" s="446">
        <f>SUM(T38:T55)</f>
        <v>153322581.49027842</v>
      </c>
      <c r="U56" s="203"/>
      <c r="V56" s="446">
        <f>'Step 3 Dedicated Funds'!V56</f>
        <v>154921629</v>
      </c>
      <c r="W56" s="446">
        <f>'Step 3 Dedicated Funds'!W56</f>
        <v>154921629</v>
      </c>
      <c r="Y56" s="446">
        <f>SUM(Y38:Y55)</f>
        <v>-1599047.5097215776</v>
      </c>
      <c r="Z56" s="1173"/>
      <c r="AA56" s="12"/>
    </row>
    <row r="57" spans="1:27" ht="16.5" thickBot="1">
      <c r="A57" s="447" t="s">
        <v>136</v>
      </c>
      <c r="B57" s="448">
        <f>B6+B7+B8+B9+B10+B11+B12+B34+B56</f>
        <v>54069672.159999996</v>
      </c>
      <c r="C57" s="448">
        <f>C6+C7+C8+C9+C10+C11+C12+C34+C56</f>
        <v>11060239.18</v>
      </c>
      <c r="D57" s="448">
        <f>D6+D7+D8+D9+D10+D11+D12+D34+D56</f>
        <v>28449144.77</v>
      </c>
      <c r="E57" s="462"/>
      <c r="F57" s="448">
        <f>F6+F7+F8+F9+F10+F11+F12+F34+F56</f>
        <v>121434509.4979278</v>
      </c>
      <c r="G57" s="236">
        <f>G6+G7+G8+G11+G12+G34+G56</f>
        <v>0</v>
      </c>
      <c r="H57" s="448">
        <f t="shared" ref="H57:N57" si="9">H6+H7+H8+H9+H10+H11+H12+H34+H56</f>
        <v>75838023.382972881</v>
      </c>
      <c r="I57" s="448">
        <f t="shared" si="9"/>
        <v>41669243.617018059</v>
      </c>
      <c r="J57" s="448">
        <f t="shared" si="9"/>
        <v>52130127</v>
      </c>
      <c r="K57" s="448">
        <f t="shared" si="9"/>
        <v>8333848.723403614</v>
      </c>
      <c r="L57" s="448">
        <f t="shared" si="9"/>
        <v>7500463.8510632524</v>
      </c>
      <c r="M57" s="448">
        <f t="shared" si="9"/>
        <v>19289349</v>
      </c>
      <c r="N57" s="448">
        <f t="shared" si="9"/>
        <v>14046045.893614452</v>
      </c>
      <c r="O57" s="236"/>
      <c r="P57" s="448">
        <f>P6+P7+P8+P9+P10+P11+P12+P34+P56</f>
        <v>-3568600.42</v>
      </c>
      <c r="Q57" s="448">
        <f>Q6+Q7+Q8+Q9+Q10+Q11+Q12+Q34+Q56</f>
        <v>122759892.344</v>
      </c>
      <c r="R57" s="78"/>
      <c r="S57" s="448">
        <f>S6+S7+S8+S9+S10+S11+S12+S34+S56</f>
        <v>-1.3797034625895321E-9</v>
      </c>
      <c r="T57" s="448">
        <f>T6+T7+T8+T9+T10+T11+T12+T34+T56</f>
        <v>553011959</v>
      </c>
      <c r="U57" s="780"/>
      <c r="V57" s="448">
        <f>'Step 3 Dedicated Funds'!V57</f>
        <v>553011959.38800001</v>
      </c>
      <c r="W57" s="448">
        <f>'Step 3 Dedicated Funds'!W57</f>
        <v>553011959.38800001</v>
      </c>
      <c r="Y57" s="448">
        <f>Y6+Y7+Y8+Y11+Y12+Y34+Y56</f>
        <v>4.1443854570388794E-8</v>
      </c>
    </row>
    <row r="58" spans="1:27" ht="17.25" thickTop="1" thickBot="1">
      <c r="A58" s="213"/>
      <c r="B58" s="213"/>
      <c r="C58" s="213"/>
      <c r="D58" s="213"/>
      <c r="E58" s="202"/>
      <c r="F58" s="213"/>
      <c r="G58" s="213"/>
      <c r="H58" s="213"/>
      <c r="I58" s="213"/>
      <c r="J58" s="213"/>
      <c r="K58" s="213"/>
      <c r="L58" s="213"/>
      <c r="M58" s="207"/>
      <c r="N58" s="207"/>
      <c r="O58" s="207"/>
      <c r="P58" s="78"/>
      <c r="Q58" s="78"/>
      <c r="R58" s="78"/>
      <c r="S58" s="78"/>
      <c r="T58" s="206">
        <f>B57+C57+D57+F57+H57+I57+J57+K57+L57+M57+N57+P57+Q57+S57</f>
        <v>553011959.00000012</v>
      </c>
      <c r="U58" s="203"/>
      <c r="V58" s="206"/>
      <c r="W58" s="203"/>
    </row>
    <row r="59" spans="1:27">
      <c r="A59" s="202"/>
      <c r="B59" s="202"/>
      <c r="C59" s="202"/>
      <c r="D59" s="204"/>
      <c r="E59" s="202"/>
      <c r="F59" s="202"/>
      <c r="G59" s="202"/>
      <c r="H59" s="202"/>
      <c r="I59" s="202"/>
      <c r="J59" s="202"/>
      <c r="K59" s="202"/>
      <c r="L59" s="363" t="s">
        <v>353</v>
      </c>
      <c r="M59" s="1617">
        <f>H57+I57+J57+K57+L57+M57+N57</f>
        <v>218807101.46807224</v>
      </c>
      <c r="N59" s="1618"/>
      <c r="O59" s="204"/>
      <c r="P59" s="204"/>
      <c r="Q59" s="204"/>
      <c r="R59" s="204"/>
      <c r="S59" s="204"/>
      <c r="T59" s="204">
        <f>SUM(B57:S57)</f>
        <v>553011959.00000012</v>
      </c>
      <c r="U59" s="203"/>
      <c r="V59" s="204">
        <f>V34+V56+V6+V7+V8+V11+V12</f>
        <v>553011959</v>
      </c>
      <c r="W59" s="202"/>
    </row>
    <row r="60" spans="1:27">
      <c r="A60" s="202"/>
      <c r="B60" s="202"/>
      <c r="C60" s="202"/>
      <c r="D60" s="204"/>
      <c r="E60" s="202"/>
      <c r="F60" s="202"/>
      <c r="G60" s="202"/>
      <c r="H60" s="202"/>
      <c r="I60" s="204"/>
      <c r="J60" s="202"/>
      <c r="K60" s="202"/>
      <c r="L60" s="364" t="s">
        <v>354</v>
      </c>
      <c r="M60" s="365"/>
      <c r="N60" s="366">
        <f>M59-'Dashboard-Academic Allocation'!E1</f>
        <v>0</v>
      </c>
      <c r="O60" s="202"/>
      <c r="P60" s="202"/>
      <c r="Q60" s="12"/>
      <c r="T60" s="202"/>
      <c r="U60" s="203"/>
      <c r="V60" s="202"/>
      <c r="W60" s="202"/>
    </row>
    <row r="61" spans="1:27" ht="16.5" thickBot="1">
      <c r="A61" s="202"/>
      <c r="B61" s="204"/>
      <c r="C61" s="202"/>
      <c r="D61" s="204"/>
      <c r="E61" s="202"/>
      <c r="F61" s="202"/>
      <c r="G61" s="202"/>
      <c r="H61" s="202"/>
      <c r="I61" s="202"/>
      <c r="J61" s="202"/>
      <c r="K61" s="202"/>
      <c r="L61" s="367"/>
      <c r="M61" s="368"/>
      <c r="N61" s="369" t="str">
        <f>IF(N60=0,"OK","ERROR")</f>
        <v>OK</v>
      </c>
      <c r="O61" s="202"/>
      <c r="P61" s="202"/>
      <c r="Q61" s="12"/>
      <c r="T61" s="204"/>
      <c r="U61" s="202"/>
      <c r="V61" s="202"/>
      <c r="W61" s="202"/>
    </row>
    <row r="62" spans="1:27" ht="16.5" thickBot="1">
      <c r="A62" s="202"/>
      <c r="B62" s="448">
        <v>54069672.159999996</v>
      </c>
      <c r="C62" s="448">
        <v>11060239.18</v>
      </c>
      <c r="D62" s="448">
        <v>28449144.77</v>
      </c>
      <c r="E62" s="462"/>
      <c r="F62" s="448">
        <v>121549313.92501676</v>
      </c>
      <c r="G62" s="236">
        <v>0</v>
      </c>
      <c r="H62" s="448">
        <v>75724843.303647384</v>
      </c>
      <c r="I62" s="448">
        <v>41607056.760245815</v>
      </c>
      <c r="J62" s="448">
        <v>52264070</v>
      </c>
      <c r="K62" s="448">
        <v>8321411.3520491617</v>
      </c>
      <c r="L62" s="448">
        <v>7489270.2168442486</v>
      </c>
      <c r="M62" s="448">
        <v>19289349</v>
      </c>
      <c r="N62" s="448">
        <v>13996296.408196656</v>
      </c>
      <c r="O62" s="236"/>
      <c r="P62" s="448">
        <v>-3568600.42</v>
      </c>
      <c r="Q62" s="448">
        <v>122759892.344</v>
      </c>
      <c r="R62" s="78"/>
      <c r="S62" s="448">
        <v>0</v>
      </c>
      <c r="T62" s="448">
        <v>0</v>
      </c>
      <c r="U62" s="448">
        <v>-4.2064129956997931E-12</v>
      </c>
      <c r="V62" s="448"/>
      <c r="W62" s="448">
        <v>553011959.00000012</v>
      </c>
    </row>
    <row r="63" spans="1:27" ht="16.5" thickTop="1">
      <c r="A63" s="228"/>
      <c r="B63" s="228"/>
      <c r="C63" s="933"/>
      <c r="D63" s="933"/>
      <c r="E63" s="228"/>
      <c r="F63" s="202"/>
      <c r="G63" s="202"/>
      <c r="H63" s="202"/>
      <c r="I63" s="202"/>
      <c r="J63" s="202"/>
      <c r="K63" s="202"/>
      <c r="L63" s="202"/>
      <c r="M63" s="220"/>
      <c r="N63" s="202"/>
      <c r="O63" s="202"/>
      <c r="P63" s="202"/>
      <c r="T63" s="228"/>
      <c r="U63" s="228"/>
      <c r="V63" s="228"/>
      <c r="W63" s="228"/>
    </row>
    <row r="64" spans="1:27">
      <c r="A64" s="228"/>
      <c r="B64" s="228"/>
      <c r="C64" s="933"/>
      <c r="D64" s="228"/>
      <c r="E64" s="228"/>
      <c r="F64" s="202"/>
      <c r="G64" s="202"/>
      <c r="H64" s="202"/>
      <c r="I64" s="202"/>
      <c r="J64" s="202"/>
      <c r="K64" s="202"/>
      <c r="L64" s="202"/>
      <c r="M64" s="202"/>
      <c r="N64" s="202"/>
      <c r="O64" s="202"/>
      <c r="P64" s="202"/>
      <c r="T64" s="12">
        <f>SUM(B62:Q62)</f>
        <v>553011959</v>
      </c>
      <c r="W64" s="228"/>
    </row>
    <row r="65" spans="4:22">
      <c r="D65" s="12"/>
      <c r="F65" s="202"/>
      <c r="G65" s="202"/>
      <c r="H65" s="202"/>
      <c r="I65" s="202"/>
      <c r="J65" s="202"/>
      <c r="K65" s="202"/>
      <c r="L65" s="202"/>
      <c r="M65" s="202"/>
      <c r="N65" s="202"/>
      <c r="O65" s="202"/>
      <c r="P65" s="202"/>
    </row>
    <row r="66" spans="4:22">
      <c r="D66" s="12"/>
      <c r="F66" s="228"/>
      <c r="G66" s="228"/>
      <c r="H66" s="228"/>
      <c r="I66" s="228"/>
      <c r="J66" s="228"/>
      <c r="K66" s="228"/>
      <c r="L66" s="228"/>
      <c r="M66" s="228"/>
      <c r="N66" s="228"/>
      <c r="O66" s="228"/>
      <c r="P66" s="228"/>
      <c r="Q66" s="228"/>
      <c r="R66" s="228"/>
      <c r="S66" s="228"/>
      <c r="T66" s="228"/>
      <c r="U66" s="228"/>
      <c r="V66" s="228"/>
    </row>
    <row r="67" spans="4:22">
      <c r="F67" s="228"/>
      <c r="G67" s="228"/>
      <c r="H67" s="228"/>
      <c r="I67" s="228"/>
      <c r="J67" s="228"/>
      <c r="K67" s="228"/>
      <c r="L67" s="228"/>
      <c r="M67" s="228"/>
      <c r="N67" s="228"/>
      <c r="O67" s="228"/>
      <c r="P67" s="228"/>
      <c r="Q67" s="228"/>
      <c r="R67" s="228"/>
      <c r="S67" s="228"/>
      <c r="T67" s="228"/>
      <c r="U67" s="228"/>
      <c r="V67" s="228"/>
    </row>
  </sheetData>
  <mergeCells count="7">
    <mergeCell ref="Y6:Y12"/>
    <mergeCell ref="W6:W12"/>
    <mergeCell ref="M59:N59"/>
    <mergeCell ref="B4:D4"/>
    <mergeCell ref="H4:N4"/>
    <mergeCell ref="P4:Q4"/>
    <mergeCell ref="V6:V12"/>
  </mergeCells>
  <pageMargins left="0.75" right="0.75" top="1" bottom="1" header="0.5" footer="0.5"/>
  <pageSetup orientation="portrait" horizontalDpi="4294967292" verticalDpi="4294967292"/>
  <ignoredErrors>
    <ignoredError sqref="H57:N57" emptyCellReference="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59"/>
  <sheetViews>
    <sheetView workbookViewId="0">
      <selection activeCell="J5" sqref="J5"/>
    </sheetView>
  </sheetViews>
  <sheetFormatPr defaultColWidth="11" defaultRowHeight="15.75"/>
  <cols>
    <col min="1" max="1" width="45.375" customWidth="1"/>
    <col min="8" max="8" width="11.625" customWidth="1"/>
    <col min="11" max="11" width="19.5" customWidth="1"/>
    <col min="12" max="12" width="11.625" customWidth="1"/>
    <col min="13" max="13" width="11.875" customWidth="1"/>
    <col min="14" max="14" width="13" customWidth="1"/>
    <col min="18" max="18" width="12.5" bestFit="1" customWidth="1"/>
  </cols>
  <sheetData>
    <row r="1" spans="1:17">
      <c r="A1" s="210" t="s">
        <v>77</v>
      </c>
      <c r="B1" s="210"/>
      <c r="C1" s="210"/>
      <c r="D1" s="210"/>
      <c r="E1" s="210"/>
      <c r="F1" s="210"/>
      <c r="G1" s="210"/>
      <c r="H1" s="210"/>
    </row>
    <row r="2" spans="1:17">
      <c r="A2" s="210" t="s">
        <v>1173</v>
      </c>
      <c r="B2" s="210"/>
      <c r="C2" s="210"/>
      <c r="D2" s="210"/>
      <c r="E2" s="210"/>
      <c r="F2" s="210"/>
      <c r="G2" s="210"/>
      <c r="H2" s="210"/>
    </row>
    <row r="3" spans="1:17">
      <c r="A3" s="210"/>
      <c r="B3" s="210"/>
      <c r="C3" s="210"/>
      <c r="D3" s="210"/>
      <c r="E3" s="210"/>
      <c r="F3" s="210"/>
      <c r="G3" s="210"/>
      <c r="H3" s="210"/>
    </row>
    <row r="4" spans="1:17">
      <c r="A4" s="211"/>
      <c r="B4" s="1621" t="s">
        <v>779</v>
      </c>
      <c r="C4" s="1621"/>
      <c r="D4" s="1621"/>
      <c r="E4" s="1621"/>
      <c r="F4" s="1621"/>
      <c r="G4" s="1621"/>
      <c r="H4" s="1621"/>
      <c r="K4" s="1621" t="s">
        <v>1174</v>
      </c>
      <c r="L4" s="1621"/>
      <c r="M4" s="1621"/>
      <c r="N4" s="1621"/>
      <c r="O4" s="1621"/>
      <c r="P4" s="1621"/>
      <c r="Q4" s="1621"/>
    </row>
    <row r="5" spans="1:17" ht="51">
      <c r="A5" s="221" t="s">
        <v>90</v>
      </c>
      <c r="B5" s="731" t="s">
        <v>767</v>
      </c>
      <c r="C5" s="731" t="s">
        <v>768</v>
      </c>
      <c r="D5" s="731" t="s">
        <v>769</v>
      </c>
      <c r="E5" s="731" t="s">
        <v>458</v>
      </c>
      <c r="F5" s="731" t="s">
        <v>770</v>
      </c>
      <c r="G5" s="750" t="s">
        <v>780</v>
      </c>
      <c r="H5" s="731" t="s">
        <v>781</v>
      </c>
      <c r="K5" s="256"/>
      <c r="L5" s="717" t="s">
        <v>767</v>
      </c>
      <c r="M5" s="717" t="s">
        <v>768</v>
      </c>
      <c r="N5" s="717" t="s">
        <v>769</v>
      </c>
      <c r="O5" s="717" t="s">
        <v>458</v>
      </c>
      <c r="P5" s="717" t="s">
        <v>770</v>
      </c>
      <c r="Q5" s="717" t="s">
        <v>302</v>
      </c>
    </row>
    <row r="6" spans="1:17">
      <c r="A6" s="212" t="s">
        <v>548</v>
      </c>
      <c r="B6" s="63"/>
      <c r="C6" s="63"/>
      <c r="D6" s="63"/>
      <c r="E6" s="63"/>
      <c r="F6" s="63"/>
      <c r="G6" s="63"/>
      <c r="H6" s="63"/>
    </row>
    <row r="7" spans="1:17">
      <c r="A7" s="212" t="s">
        <v>555</v>
      </c>
      <c r="B7" s="63"/>
      <c r="C7" s="63"/>
      <c r="D7" s="63"/>
      <c r="E7" s="63"/>
      <c r="F7" s="63"/>
      <c r="G7" s="63"/>
      <c r="H7" s="63"/>
    </row>
    <row r="8" spans="1:17">
      <c r="A8" s="212" t="s">
        <v>549</v>
      </c>
      <c r="B8" s="63"/>
      <c r="C8" s="63"/>
      <c r="D8" s="63"/>
      <c r="E8" s="63"/>
      <c r="F8" s="63"/>
      <c r="G8" s="63"/>
      <c r="H8" s="63"/>
      <c r="K8" t="s">
        <v>1486</v>
      </c>
    </row>
    <row r="9" spans="1:17">
      <c r="A9" s="212" t="s">
        <v>550</v>
      </c>
      <c r="B9" s="63"/>
      <c r="C9" s="63"/>
      <c r="D9" s="63"/>
      <c r="E9" s="63"/>
      <c r="F9" s="63"/>
      <c r="G9" s="63"/>
      <c r="H9" s="63"/>
      <c r="K9" t="s">
        <v>773</v>
      </c>
    </row>
    <row r="10" spans="1:17">
      <c r="A10" s="212" t="s">
        <v>551</v>
      </c>
      <c r="B10" s="63"/>
      <c r="C10" s="63"/>
      <c r="D10" s="63"/>
      <c r="E10" s="63"/>
      <c r="F10" s="63"/>
      <c r="G10" s="63"/>
      <c r="H10" s="63"/>
      <c r="K10" t="s">
        <v>1480</v>
      </c>
    </row>
    <row r="11" spans="1:17">
      <c r="A11" s="203"/>
      <c r="B11" s="68"/>
      <c r="C11" s="68"/>
      <c r="D11" s="68"/>
      <c r="E11" s="68"/>
      <c r="F11" s="68"/>
      <c r="G11" s="68"/>
      <c r="H11" s="68"/>
    </row>
    <row r="12" spans="1:17">
      <c r="A12" s="71" t="s">
        <v>101</v>
      </c>
      <c r="B12" s="42"/>
      <c r="C12" s="42"/>
      <c r="D12" s="42"/>
      <c r="E12" s="42"/>
      <c r="F12" s="42"/>
      <c r="G12" s="42"/>
      <c r="H12" s="42"/>
      <c r="K12" s="555"/>
      <c r="L12" s="256"/>
      <c r="M12" s="256"/>
      <c r="N12" s="256"/>
      <c r="O12" s="256"/>
      <c r="P12" s="256"/>
      <c r="Q12" s="256"/>
    </row>
    <row r="13" spans="1:17">
      <c r="A13" s="214" t="s">
        <v>102</v>
      </c>
      <c r="B13" s="63">
        <f t="shared" ref="B13:D14" si="0">L13</f>
        <v>4339338.4170626244</v>
      </c>
      <c r="C13" s="63">
        <f t="shared" si="0"/>
        <v>4549327.9764392469</v>
      </c>
      <c r="D13" s="63">
        <f t="shared" si="0"/>
        <v>7204500</v>
      </c>
      <c r="E13" s="63">
        <f>'Grant Data'!D12</f>
        <v>1578296.4059457004</v>
      </c>
      <c r="F13" s="63">
        <f>P13</f>
        <v>564328.8085446998</v>
      </c>
      <c r="G13" s="63">
        <f>'Step 1b.  FY18  Revised'!K10</f>
        <v>2840414</v>
      </c>
      <c r="H13" s="63">
        <f>Q13-G13</f>
        <v>705616.14627700392</v>
      </c>
      <c r="K13" s="557" t="s">
        <v>628</v>
      </c>
      <c r="L13" s="624">
        <f>'Foundation SCH'!C19+'Honors College Incentive'!C12</f>
        <v>4339338.4170626244</v>
      </c>
      <c r="M13" s="624">
        <f>'Undergrad Completions'!C17</f>
        <v>4549327.9764392469</v>
      </c>
      <c r="N13" s="624">
        <f>'Ecampus And Summer'!C7+'Ecampus And Summer'!G7</f>
        <v>7204500</v>
      </c>
      <c r="O13" s="723"/>
      <c r="P13" s="624">
        <f>'Strategic Populations'!C17+'Cascades Incentive'!C17</f>
        <v>564328.8085446998</v>
      </c>
      <c r="Q13" s="624">
        <f>'Graduate Completions'!C17</f>
        <v>3546030.1462770039</v>
      </c>
    </row>
    <row r="14" spans="1:17">
      <c r="A14" s="76" t="s">
        <v>103</v>
      </c>
      <c r="B14" s="68">
        <f t="shared" si="0"/>
        <v>5989055.9423627155</v>
      </c>
      <c r="C14" s="68">
        <f t="shared" si="0"/>
        <v>5058150.0758163491</v>
      </c>
      <c r="D14" s="68">
        <f t="shared" si="0"/>
        <v>3528000</v>
      </c>
      <c r="E14" s="68">
        <f>'Grant Data'!D13</f>
        <v>5294.2119488917269</v>
      </c>
      <c r="F14" s="68">
        <f>P14</f>
        <v>1231848.4990211879</v>
      </c>
      <c r="G14" s="68">
        <f>'Step 1b.  FY18  Revised'!K11</f>
        <v>312414</v>
      </c>
      <c r="H14" s="68">
        <f>Q14-G14</f>
        <v>1212579.742287562</v>
      </c>
      <c r="K14" s="557" t="s">
        <v>6</v>
      </c>
      <c r="L14" s="624">
        <f>'Foundation SCH'!C20+'Honors College Incentive'!C13</f>
        <v>5989055.9423627155</v>
      </c>
      <c r="M14" s="624">
        <f>'Undergrad Completions'!C18</f>
        <v>5058150.0758163491</v>
      </c>
      <c r="N14" s="624">
        <f>'Ecampus And Summer'!C8+'Ecampus And Summer'!G8</f>
        <v>3528000</v>
      </c>
      <c r="O14" s="723"/>
      <c r="P14" s="624">
        <f>'Strategic Populations'!C18+'Cascades Incentive'!C18</f>
        <v>1231848.4990211879</v>
      </c>
      <c r="Q14" s="624">
        <f>'Graduate Completions'!C18</f>
        <v>1524993.742287562</v>
      </c>
    </row>
    <row r="15" spans="1:17">
      <c r="A15" s="213" t="s">
        <v>104</v>
      </c>
      <c r="B15" s="68">
        <f>L22</f>
        <v>6180232.1297481488</v>
      </c>
      <c r="C15" s="68">
        <f>M22</f>
        <v>12198318.468291897</v>
      </c>
      <c r="D15" s="68">
        <f>N22</f>
        <v>13500000</v>
      </c>
      <c r="E15" s="68">
        <f>'Grant Data'!D14</f>
        <v>1792648.3776207753</v>
      </c>
      <c r="F15" s="68">
        <f>P22</f>
        <v>1840141.0332934328</v>
      </c>
      <c r="G15" s="68">
        <f>'Step 1b.  FY18  Revised'!K12</f>
        <v>4224817</v>
      </c>
      <c r="H15" s="68">
        <f>Q22-G15</f>
        <v>5442685.8682717104</v>
      </c>
      <c r="K15" s="557" t="s">
        <v>8</v>
      </c>
      <c r="L15" s="624">
        <f>'Foundation SCH'!C21+'Honors College Incentive'!C14</f>
        <v>1165647.3542221715</v>
      </c>
      <c r="M15" s="624">
        <f>'Undergrad Completions'!C19</f>
        <v>227220.77037863396</v>
      </c>
      <c r="N15" s="624">
        <f>'Ecampus And Summer'!C9+'Ecampus And Summer'!G9</f>
        <v>1683240</v>
      </c>
      <c r="O15" s="723"/>
      <c r="P15" s="624">
        <f>'Strategic Populations'!C19+'Cascades Incentive'!C19</f>
        <v>241673.46363821795</v>
      </c>
      <c r="Q15" s="624">
        <f>'Graduate Completions'!C19</f>
        <v>1205720.6226141171</v>
      </c>
    </row>
    <row r="16" spans="1:17">
      <c r="A16" s="214" t="s">
        <v>105</v>
      </c>
      <c r="B16" s="63">
        <f>L16</f>
        <v>1062251.9853373312</v>
      </c>
      <c r="C16" s="63">
        <f>M16</f>
        <v>1279847.5389440395</v>
      </c>
      <c r="D16" s="63">
        <f>N16</f>
        <v>1250000</v>
      </c>
      <c r="E16" s="63">
        <f>'Grant Data'!D15</f>
        <v>383210.87974740332</v>
      </c>
      <c r="F16" s="63">
        <f>P16</f>
        <v>199894.14914603735</v>
      </c>
      <c r="G16" s="63">
        <f>'Step 1b.  FY18  Revised'!K13</f>
        <v>1161209</v>
      </c>
      <c r="H16" s="63">
        <f>Q16-G16</f>
        <v>220973.12212349451</v>
      </c>
      <c r="K16" s="559" t="s">
        <v>2</v>
      </c>
      <c r="L16" s="624">
        <f>'Foundation SCH'!C22+'Honors College Incentive'!C15</f>
        <v>1062251.9853373312</v>
      </c>
      <c r="M16" s="624">
        <f>'Undergrad Completions'!C20</f>
        <v>1279847.5389440395</v>
      </c>
      <c r="N16" s="624">
        <f>'Ecampus And Summer'!C10+'Ecampus And Summer'!G10</f>
        <v>1250000</v>
      </c>
      <c r="O16" s="723"/>
      <c r="P16" s="624">
        <f>'Strategic Populations'!C20+'Cascades Incentive'!C20</f>
        <v>199894.14914603735</v>
      </c>
      <c r="Q16" s="624">
        <f>'Graduate Completions'!C20</f>
        <v>1382182.1221234945</v>
      </c>
    </row>
    <row r="17" spans="1:17">
      <c r="A17" s="76" t="s">
        <v>106</v>
      </c>
      <c r="B17" s="68">
        <f>L23</f>
        <v>5043650.9942868846</v>
      </c>
      <c r="C17" s="68">
        <f>M23</f>
        <v>4750541.314223161</v>
      </c>
      <c r="D17" s="68">
        <f>N23</f>
        <v>3650000</v>
      </c>
      <c r="E17" s="68">
        <f>'Grant Data'!D16</f>
        <v>730812.16729338747</v>
      </c>
      <c r="F17" s="68">
        <f>P23</f>
        <v>1024820.6645942361</v>
      </c>
      <c r="G17" s="68">
        <f>'Step 1b.  FY18  Revised'!K14</f>
        <v>1571883</v>
      </c>
      <c r="H17" s="68">
        <f>Q23-G17</f>
        <v>455200.0349747173</v>
      </c>
      <c r="K17" s="557" t="s">
        <v>10</v>
      </c>
      <c r="L17" s="624">
        <f>'Foundation SCH'!C23+'Honors College Incentive'!C16</f>
        <v>153675.4160023297</v>
      </c>
      <c r="M17" s="624">
        <f>'Undergrad Completions'!C21</f>
        <v>0</v>
      </c>
      <c r="N17" s="624">
        <f>'Ecampus And Summer'!C11+'Ecampus And Summer'!G11</f>
        <v>80000</v>
      </c>
      <c r="O17" s="723"/>
      <c r="P17" s="624">
        <f>'Strategic Populations'!C21+'Cascades Incentive'!C21</f>
        <v>67391.173275644498</v>
      </c>
      <c r="Q17" s="624">
        <f>'Graduate Completions'!C21</f>
        <v>3712900.3802159945</v>
      </c>
    </row>
    <row r="18" spans="1:17">
      <c r="A18" s="213" t="s">
        <v>107</v>
      </c>
      <c r="B18" s="68">
        <f>L15</f>
        <v>1165647.3542221715</v>
      </c>
      <c r="C18" s="68">
        <f>M15</f>
        <v>227220.77037863396</v>
      </c>
      <c r="D18" s="68">
        <f>N15</f>
        <v>1683240</v>
      </c>
      <c r="E18" s="68">
        <f>'Grant Data'!D17</f>
        <v>25934.589272998794</v>
      </c>
      <c r="F18" s="68">
        <f>P15</f>
        <v>241673.46363821795</v>
      </c>
      <c r="G18" s="68">
        <f>'Step 1b.  FY18  Revised'!K15</f>
        <v>98677</v>
      </c>
      <c r="H18" s="68">
        <f>Q15-G18</f>
        <v>1107043.6226141171</v>
      </c>
      <c r="K18" s="557" t="s">
        <v>4</v>
      </c>
      <c r="L18" s="624">
        <f>'Foundation SCH'!C24+'Honors College Incentive'!C17</f>
        <v>24086914.380360514</v>
      </c>
      <c r="M18" s="624">
        <f>'Undergrad Completions'!C22</f>
        <v>5416643.8763528112</v>
      </c>
      <c r="N18" s="624">
        <f>'Ecampus And Summer'!C12+'Ecampus And Summer'!G12</f>
        <v>6100000</v>
      </c>
      <c r="O18" s="723"/>
      <c r="P18" s="624">
        <f>'Strategic Populations'!C22+'Cascades Incentive'!C22</f>
        <v>754421.45453500818</v>
      </c>
      <c r="Q18" s="624">
        <f>'Graduate Completions'!C22</f>
        <v>3479498.9531154828</v>
      </c>
    </row>
    <row r="19" spans="1:17">
      <c r="A19" s="214" t="s">
        <v>108</v>
      </c>
      <c r="B19" s="63">
        <f>L20</f>
        <v>21556657.85615864</v>
      </c>
      <c r="C19" s="63">
        <f>M20</f>
        <v>6493890.4712111112</v>
      </c>
      <c r="D19" s="63">
        <f>N20</f>
        <v>13470000</v>
      </c>
      <c r="E19" s="63">
        <f>'Grant Data'!D18</f>
        <v>62457.884903115286</v>
      </c>
      <c r="F19" s="63">
        <f>P20</f>
        <v>1295650.445246716</v>
      </c>
      <c r="G19" s="63">
        <f>'Step 1b.  FY18  Revised'!K16</f>
        <v>3146854</v>
      </c>
      <c r="H19" s="63">
        <f>Q20-G19</f>
        <v>-1052851.2003483265</v>
      </c>
      <c r="K19" s="557" t="s">
        <v>14</v>
      </c>
      <c r="L19" s="624">
        <f>'Foundation SCH'!C25+'Honors College Incentive'!C18</f>
        <v>328811.79807451478</v>
      </c>
      <c r="M19" s="624">
        <f>'Undergrad Completions'!C23</f>
        <v>0</v>
      </c>
      <c r="N19" s="624">
        <f>'Ecampus And Summer'!C13+'Ecampus And Summer'!G13</f>
        <v>190000</v>
      </c>
      <c r="O19" s="728"/>
      <c r="P19" s="624">
        <f>'Strategic Populations'!C23+'Cascades Incentive'!C23</f>
        <v>57305.661886428526</v>
      </c>
      <c r="Q19" s="624">
        <f>'Graduate Completions'!C23</f>
        <v>634140.4104599295</v>
      </c>
    </row>
    <row r="20" spans="1:17">
      <c r="A20" s="213" t="s">
        <v>109</v>
      </c>
      <c r="B20" s="68">
        <f>L24</f>
        <v>2785823.4700941653</v>
      </c>
      <c r="C20" s="68">
        <f>M24</f>
        <v>926738.7608623344</v>
      </c>
      <c r="D20" s="68">
        <f>N24</f>
        <v>1345000</v>
      </c>
      <c r="E20" s="68">
        <f>'Grant Data'!D19</f>
        <v>1840409.3292187264</v>
      </c>
      <c r="F20" s="68">
        <f>P24</f>
        <v>183428.56098377611</v>
      </c>
      <c r="G20" s="68">
        <f>'Step 1b.  FY18  Revised'!K17</f>
        <v>676018</v>
      </c>
      <c r="H20" s="68">
        <f>Q24-G20</f>
        <v>873091.1869779767</v>
      </c>
      <c r="K20" s="559" t="s">
        <v>17</v>
      </c>
      <c r="L20" s="624">
        <f>'Foundation SCH'!C26+'Honors College Incentive'!C19</f>
        <v>21556657.85615864</v>
      </c>
      <c r="M20" s="624">
        <f>'Undergrad Completions'!C24</f>
        <v>6493890.4712111112</v>
      </c>
      <c r="N20" s="624">
        <f>'Ecampus And Summer'!C14+'Ecampus And Summer'!G14</f>
        <v>13470000</v>
      </c>
      <c r="O20" s="723"/>
      <c r="P20" s="624">
        <f>'Strategic Populations'!C24+'Cascades Incentive'!C24</f>
        <v>1295650.445246716</v>
      </c>
      <c r="Q20" s="624">
        <f>'Graduate Completions'!C24</f>
        <v>2094002.7996516735</v>
      </c>
    </row>
    <row r="21" spans="1:17">
      <c r="A21" s="213" t="s">
        <v>110</v>
      </c>
      <c r="B21" s="68">
        <f t="shared" ref="B21:D22" si="1">L17</f>
        <v>153675.4160023297</v>
      </c>
      <c r="C21" s="68">
        <f t="shared" si="1"/>
        <v>0</v>
      </c>
      <c r="D21" s="68">
        <f t="shared" si="1"/>
        <v>80000</v>
      </c>
      <c r="E21" s="68">
        <f>'Grant Data'!D20</f>
        <v>169699.25368925775</v>
      </c>
      <c r="F21" s="68">
        <f>P17</f>
        <v>67391.173275644498</v>
      </c>
      <c r="G21" s="68">
        <f>'Step 1b.  FY18  Revised'!K18</f>
        <v>298116</v>
      </c>
      <c r="H21" s="68">
        <f>Q17-G21</f>
        <v>3414784.3802159945</v>
      </c>
      <c r="K21" s="557" t="s">
        <v>376</v>
      </c>
      <c r="L21" s="624">
        <f>'Foundation SCH'!C27+'Honors College Incentive'!C20</f>
        <v>230774.59550508394</v>
      </c>
      <c r="M21" s="624">
        <f>'Undergrad Completions'!C25</f>
        <v>0</v>
      </c>
      <c r="N21" s="624">
        <f>'Ecampus And Summer'!C15+'Ecampus And Summer'!G15</f>
        <v>0</v>
      </c>
      <c r="O21" s="728"/>
      <c r="P21" s="624">
        <f>'Strategic Populations'!C25+'Cascades Incentive'!C25</f>
        <v>34212.335454584194</v>
      </c>
      <c r="Q21" s="624">
        <f>'Graduate Completions'!C25</f>
        <v>2512230.6266447878</v>
      </c>
    </row>
    <row r="22" spans="1:17">
      <c r="A22" s="214" t="s">
        <v>111</v>
      </c>
      <c r="B22" s="63">
        <f t="shared" si="1"/>
        <v>24086914.380360514</v>
      </c>
      <c r="C22" s="63">
        <f t="shared" si="1"/>
        <v>5416643.8763528112</v>
      </c>
      <c r="D22" s="63">
        <f t="shared" si="1"/>
        <v>6100000</v>
      </c>
      <c r="E22" s="63">
        <f>'Grant Data'!D21</f>
        <v>638243.20965819864</v>
      </c>
      <c r="F22" s="63">
        <f>P18</f>
        <v>754421.45453500818</v>
      </c>
      <c r="G22" s="63">
        <f>'Step 1b.  FY18  Revised'!K19</f>
        <v>4177098</v>
      </c>
      <c r="H22" s="63">
        <f>Q18-G22</f>
        <v>-697599.04688451719</v>
      </c>
      <c r="K22" s="557" t="s">
        <v>7</v>
      </c>
      <c r="L22" s="624">
        <f>'Foundation SCH'!C28+'Honors College Incentive'!C21</f>
        <v>6180232.1297481488</v>
      </c>
      <c r="M22" s="624">
        <f>'Undergrad Completions'!C26</f>
        <v>12198318.468291897</v>
      </c>
      <c r="N22" s="624">
        <f>'Ecampus And Summer'!C16+'Ecampus And Summer'!G16</f>
        <v>13500000</v>
      </c>
      <c r="O22" s="723"/>
      <c r="P22" s="624">
        <f>'Strategic Populations'!C26+'Cascades Incentive'!C26</f>
        <v>1840141.0332934328</v>
      </c>
      <c r="Q22" s="624">
        <f>'Graduate Completions'!C26</f>
        <v>9667502.8682717104</v>
      </c>
    </row>
    <row r="23" spans="1:17">
      <c r="A23" s="213" t="s">
        <v>112</v>
      </c>
      <c r="B23" s="68">
        <f>L21</f>
        <v>230774.59550508394</v>
      </c>
      <c r="C23" s="68">
        <v>0</v>
      </c>
      <c r="D23" s="68">
        <f>N21</f>
        <v>0</v>
      </c>
      <c r="E23" s="68">
        <f>'Grant Data'!D22</f>
        <v>129683.40658641944</v>
      </c>
      <c r="F23" s="68">
        <f>P21</f>
        <v>34212.335454584194</v>
      </c>
      <c r="G23" s="68">
        <f>'Step 1b.  FY18  Revised'!K20</f>
        <v>162608</v>
      </c>
      <c r="H23" s="68">
        <f>Q21-G23</f>
        <v>2349622.6266447878</v>
      </c>
      <c r="K23" s="557" t="s">
        <v>9</v>
      </c>
      <c r="L23" s="624">
        <f>'Foundation SCH'!C29+'Honors College Incentive'!C22</f>
        <v>5043650.9942868846</v>
      </c>
      <c r="M23" s="624">
        <f>'Undergrad Completions'!C27</f>
        <v>4750541.314223161</v>
      </c>
      <c r="N23" s="624">
        <f>'Ecampus And Summer'!C17+'Ecampus And Summer'!G17</f>
        <v>3650000</v>
      </c>
      <c r="O23" s="723"/>
      <c r="P23" s="624">
        <f>'Strategic Populations'!C27+'Cascades Incentive'!C27</f>
        <v>1024820.6645942361</v>
      </c>
      <c r="Q23" s="624">
        <f>'Graduate Completions'!C27</f>
        <v>2027083.0349747173</v>
      </c>
    </row>
    <row r="24" spans="1:17">
      <c r="A24" s="213" t="s">
        <v>113</v>
      </c>
      <c r="B24" s="68">
        <v>0</v>
      </c>
      <c r="C24" s="68">
        <v>0</v>
      </c>
      <c r="D24" s="68">
        <v>0</v>
      </c>
      <c r="E24" s="68">
        <f>'Grant Data'!D23</f>
        <v>0</v>
      </c>
      <c r="F24" s="68">
        <v>0</v>
      </c>
      <c r="G24" s="68">
        <v>0</v>
      </c>
      <c r="H24" s="68">
        <v>0</v>
      </c>
      <c r="K24" s="559" t="s">
        <v>5</v>
      </c>
      <c r="L24" s="624">
        <f>'Foundation SCH'!C30+'Honors College Incentive'!C23</f>
        <v>2785823.4700941653</v>
      </c>
      <c r="M24" s="624">
        <f>'Undergrad Completions'!C28</f>
        <v>926738.7608623344</v>
      </c>
      <c r="N24" s="624">
        <f>'Ecampus And Summer'!C18+'Ecampus And Summer'!G18</f>
        <v>1345000</v>
      </c>
      <c r="O24" s="723"/>
      <c r="P24" s="624">
        <f>'Strategic Populations'!C28+'Cascades Incentive'!C28</f>
        <v>183428.56098377611</v>
      </c>
      <c r="Q24" s="624">
        <f>'Graduate Completions'!C28</f>
        <v>1549109.1869779767</v>
      </c>
    </row>
    <row r="25" spans="1:17">
      <c r="A25" s="214" t="s">
        <v>114</v>
      </c>
      <c r="B25" s="63">
        <f>L28</f>
        <v>1097345.5671563721</v>
      </c>
      <c r="C25" s="63">
        <f>M28</f>
        <v>768564.36449847114</v>
      </c>
      <c r="D25" s="63">
        <f>N28</f>
        <v>1000</v>
      </c>
      <c r="E25" s="63">
        <f>'Grant Data'!D24</f>
        <v>0</v>
      </c>
      <c r="F25" s="63">
        <f>P28</f>
        <v>0</v>
      </c>
      <c r="G25" s="63">
        <f>'Step 1b.  FY18  Revised'!K22</f>
        <v>39004</v>
      </c>
      <c r="H25" s="63">
        <f>Q28-G25</f>
        <v>-39004</v>
      </c>
      <c r="K25" s="557"/>
      <c r="L25" s="548"/>
      <c r="M25" s="548"/>
      <c r="N25" s="548"/>
      <c r="O25" s="723"/>
      <c r="P25" s="548"/>
      <c r="Q25" s="548"/>
    </row>
    <row r="26" spans="1:17">
      <c r="A26" s="76" t="s">
        <v>116</v>
      </c>
      <c r="B26" s="68">
        <v>0</v>
      </c>
      <c r="C26" s="68">
        <v>0</v>
      </c>
      <c r="D26" s="68">
        <f>N37</f>
        <v>0</v>
      </c>
      <c r="E26" s="68">
        <f>'Grant Data'!D25</f>
        <v>0</v>
      </c>
      <c r="F26" s="68">
        <v>0</v>
      </c>
      <c r="G26" s="68">
        <v>0</v>
      </c>
      <c r="H26" s="68">
        <v>0</v>
      </c>
      <c r="K26" s="557" t="s">
        <v>631</v>
      </c>
      <c r="L26" s="624">
        <f>'Foundation SCH'!C32+'Honors College Incentive'!C25</f>
        <v>308754.01179729606</v>
      </c>
      <c r="M26" s="624">
        <f>'Undergrad Completions'!C30</f>
        <v>0</v>
      </c>
      <c r="N26" s="624">
        <f>'Ecampus And Summer'!C20+'Ecampus And Summer'!G20</f>
        <v>0</v>
      </c>
      <c r="O26" s="728"/>
      <c r="P26" s="624">
        <f>'Strategic Populations'!C30+'Cascades Incentive'!C30</f>
        <v>487.85582319650428</v>
      </c>
      <c r="Q26" s="624">
        <f>'Graduate Completions'!C30</f>
        <v>0</v>
      </c>
    </row>
    <row r="27" spans="1:17">
      <c r="A27" s="213" t="s">
        <v>117</v>
      </c>
      <c r="B27" s="68">
        <v>0</v>
      </c>
      <c r="C27" s="68">
        <v>0</v>
      </c>
      <c r="D27" s="68">
        <v>0</v>
      </c>
      <c r="E27" s="68">
        <f>'Grant Data'!D26</f>
        <v>0</v>
      </c>
      <c r="F27" s="68">
        <v>0</v>
      </c>
      <c r="G27" s="68">
        <v>0</v>
      </c>
      <c r="H27" s="68">
        <v>0</v>
      </c>
      <c r="K27" s="557" t="s">
        <v>657</v>
      </c>
      <c r="L27" s="624">
        <f>'Foundation SCH'!C33+'Honors College Incentive'!C26</f>
        <v>35920.453956005505</v>
      </c>
      <c r="M27" s="624">
        <f>'Undergrad Completions'!C31</f>
        <v>0</v>
      </c>
      <c r="N27" s="624">
        <f>'Ecampus And Summer'!C21+'Ecampus And Summer'!G21</f>
        <v>0</v>
      </c>
      <c r="O27" s="724"/>
      <c r="P27" s="624">
        <f>'Strategic Populations'!C31+'Cascades Incentive'!C31</f>
        <v>822.46918739716807</v>
      </c>
      <c r="Q27" s="624">
        <f>'Graduate Completions'!C31</f>
        <v>0</v>
      </c>
    </row>
    <row r="28" spans="1:17">
      <c r="A28" s="438" t="s">
        <v>523</v>
      </c>
      <c r="B28" s="266">
        <f>L30</f>
        <v>126306.48427682419</v>
      </c>
      <c r="C28" s="266">
        <v>0</v>
      </c>
      <c r="D28" s="266">
        <f>N30</f>
        <v>0</v>
      </c>
      <c r="E28" s="266">
        <f>'Grant Data'!D27</f>
        <v>0</v>
      </c>
      <c r="F28" s="266">
        <f>P30</f>
        <v>2243.7014263473907</v>
      </c>
      <c r="G28" s="266">
        <v>0</v>
      </c>
      <c r="H28" s="266">
        <v>0</v>
      </c>
      <c r="K28" s="559" t="s">
        <v>633</v>
      </c>
      <c r="L28" s="624">
        <f>'Foundation SCH'!C34+'Honors College Incentive'!C27</f>
        <v>1097345.5671563721</v>
      </c>
      <c r="M28" s="624">
        <f>'Undergrad Completions'!C32</f>
        <v>768564.36449847114</v>
      </c>
      <c r="N28" s="624">
        <f>'Ecampus And Summer'!C22+'Ecampus And Summer'!G22</f>
        <v>1000</v>
      </c>
      <c r="O28" s="728"/>
      <c r="P28" s="624">
        <f>'Strategic Populations'!C32+'Cascades Incentive'!C32</f>
        <v>0</v>
      </c>
      <c r="Q28" s="624">
        <f>'Graduate Completions'!C32</f>
        <v>0</v>
      </c>
    </row>
    <row r="29" spans="1:17">
      <c r="A29" s="437" t="s">
        <v>524</v>
      </c>
      <c r="B29" s="68">
        <f>L19</f>
        <v>328811.79807451478</v>
      </c>
      <c r="C29" s="68">
        <f>M19</f>
        <v>0</v>
      </c>
      <c r="D29" s="68">
        <f>N19</f>
        <v>190000</v>
      </c>
      <c r="E29" s="68">
        <f>'Grant Data'!D28</f>
        <v>0</v>
      </c>
      <c r="F29" s="68">
        <f>P19</f>
        <v>57305.661886428526</v>
      </c>
      <c r="G29" s="68"/>
      <c r="H29" s="68">
        <f>Q19-G29</f>
        <v>634140.4104599295</v>
      </c>
      <c r="K29" s="557" t="s">
        <v>656</v>
      </c>
      <c r="L29" s="624">
        <f>'Foundation SCH'!C35+'Honors College Incentive'!C28</f>
        <v>1346862.5265712475</v>
      </c>
      <c r="M29" s="624">
        <f>'Undergrad Completions'!C33</f>
        <v>0</v>
      </c>
      <c r="N29" s="624">
        <f>'Ecampus And Summer'!C23+'Ecampus And Summer'!G23</f>
        <v>128387</v>
      </c>
      <c r="O29" s="724"/>
      <c r="P29" s="624">
        <f>'Strategic Populations'!C33+'Cascades Incentive'!C33</f>
        <v>1793.5750063407522</v>
      </c>
      <c r="Q29" s="624">
        <f>'Graduate Completions'!C33</f>
        <v>0</v>
      </c>
    </row>
    <row r="30" spans="1:17">
      <c r="A30" s="213" t="s">
        <v>118</v>
      </c>
      <c r="B30" s="68"/>
      <c r="C30" s="68"/>
      <c r="D30" s="68"/>
      <c r="E30" s="68">
        <f>'Grant Data'!D29</f>
        <v>3771.445999835144</v>
      </c>
      <c r="F30" s="68"/>
      <c r="G30" s="68"/>
      <c r="H30" s="68"/>
      <c r="K30" s="729" t="s">
        <v>635</v>
      </c>
      <c r="L30" s="624">
        <f>'Foundation SCH'!C36+'Honors College Incentive'!C29</f>
        <v>126306.48427682419</v>
      </c>
      <c r="M30" s="624">
        <f>'Undergrad Completions'!C34</f>
        <v>0</v>
      </c>
      <c r="N30" s="624">
        <f>'Ecampus And Summer'!C24+'Ecampus And Summer'!G24</f>
        <v>0</v>
      </c>
      <c r="O30" s="728"/>
      <c r="P30" s="624">
        <f>'Strategic Populations'!C34+'Cascades Incentive'!C34</f>
        <v>2243.7014263473907</v>
      </c>
      <c r="Q30" s="624">
        <f>'Graduate Completions'!C34</f>
        <v>0</v>
      </c>
    </row>
    <row r="31" spans="1:17">
      <c r="A31" s="438" t="s">
        <v>119</v>
      </c>
      <c r="B31" s="266"/>
      <c r="C31" s="266"/>
      <c r="D31" s="266"/>
      <c r="E31" s="63">
        <f>'Grant Data'!D30</f>
        <v>886914.83143400238</v>
      </c>
      <c r="F31" s="266"/>
      <c r="G31" s="266"/>
      <c r="H31" s="266"/>
      <c r="L31" s="671"/>
      <c r="M31" s="671"/>
      <c r="N31" s="671"/>
      <c r="P31" s="671"/>
      <c r="Q31" s="671"/>
    </row>
    <row r="32" spans="1:17">
      <c r="A32" s="441" t="s">
        <v>120</v>
      </c>
      <c r="B32" s="748">
        <f t="shared" ref="B32:H32" si="2">SUM(B13:B31)</f>
        <v>74146486.390648335</v>
      </c>
      <c r="C32" s="748">
        <f t="shared" si="2"/>
        <v>41669243.617018059</v>
      </c>
      <c r="D32" s="748">
        <f t="shared" si="2"/>
        <v>52001740</v>
      </c>
      <c r="E32" s="748">
        <f t="shared" si="2"/>
        <v>8247375.9933187114</v>
      </c>
      <c r="F32" s="748">
        <f t="shared" si="2"/>
        <v>7497359.9510463178</v>
      </c>
      <c r="G32" s="748">
        <f t="shared" si="2"/>
        <v>18709112</v>
      </c>
      <c r="H32" s="748">
        <f t="shared" si="2"/>
        <v>14626282.893614452</v>
      </c>
      <c r="K32" s="564"/>
      <c r="L32" s="730">
        <f>SUM(L13:L30)</f>
        <v>75838023.382972866</v>
      </c>
      <c r="M32" s="730">
        <f>SUM(M13:M30)</f>
        <v>41669243.617018059</v>
      </c>
      <c r="N32" s="730">
        <f>SUM(N13:N30)</f>
        <v>52130127</v>
      </c>
      <c r="O32" s="626"/>
      <c r="P32" s="730">
        <f>SUM(P13:P30)</f>
        <v>7500463.8510632506</v>
      </c>
      <c r="Q32" s="730">
        <f>SUM(Q13:Q30)</f>
        <v>33335394.893614449</v>
      </c>
    </row>
    <row r="33" spans="1:18">
      <c r="A33" s="213"/>
      <c r="L33" s="624">
        <f>'Foundation SCH'!C37+'Honors College Incentive'!C30</f>
        <v>75838023.382972881</v>
      </c>
      <c r="M33" s="624">
        <f>'Undergrad Completions'!C35</f>
        <v>41669243.617018059</v>
      </c>
      <c r="N33" s="624">
        <f>'Ecampus And Summer'!B234+'Ecampus And Summer'!F234</f>
        <v>45099889</v>
      </c>
      <c r="P33" s="624">
        <f>'Strategic Populations'!C35+'Cascades Incentive'!C35</f>
        <v>7500463.8510632515</v>
      </c>
      <c r="Q33" s="624">
        <f>'Graduate Completions'!C35</f>
        <v>33335394.893614449</v>
      </c>
      <c r="R33" s="551"/>
    </row>
    <row r="34" spans="1:18">
      <c r="A34" s="203"/>
      <c r="R34" s="12"/>
    </row>
    <row r="35" spans="1:18">
      <c r="A35" s="76" t="s">
        <v>121</v>
      </c>
      <c r="B35" s="78"/>
      <c r="C35" s="78"/>
      <c r="D35" s="78"/>
      <c r="E35" s="78"/>
      <c r="F35" s="78"/>
      <c r="G35" s="78"/>
      <c r="H35" s="78"/>
    </row>
    <row r="36" spans="1:18">
      <c r="A36" s="214" t="s">
        <v>122</v>
      </c>
      <c r="B36" s="63"/>
      <c r="C36" s="63"/>
      <c r="D36" s="63"/>
      <c r="E36" s="63">
        <f>'Grant Data'!D35</f>
        <v>2716.5065167470298</v>
      </c>
      <c r="F36" s="63"/>
      <c r="G36" s="63">
        <f>'Step 1b.  FY18  Revised'!K34</f>
        <v>0</v>
      </c>
      <c r="H36" s="63"/>
    </row>
    <row r="37" spans="1:18">
      <c r="A37" s="213" t="s">
        <v>123</v>
      </c>
      <c r="B37" s="68"/>
      <c r="C37" s="68"/>
      <c r="D37" s="68"/>
      <c r="E37" s="68">
        <f>'Grant Data'!D36</f>
        <v>0</v>
      </c>
      <c r="F37" s="68"/>
      <c r="G37" s="68">
        <f>'Step 1b.  FY18  Revised'!K35</f>
        <v>0</v>
      </c>
      <c r="H37" s="68"/>
      <c r="K37" s="564" t="s">
        <v>782</v>
      </c>
      <c r="L37" s="730">
        <v>0</v>
      </c>
      <c r="M37" s="730">
        <v>0</v>
      </c>
      <c r="N37" s="730">
        <f>IF('Dashboard-Academic Allocation'!C17="yes",0,N49)</f>
        <v>0</v>
      </c>
      <c r="O37" s="626">
        <v>0</v>
      </c>
      <c r="P37" s="730">
        <v>0</v>
      </c>
      <c r="Q37" s="730">
        <v>0</v>
      </c>
    </row>
    <row r="38" spans="1:18">
      <c r="A38" s="76" t="s">
        <v>124</v>
      </c>
      <c r="B38" s="68"/>
      <c r="C38" s="68"/>
      <c r="D38" s="68"/>
      <c r="E38" s="68">
        <f>'Grant Data'!D37</f>
        <v>0</v>
      </c>
      <c r="F38" s="68"/>
      <c r="G38" s="68">
        <f>'Step 1b.  FY18  Revised'!K36</f>
        <v>0</v>
      </c>
      <c r="H38" s="68"/>
    </row>
    <row r="39" spans="1:18">
      <c r="A39" s="214" t="s">
        <v>125</v>
      </c>
      <c r="B39" s="63"/>
      <c r="C39" s="63"/>
      <c r="D39" s="63"/>
      <c r="E39" s="63">
        <f>'Grant Data'!D38</f>
        <v>0</v>
      </c>
      <c r="F39" s="63"/>
      <c r="G39" s="63">
        <f>'Step 1b.  FY18  Revised'!K37</f>
        <v>0</v>
      </c>
      <c r="H39" s="63"/>
      <c r="K39" s="185" t="s">
        <v>1126</v>
      </c>
    </row>
    <row r="40" spans="1:18">
      <c r="A40" s="213" t="s">
        <v>126</v>
      </c>
      <c r="B40" s="68"/>
      <c r="C40" s="68"/>
      <c r="D40" s="68"/>
      <c r="E40" s="68">
        <f>'Grant Data'!D39</f>
        <v>36809.196993930658</v>
      </c>
      <c r="F40" s="68"/>
      <c r="G40" s="68">
        <f>'Step 1b.  FY18  Revised'!K38</f>
        <v>0</v>
      </c>
      <c r="H40" s="68"/>
      <c r="K40" s="732"/>
      <c r="L40" s="738"/>
      <c r="M40" s="738"/>
      <c r="N40" s="739"/>
    </row>
    <row r="41" spans="1:18">
      <c r="A41" s="437" t="s">
        <v>552</v>
      </c>
      <c r="B41" s="68">
        <f>L26+L27+L29</f>
        <v>1691536.992324549</v>
      </c>
      <c r="C41" s="68">
        <f>M29</f>
        <v>0</v>
      </c>
      <c r="D41" s="68">
        <f>N26+N27+N29</f>
        <v>128387</v>
      </c>
      <c r="E41" s="68">
        <f>'Grant Data'!D40</f>
        <v>6650.372311343961</v>
      </c>
      <c r="F41" s="68">
        <f>P26+P27+P29</f>
        <v>3103.9000169344245</v>
      </c>
      <c r="G41" s="68"/>
      <c r="H41" s="68"/>
      <c r="K41" s="740"/>
      <c r="L41" s="528"/>
      <c r="M41" s="528"/>
      <c r="N41" s="741"/>
    </row>
    <row r="42" spans="1:18">
      <c r="A42" s="213" t="s">
        <v>127</v>
      </c>
      <c r="B42" s="68"/>
      <c r="C42" s="68"/>
      <c r="D42" s="68"/>
      <c r="E42" s="68">
        <f>'Grant Data'!D41</f>
        <v>0</v>
      </c>
      <c r="F42" s="68"/>
      <c r="G42" s="68">
        <f>'Step 1b.  FY18  Revised'!K39</f>
        <v>0</v>
      </c>
      <c r="H42" s="68"/>
      <c r="K42" s="740"/>
      <c r="L42" s="528"/>
      <c r="M42" s="528"/>
      <c r="N42" s="742"/>
    </row>
    <row r="43" spans="1:18">
      <c r="A43" s="214" t="s">
        <v>128</v>
      </c>
      <c r="B43" s="63"/>
      <c r="C43" s="63"/>
      <c r="D43" s="63"/>
      <c r="E43" s="63">
        <f>'Grant Data'!D42</f>
        <v>9814.8593321935041</v>
      </c>
      <c r="F43" s="63"/>
      <c r="G43" s="63">
        <f>'Step 1b.  FY18  Revised'!K40</f>
        <v>0</v>
      </c>
      <c r="H43" s="63"/>
      <c r="K43" s="740"/>
      <c r="L43" s="528"/>
      <c r="M43" s="528"/>
      <c r="N43" s="743"/>
    </row>
    <row r="44" spans="1:18">
      <c r="A44" s="213" t="s">
        <v>553</v>
      </c>
      <c r="B44" s="68"/>
      <c r="C44" s="68"/>
      <c r="D44" s="68"/>
      <c r="E44" s="68">
        <f>'Grant Data'!D43</f>
        <v>0</v>
      </c>
      <c r="F44" s="68"/>
      <c r="G44" s="68">
        <f>'Step 1b.  FY18  Revised'!K41</f>
        <v>507880</v>
      </c>
      <c r="H44" s="68">
        <f>0-G44</f>
        <v>-507880</v>
      </c>
      <c r="K44" s="740"/>
      <c r="L44" s="528"/>
      <c r="M44" s="528"/>
      <c r="N44" s="734"/>
    </row>
    <row r="45" spans="1:18">
      <c r="A45" s="76" t="s">
        <v>115</v>
      </c>
      <c r="B45" s="68"/>
      <c r="C45" s="68"/>
      <c r="D45" s="68"/>
      <c r="E45" s="68">
        <f>'Grant Data'!D44</f>
        <v>19295.178938731842</v>
      </c>
      <c r="F45" s="68"/>
      <c r="G45" s="68"/>
      <c r="H45" s="68"/>
      <c r="K45" s="740"/>
      <c r="L45" s="528"/>
      <c r="M45" s="528"/>
      <c r="N45" s="744"/>
    </row>
    <row r="46" spans="1:18">
      <c r="A46" s="438" t="s">
        <v>129</v>
      </c>
      <c r="B46" s="266"/>
      <c r="C46" s="266"/>
      <c r="D46" s="266"/>
      <c r="E46" s="266">
        <f>'Grant Data'!D45</f>
        <v>0</v>
      </c>
      <c r="F46" s="266"/>
      <c r="G46" s="266">
        <f>'Step 1b.  FY18  Revised'!K42</f>
        <v>72357</v>
      </c>
      <c r="H46" s="266">
        <f>0-G46</f>
        <v>-72357</v>
      </c>
      <c r="K46" s="740"/>
      <c r="L46" s="528"/>
      <c r="M46" s="528"/>
      <c r="N46" s="744"/>
    </row>
    <row r="47" spans="1:18">
      <c r="A47" s="213" t="s">
        <v>130</v>
      </c>
      <c r="B47" s="68"/>
      <c r="C47" s="68"/>
      <c r="D47" s="68"/>
      <c r="E47" s="68">
        <f>'Grant Data'!D46</f>
        <v>11032.846691728835</v>
      </c>
      <c r="F47" s="68"/>
      <c r="G47" s="68">
        <f>'Step 1b.  FY18  Revised'!K43</f>
        <v>0</v>
      </c>
      <c r="H47" s="68"/>
      <c r="K47" s="745"/>
      <c r="L47" s="621"/>
      <c r="M47" s="621"/>
      <c r="N47" s="746"/>
    </row>
    <row r="48" spans="1:18">
      <c r="A48" s="213" t="s">
        <v>131</v>
      </c>
      <c r="B48" s="68"/>
      <c r="C48" s="68"/>
      <c r="D48" s="68"/>
      <c r="E48" s="68">
        <f>'Grant Data'!D47</f>
        <v>0</v>
      </c>
      <c r="F48" s="68"/>
      <c r="G48" s="68">
        <f>'Step 1b.  FY18  Revised'!K44</f>
        <v>0</v>
      </c>
      <c r="H48" s="68"/>
    </row>
    <row r="49" spans="1:14">
      <c r="A49" s="438" t="s">
        <v>132</v>
      </c>
      <c r="B49" s="266"/>
      <c r="C49" s="266"/>
      <c r="D49" s="266"/>
      <c r="E49" s="266">
        <f>'Grant Data'!D48</f>
        <v>0</v>
      </c>
      <c r="F49" s="266"/>
      <c r="G49" s="266">
        <f>'Step 1b.  FY18  Revised'!K45</f>
        <v>0</v>
      </c>
      <c r="H49" s="266"/>
      <c r="N49" s="624"/>
    </row>
    <row r="50" spans="1:14">
      <c r="A50" s="213" t="s">
        <v>133</v>
      </c>
      <c r="B50" s="68"/>
      <c r="C50" s="68"/>
      <c r="D50" s="68"/>
      <c r="E50" s="68">
        <f>'Grant Data'!D49</f>
        <v>0</v>
      </c>
      <c r="F50" s="68"/>
      <c r="G50" s="68">
        <f>'Step 1b.  FY18  Revised'!K46</f>
        <v>0</v>
      </c>
      <c r="H50" s="68"/>
    </row>
    <row r="51" spans="1:14">
      <c r="A51" s="213" t="s">
        <v>521</v>
      </c>
      <c r="B51" s="68"/>
      <c r="C51" s="68"/>
      <c r="D51" s="68"/>
      <c r="E51" s="68">
        <f>'Grant Data'!D50</f>
        <v>153.76930022652303</v>
      </c>
      <c r="F51" s="68"/>
      <c r="G51" s="68"/>
      <c r="H51" s="68"/>
    </row>
    <row r="52" spans="1:14">
      <c r="A52" s="457" t="s">
        <v>554</v>
      </c>
      <c r="B52" s="266"/>
      <c r="C52" s="266"/>
      <c r="D52" s="266"/>
      <c r="E52" s="266">
        <f>'Grant Data'!D51</f>
        <v>0</v>
      </c>
      <c r="F52" s="266"/>
      <c r="G52" s="266"/>
      <c r="H52" s="266"/>
    </row>
    <row r="53" spans="1:14">
      <c r="A53" s="213" t="s">
        <v>134</v>
      </c>
      <c r="B53" s="68"/>
      <c r="C53" s="68"/>
      <c r="D53" s="68"/>
      <c r="E53" s="68">
        <f>'Grant Data'!D52</f>
        <v>0</v>
      </c>
      <c r="F53" s="68"/>
      <c r="G53" s="68">
        <f>'Step 1b.  FY18  Revised'!K47</f>
        <v>0</v>
      </c>
      <c r="H53" s="68"/>
    </row>
    <row r="54" spans="1:14">
      <c r="A54" s="445" t="s">
        <v>135</v>
      </c>
      <c r="B54" s="747">
        <f t="shared" ref="B54:H54" si="3">SUM(B36:B53)</f>
        <v>1691536.992324549</v>
      </c>
      <c r="C54" s="747">
        <f t="shared" si="3"/>
        <v>0</v>
      </c>
      <c r="D54" s="747">
        <f t="shared" si="3"/>
        <v>128387</v>
      </c>
      <c r="E54" s="747">
        <f t="shared" si="3"/>
        <v>86472.73008490236</v>
      </c>
      <c r="F54" s="747">
        <f t="shared" si="3"/>
        <v>3103.9000169344245</v>
      </c>
      <c r="G54" s="747">
        <f t="shared" si="3"/>
        <v>580237</v>
      </c>
      <c r="H54" s="747">
        <f t="shared" si="3"/>
        <v>-580237</v>
      </c>
    </row>
    <row r="55" spans="1:14" ht="16.5" thickBot="1">
      <c r="A55" s="447" t="s">
        <v>136</v>
      </c>
      <c r="B55" s="448">
        <f>B6+B7+B8+B9+B10+B32+B54</f>
        <v>75838023.382972881</v>
      </c>
      <c r="C55" s="448">
        <f>C6+C7+C8+C9+C10+C32+C54</f>
        <v>41669243.617018059</v>
      </c>
      <c r="D55" s="448">
        <f>D6+D7+D8+D9+D10+D32+D54</f>
        <v>52130127</v>
      </c>
      <c r="E55" s="448">
        <f>F6+F7+F8+F9+F10+E32+E54</f>
        <v>8333848.723403614</v>
      </c>
      <c r="F55" s="448">
        <f>F6+F7+F8+F9+F10+F32+F54</f>
        <v>7500463.8510632524</v>
      </c>
      <c r="G55" s="448">
        <f>G6+G7+G8+G9+G10+G32+G54</f>
        <v>19289349</v>
      </c>
      <c r="H55" s="448">
        <f>H6+H7+H8+H9+H10+H32+H54</f>
        <v>14046045.893614452</v>
      </c>
    </row>
    <row r="56" spans="1:14" ht="16.5" thickTop="1"/>
    <row r="57" spans="1:14">
      <c r="B57" s="12">
        <f>B55-L32</f>
        <v>0</v>
      </c>
      <c r="C57" s="12">
        <f>C55-M32</f>
        <v>0</v>
      </c>
      <c r="D57" s="749">
        <f>D55-N32</f>
        <v>0</v>
      </c>
      <c r="H57" s="12">
        <f>G55+H55</f>
        <v>33335394.893614452</v>
      </c>
    </row>
    <row r="59" spans="1:14">
      <c r="H59" s="385">
        <f>B55+C55+D55+E55+F55+G55+H55</f>
        <v>218807101.46807224</v>
      </c>
    </row>
  </sheetData>
  <mergeCells count="2">
    <mergeCell ref="B4:H4"/>
    <mergeCell ref="K4:Q4"/>
  </mergeCells>
  <pageMargins left="0.75" right="0.75" top="1" bottom="1" header="0.5" footer="0.5"/>
  <pageSetup orientation="portrait" horizontalDpi="4294967292" verticalDpi="4294967292"/>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I211"/>
  <sheetViews>
    <sheetView workbookViewId="0">
      <selection activeCell="Y109" sqref="Y109"/>
    </sheetView>
  </sheetViews>
  <sheetFormatPr defaultColWidth="11" defaultRowHeight="15.75"/>
  <cols>
    <col min="1" max="1" width="18.5" customWidth="1"/>
    <col min="2" max="2" width="16.875" customWidth="1"/>
    <col min="3" max="3" width="17.625" customWidth="1"/>
    <col min="4" max="4" width="25.375" style="66" customWidth="1"/>
    <col min="5" max="5" width="19.875" customWidth="1"/>
    <col min="10" max="10" width="11" customWidth="1"/>
    <col min="11" max="14" width="11" style="66" customWidth="1"/>
    <col min="15" max="15" width="11.5" customWidth="1"/>
    <col min="23" max="24" width="12.625" customWidth="1"/>
    <col min="25" max="25" width="10" customWidth="1"/>
    <col min="26" max="26" width="9.375" customWidth="1"/>
    <col min="34" max="34" width="9.5" customWidth="1"/>
  </cols>
  <sheetData>
    <row r="1" spans="1:33">
      <c r="A1" s="10" t="s">
        <v>616</v>
      </c>
      <c r="P1" s="1" t="s">
        <v>999</v>
      </c>
    </row>
    <row r="2" spans="1:33" ht="16.5" thickBot="1">
      <c r="A2" s="10"/>
      <c r="N2" s="1133" t="s">
        <v>961</v>
      </c>
      <c r="P2" s="1" t="s">
        <v>1000</v>
      </c>
    </row>
    <row r="3" spans="1:33" ht="16.5" thickBot="1">
      <c r="A3" s="514" t="s">
        <v>348</v>
      </c>
      <c r="B3" s="515" t="s">
        <v>296</v>
      </c>
      <c r="C3" s="516" t="s">
        <v>349</v>
      </c>
      <c r="D3" s="571"/>
      <c r="E3" s="185"/>
      <c r="F3" s="185"/>
      <c r="G3" s="1136" t="s">
        <v>460</v>
      </c>
      <c r="H3" s="1137"/>
      <c r="I3" s="1137"/>
      <c r="J3" s="1127" t="s">
        <v>617</v>
      </c>
      <c r="K3" s="517"/>
      <c r="L3" s="520" t="s">
        <v>619</v>
      </c>
      <c r="M3" s="1130">
        <v>0.70499999999999996</v>
      </c>
      <c r="N3" s="525">
        <v>1</v>
      </c>
    </row>
    <row r="4" spans="1:33" ht="16.5" thickBot="1">
      <c r="A4" s="518" t="s">
        <v>299</v>
      </c>
      <c r="B4" s="519" t="s">
        <v>352</v>
      </c>
      <c r="C4" s="1622">
        <f>'Dashboard-Academic Allocation'!C30</f>
        <v>0.45</v>
      </c>
      <c r="D4" s="572"/>
      <c r="E4" s="185"/>
      <c r="F4" s="185"/>
      <c r="G4" s="185"/>
      <c r="H4" s="185"/>
      <c r="I4" s="185"/>
      <c r="J4" s="185"/>
      <c r="K4" s="186"/>
      <c r="L4" s="524" t="s">
        <v>620</v>
      </c>
      <c r="M4" s="1131">
        <v>1.0169999999999999</v>
      </c>
      <c r="N4" s="526">
        <v>1.4239999999999999</v>
      </c>
      <c r="P4" s="1263"/>
    </row>
    <row r="5" spans="1:33" ht="16.5" thickBot="1">
      <c r="A5" s="521"/>
      <c r="B5" s="522" t="s">
        <v>463</v>
      </c>
      <c r="C5" s="1623"/>
      <c r="D5" s="572"/>
      <c r="E5" s="185"/>
      <c r="F5" s="185"/>
      <c r="G5" s="1136" t="s">
        <v>618</v>
      </c>
      <c r="H5" s="1137"/>
      <c r="I5" s="1137"/>
      <c r="J5" s="1127" t="s">
        <v>617</v>
      </c>
      <c r="K5" s="185"/>
      <c r="L5" s="523" t="s">
        <v>621</v>
      </c>
      <c r="M5" s="1132">
        <v>2.0489999999999999</v>
      </c>
      <c r="N5" s="527">
        <v>2.8250000000000002</v>
      </c>
    </row>
    <row r="6" spans="1:33" ht="16.5" thickBot="1">
      <c r="A6" s="521"/>
      <c r="B6" s="522" t="s">
        <v>464</v>
      </c>
      <c r="C6" s="1623"/>
      <c r="D6" s="572"/>
      <c r="E6" s="185"/>
      <c r="F6" s="185"/>
      <c r="G6" s="185"/>
      <c r="H6" s="185"/>
      <c r="I6" s="185"/>
      <c r="J6" s="185"/>
      <c r="K6" s="185"/>
      <c r="L6" s="185"/>
      <c r="M6" s="185"/>
      <c r="N6" s="185"/>
    </row>
    <row r="7" spans="1:33" ht="16.5" thickBot="1">
      <c r="A7" s="339"/>
      <c r="B7" s="340" t="s">
        <v>301</v>
      </c>
      <c r="C7" s="1134">
        <f>'Dashboard-Academic Allocation'!C33</f>
        <v>5.0000000000000001E-3</v>
      </c>
      <c r="D7" s="573"/>
      <c r="F7" s="1138" t="s">
        <v>713</v>
      </c>
      <c r="G7" s="1139"/>
      <c r="H7" s="1139"/>
      <c r="I7" s="1139"/>
      <c r="J7" s="1129" t="s">
        <v>1254</v>
      </c>
      <c r="K7"/>
      <c r="L7"/>
      <c r="M7"/>
      <c r="N7"/>
    </row>
    <row r="8" spans="1:33" ht="16.5" thickBot="1">
      <c r="K8"/>
      <c r="L8"/>
      <c r="M8"/>
      <c r="N8"/>
    </row>
    <row r="9" spans="1:33" ht="16.5" thickBot="1">
      <c r="E9" s="10"/>
      <c r="F9" s="1138" t="s">
        <v>1122</v>
      </c>
      <c r="G9" s="1139"/>
      <c r="H9" s="1139"/>
      <c r="I9" s="1139"/>
      <c r="J9" s="1129" t="s">
        <v>1254</v>
      </c>
      <c r="K9"/>
      <c r="L9"/>
      <c r="M9"/>
      <c r="N9"/>
    </row>
    <row r="10" spans="1:33" ht="16.5" thickBot="1">
      <c r="Q10" s="10" t="s">
        <v>651</v>
      </c>
      <c r="Z10" s="10" t="s">
        <v>997</v>
      </c>
    </row>
    <row r="11" spans="1:33" ht="16.5" thickBot="1">
      <c r="A11" s="575" t="s">
        <v>658</v>
      </c>
      <c r="B11" s="576"/>
      <c r="C11" s="1135">
        <f>'Dashboard-Academic Allocation'!D30</f>
        <v>75004638.510632515</v>
      </c>
      <c r="F11" s="1337" t="s">
        <v>1137</v>
      </c>
      <c r="G11" s="1338"/>
      <c r="H11" s="1338"/>
      <c r="I11" s="1338"/>
      <c r="J11" s="1406" t="str">
        <f>'Dashboard-Academic Allocation'!C21</f>
        <v>yes</v>
      </c>
      <c r="U11" s="550"/>
      <c r="V11" s="550"/>
    </row>
    <row r="12" spans="1:33" ht="25.5">
      <c r="Q12" s="528"/>
      <c r="R12" s="529" t="s">
        <v>622</v>
      </c>
      <c r="S12" s="529" t="s">
        <v>623</v>
      </c>
      <c r="T12" s="529" t="s">
        <v>624</v>
      </c>
      <c r="U12" s="529" t="s">
        <v>645</v>
      </c>
      <c r="V12" s="529" t="s">
        <v>1065</v>
      </c>
      <c r="W12" s="529" t="s">
        <v>1066</v>
      </c>
      <c r="X12" s="529" t="s">
        <v>1308</v>
      </c>
      <c r="Z12" s="668"/>
      <c r="AA12" s="669" t="s">
        <v>622</v>
      </c>
      <c r="AB12" s="669" t="s">
        <v>623</v>
      </c>
      <c r="AC12" s="670" t="s">
        <v>624</v>
      </c>
      <c r="AD12" s="669" t="s">
        <v>645</v>
      </c>
      <c r="AE12" s="553" t="s">
        <v>1065</v>
      </c>
      <c r="AF12" s="553" t="s">
        <v>1066</v>
      </c>
      <c r="AG12" s="553" t="s">
        <v>1066</v>
      </c>
    </row>
    <row r="13" spans="1:33">
      <c r="Q13" s="530"/>
      <c r="R13" s="185"/>
      <c r="S13" s="185"/>
      <c r="T13" s="185"/>
      <c r="U13" s="185"/>
      <c r="V13" s="185"/>
    </row>
    <row r="14" spans="1:33" ht="25.5">
      <c r="Q14" s="530" t="s">
        <v>646</v>
      </c>
      <c r="R14" s="1462">
        <v>865378</v>
      </c>
      <c r="S14" s="1462">
        <v>881265</v>
      </c>
      <c r="T14" s="1462">
        <v>876229</v>
      </c>
      <c r="U14" s="1462">
        <f>SUM(U16,U37,U59,U82,U103,U129,U152)</f>
        <v>873172.45874806133</v>
      </c>
      <c r="V14" s="1462">
        <f>SUM(V16,V37,V59,V82,V103,V129,V152)</f>
        <v>867355</v>
      </c>
      <c r="W14" s="1462">
        <f>SUM(W16,W37,W59,W82,W103,W129,W152)</f>
        <v>866417.14200707362</v>
      </c>
      <c r="X14" s="1462">
        <f>SUM(X16,X37,X59,X82,X103,X129,X152)</f>
        <v>862385</v>
      </c>
    </row>
    <row r="15" spans="1:33">
      <c r="Q15" s="530"/>
      <c r="R15" s="530"/>
      <c r="S15" s="530"/>
      <c r="T15" s="530"/>
      <c r="U15" s="530"/>
      <c r="V15" s="530"/>
    </row>
    <row r="16" spans="1:33" ht="38.25">
      <c r="Q16" s="1458" t="s">
        <v>626</v>
      </c>
      <c r="R16" s="1459">
        <v>17924</v>
      </c>
      <c r="S16" s="1459">
        <v>17893</v>
      </c>
      <c r="T16" s="1459">
        <v>17643</v>
      </c>
      <c r="U16" s="1460">
        <v>16900.646210539722</v>
      </c>
      <c r="V16" s="1459">
        <v>16910</v>
      </c>
      <c r="W16" s="1460">
        <v>16309.562271294364</v>
      </c>
      <c r="X16" s="1461">
        <v>16075</v>
      </c>
      <c r="Z16" s="1458" t="s">
        <v>715</v>
      </c>
      <c r="AA16" s="1459">
        <v>82</v>
      </c>
      <c r="AB16" s="1459">
        <v>86</v>
      </c>
      <c r="AC16" s="1459">
        <v>166</v>
      </c>
      <c r="AD16" s="1459">
        <v>195.33333333333331</v>
      </c>
      <c r="AE16" s="256"/>
      <c r="AF16" s="256"/>
      <c r="AG16" s="256"/>
    </row>
    <row r="17" spans="1:61">
      <c r="A17" s="1140" t="s">
        <v>996</v>
      </c>
      <c r="B17" s="1140"/>
      <c r="C17" s="1140"/>
      <c r="E17" s="554" t="s">
        <v>654</v>
      </c>
      <c r="F17" s="554"/>
      <c r="G17" s="554"/>
      <c r="H17" s="554"/>
      <c r="I17" s="554"/>
      <c r="J17" s="554"/>
      <c r="K17" s="554"/>
      <c r="L17" s="554"/>
      <c r="M17" s="554"/>
      <c r="N17" s="554"/>
      <c r="Q17" s="530"/>
      <c r="R17" s="530"/>
      <c r="S17" s="530"/>
      <c r="T17" s="530"/>
      <c r="U17" s="1254"/>
      <c r="V17" s="530"/>
      <c r="W17" s="1254"/>
      <c r="X17" s="530"/>
      <c r="Z17" s="185"/>
      <c r="AA17" s="603"/>
      <c r="AB17" s="603"/>
      <c r="AC17" s="603"/>
      <c r="AD17" s="603"/>
    </row>
    <row r="18" spans="1:61" ht="25.5">
      <c r="A18" s="555"/>
      <c r="B18" s="556" t="s">
        <v>655</v>
      </c>
      <c r="C18" s="556" t="s">
        <v>1146</v>
      </c>
      <c r="D18" s="574"/>
      <c r="E18" s="555"/>
      <c r="F18" s="556" t="s">
        <v>1009</v>
      </c>
      <c r="G18" s="556"/>
      <c r="H18" s="556"/>
      <c r="I18" s="555"/>
      <c r="J18" s="556" t="s">
        <v>1146</v>
      </c>
      <c r="K18" s="556"/>
      <c r="L18" s="556"/>
      <c r="M18" s="1328"/>
      <c r="N18" s="1328"/>
      <c r="O18" s="1328"/>
      <c r="Q18" s="535" t="s">
        <v>627</v>
      </c>
      <c r="R18" s="536"/>
      <c r="S18" s="536"/>
      <c r="T18" s="536"/>
      <c r="U18" s="1255"/>
      <c r="V18" s="536"/>
      <c r="W18" s="1255"/>
      <c r="X18" s="536"/>
      <c r="Z18" s="667" t="s">
        <v>716</v>
      </c>
      <c r="AA18" s="536"/>
      <c r="AB18" s="536"/>
      <c r="AC18" s="536"/>
      <c r="AD18" s="663"/>
    </row>
    <row r="19" spans="1:61">
      <c r="A19" s="557" t="s">
        <v>628</v>
      </c>
      <c r="B19" s="531">
        <f>F19*C$11</f>
        <v>4024438.4783365284</v>
      </c>
      <c r="C19" s="531">
        <f>J19*C$11</f>
        <v>4331576.5524727805</v>
      </c>
      <c r="D19" s="939">
        <v>3672854.8425628347</v>
      </c>
      <c r="E19" s="557" t="s">
        <v>628</v>
      </c>
      <c r="F19" s="568">
        <f>(F41+G41+H41)/(F$59+G$59+H$59)</f>
        <v>5.3655861267380575E-2</v>
      </c>
      <c r="G19" s="558"/>
      <c r="H19" s="558"/>
      <c r="I19" s="227"/>
      <c r="J19" s="568">
        <f>(J41+K41+L41)/(J$59+K$59+L$59)</f>
        <v>5.7750782331398666E-2</v>
      </c>
      <c r="K19" s="558"/>
      <c r="L19" s="558"/>
      <c r="M19" s="1330"/>
      <c r="N19" s="1330"/>
      <c r="Q19" s="557" t="s">
        <v>628</v>
      </c>
      <c r="R19" s="531">
        <v>5785</v>
      </c>
      <c r="S19" s="531">
        <v>5765</v>
      </c>
      <c r="T19" s="531">
        <v>6174</v>
      </c>
      <c r="U19" s="1253">
        <v>5498.4171346176427</v>
      </c>
      <c r="V19" s="531">
        <v>5433</v>
      </c>
      <c r="W19" s="1253">
        <v>4647.817598969621</v>
      </c>
      <c r="X19" s="531">
        <v>4824</v>
      </c>
      <c r="Z19" s="1463" t="s">
        <v>628</v>
      </c>
      <c r="AA19" s="1464">
        <v>1518</v>
      </c>
      <c r="AB19" s="1464">
        <v>2161</v>
      </c>
      <c r="AC19" s="1464">
        <v>2920</v>
      </c>
      <c r="AD19" s="1465">
        <v>4726.4918310848134</v>
      </c>
      <c r="AE19" s="1466"/>
      <c r="AF19" s="1466"/>
      <c r="AG19" s="1466"/>
    </row>
    <row r="20" spans="1:61">
      <c r="A20" s="557" t="s">
        <v>6</v>
      </c>
      <c r="B20" s="531">
        <f t="shared" ref="B20:B30" si="0">F20*C$11</f>
        <v>5738793.3079502108</v>
      </c>
      <c r="C20" s="531">
        <f t="shared" ref="C20:C30" si="1">J20*C$11</f>
        <v>5960801.3044398734</v>
      </c>
      <c r="D20" s="939">
        <v>5608205.103754065</v>
      </c>
      <c r="E20" s="557" t="s">
        <v>6</v>
      </c>
      <c r="F20" s="568">
        <f t="shared" ref="F20:F30" si="2">(F42+G42+H42)/(F$59+G$59+H$59)</f>
        <v>7.6512512051327197E-2</v>
      </c>
      <c r="G20" s="558"/>
      <c r="H20" s="558"/>
      <c r="I20" s="227"/>
      <c r="J20" s="568">
        <f t="shared" ref="J20:J30" si="3">(J42+K42+L42)/(J$59+K$59+L$59)</f>
        <v>7.9472435609364095E-2</v>
      </c>
      <c r="K20" s="558"/>
      <c r="L20" s="558"/>
      <c r="M20" s="1330"/>
      <c r="N20" s="1330"/>
      <c r="Q20" s="557" t="s">
        <v>6</v>
      </c>
      <c r="R20" s="531">
        <v>4346</v>
      </c>
      <c r="S20" s="531">
        <v>3582</v>
      </c>
      <c r="T20" s="531">
        <v>2750</v>
      </c>
      <c r="U20" s="1253">
        <v>4246.9839901477835</v>
      </c>
      <c r="V20" s="531">
        <v>4569</v>
      </c>
      <c r="W20" s="1253">
        <v>4702.4136406175803</v>
      </c>
      <c r="X20" s="531">
        <v>4139</v>
      </c>
      <c r="Z20" s="1463" t="s">
        <v>6</v>
      </c>
      <c r="AA20" s="1464">
        <v>1480</v>
      </c>
      <c r="AB20" s="1464">
        <v>1339</v>
      </c>
      <c r="AC20" s="1464">
        <v>1574</v>
      </c>
      <c r="AD20" s="1465">
        <v>2496.8325279780247</v>
      </c>
      <c r="AE20" s="1466"/>
      <c r="AF20" s="1466"/>
      <c r="AG20" s="1466"/>
      <c r="BB20" s="10"/>
      <c r="BC20" s="10"/>
      <c r="BD20" s="10"/>
      <c r="BE20" s="10"/>
      <c r="BF20" s="10"/>
      <c r="BG20" s="10"/>
      <c r="BH20" s="10"/>
      <c r="BI20" s="10"/>
    </row>
    <row r="21" spans="1:61">
      <c r="A21" s="557" t="s">
        <v>8</v>
      </c>
      <c r="B21" s="531">
        <f t="shared" si="0"/>
        <v>1258705.7177443164</v>
      </c>
      <c r="C21" s="531">
        <f t="shared" si="1"/>
        <v>1165647.3542221715</v>
      </c>
      <c r="D21" s="939">
        <v>1124568.0254932032</v>
      </c>
      <c r="E21" s="557" t="s">
        <v>8</v>
      </c>
      <c r="F21" s="568">
        <f t="shared" si="2"/>
        <v>1.6781705008362711E-2</v>
      </c>
      <c r="G21" s="558"/>
      <c r="H21" s="558"/>
      <c r="I21" s="227"/>
      <c r="J21" s="568">
        <f t="shared" si="3"/>
        <v>1.5541003561492154E-2</v>
      </c>
      <c r="K21" s="558"/>
      <c r="L21" s="558"/>
      <c r="M21" s="1330"/>
      <c r="N21" s="1330"/>
      <c r="Q21" s="557" t="s">
        <v>8</v>
      </c>
      <c r="R21" s="531">
        <v>42</v>
      </c>
      <c r="S21" s="531">
        <v>9</v>
      </c>
      <c r="T21" s="531">
        <v>21</v>
      </c>
      <c r="U21" s="1253">
        <v>24</v>
      </c>
      <c r="V21" s="531">
        <v>54</v>
      </c>
      <c r="W21" s="1253">
        <v>28</v>
      </c>
      <c r="X21" s="531">
        <v>36</v>
      </c>
      <c r="Z21" s="1463" t="s">
        <v>8</v>
      </c>
      <c r="AA21" s="1467">
        <v>0</v>
      </c>
      <c r="AB21" s="1467">
        <v>0</v>
      </c>
      <c r="AC21" s="1467">
        <v>0</v>
      </c>
      <c r="AD21" s="1468">
        <v>0</v>
      </c>
      <c r="AE21" s="1466"/>
      <c r="AF21" s="1466"/>
      <c r="AG21" s="1466"/>
    </row>
    <row r="22" spans="1:61">
      <c r="A22" s="559" t="s">
        <v>2</v>
      </c>
      <c r="B22" s="539">
        <f t="shared" si="0"/>
        <v>927023.50797516794</v>
      </c>
      <c r="C22" s="539">
        <f t="shared" si="1"/>
        <v>1061163.8734789419</v>
      </c>
      <c r="D22" s="939">
        <v>1011825.2604591444</v>
      </c>
      <c r="E22" s="559" t="s">
        <v>2</v>
      </c>
      <c r="F22" s="570">
        <f t="shared" si="2"/>
        <v>1.2359549041007042E-2</v>
      </c>
      <c r="G22" s="560"/>
      <c r="H22" s="560"/>
      <c r="I22" s="227"/>
      <c r="J22" s="570">
        <f t="shared" si="3"/>
        <v>1.4147976639184965E-2</v>
      </c>
      <c r="K22" s="560"/>
      <c r="L22" s="560"/>
      <c r="M22" s="1330"/>
      <c r="N22" s="1330"/>
      <c r="Q22" s="559" t="s">
        <v>2</v>
      </c>
      <c r="R22" s="539">
        <v>2182</v>
      </c>
      <c r="S22" s="539">
        <v>1976</v>
      </c>
      <c r="T22" s="539">
        <v>1439</v>
      </c>
      <c r="U22" s="1256">
        <v>1620.5858679300145</v>
      </c>
      <c r="V22" s="539">
        <v>1331</v>
      </c>
      <c r="W22" s="1256">
        <v>1251.3310867913954</v>
      </c>
      <c r="X22" s="539">
        <v>1022</v>
      </c>
      <c r="Z22" s="1469" t="s">
        <v>2</v>
      </c>
      <c r="AA22" s="1464">
        <v>323</v>
      </c>
      <c r="AB22" s="1464">
        <v>441</v>
      </c>
      <c r="AC22" s="1464">
        <v>587</v>
      </c>
      <c r="AD22" s="1468">
        <v>450.33333333333331</v>
      </c>
      <c r="AE22" s="1466"/>
      <c r="AF22" s="1466"/>
      <c r="AG22" s="1466"/>
    </row>
    <row r="23" spans="1:61" s="10" customFormat="1" ht="15.95" customHeight="1">
      <c r="A23" s="557" t="s">
        <v>10</v>
      </c>
      <c r="B23" s="531">
        <f t="shared" si="0"/>
        <v>150712.0889991108</v>
      </c>
      <c r="C23" s="531">
        <f t="shared" si="1"/>
        <v>153675.4160023297</v>
      </c>
      <c r="D23" s="939">
        <v>156390.65352923804</v>
      </c>
      <c r="E23" s="557" t="s">
        <v>10</v>
      </c>
      <c r="F23" s="568">
        <f t="shared" si="2"/>
        <v>2.0093702468514151E-3</v>
      </c>
      <c r="G23" s="561"/>
      <c r="H23" s="561"/>
      <c r="I23" s="227"/>
      <c r="J23" s="568">
        <f t="shared" si="3"/>
        <v>2.0488788300812217E-3</v>
      </c>
      <c r="K23" s="558"/>
      <c r="L23" s="558"/>
      <c r="M23" s="1330"/>
      <c r="N23" s="1330"/>
      <c r="O23"/>
      <c r="P23"/>
      <c r="Q23" s="557" t="s">
        <v>10</v>
      </c>
      <c r="R23" s="530">
        <v>0</v>
      </c>
      <c r="S23" s="530">
        <v>2</v>
      </c>
      <c r="T23" s="530">
        <v>0</v>
      </c>
      <c r="U23" s="1253">
        <v>0.66666666666666663</v>
      </c>
      <c r="V23" s="531">
        <v>2</v>
      </c>
      <c r="W23" s="1253">
        <v>1.3333333333333333</v>
      </c>
      <c r="X23" s="531">
        <v>0</v>
      </c>
      <c r="Y23"/>
      <c r="Z23" s="1463" t="s">
        <v>10</v>
      </c>
      <c r="AA23" s="1464">
        <v>266</v>
      </c>
      <c r="AB23" s="1464">
        <v>248</v>
      </c>
      <c r="AC23" s="1464">
        <v>164</v>
      </c>
      <c r="AD23" s="1468">
        <v>226</v>
      </c>
      <c r="AE23" s="1466"/>
      <c r="AF23" s="1466"/>
      <c r="AG23" s="1466"/>
      <c r="AH23"/>
      <c r="AI23"/>
      <c r="AJ23"/>
      <c r="AK23"/>
      <c r="AL23"/>
      <c r="AM23"/>
      <c r="AN23"/>
      <c r="AO23"/>
      <c r="AP23"/>
      <c r="AQ23"/>
      <c r="AR23"/>
      <c r="AS23"/>
      <c r="AT23"/>
      <c r="AU23"/>
      <c r="AV23"/>
      <c r="AW23"/>
      <c r="AX23"/>
      <c r="AY23"/>
      <c r="AZ23"/>
      <c r="BA23"/>
      <c r="BB23"/>
      <c r="BC23"/>
      <c r="BD23"/>
      <c r="BE23"/>
      <c r="BF23"/>
      <c r="BG23"/>
      <c r="BH23"/>
      <c r="BI23"/>
    </row>
    <row r="24" spans="1:61">
      <c r="A24" s="557" t="s">
        <v>4</v>
      </c>
      <c r="B24" s="531">
        <f t="shared" si="0"/>
        <v>23764655.333903197</v>
      </c>
      <c r="C24" s="531">
        <f t="shared" si="1"/>
        <v>23792580.12266621</v>
      </c>
      <c r="D24" s="939">
        <v>23695757.972850252</v>
      </c>
      <c r="E24" s="557" t="s">
        <v>4</v>
      </c>
      <c r="F24" s="568">
        <f t="shared" si="2"/>
        <v>0.31684247542282823</v>
      </c>
      <c r="G24" s="558"/>
      <c r="H24" s="558"/>
      <c r="I24" s="227"/>
      <c r="J24" s="568">
        <f t="shared" si="3"/>
        <v>0.3172147829136383</v>
      </c>
      <c r="K24" s="558"/>
      <c r="L24" s="558"/>
      <c r="M24" s="1330"/>
      <c r="N24" s="1330"/>
      <c r="Q24" s="557" t="s">
        <v>4</v>
      </c>
      <c r="R24" s="531">
        <v>32887</v>
      </c>
      <c r="S24" s="531">
        <v>32914</v>
      </c>
      <c r="T24" s="531">
        <v>32718</v>
      </c>
      <c r="U24" s="1253">
        <v>33588.783948295953</v>
      </c>
      <c r="V24" s="531">
        <v>32912</v>
      </c>
      <c r="W24" s="1253">
        <v>32449.498166949172</v>
      </c>
      <c r="X24" s="531">
        <v>32732</v>
      </c>
      <c r="Z24" s="1463" t="s">
        <v>4</v>
      </c>
      <c r="AA24" s="1464">
        <v>4122</v>
      </c>
      <c r="AB24" s="1464">
        <v>4163</v>
      </c>
      <c r="AC24" s="1464">
        <v>4795</v>
      </c>
      <c r="AD24" s="1465">
        <v>5999.9663052468359</v>
      </c>
      <c r="AE24" s="1466"/>
      <c r="AF24" s="1466"/>
      <c r="AG24" s="1466"/>
    </row>
    <row r="25" spans="1:61">
      <c r="A25" s="557" t="s">
        <v>14</v>
      </c>
      <c r="B25" s="531">
        <f t="shared" si="0"/>
        <v>303297.73094663018</v>
      </c>
      <c r="C25" s="531">
        <f t="shared" si="1"/>
        <v>328811.79807451478</v>
      </c>
      <c r="D25" s="939">
        <v>312475.77958478173</v>
      </c>
      <c r="E25" s="557" t="s">
        <v>14</v>
      </c>
      <c r="F25" s="568">
        <f t="shared" si="2"/>
        <v>4.0437196548002196E-3</v>
      </c>
      <c r="G25" s="561"/>
      <c r="H25" s="561"/>
      <c r="I25" s="227"/>
      <c r="J25" s="568">
        <f t="shared" si="3"/>
        <v>4.3838861782915335E-3</v>
      </c>
      <c r="K25" s="558"/>
      <c r="L25" s="558"/>
      <c r="M25" s="1330"/>
      <c r="N25" s="1330"/>
      <c r="Q25" s="557" t="s">
        <v>14</v>
      </c>
      <c r="R25" s="530">
        <v>0</v>
      </c>
      <c r="S25" s="530">
        <v>0</v>
      </c>
      <c r="T25" s="530">
        <v>0</v>
      </c>
      <c r="U25" s="1254">
        <v>0</v>
      </c>
      <c r="V25" s="530">
        <v>0</v>
      </c>
      <c r="W25" s="1254">
        <v>0</v>
      </c>
      <c r="X25" s="530">
        <v>0</v>
      </c>
      <c r="Z25" s="1463" t="s">
        <v>14</v>
      </c>
      <c r="AA25" s="1470">
        <v>0</v>
      </c>
      <c r="AB25" s="1470">
        <v>0</v>
      </c>
      <c r="AC25" s="1470">
        <v>0</v>
      </c>
      <c r="AD25" s="1468">
        <v>0</v>
      </c>
      <c r="AE25" s="1466"/>
      <c r="AF25" s="1466"/>
      <c r="AG25" s="1466"/>
    </row>
    <row r="26" spans="1:61">
      <c r="A26" s="559" t="s">
        <v>17</v>
      </c>
      <c r="B26" s="539">
        <f t="shared" si="0"/>
        <v>20318059.765146073</v>
      </c>
      <c r="C26" s="539">
        <f t="shared" si="1"/>
        <v>21420389.981093019</v>
      </c>
      <c r="D26" s="939">
        <v>20354691.902229175</v>
      </c>
      <c r="E26" s="559" t="s">
        <v>17</v>
      </c>
      <c r="F26" s="570">
        <f t="shared" si="2"/>
        <v>0.27089070980944496</v>
      </c>
      <c r="G26" s="560"/>
      <c r="H26" s="560"/>
      <c r="I26" s="227"/>
      <c r="J26" s="570">
        <f t="shared" si="3"/>
        <v>0.28558753707021073</v>
      </c>
      <c r="K26" s="560"/>
      <c r="L26" s="560"/>
      <c r="M26" s="1330"/>
      <c r="N26" s="1330"/>
      <c r="Q26" s="559" t="s">
        <v>17</v>
      </c>
      <c r="R26" s="539">
        <v>31539</v>
      </c>
      <c r="S26" s="539">
        <v>30684</v>
      </c>
      <c r="T26" s="539">
        <v>30994</v>
      </c>
      <c r="U26" s="1256">
        <v>29243.245438444581</v>
      </c>
      <c r="V26" s="539">
        <v>29787</v>
      </c>
      <c r="W26" s="1256">
        <v>31833.238539842147</v>
      </c>
      <c r="X26" s="539">
        <v>33123</v>
      </c>
      <c r="Z26" s="1469" t="s">
        <v>17</v>
      </c>
      <c r="AA26" s="1464">
        <v>13794</v>
      </c>
      <c r="AB26" s="1464">
        <v>14306</v>
      </c>
      <c r="AC26" s="1464">
        <v>15873</v>
      </c>
      <c r="AD26" s="1465">
        <v>18600.718573408147</v>
      </c>
      <c r="AE26" s="1466"/>
      <c r="AF26" s="1466"/>
      <c r="AG26" s="1466"/>
    </row>
    <row r="27" spans="1:61">
      <c r="A27" s="557" t="s">
        <v>376</v>
      </c>
      <c r="B27" s="531">
        <f t="shared" si="0"/>
        <v>68676.483002315246</v>
      </c>
      <c r="C27" s="531">
        <f t="shared" si="1"/>
        <v>230774.59550508394</v>
      </c>
      <c r="D27" s="939">
        <v>153545.10627343011</v>
      </c>
      <c r="E27" s="557" t="s">
        <v>376</v>
      </c>
      <c r="F27" s="568">
        <f t="shared" si="2"/>
        <v>9.1562981124933762E-4</v>
      </c>
      <c r="G27" s="561"/>
      <c r="H27" s="561"/>
      <c r="I27" s="227"/>
      <c r="J27" s="568">
        <f t="shared" si="3"/>
        <v>3.0768043162073206E-3</v>
      </c>
      <c r="K27" s="558"/>
      <c r="L27" s="558"/>
      <c r="M27" s="1330"/>
      <c r="N27" s="1330"/>
      <c r="Q27" s="557" t="s">
        <v>376</v>
      </c>
      <c r="R27" s="530">
        <v>0</v>
      </c>
      <c r="S27" s="530">
        <v>0</v>
      </c>
      <c r="T27" s="530">
        <v>0</v>
      </c>
      <c r="U27" s="1254">
        <v>0</v>
      </c>
      <c r="V27" s="530">
        <v>0</v>
      </c>
      <c r="W27" s="1254">
        <v>0</v>
      </c>
      <c r="X27" s="530">
        <v>0</v>
      </c>
      <c r="Z27" s="1463" t="s">
        <v>376</v>
      </c>
      <c r="AA27" s="1470">
        <v>0</v>
      </c>
      <c r="AB27" s="1470">
        <v>0</v>
      </c>
      <c r="AC27" s="1470">
        <v>0</v>
      </c>
      <c r="AD27" s="1468">
        <v>0</v>
      </c>
      <c r="AE27" s="1466"/>
      <c r="AF27" s="1466"/>
      <c r="AG27" s="1466"/>
    </row>
    <row r="28" spans="1:61">
      <c r="A28" s="557" t="s">
        <v>7</v>
      </c>
      <c r="B28" s="531">
        <f t="shared" si="0"/>
        <v>5420692.5282866471</v>
      </c>
      <c r="C28" s="531">
        <f t="shared" si="1"/>
        <v>6052088.8232251694</v>
      </c>
      <c r="D28" s="939">
        <v>5524864.0874023903</v>
      </c>
      <c r="E28" s="557" t="s">
        <v>7</v>
      </c>
      <c r="F28" s="568">
        <f t="shared" si="2"/>
        <v>7.2271430619830532E-2</v>
      </c>
      <c r="G28" s="558"/>
      <c r="H28" s="558"/>
      <c r="I28" s="227"/>
      <c r="J28" s="568">
        <f t="shared" si="3"/>
        <v>8.068952725326764E-2</v>
      </c>
      <c r="K28" s="558"/>
      <c r="L28" s="558"/>
      <c r="M28" s="1330"/>
      <c r="N28" s="1330"/>
      <c r="Q28" s="557" t="s">
        <v>7</v>
      </c>
      <c r="R28" s="531">
        <v>2732</v>
      </c>
      <c r="S28" s="531">
        <v>2093</v>
      </c>
      <c r="T28" s="531">
        <v>2409</v>
      </c>
      <c r="U28" s="1253">
        <v>2834.5123119521782</v>
      </c>
      <c r="V28" s="531">
        <v>3226</v>
      </c>
      <c r="W28" s="1253">
        <v>2391.4642701098965</v>
      </c>
      <c r="X28" s="531">
        <v>3048</v>
      </c>
      <c r="Z28" s="1463" t="s">
        <v>7</v>
      </c>
      <c r="AA28" s="1464">
        <v>1693</v>
      </c>
      <c r="AB28" s="1464">
        <v>2546</v>
      </c>
      <c r="AC28" s="1464">
        <v>3170</v>
      </c>
      <c r="AD28" s="1465">
        <v>3493.2690022812258</v>
      </c>
      <c r="AE28" s="1466"/>
      <c r="AF28" s="1466"/>
      <c r="AG28" s="1466"/>
    </row>
    <row r="29" spans="1:61">
      <c r="A29" s="557" t="s">
        <v>9</v>
      </c>
      <c r="B29" s="531">
        <f t="shared" si="0"/>
        <v>7199986.9047532845</v>
      </c>
      <c r="C29" s="531">
        <f t="shared" si="1"/>
        <v>5031572.9526587632</v>
      </c>
      <c r="D29" s="939">
        <v>7328225.6266477304</v>
      </c>
      <c r="E29" s="557" t="s">
        <v>9</v>
      </c>
      <c r="F29" s="568">
        <f>(F51+G51+H51+F53)/(F$59+G$59+H$59)</f>
        <v>9.5993888481078787E-2</v>
      </c>
      <c r="G29" s="558"/>
      <c r="H29" s="558"/>
      <c r="I29" s="227"/>
      <c r="J29" s="568">
        <f>(J51+K51+L51+J53)/(J$59+K$59+L$59)</f>
        <v>6.7083490468999418E-2</v>
      </c>
      <c r="K29" s="558"/>
      <c r="L29" s="558"/>
      <c r="M29" s="1330"/>
      <c r="N29" s="1330"/>
      <c r="Q29" s="557" t="s">
        <v>9</v>
      </c>
      <c r="R29" s="531">
        <v>11867</v>
      </c>
      <c r="S29" s="531">
        <v>13315</v>
      </c>
      <c r="T29" s="531">
        <v>13288</v>
      </c>
      <c r="U29" s="1253">
        <v>11370.957630347148</v>
      </c>
      <c r="V29" s="531">
        <v>10814</v>
      </c>
      <c r="W29" s="1253">
        <v>9898.7898425948224</v>
      </c>
      <c r="X29" s="531">
        <v>9294</v>
      </c>
      <c r="Z29" s="1463" t="s">
        <v>9</v>
      </c>
      <c r="AA29" s="1464">
        <v>1903</v>
      </c>
      <c r="AB29" s="1464">
        <v>2544</v>
      </c>
      <c r="AC29" s="1464">
        <v>2706</v>
      </c>
      <c r="AD29" s="1465">
        <v>3445.9345309301316</v>
      </c>
      <c r="AE29" s="1466"/>
      <c r="AF29" s="1466"/>
      <c r="AG29" s="1466"/>
    </row>
    <row r="30" spans="1:61">
      <c r="A30" s="559" t="s">
        <v>5</v>
      </c>
      <c r="B30" s="539">
        <f t="shared" si="0"/>
        <v>2813266.3386287862</v>
      </c>
      <c r="C30" s="539">
        <f t="shared" si="1"/>
        <v>2777880.2535279235</v>
      </c>
      <c r="D30" s="939">
        <v>2773950.3504637061</v>
      </c>
      <c r="E30" s="559" t="s">
        <v>5</v>
      </c>
      <c r="F30" s="570">
        <f t="shared" si="2"/>
        <v>3.7507898104594997E-2</v>
      </c>
      <c r="G30" s="560"/>
      <c r="H30" s="560"/>
      <c r="I30" s="227"/>
      <c r="J30" s="570">
        <f t="shared" si="3"/>
        <v>3.7036112814997919E-2</v>
      </c>
      <c r="K30" s="560"/>
      <c r="L30" s="560"/>
      <c r="M30" s="1330"/>
      <c r="N30" s="1330"/>
      <c r="Q30" s="559" t="s">
        <v>5</v>
      </c>
      <c r="R30" s="539">
        <v>1030</v>
      </c>
      <c r="S30" s="539">
        <v>830</v>
      </c>
      <c r="T30" s="539">
        <v>1032</v>
      </c>
      <c r="U30" s="1256">
        <v>1194.7276877420013</v>
      </c>
      <c r="V30" s="539">
        <v>1194</v>
      </c>
      <c r="W30" s="1256">
        <v>1670.6529011308405</v>
      </c>
      <c r="X30" s="539">
        <v>1568</v>
      </c>
      <c r="Z30" s="1469" t="s">
        <v>5</v>
      </c>
      <c r="AA30" s="1464">
        <v>1481</v>
      </c>
      <c r="AB30" s="1464">
        <v>1726</v>
      </c>
      <c r="AC30" s="1464">
        <v>1789</v>
      </c>
      <c r="AD30" s="1464"/>
      <c r="AE30" s="1466"/>
      <c r="AF30" s="1466"/>
      <c r="AG30" s="1466"/>
    </row>
    <row r="31" spans="1:61">
      <c r="A31" s="557"/>
      <c r="B31" s="548"/>
      <c r="C31" s="548"/>
      <c r="E31" s="557"/>
      <c r="F31" s="561"/>
      <c r="G31" s="561"/>
      <c r="H31" s="561"/>
      <c r="I31" s="227"/>
      <c r="J31" s="558"/>
      <c r="K31" s="558"/>
      <c r="L31" s="558"/>
      <c r="M31" s="558"/>
      <c r="N31" s="558"/>
      <c r="Q31" s="537"/>
      <c r="R31" s="530"/>
      <c r="S31" s="530"/>
      <c r="T31" s="530"/>
      <c r="U31" s="1254"/>
      <c r="V31" s="530"/>
      <c r="W31" s="1254"/>
      <c r="X31" s="530"/>
      <c r="Z31" s="1463"/>
      <c r="AA31" s="1470"/>
      <c r="AB31" s="1470"/>
      <c r="AC31" s="1470"/>
      <c r="AD31" s="1464"/>
      <c r="AE31" s="1466"/>
      <c r="AF31" s="1466"/>
      <c r="AG31" s="1466"/>
    </row>
    <row r="32" spans="1:61">
      <c r="A32" s="557" t="s">
        <v>631</v>
      </c>
      <c r="B32" s="531">
        <f>F32*C$11</f>
        <v>329629.16969893244</v>
      </c>
      <c r="C32" s="531">
        <f>J32*C$11</f>
        <v>308754.01179729606</v>
      </c>
      <c r="D32" s="939">
        <v>309084.98338644544</v>
      </c>
      <c r="E32" s="557" t="s">
        <v>631</v>
      </c>
      <c r="F32" s="568">
        <f>(F54+G54+H54)/(F$59+G$59+H$59)</f>
        <v>4.3947837926344357E-3</v>
      </c>
      <c r="G32" s="561"/>
      <c r="H32" s="561"/>
      <c r="I32" s="227"/>
      <c r="J32" s="568">
        <f>(J54+K54+L54)/(J$59+K$59+L$59)</f>
        <v>4.1164655670399329E-3</v>
      </c>
      <c r="K32" s="558"/>
      <c r="L32" s="558"/>
      <c r="M32" s="1330"/>
      <c r="N32" s="1330"/>
      <c r="Q32" s="557" t="s">
        <v>631</v>
      </c>
      <c r="R32" s="530">
        <v>0</v>
      </c>
      <c r="S32" s="530">
        <v>0</v>
      </c>
      <c r="T32" s="530">
        <v>0</v>
      </c>
      <c r="U32" s="1254"/>
      <c r="V32" s="530">
        <v>0</v>
      </c>
      <c r="W32" s="1254"/>
      <c r="X32" s="530"/>
      <c r="Z32" s="1463" t="s">
        <v>631</v>
      </c>
      <c r="AA32" s="1470"/>
      <c r="AB32" s="1470"/>
      <c r="AC32" s="1470"/>
      <c r="AD32" s="1464"/>
      <c r="AE32" s="1466"/>
      <c r="AF32" s="1466"/>
      <c r="AG32" s="1466"/>
    </row>
    <row r="33" spans="1:61">
      <c r="A33" s="557" t="s">
        <v>657</v>
      </c>
      <c r="B33" s="531">
        <f>F33*C$11</f>
        <v>122733.15115856889</v>
      </c>
      <c r="C33" s="531">
        <f>J33*C$11</f>
        <v>35920.453956005505</v>
      </c>
      <c r="D33" s="939">
        <v>73277.459926209049</v>
      </c>
      <c r="E33" s="557" t="s">
        <v>657</v>
      </c>
      <c r="F33" s="568">
        <f>(F55+G55+H55)/(F$59+G$59+H$59)</f>
        <v>1.6363408129907921E-3</v>
      </c>
      <c r="G33" s="561"/>
      <c r="H33" s="561"/>
      <c r="I33" s="227"/>
      <c r="J33" s="568">
        <f>(J55+K55+L55)/(J$59+K$59+L$59)</f>
        <v>4.7890976703945438E-4</v>
      </c>
      <c r="K33" s="558"/>
      <c r="L33" s="558"/>
      <c r="M33" s="1330"/>
      <c r="N33" s="1330"/>
      <c r="Q33" s="557" t="s">
        <v>657</v>
      </c>
      <c r="R33" s="530"/>
      <c r="S33" s="530"/>
      <c r="T33" s="530"/>
      <c r="U33" s="1254"/>
      <c r="V33" s="530">
        <v>0</v>
      </c>
      <c r="W33" s="1254"/>
      <c r="X33" s="530"/>
      <c r="Z33" s="1463" t="s">
        <v>657</v>
      </c>
      <c r="AA33" s="1464">
        <v>27</v>
      </c>
      <c r="AB33" s="1464">
        <v>15</v>
      </c>
      <c r="AC33" s="1464">
        <v>0</v>
      </c>
      <c r="AD33" s="1468">
        <v>14</v>
      </c>
      <c r="AE33" s="1466"/>
      <c r="AF33" s="1466"/>
      <c r="AG33" s="1466"/>
    </row>
    <row r="34" spans="1:61">
      <c r="A34" s="559" t="s">
        <v>633</v>
      </c>
      <c r="B34" s="539">
        <f>F34*C$11</f>
        <v>749965.5284773669</v>
      </c>
      <c r="C34" s="539">
        <f>J34*C$11</f>
        <v>887811.49362587358</v>
      </c>
      <c r="D34" s="939">
        <v>790497.99510992295</v>
      </c>
      <c r="E34" s="559" t="s">
        <v>633</v>
      </c>
      <c r="F34" s="570">
        <f>(F56+G56+H56)/(F$59+G$59+H$59)</f>
        <v>9.9989219782860919E-3</v>
      </c>
      <c r="G34" s="562"/>
      <c r="H34" s="562"/>
      <c r="I34" s="227"/>
      <c r="J34" s="570">
        <f>(J56+K56+L56)/(J$59+K$59+L$59)</f>
        <v>1.1836754516189277E-2</v>
      </c>
      <c r="K34" s="560"/>
      <c r="L34" s="560"/>
      <c r="M34" s="1330"/>
      <c r="N34" s="1330"/>
      <c r="Q34" s="559" t="s">
        <v>633</v>
      </c>
      <c r="R34" s="540"/>
      <c r="S34" s="540"/>
      <c r="T34" s="540"/>
      <c r="U34" s="1257"/>
      <c r="V34" s="540">
        <v>0</v>
      </c>
      <c r="W34" s="1257"/>
      <c r="X34" s="540"/>
      <c r="Z34" s="1469" t="s">
        <v>633</v>
      </c>
      <c r="AA34" s="1470"/>
      <c r="AB34" s="1470"/>
      <c r="AC34" s="1470"/>
      <c r="AD34" s="1468">
        <v>0</v>
      </c>
      <c r="AE34" s="1466"/>
      <c r="AF34" s="1466"/>
      <c r="AG34" s="1466"/>
    </row>
    <row r="35" spans="1:61">
      <c r="A35" s="557" t="s">
        <v>656</v>
      </c>
      <c r="B35" s="531">
        <f>F35*C$11</f>
        <v>1359302.7186020522</v>
      </c>
      <c r="C35" s="531">
        <f>J35*C$11</f>
        <v>1338883.0396097261</v>
      </c>
      <c r="D35" s="939">
        <v>1300189.0455185615</v>
      </c>
      <c r="E35" s="557" t="s">
        <v>656</v>
      </c>
      <c r="F35" s="568">
        <f>(F57+G57+H57)/(F$59+G$59+H$59)</f>
        <v>1.8122915403550141E-2</v>
      </c>
      <c r="G35" s="561"/>
      <c r="H35" s="561"/>
      <c r="I35" s="227"/>
      <c r="J35" s="568">
        <f>(J57+K57+L57)/(J$59+K$59+L$59)</f>
        <v>1.7850669854504113E-2</v>
      </c>
      <c r="K35" s="558"/>
      <c r="L35" s="558"/>
      <c r="M35" s="1330"/>
      <c r="N35" s="1330"/>
      <c r="Q35" s="557" t="s">
        <v>656</v>
      </c>
      <c r="R35" s="530"/>
      <c r="S35" s="530"/>
      <c r="T35" s="530"/>
      <c r="U35" s="1254"/>
      <c r="V35" s="530">
        <v>0</v>
      </c>
      <c r="W35" s="1254"/>
      <c r="X35" s="530"/>
      <c r="Z35" s="1463" t="s">
        <v>656</v>
      </c>
      <c r="AA35" s="1464">
        <v>120</v>
      </c>
      <c r="AB35" s="1464">
        <v>88</v>
      </c>
      <c r="AC35" s="1464">
        <v>120</v>
      </c>
      <c r="AD35" s="1468">
        <v>109.33333333333333</v>
      </c>
      <c r="AE35" s="1466"/>
      <c r="AF35" s="1466"/>
      <c r="AG35" s="1466"/>
    </row>
    <row r="36" spans="1:61">
      <c r="A36" s="563" t="s">
        <v>635</v>
      </c>
      <c r="B36" s="531">
        <f>F36*C$11</f>
        <v>454699.75702330453</v>
      </c>
      <c r="C36" s="531">
        <f>J36*C$11</f>
        <v>126306.48427682419</v>
      </c>
      <c r="D36" s="939">
        <v>300364.62840890128</v>
      </c>
      <c r="E36" s="563" t="s">
        <v>635</v>
      </c>
      <c r="F36" s="568">
        <f>(F58+G58+H58)/(F$59+G$59+H$59)</f>
        <v>6.0622884937822502E-3</v>
      </c>
      <c r="G36" s="561"/>
      <c r="H36" s="561"/>
      <c r="I36" s="227"/>
      <c r="J36" s="568">
        <f>(J58+K58+L58)/(J$59+K$59+L$59)</f>
        <v>1.6839823080931084E-3</v>
      </c>
      <c r="K36" s="558"/>
      <c r="L36" s="558"/>
      <c r="M36" s="1330"/>
      <c r="N36" s="1330"/>
      <c r="Q36" s="563" t="s">
        <v>635</v>
      </c>
      <c r="R36" s="530"/>
      <c r="S36" s="530"/>
      <c r="T36" s="530"/>
      <c r="U36" s="1254"/>
      <c r="V36" s="530">
        <v>0</v>
      </c>
      <c r="W36" s="1254"/>
      <c r="X36" s="530"/>
      <c r="Z36" s="1471" t="s">
        <v>635</v>
      </c>
      <c r="AA36" s="1470">
        <v>0</v>
      </c>
      <c r="AB36" s="1470">
        <v>301</v>
      </c>
      <c r="AC36" s="1470">
        <v>879</v>
      </c>
      <c r="AD36" s="1468">
        <v>393.33333333333331</v>
      </c>
      <c r="AE36" s="1466"/>
      <c r="AF36" s="1466"/>
      <c r="AG36" s="1466"/>
    </row>
    <row r="37" spans="1:61">
      <c r="A37" s="564"/>
      <c r="B37" s="543">
        <f>SUM(B19:B36)</f>
        <v>75004638.510632485</v>
      </c>
      <c r="C37" s="543">
        <f>SUM(C19:C36)</f>
        <v>75004638.510632515</v>
      </c>
      <c r="D37" s="1327">
        <v>74490768.823599949</v>
      </c>
      <c r="E37" s="564"/>
      <c r="F37" s="569">
        <f>SUM(F19:F36)</f>
        <v>0.99999999999999978</v>
      </c>
      <c r="G37" s="565"/>
      <c r="H37" s="565"/>
      <c r="I37" s="227"/>
      <c r="J37" s="569">
        <f>SUM(J19:J36)</f>
        <v>0.99999999999999989</v>
      </c>
      <c r="K37" s="565"/>
      <c r="L37" s="565"/>
      <c r="M37" s="1329"/>
      <c r="N37" s="1329"/>
      <c r="Q37" s="542"/>
      <c r="R37" s="543">
        <v>92410</v>
      </c>
      <c r="S37" s="543">
        <v>91170</v>
      </c>
      <c r="T37" s="543">
        <v>90825</v>
      </c>
      <c r="U37" s="1258">
        <f>SUM(U19:U36)</f>
        <v>89622.880676143977</v>
      </c>
      <c r="V37" s="543">
        <v>89322</v>
      </c>
      <c r="W37" s="1258">
        <f>SUM(W19:W36)</f>
        <v>88874.5393803388</v>
      </c>
      <c r="X37" s="543">
        <v>89786</v>
      </c>
      <c r="Z37" s="1472"/>
      <c r="AA37" s="1473">
        <v>26727</v>
      </c>
      <c r="AB37" s="1473">
        <v>29878</v>
      </c>
      <c r="AC37" s="1473">
        <v>34577</v>
      </c>
      <c r="AD37" s="1473">
        <v>39956.212770929182</v>
      </c>
      <c r="AE37" s="1466"/>
      <c r="AF37" s="1466"/>
      <c r="AG37" s="1466"/>
    </row>
    <row r="38" spans="1:61">
      <c r="K38"/>
      <c r="L38"/>
      <c r="M38"/>
      <c r="N38"/>
      <c r="Q38" s="530"/>
      <c r="R38" s="530"/>
      <c r="S38" s="530"/>
      <c r="T38" s="530"/>
      <c r="U38" s="1253"/>
      <c r="V38" s="530"/>
      <c r="W38" s="1253"/>
      <c r="X38" s="531"/>
      <c r="Z38" s="530"/>
      <c r="AA38" s="530"/>
      <c r="AB38" s="530"/>
      <c r="AC38" s="530"/>
      <c r="AD38" s="530"/>
    </row>
    <row r="39" spans="1:61">
      <c r="E39" s="552" t="s">
        <v>652</v>
      </c>
      <c r="F39" s="552"/>
      <c r="G39" s="552"/>
      <c r="H39" s="552"/>
      <c r="I39" s="552"/>
      <c r="J39" s="552"/>
      <c r="K39" s="552"/>
      <c r="L39" s="552"/>
      <c r="M39" s="552"/>
      <c r="N39" s="552"/>
      <c r="Q39" s="530"/>
      <c r="R39" s="529" t="s">
        <v>622</v>
      </c>
      <c r="S39" s="529" t="s">
        <v>623</v>
      </c>
      <c r="T39" s="529" t="s">
        <v>624</v>
      </c>
      <c r="U39" s="529" t="s">
        <v>1313</v>
      </c>
      <c r="V39" s="529" t="s">
        <v>1314</v>
      </c>
      <c r="W39" s="529" t="s">
        <v>1315</v>
      </c>
      <c r="X39" s="529" t="s">
        <v>1316</v>
      </c>
      <c r="Z39" s="668"/>
      <c r="AA39" s="529" t="s">
        <v>622</v>
      </c>
      <c r="AB39" s="529" t="s">
        <v>623</v>
      </c>
      <c r="AC39" s="529" t="s">
        <v>624</v>
      </c>
      <c r="AD39" s="529" t="s">
        <v>1313</v>
      </c>
      <c r="AE39" s="529" t="s">
        <v>1314</v>
      </c>
      <c r="AF39" s="529" t="s">
        <v>1315</v>
      </c>
      <c r="AG39" s="529" t="s">
        <v>1316</v>
      </c>
    </row>
    <row r="40" spans="1:61" ht="39" thickBot="1">
      <c r="A40" t="s">
        <v>1261</v>
      </c>
      <c r="E40" s="256"/>
      <c r="F40" s="553" t="s">
        <v>647</v>
      </c>
      <c r="G40" s="553" t="s">
        <v>648</v>
      </c>
      <c r="H40" s="553" t="s">
        <v>649</v>
      </c>
      <c r="I40" s="256"/>
      <c r="J40" s="553" t="s">
        <v>1339</v>
      </c>
      <c r="K40" s="553" t="s">
        <v>1340</v>
      </c>
      <c r="L40" s="553" t="s">
        <v>1341</v>
      </c>
      <c r="M40" s="1328" t="s">
        <v>1123</v>
      </c>
      <c r="N40" s="1328" t="s">
        <v>1124</v>
      </c>
      <c r="O40" s="1328" t="s">
        <v>1125</v>
      </c>
      <c r="Q40" s="535" t="s">
        <v>636</v>
      </c>
      <c r="R40" s="536"/>
      <c r="S40" s="536"/>
      <c r="T40" s="536"/>
      <c r="U40" s="536"/>
      <c r="V40" s="536"/>
      <c r="W40" s="536"/>
      <c r="X40" s="536"/>
      <c r="Z40" s="792" t="s">
        <v>806</v>
      </c>
      <c r="AA40" s="253"/>
      <c r="AB40" s="253"/>
      <c r="AC40" s="253"/>
      <c r="AD40" s="253"/>
      <c r="AE40" s="253"/>
      <c r="AF40" s="253"/>
      <c r="AG40" s="253"/>
    </row>
    <row r="41" spans="1:61" ht="16.5" thickBot="1">
      <c r="A41" s="321" t="s">
        <v>1130</v>
      </c>
      <c r="B41" s="474"/>
      <c r="C41" s="1418">
        <f>C37/SUM(J82:L82)</f>
        <v>50.576529026524412</v>
      </c>
      <c r="E41" s="557" t="s">
        <v>628</v>
      </c>
      <c r="F41" s="531">
        <f>IF(J$9="no",F64*M$3,F64*M41)</f>
        <v>34716.314999999995</v>
      </c>
      <c r="G41" s="531">
        <f>IF(J$9="no",G64*M$4,G64*N41)</f>
        <v>22244.840999999997</v>
      </c>
      <c r="H41" s="531">
        <f>IF(J$9="no",H64*M$5,H64*O41)</f>
        <v>10708.074000000001</v>
      </c>
      <c r="J41" s="531">
        <f>IF(J$9="no",J64*M$3,J64*M41)</f>
        <v>35879.564999999995</v>
      </c>
      <c r="K41" s="531">
        <f t="shared" ref="K41:K47" si="4">IF(J$9="no",K64*M$4,K64*N41)</f>
        <v>25396.523999999998</v>
      </c>
      <c r="L41" s="531">
        <f t="shared" ref="L41:L47" si="5">IF(J$9="no",L64*M$5,L64*O41)</f>
        <v>7208.3819999999996</v>
      </c>
      <c r="M41" s="1330">
        <v>0.70499999999999996</v>
      </c>
      <c r="N41" s="1330">
        <v>1.381</v>
      </c>
      <c r="O41" s="1331">
        <v>2.729632612875367</v>
      </c>
      <c r="Q41" s="557" t="s">
        <v>628</v>
      </c>
      <c r="R41" s="531">
        <f>5196+AA41</f>
        <v>10538</v>
      </c>
      <c r="S41" s="531">
        <f>6209+AB41</f>
        <v>10585</v>
      </c>
      <c r="T41" s="531">
        <f>6058+AC41</f>
        <v>10396</v>
      </c>
      <c r="U41" s="1253">
        <f>AD41+6681.66666666667</f>
        <v>11118.66666666667</v>
      </c>
      <c r="V41" s="531">
        <f>6420+AE41</f>
        <v>10857</v>
      </c>
      <c r="W41" s="1259">
        <f>AF41+6851</f>
        <v>11273</v>
      </c>
      <c r="X41" s="531">
        <f>AG41+8787</f>
        <v>13209</v>
      </c>
      <c r="Z41" s="557" t="s">
        <v>628</v>
      </c>
      <c r="AA41" s="793">
        <v>5342</v>
      </c>
      <c r="AB41" s="793">
        <v>4376</v>
      </c>
      <c r="AC41" s="793">
        <v>4338</v>
      </c>
      <c r="AD41" s="793">
        <v>4437</v>
      </c>
      <c r="AE41" s="793">
        <v>4437</v>
      </c>
      <c r="AF41" s="793">
        <v>4422</v>
      </c>
      <c r="AG41" s="793">
        <v>4422</v>
      </c>
    </row>
    <row r="42" spans="1:61">
      <c r="A42" s="323" t="s">
        <v>1129</v>
      </c>
      <c r="B42" s="91"/>
      <c r="C42" s="1419">
        <f>C37/SUM(J59:L59)</f>
        <v>63.249032798585553</v>
      </c>
      <c r="E42" s="557" t="s">
        <v>6</v>
      </c>
      <c r="F42" s="531">
        <f t="shared" ref="F42:F58" si="6">IF(J$9="no",F65*M$3,F65*M42)</f>
        <v>54931.484999999993</v>
      </c>
      <c r="G42" s="531">
        <f t="shared" ref="G42:G58" si="7">IF(J$9="no",G65*M$4,G65*N42)</f>
        <v>33072.839999999997</v>
      </c>
      <c r="H42" s="531">
        <f t="shared" ref="H42:H58" si="8">IF(J$9="no",H65*M$5,H65*O42)</f>
        <v>8491.0560000000005</v>
      </c>
      <c r="J42" s="531">
        <f t="shared" ref="J42:J47" si="9">IF(J$9="no",J65*M$3,J65*M42)</f>
        <v>56775.764999999999</v>
      </c>
      <c r="K42" s="531">
        <f t="shared" si="4"/>
        <v>30619.835999999996</v>
      </c>
      <c r="L42" s="531">
        <f t="shared" si="5"/>
        <v>6847.7579999999998</v>
      </c>
      <c r="M42" s="1330">
        <v>0.70499999999999996</v>
      </c>
      <c r="N42" s="1330">
        <v>0.92</v>
      </c>
      <c r="O42" s="1331">
        <v>1.7073273464509895</v>
      </c>
      <c r="Q42" s="557" t="s">
        <v>6</v>
      </c>
      <c r="R42" s="531">
        <v>20261</v>
      </c>
      <c r="S42" s="531">
        <v>23735</v>
      </c>
      <c r="T42" s="531">
        <v>23243</v>
      </c>
      <c r="U42" s="1253">
        <v>21882.248469234299</v>
      </c>
      <c r="V42" s="531">
        <v>22884</v>
      </c>
      <c r="W42" s="1253">
        <v>23687.736704368825</v>
      </c>
      <c r="X42" s="531">
        <v>22948</v>
      </c>
      <c r="Z42" s="557" t="s">
        <v>6</v>
      </c>
      <c r="AA42" s="793"/>
      <c r="AB42" s="793"/>
      <c r="AC42" s="793"/>
      <c r="AD42" s="793"/>
      <c r="AE42" s="793"/>
      <c r="AF42" s="793"/>
      <c r="AG42" s="793"/>
    </row>
    <row r="43" spans="1:61">
      <c r="A43" s="323"/>
      <c r="B43" s="91"/>
      <c r="C43" s="476"/>
      <c r="E43" s="557" t="s">
        <v>8</v>
      </c>
      <c r="F43" s="531">
        <f t="shared" si="6"/>
        <v>6844.1399999999994</v>
      </c>
      <c r="G43" s="531">
        <f t="shared" si="7"/>
        <v>8890.6139999999996</v>
      </c>
      <c r="H43" s="531">
        <f t="shared" si="8"/>
        <v>5429.8499999999995</v>
      </c>
      <c r="J43" s="531">
        <f t="shared" si="9"/>
        <v>6591.0450000000001</v>
      </c>
      <c r="K43" s="531">
        <f t="shared" si="4"/>
        <v>9955.4129999999986</v>
      </c>
      <c r="L43" s="531">
        <f t="shared" si="5"/>
        <v>1883.0309999999999</v>
      </c>
      <c r="M43" s="1330">
        <v>0.70499999999999996</v>
      </c>
      <c r="N43" s="1330">
        <v>0.93700000000000006</v>
      </c>
      <c r="O43" s="1331">
        <v>1.4597833437439227</v>
      </c>
      <c r="Q43" s="557" t="s">
        <v>8</v>
      </c>
      <c r="R43" s="531">
        <v>3140</v>
      </c>
      <c r="S43" s="531">
        <v>3283</v>
      </c>
      <c r="T43" s="531">
        <v>3213</v>
      </c>
      <c r="U43" s="1253">
        <v>3066.9134686550397</v>
      </c>
      <c r="V43" s="531">
        <v>2875</v>
      </c>
      <c r="W43" s="1253">
        <v>3248.9790956237548</v>
      </c>
      <c r="X43" s="531">
        <v>3150</v>
      </c>
      <c r="Z43" s="557" t="s">
        <v>8</v>
      </c>
      <c r="AA43" s="793"/>
      <c r="AB43" s="793"/>
      <c r="AC43" s="793"/>
      <c r="AD43" s="793"/>
      <c r="AE43" s="793"/>
      <c r="AF43" s="793"/>
      <c r="AG43" s="793"/>
    </row>
    <row r="44" spans="1:61">
      <c r="A44" s="323" t="s">
        <v>1131</v>
      </c>
      <c r="B44" s="91"/>
      <c r="C44" s="1420">
        <v>1195000</v>
      </c>
      <c r="E44" s="559" t="s">
        <v>2</v>
      </c>
      <c r="F44" s="539">
        <f t="shared" si="6"/>
        <v>6682.6949999999997</v>
      </c>
      <c r="G44" s="539">
        <f t="shared" si="7"/>
        <v>3770.0189999999998</v>
      </c>
      <c r="H44" s="539">
        <f t="shared" si="8"/>
        <v>5134.7939999999999</v>
      </c>
      <c r="J44" s="531">
        <f t="shared" si="9"/>
        <v>8554.4699999999993</v>
      </c>
      <c r="K44" s="531">
        <f t="shared" si="4"/>
        <v>3690.6929999999998</v>
      </c>
      <c r="L44" s="531">
        <f t="shared" si="5"/>
        <v>4532.3879999999999</v>
      </c>
      <c r="M44" s="1330">
        <v>0.70499999999999996</v>
      </c>
      <c r="N44" s="1330">
        <v>1.4039999999999999</v>
      </c>
      <c r="O44" s="1331">
        <v>2.5215181068519161</v>
      </c>
      <c r="Q44" s="559" t="s">
        <v>2</v>
      </c>
      <c r="R44" s="539">
        <v>324</v>
      </c>
      <c r="S44" s="539">
        <v>1330</v>
      </c>
      <c r="T44" s="539">
        <v>2228</v>
      </c>
      <c r="U44" s="1256">
        <v>3109</v>
      </c>
      <c r="V44" s="539">
        <f>3109</f>
        <v>3109</v>
      </c>
      <c r="W44" s="1256">
        <f>AF44+2853.31077147016</f>
        <v>2913.31077147016</v>
      </c>
      <c r="X44" s="539">
        <f>AG44+2945</f>
        <v>3005</v>
      </c>
      <c r="Z44" s="559" t="s">
        <v>2</v>
      </c>
      <c r="AA44" s="794">
        <v>0</v>
      </c>
      <c r="AB44" s="794">
        <v>0</v>
      </c>
      <c r="AC44" s="794">
        <v>0</v>
      </c>
      <c r="AD44" s="794"/>
      <c r="AE44" s="794">
        <v>180</v>
      </c>
      <c r="AF44" s="794">
        <v>60</v>
      </c>
      <c r="AG44" s="794">
        <v>60</v>
      </c>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row>
    <row r="45" spans="1:61">
      <c r="A45" s="323" t="s">
        <v>1132</v>
      </c>
      <c r="B45" s="91"/>
      <c r="C45" s="1421">
        <f>C44/C42</f>
        <v>18893.569547623563</v>
      </c>
      <c r="E45" s="557" t="s">
        <v>10</v>
      </c>
      <c r="F45" s="530">
        <f t="shared" si="6"/>
        <v>1782.24</v>
      </c>
      <c r="G45" s="530">
        <f t="shared" si="7"/>
        <v>147.46499999999997</v>
      </c>
      <c r="H45" s="530">
        <f t="shared" si="8"/>
        <v>604.45499999999993</v>
      </c>
      <c r="J45" s="531">
        <f t="shared" si="9"/>
        <v>1637.7149999999999</v>
      </c>
      <c r="K45" s="531">
        <f t="shared" si="4"/>
        <v>134.244</v>
      </c>
      <c r="L45" s="531">
        <f t="shared" si="5"/>
        <v>657.72899999999993</v>
      </c>
      <c r="M45" s="1330">
        <v>0.70499999999999996</v>
      </c>
      <c r="N45" s="1339">
        <v>1.514</v>
      </c>
      <c r="O45" s="1340">
        <v>2.7690000000000001</v>
      </c>
      <c r="Q45" s="557" t="s">
        <v>10</v>
      </c>
      <c r="R45" s="530">
        <v>836</v>
      </c>
      <c r="S45" s="530">
        <v>853</v>
      </c>
      <c r="T45" s="530">
        <v>837</v>
      </c>
      <c r="U45" s="1253">
        <v>842.66666666666663</v>
      </c>
      <c r="V45" s="531">
        <v>756</v>
      </c>
      <c r="W45" s="1253">
        <v>816</v>
      </c>
      <c r="X45" s="531">
        <v>728</v>
      </c>
      <c r="Z45" s="557" t="s">
        <v>10</v>
      </c>
      <c r="AA45" s="795"/>
      <c r="AB45" s="795"/>
      <c r="AC45" s="795"/>
      <c r="AD45" s="795"/>
      <c r="AE45" s="795"/>
      <c r="AF45" s="795"/>
      <c r="AG45" s="795"/>
    </row>
    <row r="46" spans="1:61">
      <c r="A46" s="323" t="s">
        <v>1133</v>
      </c>
      <c r="B46" s="91"/>
      <c r="C46" s="1422">
        <f>1-C45/J53</f>
        <v>-1.6466964356930238</v>
      </c>
      <c r="E46" s="557" t="s">
        <v>4</v>
      </c>
      <c r="F46" s="531">
        <f t="shared" si="6"/>
        <v>299458.62</v>
      </c>
      <c r="G46" s="531">
        <f t="shared" si="7"/>
        <v>78437.141999999993</v>
      </c>
      <c r="H46" s="531">
        <f t="shared" si="8"/>
        <v>21696.861000000001</v>
      </c>
      <c r="J46" s="531">
        <f t="shared" si="9"/>
        <v>289599.19500000001</v>
      </c>
      <c r="K46" s="531">
        <f t="shared" si="4"/>
        <v>66335.858999999997</v>
      </c>
      <c r="L46" s="531">
        <f t="shared" si="5"/>
        <v>20237.972999999998</v>
      </c>
      <c r="M46" s="1330">
        <v>0.70499999999999996</v>
      </c>
      <c r="N46" s="1330">
        <v>1.1399999999999999</v>
      </c>
      <c r="O46" s="1331">
        <v>2.5189298202715129</v>
      </c>
      <c r="Q46" s="557" t="s">
        <v>4</v>
      </c>
      <c r="R46" s="531">
        <f>110109+AA46</f>
        <v>104767</v>
      </c>
      <c r="S46" s="531">
        <f>115546+AB46</f>
        <v>111170</v>
      </c>
      <c r="T46" s="531">
        <f>114646+AC46</f>
        <v>110308</v>
      </c>
      <c r="U46" s="1253">
        <f>AD46+109613.675758228</f>
        <v>105176.675758228</v>
      </c>
      <c r="V46" s="531">
        <f>AE46+107819</f>
        <v>103202</v>
      </c>
      <c r="W46" s="1253">
        <f>AF46+105715.542302691</f>
        <v>101233.542302691</v>
      </c>
      <c r="X46" s="531">
        <f>AG46+103389</f>
        <v>98907</v>
      </c>
      <c r="Z46" s="557" t="s">
        <v>4</v>
      </c>
      <c r="AA46" s="793">
        <f>-AA41</f>
        <v>-5342</v>
      </c>
      <c r="AB46" s="793">
        <f>-AB41</f>
        <v>-4376</v>
      </c>
      <c r="AC46" s="793">
        <f>-AC41</f>
        <v>-4338</v>
      </c>
      <c r="AD46" s="793">
        <f>-AD41</f>
        <v>-4437</v>
      </c>
      <c r="AE46" s="793">
        <f>-SUM(AE41:AE45)</f>
        <v>-4617</v>
      </c>
      <c r="AF46" s="793">
        <f>-SUM(AF41:AF45)</f>
        <v>-4482</v>
      </c>
      <c r="AG46" s="793">
        <f>-SUM(AG41:AG45)</f>
        <v>-4482</v>
      </c>
    </row>
    <row r="47" spans="1:61" s="10" customFormat="1">
      <c r="A47" s="323"/>
      <c r="B47" s="91"/>
      <c r="C47" s="476"/>
      <c r="D47" s="66"/>
      <c r="E47" s="557" t="s">
        <v>14</v>
      </c>
      <c r="F47" s="530">
        <f t="shared" si="6"/>
        <v>0</v>
      </c>
      <c r="G47" s="530">
        <f t="shared" si="7"/>
        <v>157.63499999999999</v>
      </c>
      <c r="H47" s="530">
        <f t="shared" si="8"/>
        <v>4942.1880000000001</v>
      </c>
      <c r="I47"/>
      <c r="J47" s="531">
        <f t="shared" si="9"/>
        <v>0</v>
      </c>
      <c r="K47" s="531">
        <f t="shared" si="4"/>
        <v>88.478999999999985</v>
      </c>
      <c r="L47" s="531">
        <f t="shared" si="5"/>
        <v>5110.2060000000001</v>
      </c>
      <c r="M47" s="1330">
        <v>0.70499999999999996</v>
      </c>
      <c r="N47" s="1330">
        <v>1.0169999999999999</v>
      </c>
      <c r="O47" s="1331">
        <v>2.6585575928061984</v>
      </c>
      <c r="P47"/>
      <c r="Q47" s="557" t="s">
        <v>14</v>
      </c>
      <c r="R47" s="530">
        <v>0</v>
      </c>
      <c r="S47" s="530">
        <v>0</v>
      </c>
      <c r="T47" s="530">
        <v>0</v>
      </c>
      <c r="U47" s="1254">
        <v>0</v>
      </c>
      <c r="V47" s="530">
        <v>0</v>
      </c>
      <c r="W47" s="1254">
        <v>0</v>
      </c>
      <c r="X47" s="530">
        <v>0</v>
      </c>
      <c r="Y47"/>
      <c r="Z47" s="557" t="s">
        <v>14</v>
      </c>
      <c r="AA47" s="530"/>
      <c r="AB47" s="530"/>
      <c r="AC47" s="530"/>
      <c r="AD47" s="530"/>
      <c r="AE47" s="530"/>
      <c r="AF47" s="530"/>
      <c r="AG47" s="530"/>
      <c r="AH47"/>
      <c r="AI47"/>
      <c r="AJ47"/>
      <c r="AK47"/>
    </row>
    <row r="48" spans="1:61">
      <c r="A48" s="323"/>
      <c r="B48" s="91"/>
      <c r="C48" s="1424">
        <v>0.2</v>
      </c>
      <c r="E48" s="559" t="s">
        <v>17</v>
      </c>
      <c r="F48" s="539">
        <f t="shared" si="6"/>
        <v>254765.84999999998</v>
      </c>
      <c r="G48" s="539">
        <f t="shared" si="7"/>
        <v>70125.200999999986</v>
      </c>
      <c r="H48" s="539">
        <f t="shared" si="8"/>
        <v>16748.525999999998</v>
      </c>
      <c r="J48" s="531">
        <f>IF(J$9="no",J71*M$3,J71*M48)</f>
        <v>252620.53499999997</v>
      </c>
      <c r="K48" s="531">
        <f>IF(J$9="no",K71*M$4,K71*N48)</f>
        <v>69988.922999999995</v>
      </c>
      <c r="L48" s="531">
        <f>IF(J$9="no",L71*M$5,L71*O48)</f>
        <v>16058.012999999999</v>
      </c>
      <c r="M48" s="1330">
        <v>0.70499999999999996</v>
      </c>
      <c r="N48" s="1330">
        <v>0.96599999999999997</v>
      </c>
      <c r="O48" s="1331">
        <v>2.0712334710740294</v>
      </c>
      <c r="Q48" s="559" t="s">
        <v>17</v>
      </c>
      <c r="R48" s="539">
        <v>87146</v>
      </c>
      <c r="S48" s="539">
        <v>87867</v>
      </c>
      <c r="T48" s="539">
        <v>93140</v>
      </c>
      <c r="U48" s="1256">
        <v>91755.614454183597</v>
      </c>
      <c r="V48" s="539">
        <v>89328</v>
      </c>
      <c r="W48" s="1256">
        <v>82090.193163103788</v>
      </c>
      <c r="X48" s="539">
        <v>81955</v>
      </c>
      <c r="Z48" s="559" t="s">
        <v>17</v>
      </c>
      <c r="AA48" s="539"/>
      <c r="AB48" s="539"/>
      <c r="AC48" s="539"/>
      <c r="AD48" s="539"/>
      <c r="AE48" s="539"/>
      <c r="AF48" s="539"/>
      <c r="AG48" s="539"/>
    </row>
    <row r="49" spans="1:61">
      <c r="A49" s="323"/>
      <c r="B49" s="91"/>
      <c r="C49" s="476"/>
      <c r="E49" s="557" t="s">
        <v>376</v>
      </c>
      <c r="F49" s="530">
        <f t="shared" si="6"/>
        <v>193.875</v>
      </c>
      <c r="G49" s="530">
        <f t="shared" si="7"/>
        <v>12.203999999999999</v>
      </c>
      <c r="H49" s="530">
        <f t="shared" si="8"/>
        <v>948.68700000000001</v>
      </c>
      <c r="J49" s="531">
        <f>IF(J$9="no",J72*M$3,J72*M49)</f>
        <v>177.66</v>
      </c>
      <c r="K49" s="531">
        <f>IF(J$9="no",K72*M$4,K72*N49)</f>
        <v>0</v>
      </c>
      <c r="L49" s="531">
        <f>IF(J$9="no",L72*M$5,L72*O49)</f>
        <v>3471.0059999999999</v>
      </c>
      <c r="M49" s="1330">
        <v>0.70499999999999996</v>
      </c>
      <c r="N49" s="1339">
        <v>1.514</v>
      </c>
      <c r="O49" s="1340">
        <v>2.7690000000000001</v>
      </c>
      <c r="Q49" s="557" t="s">
        <v>376</v>
      </c>
      <c r="R49" s="530">
        <v>105</v>
      </c>
      <c r="S49" s="530">
        <v>98</v>
      </c>
      <c r="T49" s="530">
        <v>72</v>
      </c>
      <c r="U49" s="1253">
        <v>91.666666666666671</v>
      </c>
      <c r="V49" s="531">
        <v>108</v>
      </c>
      <c r="W49" s="1253">
        <v>92.666666666666671</v>
      </c>
      <c r="X49" s="531">
        <v>72</v>
      </c>
      <c r="Z49" s="557" t="s">
        <v>376</v>
      </c>
      <c r="AA49" s="530"/>
      <c r="AB49" s="530"/>
      <c r="AC49" s="530"/>
      <c r="AD49" s="530"/>
      <c r="AE49" s="530"/>
      <c r="AF49" s="530"/>
      <c r="AG49" s="530"/>
    </row>
    <row r="50" spans="1:61" s="10" customFormat="1">
      <c r="A50" s="323" t="s">
        <v>1262</v>
      </c>
      <c r="B50" s="91"/>
      <c r="C50" s="476">
        <v>6171234</v>
      </c>
      <c r="D50" s="66"/>
      <c r="E50" s="557" t="s">
        <v>7</v>
      </c>
      <c r="F50" s="531">
        <f t="shared" si="6"/>
        <v>71978.384999999995</v>
      </c>
      <c r="G50" s="531">
        <f t="shared" si="7"/>
        <v>12242.645999999999</v>
      </c>
      <c r="H50" s="531">
        <f t="shared" si="8"/>
        <v>6925.62</v>
      </c>
      <c r="I50"/>
      <c r="J50" s="531">
        <f>IF(J$9="no",J73*M$3,J73*M50)</f>
        <v>76773.794999999998</v>
      </c>
      <c r="K50" s="531">
        <f>IF(J$9="no",K73*M$4,K73*N50)</f>
        <v>12560.966999999999</v>
      </c>
      <c r="L50" s="531">
        <f>IF(J$9="no",L73*M$5,L73*O50)</f>
        <v>6351.9</v>
      </c>
      <c r="M50" s="1330">
        <v>0.70499999999999996</v>
      </c>
      <c r="N50" s="1330">
        <v>1.514</v>
      </c>
      <c r="O50" s="1331">
        <v>2.5832720468437356</v>
      </c>
      <c r="P50"/>
      <c r="Q50" s="557" t="s">
        <v>7</v>
      </c>
      <c r="R50" s="531">
        <v>30320</v>
      </c>
      <c r="S50" s="531">
        <v>31938</v>
      </c>
      <c r="T50" s="531">
        <v>32605</v>
      </c>
      <c r="U50" s="1253">
        <v>33642.090636079411</v>
      </c>
      <c r="V50" s="531">
        <v>33456</v>
      </c>
      <c r="W50" s="1253">
        <v>33691.980177508711</v>
      </c>
      <c r="X50" s="531">
        <v>34155</v>
      </c>
      <c r="Y50"/>
      <c r="Z50" s="557" t="s">
        <v>7</v>
      </c>
      <c r="AA50" s="531"/>
      <c r="AB50" s="531"/>
      <c r="AC50" s="531"/>
      <c r="AD50" s="531"/>
      <c r="AE50" s="531"/>
      <c r="AF50" s="531"/>
      <c r="AG50" s="531"/>
      <c r="AH50"/>
      <c r="AI50"/>
      <c r="AJ50"/>
      <c r="AK50"/>
      <c r="AL50"/>
      <c r="AM50"/>
      <c r="AN50"/>
      <c r="AO50"/>
      <c r="AP50"/>
      <c r="AQ50"/>
      <c r="AR50"/>
      <c r="AS50"/>
      <c r="AT50"/>
      <c r="AU50"/>
      <c r="AV50"/>
      <c r="AW50"/>
      <c r="AX50"/>
      <c r="AY50"/>
      <c r="AZ50"/>
      <c r="BA50"/>
      <c r="BB50"/>
      <c r="BC50"/>
      <c r="BD50"/>
      <c r="BE50"/>
      <c r="BF50"/>
      <c r="BG50"/>
      <c r="BH50"/>
      <c r="BI50"/>
    </row>
    <row r="51" spans="1:61" ht="16.5" thickBot="1">
      <c r="A51" s="323" t="s">
        <v>1263</v>
      </c>
      <c r="B51" s="91"/>
      <c r="C51" s="1423">
        <f>C29</f>
        <v>5031572.9526587632</v>
      </c>
      <c r="E51" s="557" t="s">
        <v>9</v>
      </c>
      <c r="F51" s="531">
        <f t="shared" si="6"/>
        <v>63351.299999999996</v>
      </c>
      <c r="G51" s="531">
        <f t="shared" si="7"/>
        <v>41784.462</v>
      </c>
      <c r="H51" s="531">
        <f t="shared" si="8"/>
        <v>8534.0849999999991</v>
      </c>
      <c r="J51" s="531">
        <f>IF(J$9="no",J74*M$3,J74*M51)</f>
        <v>55716.149999999994</v>
      </c>
      <c r="K51" s="531">
        <f>IF(J$9="no",K74*M$4,K74*N51)</f>
        <v>13088.789999999999</v>
      </c>
      <c r="L51" s="531">
        <f>IF(J$9="no",L74*M$5,L74*O51)</f>
        <v>3608.2889999999998</v>
      </c>
      <c r="M51" s="1330">
        <v>0.70499999999999996</v>
      </c>
      <c r="N51" s="1330">
        <v>0.88200000000000001</v>
      </c>
      <c r="O51" s="1331">
        <v>2.2323857203999244</v>
      </c>
      <c r="Q51" s="557" t="s">
        <v>9</v>
      </c>
      <c r="R51" s="531">
        <v>19618</v>
      </c>
      <c r="S51" s="531">
        <v>16058</v>
      </c>
      <c r="T51" s="531">
        <v>15714</v>
      </c>
      <c r="U51" s="1253">
        <v>15263.574532985584</v>
      </c>
      <c r="V51" s="531">
        <v>15451</v>
      </c>
      <c r="W51" s="1253">
        <v>15404.803751153133</v>
      </c>
      <c r="X51" s="531">
        <v>14469</v>
      </c>
      <c r="Z51" s="557" t="s">
        <v>9</v>
      </c>
      <c r="AA51" s="531"/>
      <c r="AB51" s="531"/>
      <c r="AC51" s="531"/>
      <c r="AD51" s="531"/>
      <c r="AE51" s="531"/>
      <c r="AF51" s="531"/>
      <c r="AG51" s="531"/>
    </row>
    <row r="52" spans="1:61" ht="16.5" thickBot="1">
      <c r="A52" s="323" t="s">
        <v>704</v>
      </c>
      <c r="B52" s="91"/>
      <c r="C52" s="476">
        <f>C50-C51</f>
        <v>1139661.0473412368</v>
      </c>
      <c r="E52" s="559" t="s">
        <v>5</v>
      </c>
      <c r="F52" s="539">
        <f t="shared" si="6"/>
        <v>22672.799999999999</v>
      </c>
      <c r="G52" s="539">
        <f t="shared" si="7"/>
        <v>18330.407999999999</v>
      </c>
      <c r="H52" s="539">
        <f t="shared" si="8"/>
        <v>6300.6750000000002</v>
      </c>
      <c r="J52" s="531">
        <f>IF(J$9="no",J75*M$3,J75*M52)</f>
        <v>21711.18</v>
      </c>
      <c r="K52" s="531">
        <f>IF(J$9="no",K75*M$4,K75*N52)</f>
        <v>16469.297999999999</v>
      </c>
      <c r="L52" s="531">
        <f>IF(J$9="no",L75*M$5,L75*O52)</f>
        <v>5739.2489999999998</v>
      </c>
      <c r="M52" s="1330">
        <v>0.70499999999999996</v>
      </c>
      <c r="N52" s="1330">
        <v>1.3839999999999999</v>
      </c>
      <c r="O52" s="1331">
        <v>2.768615670287919</v>
      </c>
      <c r="Q52" s="559" t="s">
        <v>5</v>
      </c>
      <c r="R52" s="539">
        <v>10065</v>
      </c>
      <c r="S52" s="539">
        <v>9295</v>
      </c>
      <c r="T52" s="539">
        <v>9908</v>
      </c>
      <c r="U52" s="1256">
        <v>9756</v>
      </c>
      <c r="V52" s="539">
        <v>9934</v>
      </c>
      <c r="W52" s="1260">
        <v>8598.5</v>
      </c>
      <c r="X52" s="539">
        <v>7160</v>
      </c>
      <c r="Z52" s="559" t="s">
        <v>5</v>
      </c>
      <c r="AA52" s="539"/>
      <c r="AB52" s="539"/>
      <c r="AC52" s="539"/>
      <c r="AD52" s="539"/>
      <c r="AE52" s="539"/>
      <c r="AF52" s="539"/>
      <c r="AG52" s="539"/>
    </row>
    <row r="53" spans="1:61">
      <c r="A53" s="323"/>
      <c r="B53" s="91"/>
      <c r="C53" s="1423"/>
      <c r="E53" s="566" t="s">
        <v>653</v>
      </c>
      <c r="F53" s="1425">
        <f>(S16+T16+V16)*M3*M53</f>
        <v>7394.8860000000004</v>
      </c>
      <c r="G53" s="567">
        <f t="shared" si="7"/>
        <v>0</v>
      </c>
      <c r="H53" s="567">
        <f t="shared" si="8"/>
        <v>0</v>
      </c>
      <c r="J53" s="1333">
        <f>(IF(J5="yes",(X16+T16+V16),0))*M3*M53</f>
        <v>7138.5479999999998</v>
      </c>
      <c r="K53" s="1333"/>
      <c r="L53" s="1333"/>
      <c r="M53" s="1334">
        <v>0.2</v>
      </c>
      <c r="N53" s="558"/>
      <c r="Q53" s="537"/>
      <c r="R53" s="530"/>
      <c r="S53" s="530"/>
      <c r="T53" s="530"/>
      <c r="U53" s="1254"/>
      <c r="V53" s="530"/>
      <c r="W53" s="1254"/>
      <c r="X53" s="530"/>
    </row>
    <row r="54" spans="1:61">
      <c r="A54" s="323"/>
      <c r="B54" s="91"/>
      <c r="C54" s="1423"/>
      <c r="E54" s="557" t="s">
        <v>631</v>
      </c>
      <c r="F54" s="530">
        <f t="shared" si="6"/>
        <v>2511.915</v>
      </c>
      <c r="G54" s="530">
        <f t="shared" si="7"/>
        <v>3030.66</v>
      </c>
      <c r="H54" s="530">
        <f t="shared" si="8"/>
        <v>0</v>
      </c>
      <c r="J54" s="531">
        <f>IF(J$9="no",J77*M$3,J77*M54)</f>
        <v>2300.415</v>
      </c>
      <c r="K54" s="531">
        <f>IF(J$9="no",K77*M$4,K77*N54)</f>
        <v>2581.1459999999997</v>
      </c>
      <c r="L54" s="531">
        <f>IF(J$9="no",L77*M$5,L77*O54)</f>
        <v>0</v>
      </c>
      <c r="M54" s="1330">
        <v>0.70499999999999996</v>
      </c>
      <c r="N54" s="1330">
        <v>1.0169999999999999</v>
      </c>
      <c r="O54" s="1331">
        <v>2.0489999999999999</v>
      </c>
      <c r="Q54" s="557" t="s">
        <v>631</v>
      </c>
      <c r="R54" s="530">
        <v>1065</v>
      </c>
      <c r="S54" s="530">
        <v>1346</v>
      </c>
      <c r="T54" s="530">
        <v>1152</v>
      </c>
      <c r="U54" s="1253">
        <v>975.4634547707559</v>
      </c>
      <c r="V54" s="531">
        <v>1019</v>
      </c>
      <c r="W54" s="1253">
        <v>1041.9528398085379</v>
      </c>
      <c r="X54" s="531">
        <v>1092</v>
      </c>
    </row>
    <row r="55" spans="1:61">
      <c r="A55" s="323"/>
      <c r="B55" s="91"/>
      <c r="C55" s="1423">
        <f>SUM(S16,T16,V16)</f>
        <v>52446</v>
      </c>
      <c r="E55" s="557" t="s">
        <v>657</v>
      </c>
      <c r="F55" s="530">
        <f t="shared" si="6"/>
        <v>318.65999999999997</v>
      </c>
      <c r="G55" s="530">
        <f t="shared" si="7"/>
        <v>1345.491</v>
      </c>
      <c r="H55" s="530">
        <f t="shared" si="8"/>
        <v>399.55500000000001</v>
      </c>
      <c r="J55" s="531">
        <f>IF(J$9="no",J78*M$3,J78*M55)</f>
        <v>178.36499999999998</v>
      </c>
      <c r="K55" s="531">
        <f>IF(J$9="no",K78*M$4,K78*N55)</f>
        <v>383.40899999999999</v>
      </c>
      <c r="L55" s="531">
        <f>IF(J$9="no",L78*M$5,L78*O55)</f>
        <v>6.1470000000000002</v>
      </c>
      <c r="M55" s="1330">
        <v>0.70499999999999996</v>
      </c>
      <c r="N55" s="1330">
        <v>1.0169999999999999</v>
      </c>
      <c r="O55" s="1331">
        <v>2.0489999999999999</v>
      </c>
      <c r="Q55" s="557" t="s">
        <v>657</v>
      </c>
      <c r="R55" s="530">
        <v>314</v>
      </c>
      <c r="S55" s="530">
        <v>66</v>
      </c>
      <c r="T55" s="530">
        <v>72</v>
      </c>
      <c r="U55" s="1253">
        <v>150.66666666666666</v>
      </c>
      <c r="V55" s="531">
        <v>76</v>
      </c>
      <c r="W55" s="1253">
        <v>71.333333333333329</v>
      </c>
      <c r="X55" s="531">
        <v>105</v>
      </c>
    </row>
    <row r="56" spans="1:61" ht="16.5" thickBot="1">
      <c r="A56" s="479"/>
      <c r="B56" s="480"/>
      <c r="C56" s="481">
        <f>C55*0.705</f>
        <v>36974.43</v>
      </c>
      <c r="E56" s="1368" t="s">
        <v>633</v>
      </c>
      <c r="F56" s="1369">
        <f t="shared" si="6"/>
        <v>7163.5049999999992</v>
      </c>
      <c r="G56" s="567">
        <f t="shared" si="7"/>
        <v>5196.87</v>
      </c>
      <c r="H56" s="567">
        <f t="shared" si="8"/>
        <v>249.97799999999998</v>
      </c>
      <c r="J56" s="531">
        <f>(IF(J$9="no",J79*M$3,J79*M56))</f>
        <v>7878.375</v>
      </c>
      <c r="K56" s="531">
        <f>(IF(J$9="no",K79*M$4,K79*N56))</f>
        <v>6096.9149999999991</v>
      </c>
      <c r="L56" s="531">
        <f>(IF(J$9="no",L79*M$5,L79*O56))</f>
        <v>61.47</v>
      </c>
      <c r="M56" s="1330">
        <v>0.70499999999999996</v>
      </c>
      <c r="N56" s="1330">
        <v>1.0169999999999999</v>
      </c>
      <c r="O56" s="1331">
        <v>2.0489999999999999</v>
      </c>
      <c r="Q56" s="559" t="s">
        <v>633</v>
      </c>
      <c r="R56" s="540">
        <v>3199</v>
      </c>
      <c r="S56" s="540">
        <v>3453</v>
      </c>
      <c r="T56" s="540">
        <v>3509</v>
      </c>
      <c r="U56" s="1256">
        <v>3832.1256966089832</v>
      </c>
      <c r="V56" s="539">
        <v>3490</v>
      </c>
      <c r="W56" s="1256">
        <v>4756.9276084202056</v>
      </c>
      <c r="X56" s="539">
        <v>4176</v>
      </c>
    </row>
    <row r="57" spans="1:61">
      <c r="E57" s="557" t="s">
        <v>656</v>
      </c>
      <c r="F57" s="530">
        <f t="shared" si="6"/>
        <v>22856.1</v>
      </c>
      <c r="G57" s="530">
        <f t="shared" si="7"/>
        <v>0</v>
      </c>
      <c r="H57" s="530">
        <f t="shared" si="8"/>
        <v>0</v>
      </c>
      <c r="J57" s="531">
        <f>IF(J$9="no",J80*M$3,J80*M57)</f>
        <v>20949.78</v>
      </c>
      <c r="K57" s="531">
        <f>IF(J$9="no",K80*M$4,K80*N57)</f>
        <v>218.65499999999997</v>
      </c>
      <c r="L57" s="531">
        <f>IF(J$9="no",L80*M$5,L80*O57)</f>
        <v>0</v>
      </c>
      <c r="M57" s="1330">
        <v>0.70499999999999996</v>
      </c>
      <c r="N57" s="1330">
        <v>1.0169999999999999</v>
      </c>
      <c r="O57" s="1331">
        <v>2.0489999999999999</v>
      </c>
      <c r="Q57" s="557" t="s">
        <v>656</v>
      </c>
      <c r="R57" s="530">
        <v>10095</v>
      </c>
      <c r="S57" s="530">
        <v>11687</v>
      </c>
      <c r="T57" s="530">
        <v>10638</v>
      </c>
      <c r="U57" s="1253">
        <v>8750.4829734998057</v>
      </c>
      <c r="V57" s="531">
        <v>9202</v>
      </c>
      <c r="W57" s="1253">
        <v>9923.5703395533183</v>
      </c>
      <c r="X57" s="531">
        <v>9876</v>
      </c>
    </row>
    <row r="58" spans="1:61">
      <c r="E58" s="563" t="s">
        <v>635</v>
      </c>
      <c r="F58" s="530">
        <f t="shared" si="6"/>
        <v>1383.915</v>
      </c>
      <c r="G58" s="530">
        <f t="shared" si="7"/>
        <v>6261.668999999999</v>
      </c>
      <c r="H58" s="530">
        <f t="shared" si="8"/>
        <v>0</v>
      </c>
      <c r="J58" s="531">
        <f>IF(J$9="no",J81*M$3,J81*M58)</f>
        <v>219.255</v>
      </c>
      <c r="K58" s="531">
        <f>IF(J$9="no",K81*M$4,K81*N58)</f>
        <v>1777.7159999999999</v>
      </c>
      <c r="L58" s="531">
        <f>IF(J$9="no",L81*M$5,L81*O58)</f>
        <v>0</v>
      </c>
      <c r="M58" s="1330">
        <v>0.70499999999999996</v>
      </c>
      <c r="N58" s="1330">
        <v>1.0169999999999999</v>
      </c>
      <c r="O58" s="1331">
        <v>2.0489999999999999</v>
      </c>
      <c r="Q58" s="563" t="s">
        <v>635</v>
      </c>
      <c r="R58" s="530">
        <v>1137</v>
      </c>
      <c r="S58" s="530">
        <v>716</v>
      </c>
      <c r="T58" s="530">
        <v>110</v>
      </c>
      <c r="U58" s="1253">
        <v>130</v>
      </c>
      <c r="V58" s="531">
        <v>77</v>
      </c>
      <c r="W58" s="1253">
        <v>77</v>
      </c>
      <c r="X58" s="531">
        <v>124</v>
      </c>
    </row>
    <row r="59" spans="1:61">
      <c r="E59" s="542"/>
      <c r="F59" s="543">
        <f>SUM(F41:F58)</f>
        <v>859006.68600000022</v>
      </c>
      <c r="G59" s="543">
        <f>SUM(G41:G58)</f>
        <v>305050.16699999996</v>
      </c>
      <c r="H59" s="543">
        <f>SUM(H41:H58)</f>
        <v>97114.403999999995</v>
      </c>
      <c r="J59" s="543">
        <f>SUM(J41:J58)</f>
        <v>844701.8130000002</v>
      </c>
      <c r="K59" s="543">
        <f>SUM(K41:K58)</f>
        <v>259386.867</v>
      </c>
      <c r="L59" s="543">
        <f>SUM(L41:L58)</f>
        <v>81773.540999999983</v>
      </c>
      <c r="M59" s="534"/>
      <c r="N59" s="534"/>
      <c r="Q59" s="542" t="s">
        <v>224</v>
      </c>
      <c r="R59" s="543">
        <v>302930</v>
      </c>
      <c r="S59" s="543">
        <v>313480</v>
      </c>
      <c r="T59" s="543">
        <v>317145</v>
      </c>
      <c r="U59" s="1258">
        <f>SUM(U41:U58)</f>
        <v>309543.85611091211</v>
      </c>
      <c r="V59" s="543">
        <v>306004</v>
      </c>
      <c r="W59" s="1258">
        <f>SUM(W41:W58)</f>
        <v>298921.49675370136</v>
      </c>
      <c r="X59" s="543">
        <v>295131</v>
      </c>
    </row>
    <row r="60" spans="1:61">
      <c r="F60" s="1008">
        <f>F59/(F59+G59+H59)</f>
        <v>0.6811181917064576</v>
      </c>
      <c r="G60" s="1008">
        <f>G59/(F59+G59+H59)</f>
        <v>0.24187846440905678</v>
      </c>
      <c r="H60" s="1008">
        <f>H59/(F59+G59+H59)</f>
        <v>7.7003343884485612E-2</v>
      </c>
      <c r="K60"/>
      <c r="L60"/>
      <c r="M60"/>
      <c r="N60"/>
      <c r="Q60" s="544"/>
      <c r="R60" s="531">
        <v>395340</v>
      </c>
      <c r="S60" s="531">
        <v>404650</v>
      </c>
      <c r="T60" s="531">
        <v>407970</v>
      </c>
      <c r="U60" s="1253"/>
      <c r="V60" s="531">
        <v>147817</v>
      </c>
      <c r="W60" s="1253"/>
      <c r="X60" s="531"/>
    </row>
    <row r="61" spans="1:61">
      <c r="K61"/>
      <c r="L61"/>
      <c r="M61"/>
      <c r="N61"/>
      <c r="Q61" s="530"/>
      <c r="R61" s="531">
        <v>395375</v>
      </c>
      <c r="S61" s="531">
        <v>404669</v>
      </c>
      <c r="T61" s="531">
        <v>408027</v>
      </c>
      <c r="U61" s="531"/>
      <c r="V61" s="531">
        <v>147829</v>
      </c>
      <c r="W61" s="531"/>
      <c r="X61" s="531"/>
    </row>
    <row r="62" spans="1:61">
      <c r="E62" s="552" t="s">
        <v>650</v>
      </c>
      <c r="F62" s="552"/>
      <c r="G62" s="552"/>
      <c r="H62" s="552"/>
      <c r="I62" s="552"/>
      <c r="J62" s="552"/>
      <c r="K62" s="552"/>
      <c r="L62" s="552"/>
      <c r="M62" s="552"/>
      <c r="N62" s="552"/>
      <c r="Q62" s="530"/>
      <c r="R62" s="530"/>
      <c r="S62" s="530"/>
      <c r="T62" s="530"/>
      <c r="U62" s="530"/>
      <c r="V62" s="530"/>
      <c r="W62" s="530"/>
      <c r="X62" s="530"/>
    </row>
    <row r="63" spans="1:61" ht="25.5">
      <c r="E63" s="256"/>
      <c r="F63" s="553" t="s">
        <v>647</v>
      </c>
      <c r="G63" s="553" t="s">
        <v>648</v>
      </c>
      <c r="H63" s="553" t="s">
        <v>649</v>
      </c>
      <c r="I63" s="256"/>
      <c r="J63" s="553" t="s">
        <v>1339</v>
      </c>
      <c r="K63" s="553" t="s">
        <v>1340</v>
      </c>
      <c r="L63" s="553" t="s">
        <v>1341</v>
      </c>
      <c r="M63" s="529"/>
      <c r="N63" s="529"/>
      <c r="Q63" s="535" t="s">
        <v>637</v>
      </c>
      <c r="R63" s="536"/>
      <c r="S63" s="536"/>
      <c r="T63" s="536"/>
      <c r="U63" s="536"/>
      <c r="V63" s="536"/>
      <c r="W63" s="536"/>
      <c r="X63" s="536"/>
      <c r="Z63" s="667" t="s">
        <v>709</v>
      </c>
      <c r="AA63" s="536"/>
      <c r="AB63" s="536"/>
      <c r="AC63" s="536"/>
      <c r="AD63" s="663"/>
      <c r="AE63" s="663"/>
      <c r="AF63" s="663"/>
      <c r="AG63" s="663"/>
    </row>
    <row r="64" spans="1:61">
      <c r="E64" s="537" t="s">
        <v>628</v>
      </c>
      <c r="F64" s="531">
        <f t="shared" ref="F64:F75" si="10">IF(J$7="no",R19+S19+T19+R41+S41+T41,R41+S41+T41+R19+S19+T19+AA19+AB19+AC19)</f>
        <v>49243</v>
      </c>
      <c r="G64" s="531">
        <f t="shared" ref="G64:G75" si="11">IF(J$7="no",R85+S85+T85,R85+S85+T85+AA64+AB64+AC64)</f>
        <v>21873</v>
      </c>
      <c r="H64" s="531">
        <f>IF(J$7="no",R134+S134+T134,R134+S134+T134+AA111+AB111+AC111)</f>
        <v>5226</v>
      </c>
      <c r="J64" s="531">
        <f t="shared" ref="J64:J75" si="12">IF(J$7="no",X19+T19+V19+X41+T41+V41,S19+T19+U19+S41+T41+U41+AB19+AC19+AD19)</f>
        <v>50893</v>
      </c>
      <c r="K64" s="531">
        <f t="shared" ref="K64:K75" si="13">IF(J$7="no",X85+T85+V85,S85+T85+U85+AB64+AC64+AD64)</f>
        <v>24972</v>
      </c>
      <c r="L64" s="531">
        <f>IF(J$7="no",X134+T134+V134,S134+T134+U134+AB111+AC111+AD111)</f>
        <v>3518</v>
      </c>
      <c r="M64" s="531"/>
      <c r="N64" s="1330"/>
      <c r="Q64" s="537" t="s">
        <v>628</v>
      </c>
      <c r="R64" s="531">
        <v>17403</v>
      </c>
      <c r="S64" s="531">
        <v>19218</v>
      </c>
      <c r="T64" s="531">
        <v>18548</v>
      </c>
      <c r="U64" s="1253">
        <v>19562.171582015028</v>
      </c>
      <c r="V64" s="531">
        <v>18247</v>
      </c>
      <c r="W64" s="1253">
        <v>20066.226515046277</v>
      </c>
      <c r="X64" s="531">
        <v>16844</v>
      </c>
      <c r="Z64" s="1463" t="s">
        <v>628</v>
      </c>
      <c r="AA64" s="1464">
        <v>5331</v>
      </c>
      <c r="AB64" s="1464">
        <v>6010</v>
      </c>
      <c r="AC64" s="1464">
        <v>7749</v>
      </c>
      <c r="AD64" s="1464">
        <v>9473.9818013255444</v>
      </c>
      <c r="AE64" s="1464"/>
      <c r="AF64" s="1464"/>
      <c r="AG64" s="1464"/>
    </row>
    <row r="65" spans="5:33" customFormat="1">
      <c r="E65" s="537" t="s">
        <v>6</v>
      </c>
      <c r="F65" s="531">
        <f t="shared" si="10"/>
        <v>77917</v>
      </c>
      <c r="G65" s="531">
        <f t="shared" si="11"/>
        <v>32520</v>
      </c>
      <c r="H65" s="531">
        <f t="shared" ref="H65:H75" si="14">IF(J$7="no",R135+S135+T135,R135+S135+T135+AA112+AB112+AC112)</f>
        <v>4144</v>
      </c>
      <c r="J65" s="531">
        <f t="shared" si="12"/>
        <v>80533</v>
      </c>
      <c r="K65" s="531">
        <f t="shared" si="13"/>
        <v>30108</v>
      </c>
      <c r="L65" s="531">
        <f t="shared" ref="L65:L75" si="15">IF(J$7="no",X135+T135+V135,S135+T135+U135+AB112+AC112+AD112)</f>
        <v>3342</v>
      </c>
      <c r="M65" s="531"/>
      <c r="N65" s="1330"/>
      <c r="Q65" s="537" t="s">
        <v>6</v>
      </c>
      <c r="R65" s="531">
        <v>39935</v>
      </c>
      <c r="S65" s="531">
        <v>40868</v>
      </c>
      <c r="T65" s="531">
        <v>38014</v>
      </c>
      <c r="U65" s="1253">
        <v>35990.111966232194</v>
      </c>
      <c r="V65" s="531">
        <v>36776</v>
      </c>
      <c r="W65" s="1253">
        <v>36864.049488457465</v>
      </c>
      <c r="X65" s="531">
        <v>39992</v>
      </c>
      <c r="Z65" s="1463" t="s">
        <v>6</v>
      </c>
      <c r="AA65" s="1464">
        <v>3242</v>
      </c>
      <c r="AB65" s="1464">
        <v>3276</v>
      </c>
      <c r="AC65" s="1464">
        <v>3145</v>
      </c>
      <c r="AD65" s="1464">
        <v>3654.7791288254011</v>
      </c>
      <c r="AE65" s="1464"/>
      <c r="AF65" s="1464"/>
      <c r="AG65" s="1464"/>
    </row>
    <row r="66" spans="5:33" customFormat="1">
      <c r="E66" s="537" t="s">
        <v>8</v>
      </c>
      <c r="F66" s="531">
        <f t="shared" si="10"/>
        <v>9708</v>
      </c>
      <c r="G66" s="531">
        <f t="shared" si="11"/>
        <v>8742</v>
      </c>
      <c r="H66" s="531">
        <f t="shared" si="14"/>
        <v>2650</v>
      </c>
      <c r="J66" s="531">
        <f t="shared" si="12"/>
        <v>9349</v>
      </c>
      <c r="K66" s="531">
        <f t="shared" si="13"/>
        <v>9789</v>
      </c>
      <c r="L66" s="531">
        <f t="shared" si="15"/>
        <v>919</v>
      </c>
      <c r="M66" s="531"/>
      <c r="N66" s="1330"/>
      <c r="Q66" s="537" t="s">
        <v>8</v>
      </c>
      <c r="R66" s="531">
        <v>227</v>
      </c>
      <c r="S66" s="531">
        <v>94</v>
      </c>
      <c r="T66" s="531">
        <v>141</v>
      </c>
      <c r="U66" s="1253">
        <v>154</v>
      </c>
      <c r="V66" s="531">
        <v>245</v>
      </c>
      <c r="W66" s="1253">
        <v>160</v>
      </c>
      <c r="X66" s="531">
        <v>369</v>
      </c>
      <c r="Z66" s="1463" t="s">
        <v>8</v>
      </c>
      <c r="AA66" s="1464">
        <v>3</v>
      </c>
      <c r="AB66" s="1464">
        <v>9</v>
      </c>
      <c r="AC66" s="1464">
        <v>0</v>
      </c>
      <c r="AD66" s="1464">
        <v>4</v>
      </c>
      <c r="AE66" s="1464"/>
      <c r="AF66" s="1464"/>
      <c r="AG66" s="1464"/>
    </row>
    <row r="67" spans="5:33" customFormat="1">
      <c r="E67" s="538" t="s">
        <v>2</v>
      </c>
      <c r="F67" s="539">
        <f t="shared" si="10"/>
        <v>9479</v>
      </c>
      <c r="G67" s="539">
        <f t="shared" si="11"/>
        <v>3707</v>
      </c>
      <c r="H67" s="539">
        <f t="shared" si="14"/>
        <v>2506</v>
      </c>
      <c r="J67" s="531">
        <f t="shared" si="12"/>
        <v>12134</v>
      </c>
      <c r="K67" s="531">
        <f t="shared" si="13"/>
        <v>3629</v>
      </c>
      <c r="L67" s="531">
        <f t="shared" si="15"/>
        <v>2212</v>
      </c>
      <c r="M67" s="539"/>
      <c r="N67" s="1330"/>
      <c r="Q67" s="538" t="s">
        <v>2</v>
      </c>
      <c r="R67" s="539">
        <v>5328</v>
      </c>
      <c r="S67" s="539">
        <v>5857</v>
      </c>
      <c r="T67" s="539">
        <v>5271</v>
      </c>
      <c r="U67" s="1256">
        <v>3810.7121961561829</v>
      </c>
      <c r="V67" s="539">
        <v>4700</v>
      </c>
      <c r="W67" s="1256">
        <v>4995.6925975422027</v>
      </c>
      <c r="X67" s="539">
        <v>5352</v>
      </c>
      <c r="Z67" s="1463" t="s">
        <v>2</v>
      </c>
      <c r="AA67" s="1464">
        <v>330</v>
      </c>
      <c r="AB67" s="1464">
        <v>632</v>
      </c>
      <c r="AC67" s="1464">
        <v>612</v>
      </c>
      <c r="AD67" s="1464">
        <v>1203.112513018104</v>
      </c>
      <c r="AE67" s="1464"/>
      <c r="AF67" s="1464"/>
      <c r="AG67" s="1464"/>
    </row>
    <row r="68" spans="5:33" customFormat="1">
      <c r="E68" s="537" t="s">
        <v>10</v>
      </c>
      <c r="F68" s="531">
        <f t="shared" si="10"/>
        <v>2528</v>
      </c>
      <c r="G68" s="531">
        <f t="shared" si="11"/>
        <v>145</v>
      </c>
      <c r="H68" s="531">
        <f t="shared" si="14"/>
        <v>295</v>
      </c>
      <c r="J68" s="531">
        <f t="shared" si="12"/>
        <v>2323</v>
      </c>
      <c r="K68" s="531">
        <f t="shared" si="13"/>
        <v>132</v>
      </c>
      <c r="L68" s="531">
        <f t="shared" si="15"/>
        <v>321</v>
      </c>
      <c r="M68" s="531"/>
      <c r="N68" s="1330"/>
      <c r="Q68" s="537" t="s">
        <v>10</v>
      </c>
      <c r="R68" s="530">
        <v>0</v>
      </c>
      <c r="S68" s="530">
        <v>0</v>
      </c>
      <c r="T68" s="530">
        <v>0</v>
      </c>
      <c r="U68" s="1254">
        <v>0</v>
      </c>
      <c r="V68" s="530">
        <v>0</v>
      </c>
      <c r="W68" s="1254">
        <v>0</v>
      </c>
      <c r="X68" s="530">
        <v>37</v>
      </c>
      <c r="Z68" s="1463" t="s">
        <v>10</v>
      </c>
      <c r="AA68" s="1470">
        <v>0</v>
      </c>
      <c r="AB68" s="1470">
        <v>0</v>
      </c>
      <c r="AC68" s="1470">
        <v>0</v>
      </c>
      <c r="AD68" s="1470">
        <v>0</v>
      </c>
      <c r="AE68" s="1470"/>
      <c r="AF68" s="1470"/>
      <c r="AG68" s="1470"/>
    </row>
    <row r="69" spans="5:33" customFormat="1">
      <c r="E69" s="537" t="s">
        <v>4</v>
      </c>
      <c r="F69" s="531">
        <f t="shared" si="10"/>
        <v>424764</v>
      </c>
      <c r="G69" s="531">
        <f t="shared" si="11"/>
        <v>77126</v>
      </c>
      <c r="H69" s="531">
        <f t="shared" si="14"/>
        <v>10589</v>
      </c>
      <c r="J69" s="531">
        <f t="shared" si="12"/>
        <v>410779</v>
      </c>
      <c r="K69" s="531">
        <f t="shared" si="13"/>
        <v>65227</v>
      </c>
      <c r="L69" s="531">
        <f t="shared" si="15"/>
        <v>9877</v>
      </c>
      <c r="M69" s="531"/>
      <c r="N69" s="1330"/>
      <c r="Q69" s="537" t="s">
        <v>4</v>
      </c>
      <c r="R69" s="531">
        <v>33970</v>
      </c>
      <c r="S69" s="531">
        <v>36004</v>
      </c>
      <c r="T69" s="531">
        <v>35327</v>
      </c>
      <c r="U69" s="1253">
        <v>36333.480107188807</v>
      </c>
      <c r="V69" s="531">
        <v>35964</v>
      </c>
      <c r="W69" s="1253">
        <v>36401.379723617691</v>
      </c>
      <c r="X69" s="531">
        <v>36135</v>
      </c>
      <c r="Z69" s="1463" t="s">
        <v>4</v>
      </c>
      <c r="AA69" s="1464">
        <v>4136</v>
      </c>
      <c r="AB69" s="1464">
        <v>4791</v>
      </c>
      <c r="AC69" s="1464">
        <v>5478</v>
      </c>
      <c r="AD69" s="1464">
        <v>6049.3831788449843</v>
      </c>
      <c r="AE69" s="1464"/>
      <c r="AF69" s="1464"/>
      <c r="AG69" s="1464"/>
    </row>
    <row r="70" spans="5:33" customFormat="1">
      <c r="E70" s="537" t="s">
        <v>14</v>
      </c>
      <c r="F70" s="531">
        <f t="shared" si="10"/>
        <v>0</v>
      </c>
      <c r="G70" s="531">
        <f t="shared" si="11"/>
        <v>155</v>
      </c>
      <c r="H70" s="531">
        <f t="shared" si="14"/>
        <v>2412</v>
      </c>
      <c r="J70" s="531">
        <f t="shared" si="12"/>
        <v>0</v>
      </c>
      <c r="K70" s="531">
        <f t="shared" si="13"/>
        <v>87</v>
      </c>
      <c r="L70" s="531">
        <f t="shared" si="15"/>
        <v>2494</v>
      </c>
      <c r="M70" s="531"/>
      <c r="N70" s="1330"/>
      <c r="Q70" s="537" t="s">
        <v>14</v>
      </c>
      <c r="R70" s="530">
        <v>0</v>
      </c>
      <c r="S70" s="530">
        <v>0</v>
      </c>
      <c r="T70" s="530">
        <v>0</v>
      </c>
      <c r="U70" s="1254">
        <v>0</v>
      </c>
      <c r="V70" s="530">
        <v>0</v>
      </c>
      <c r="W70" s="1254">
        <v>0</v>
      </c>
      <c r="X70" s="530">
        <v>0</v>
      </c>
      <c r="Z70" s="1463" t="s">
        <v>14</v>
      </c>
      <c r="AA70" s="1470">
        <v>33</v>
      </c>
      <c r="AB70" s="1470">
        <v>70</v>
      </c>
      <c r="AC70" s="1470">
        <v>49</v>
      </c>
      <c r="AD70" s="1470">
        <v>50.666666666666664</v>
      </c>
      <c r="AE70" s="1470"/>
      <c r="AF70" s="1470"/>
      <c r="AG70" s="1470"/>
    </row>
    <row r="71" spans="5:33" customFormat="1">
      <c r="E71" s="538" t="s">
        <v>17</v>
      </c>
      <c r="F71" s="539">
        <f t="shared" si="10"/>
        <v>361370</v>
      </c>
      <c r="G71" s="539">
        <f t="shared" si="11"/>
        <v>68953</v>
      </c>
      <c r="H71" s="539">
        <f t="shared" si="14"/>
        <v>8174</v>
      </c>
      <c r="J71" s="531">
        <f t="shared" si="12"/>
        <v>358327</v>
      </c>
      <c r="K71" s="531">
        <f t="shared" si="13"/>
        <v>68819</v>
      </c>
      <c r="L71" s="531">
        <f t="shared" si="15"/>
        <v>7837</v>
      </c>
      <c r="M71" s="539"/>
      <c r="N71" s="1330"/>
      <c r="Q71" s="538" t="s">
        <v>17</v>
      </c>
      <c r="R71" s="539">
        <v>40816</v>
      </c>
      <c r="S71" s="539">
        <v>39061</v>
      </c>
      <c r="T71" s="539">
        <v>40158</v>
      </c>
      <c r="U71" s="1256">
        <v>40113.126033273729</v>
      </c>
      <c r="V71" s="539">
        <v>38373</v>
      </c>
      <c r="W71" s="1256">
        <v>39406.527837184542</v>
      </c>
      <c r="X71" s="539">
        <v>40014</v>
      </c>
      <c r="Z71" s="1463" t="s">
        <v>17</v>
      </c>
      <c r="AA71" s="1464">
        <v>14918</v>
      </c>
      <c r="AB71" s="1464">
        <v>16246</v>
      </c>
      <c r="AC71" s="1464">
        <v>17008</v>
      </c>
      <c r="AD71" s="1464">
        <v>17857.328348494684</v>
      </c>
      <c r="AE71" s="1464"/>
      <c r="AF71" s="1464"/>
      <c r="AG71" s="1464"/>
    </row>
    <row r="72" spans="5:33" customFormat="1">
      <c r="E72" s="537" t="s">
        <v>376</v>
      </c>
      <c r="F72" s="531">
        <f t="shared" si="10"/>
        <v>275</v>
      </c>
      <c r="G72" s="531">
        <f t="shared" si="11"/>
        <v>12</v>
      </c>
      <c r="H72" s="531">
        <f t="shared" si="14"/>
        <v>463</v>
      </c>
      <c r="J72" s="531">
        <f t="shared" si="12"/>
        <v>252</v>
      </c>
      <c r="K72" s="531">
        <f t="shared" si="13"/>
        <v>0</v>
      </c>
      <c r="L72" s="531">
        <f t="shared" si="15"/>
        <v>1694</v>
      </c>
      <c r="M72" s="531"/>
      <c r="N72" s="1330"/>
      <c r="Q72" s="537" t="s">
        <v>376</v>
      </c>
      <c r="R72" s="530">
        <v>0</v>
      </c>
      <c r="S72" s="530">
        <v>0</v>
      </c>
      <c r="T72" s="530">
        <v>0</v>
      </c>
      <c r="U72" s="1254">
        <v>0</v>
      </c>
      <c r="V72" s="530">
        <v>0</v>
      </c>
      <c r="W72" s="1254">
        <v>0</v>
      </c>
      <c r="X72" s="530">
        <v>0</v>
      </c>
      <c r="Z72" s="1463" t="s">
        <v>376</v>
      </c>
      <c r="AA72" s="1470">
        <v>0</v>
      </c>
      <c r="AB72" s="1470">
        <v>0</v>
      </c>
      <c r="AC72" s="1470">
        <v>0</v>
      </c>
      <c r="AD72" s="1470">
        <v>0</v>
      </c>
      <c r="AE72" s="1470"/>
      <c r="AF72" s="1470"/>
      <c r="AG72" s="1470"/>
    </row>
    <row r="73" spans="5:33" customFormat="1">
      <c r="E73" s="537" t="s">
        <v>7</v>
      </c>
      <c r="F73" s="531">
        <f t="shared" si="10"/>
        <v>102097</v>
      </c>
      <c r="G73" s="531">
        <f t="shared" si="11"/>
        <v>12038</v>
      </c>
      <c r="H73" s="531">
        <f t="shared" si="14"/>
        <v>3380</v>
      </c>
      <c r="J73" s="531">
        <f t="shared" si="12"/>
        <v>108899</v>
      </c>
      <c r="K73" s="531">
        <f t="shared" si="13"/>
        <v>12351</v>
      </c>
      <c r="L73" s="531">
        <f t="shared" si="15"/>
        <v>3100</v>
      </c>
      <c r="M73" s="531"/>
      <c r="N73" s="1330"/>
      <c r="Q73" s="537" t="s">
        <v>7</v>
      </c>
      <c r="R73" s="531">
        <v>51009</v>
      </c>
      <c r="S73" s="531">
        <v>56576</v>
      </c>
      <c r="T73" s="531">
        <v>58986</v>
      </c>
      <c r="U73" s="1253">
        <v>62500.888078871525</v>
      </c>
      <c r="V73" s="531">
        <v>66785</v>
      </c>
      <c r="W73" s="1253">
        <v>71081.641620063718</v>
      </c>
      <c r="X73" s="531">
        <v>74628</v>
      </c>
      <c r="Z73" s="1463" t="s">
        <v>7</v>
      </c>
      <c r="AA73" s="1464">
        <v>1017</v>
      </c>
      <c r="AB73" s="1464">
        <v>1829</v>
      </c>
      <c r="AC73" s="1464">
        <v>2376</v>
      </c>
      <c r="AD73" s="1464">
        <v>3062.8248775074621</v>
      </c>
      <c r="AE73" s="1464"/>
      <c r="AF73" s="1464"/>
      <c r="AG73" s="1464"/>
    </row>
    <row r="74" spans="5:33" customFormat="1">
      <c r="E74" s="537" t="s">
        <v>629</v>
      </c>
      <c r="F74" s="531">
        <f t="shared" si="10"/>
        <v>89860</v>
      </c>
      <c r="G74" s="531">
        <f t="shared" si="11"/>
        <v>41086</v>
      </c>
      <c r="H74" s="531">
        <f t="shared" si="14"/>
        <v>4165</v>
      </c>
      <c r="J74" s="531">
        <f t="shared" si="12"/>
        <v>79030</v>
      </c>
      <c r="K74" s="531">
        <f t="shared" si="13"/>
        <v>12870</v>
      </c>
      <c r="L74" s="531">
        <f t="shared" si="15"/>
        <v>1761</v>
      </c>
      <c r="M74" s="531"/>
      <c r="N74" s="1330"/>
      <c r="Q74" s="537" t="s">
        <v>629</v>
      </c>
      <c r="R74" s="531">
        <v>15170</v>
      </c>
      <c r="S74" s="531">
        <v>24174</v>
      </c>
      <c r="T74" s="531">
        <v>31740</v>
      </c>
      <c r="U74" s="1253">
        <v>35472.265261317312</v>
      </c>
      <c r="V74" s="531">
        <v>32369</v>
      </c>
      <c r="W74" s="1253">
        <v>30991.696572212866</v>
      </c>
      <c r="X74" s="531">
        <v>28905</v>
      </c>
      <c r="Z74" s="1463" t="s">
        <v>9</v>
      </c>
      <c r="AA74" s="1464">
        <v>2453</v>
      </c>
      <c r="AB74" s="1464">
        <v>3187</v>
      </c>
      <c r="AC74" s="1464">
        <v>4665</v>
      </c>
      <c r="AD74" s="1464">
        <v>6473.0914906455482</v>
      </c>
      <c r="AE74" s="1464"/>
      <c r="AF74" s="1464"/>
      <c r="AG74" s="1464"/>
    </row>
    <row r="75" spans="5:33" customFormat="1">
      <c r="E75" s="538" t="s">
        <v>630</v>
      </c>
      <c r="F75" s="539">
        <f t="shared" si="10"/>
        <v>32160</v>
      </c>
      <c r="G75" s="539">
        <f t="shared" si="11"/>
        <v>18024</v>
      </c>
      <c r="H75" s="539">
        <f t="shared" si="14"/>
        <v>3075</v>
      </c>
      <c r="J75" s="531">
        <f t="shared" si="12"/>
        <v>30796</v>
      </c>
      <c r="K75" s="531">
        <f t="shared" si="13"/>
        <v>16194</v>
      </c>
      <c r="L75" s="531">
        <f t="shared" si="15"/>
        <v>2801</v>
      </c>
      <c r="M75" s="539"/>
      <c r="N75" s="1330"/>
      <c r="Q75" s="538" t="s">
        <v>630</v>
      </c>
      <c r="R75" s="539">
        <v>4009</v>
      </c>
      <c r="S75" s="539">
        <v>3691</v>
      </c>
      <c r="T75" s="539">
        <v>2833</v>
      </c>
      <c r="U75" s="1256">
        <v>2571.9822138428108</v>
      </c>
      <c r="V75" s="539">
        <v>2891</v>
      </c>
      <c r="W75" s="1256">
        <v>2449.8586114414902</v>
      </c>
      <c r="X75" s="539">
        <v>2690</v>
      </c>
      <c r="Z75" s="1463" t="s">
        <v>5</v>
      </c>
      <c r="AA75" s="1464">
        <v>1389</v>
      </c>
      <c r="AB75" s="1464">
        <v>1639</v>
      </c>
      <c r="AC75" s="1464">
        <v>1719</v>
      </c>
      <c r="AD75" s="1464">
        <v>2194.0716888817406</v>
      </c>
      <c r="AE75" s="1464"/>
      <c r="AF75" s="1464"/>
      <c r="AG75" s="1464"/>
    </row>
    <row r="76" spans="5:33" customFormat="1">
      <c r="E76" s="537"/>
      <c r="F76" s="531"/>
      <c r="G76" s="531"/>
      <c r="H76" s="531"/>
      <c r="J76" s="531"/>
      <c r="K76" s="531"/>
      <c r="L76" s="531"/>
      <c r="M76" s="531"/>
      <c r="N76" s="558"/>
      <c r="Q76" s="537"/>
      <c r="R76" s="530"/>
      <c r="S76" s="530"/>
      <c r="T76" s="530"/>
      <c r="U76" s="1254"/>
      <c r="V76" s="530"/>
      <c r="W76" s="1254"/>
      <c r="X76" s="530"/>
      <c r="Z76" s="1463"/>
      <c r="AA76" s="1470"/>
      <c r="AB76" s="1470"/>
      <c r="AC76" s="1470"/>
      <c r="AD76" s="1470"/>
      <c r="AE76" s="1470"/>
      <c r="AF76" s="1470"/>
      <c r="AG76" s="1470"/>
    </row>
    <row r="77" spans="5:33" customFormat="1">
      <c r="E77" s="557" t="s">
        <v>631</v>
      </c>
      <c r="F77" s="531">
        <f>IF(J$7="no",R32+S32+T32+R54+S54+T54,R54+S54+T54+R32+S32+T32+AA32+AB32+AC32)</f>
        <v>3563</v>
      </c>
      <c r="G77" s="531">
        <f>IF(J$7="no",R98+S98+T98,R98+S98+T98+AA77+AB77+AC77)</f>
        <v>2980</v>
      </c>
      <c r="H77" s="531">
        <f>IF(J$7="no",R147+S147+T147,R147+S147+T147+AA124+AB124+AC124)</f>
        <v>0</v>
      </c>
      <c r="J77" s="531">
        <f>IF(J$7="no",X32+T32+V32+X54+T54+V54,S32+T32+U32+S54+T54+U54+AB32+AC32+AD32)</f>
        <v>3263</v>
      </c>
      <c r="K77" s="531">
        <f>IF(J$7="no",X98+T98+V98,S98+T98+U98+AB77+AC77+AD77)</f>
        <v>2538</v>
      </c>
      <c r="L77" s="531">
        <f>IF(J$7="no",X147+T147+V147,S147+T147+U147+AB124+AC124+AD124)</f>
        <v>0</v>
      </c>
      <c r="M77" s="531"/>
      <c r="N77" s="1330"/>
      <c r="Q77" s="557" t="s">
        <v>631</v>
      </c>
      <c r="R77" s="530">
        <v>0</v>
      </c>
      <c r="S77" s="530">
        <v>0</v>
      </c>
      <c r="T77" s="530">
        <v>0</v>
      </c>
      <c r="U77" s="1254">
        <v>0</v>
      </c>
      <c r="V77" s="530">
        <v>0</v>
      </c>
      <c r="W77" s="1254">
        <v>0</v>
      </c>
      <c r="X77" s="530"/>
      <c r="Z77" s="1463" t="s">
        <v>631</v>
      </c>
      <c r="AA77" s="1470"/>
      <c r="AB77" s="1470"/>
      <c r="AC77" s="1470"/>
      <c r="AD77" s="1470"/>
      <c r="AE77" s="1470"/>
      <c r="AF77" s="1470"/>
      <c r="AG77" s="1470"/>
    </row>
    <row r="78" spans="5:33" customFormat="1">
      <c r="E78" s="557" t="s">
        <v>657</v>
      </c>
      <c r="F78" s="531">
        <f>IF(J$7="no",R33+S33+T33+R55+S55+T55,R55+S55+T55+R33+S33+T33+AA33+AB33+AC33)</f>
        <v>452</v>
      </c>
      <c r="G78" s="531">
        <f>IF(J$7="no",R99+S99+T99,R99+S99+T99+AA78+AB78+AC78)</f>
        <v>1323</v>
      </c>
      <c r="H78" s="531">
        <f>IF(J$7="no",R148+S148+T148,R148+S148+T148+AA125+AB125+AC125)</f>
        <v>195</v>
      </c>
      <c r="J78" s="531">
        <f>IF(J$7="no",X33+T33+V33+X55+T55+V55,S33+T33+U33+S55+T55+U55+AB33+AC33+AD33)</f>
        <v>253</v>
      </c>
      <c r="K78" s="531">
        <f>IF(J$7="no",X99+T99+V99,S99+T99+U99+AB78+AC78+AD78)</f>
        <v>377</v>
      </c>
      <c r="L78" s="531">
        <f>IF(J$7="no",X148+T148+V148,S148+T148+U148+AB125+AC125+AD125)</f>
        <v>3</v>
      </c>
      <c r="M78" s="531"/>
      <c r="N78" s="1330"/>
      <c r="Q78" s="557" t="s">
        <v>657</v>
      </c>
      <c r="R78" s="530">
        <v>0</v>
      </c>
      <c r="S78" s="530">
        <v>0</v>
      </c>
      <c r="T78" s="530">
        <v>0</v>
      </c>
      <c r="U78" s="1254">
        <v>0</v>
      </c>
      <c r="V78" s="530">
        <v>0</v>
      </c>
      <c r="W78" s="1254">
        <v>0</v>
      </c>
      <c r="X78" s="530"/>
      <c r="Z78" s="1463" t="s">
        <v>657</v>
      </c>
      <c r="AA78" s="1470">
        <v>70</v>
      </c>
      <c r="AB78" s="1470">
        <v>178</v>
      </c>
      <c r="AC78" s="1470">
        <v>39</v>
      </c>
      <c r="AD78" s="1470">
        <v>95.666666666666671</v>
      </c>
      <c r="AE78" s="1470"/>
      <c r="AF78" s="1470"/>
      <c r="AG78" s="1470"/>
    </row>
    <row r="79" spans="5:33" customFormat="1">
      <c r="E79" s="559" t="s">
        <v>633</v>
      </c>
      <c r="F79" s="539">
        <f>IF(J$7="no",R34+S34+T34+R56+S56+T56,R56+S56+T56+R34+S34+T34+AA34+AB34+AC34)</f>
        <v>10161</v>
      </c>
      <c r="G79" s="539">
        <f>IF(J$7="no",R100+S100+T100,R100+S100+T100+AA79+AB79+AC79)</f>
        <v>5110</v>
      </c>
      <c r="H79" s="539">
        <f>IF(J$7="no",R149+S149+T149,R149+S149+T149+AA126+AB126+AC126)</f>
        <v>122</v>
      </c>
      <c r="J79" s="531">
        <f>IF(J$7="no",X34+T34+V34+X56+T56+V56,S34+T34+U34+S56+T56+U56+AB34+AC34+AD34)</f>
        <v>11175</v>
      </c>
      <c r="K79" s="531">
        <f>IF(J$7="no",X100+T100+V100,S100+T100+U100+AB79+AC79+AD79)</f>
        <v>5995</v>
      </c>
      <c r="L79" s="531">
        <f>IF(J$7="no",X149+T149+V149,S149+T149+U149+AB126+AC126+AD126)</f>
        <v>30</v>
      </c>
      <c r="M79" s="539"/>
      <c r="N79" s="1330"/>
      <c r="Q79" s="559" t="s">
        <v>633</v>
      </c>
      <c r="R79" s="540">
        <v>0</v>
      </c>
      <c r="S79" s="540">
        <v>0</v>
      </c>
      <c r="T79" s="540">
        <v>0</v>
      </c>
      <c r="U79" s="1257">
        <v>0</v>
      </c>
      <c r="V79" s="540">
        <v>0</v>
      </c>
      <c r="W79" s="1257">
        <v>0</v>
      </c>
      <c r="X79" s="540"/>
      <c r="Z79" s="1469" t="s">
        <v>633</v>
      </c>
      <c r="AA79" s="1470"/>
      <c r="AB79" s="1470"/>
      <c r="AC79" s="1470"/>
      <c r="AD79" s="1470"/>
      <c r="AE79" s="1470"/>
      <c r="AF79" s="1470"/>
      <c r="AG79" s="1470"/>
    </row>
    <row r="80" spans="5:33" customFormat="1">
      <c r="E80" s="557" t="s">
        <v>656</v>
      </c>
      <c r="F80" s="531">
        <f>IF(J$7="no",R35+S35+T35+R57+S57+T57,R57+S57+T57+R35+S35+T35+AA35+AB35+AC35)</f>
        <v>32420</v>
      </c>
      <c r="G80" s="531">
        <f>IF(J$7="no",R101+S101+T101,R101+S101+T101+AA80+AB80+AC80)</f>
        <v>0</v>
      </c>
      <c r="H80" s="531">
        <f>IF(J$7="no",R150+S150+T150,R150+S150+T150+AA127+AB127+AC127)</f>
        <v>0</v>
      </c>
      <c r="J80" s="531">
        <f>IF(J$7="no",X35+T35+V35+X57+T57+V57,S35+T35+U35+S57+T57+U57+AB35+AC35+AD35)</f>
        <v>29716</v>
      </c>
      <c r="K80" s="531">
        <f>IF(J$7="no",X101+T101+V101,S101+T101+U101+AB80+AC80+AD80)</f>
        <v>215</v>
      </c>
      <c r="L80" s="531">
        <f>IF(J$7="no",X150+T150+V150,S150+T150+U150+AB127+AC127+AD127)</f>
        <v>0</v>
      </c>
      <c r="M80" s="531"/>
      <c r="N80" s="1330"/>
      <c r="Q80" s="557" t="s">
        <v>656</v>
      </c>
      <c r="R80" s="530">
        <v>0</v>
      </c>
      <c r="S80" s="530">
        <v>0</v>
      </c>
      <c r="T80" s="530">
        <v>0</v>
      </c>
      <c r="U80" s="1254">
        <v>0</v>
      </c>
      <c r="V80" s="530">
        <v>0</v>
      </c>
      <c r="W80" s="1254">
        <v>0</v>
      </c>
      <c r="X80" s="530"/>
      <c r="Z80" s="1463" t="s">
        <v>656</v>
      </c>
      <c r="AA80" s="1470"/>
      <c r="AB80" s="1470"/>
      <c r="AC80" s="1470"/>
      <c r="AD80" s="1470"/>
      <c r="AE80" s="1470"/>
      <c r="AF80" s="1470"/>
      <c r="AG80" s="1470"/>
    </row>
    <row r="81" spans="5:33" customFormat="1">
      <c r="E81" s="563" t="s">
        <v>635</v>
      </c>
      <c r="F81" s="531">
        <f>IF(J$7="no",R36+S36+T36+R58+S58+T58,R58+S58+T58+R36+S36+T36+AA36+AB36+AC36)</f>
        <v>1963</v>
      </c>
      <c r="G81" s="531">
        <f>IF(J$7="no",R102+S102+T102,R102+S102+T102+AA81+AB81+AC81)</f>
        <v>6157</v>
      </c>
      <c r="H81" s="531">
        <f>IF(J$7="no",R151+S151+T151,R151+S151+T151+AA128+AB128+AC128)</f>
        <v>0</v>
      </c>
      <c r="J81" s="531">
        <f>IF(J$7="no",X36+T36+V36+X58+T58+V58,S36+T36+U36+S58+T58+U58+AB36+AC36+AD36)</f>
        <v>311</v>
      </c>
      <c r="K81" s="531">
        <f>IF(J$7="no",X102+T102+V102,S102+T102+U102+AB81+AC81+AD81)</f>
        <v>1748</v>
      </c>
      <c r="L81" s="531">
        <f>IF(J$7="no",X151+T151+V151,S151+T151+U151+AB128+AC128+AD128)</f>
        <v>0</v>
      </c>
      <c r="M81" s="531"/>
      <c r="N81" s="1330"/>
      <c r="Q81" s="563" t="s">
        <v>635</v>
      </c>
      <c r="R81" s="530">
        <v>0</v>
      </c>
      <c r="S81" s="530">
        <v>0</v>
      </c>
      <c r="T81" s="530">
        <v>0</v>
      </c>
      <c r="U81" s="1254">
        <v>0</v>
      </c>
      <c r="V81" s="530">
        <v>0</v>
      </c>
      <c r="W81" s="1254">
        <v>0</v>
      </c>
      <c r="X81" s="530"/>
      <c r="Z81" s="1471" t="s">
        <v>635</v>
      </c>
      <c r="AA81" s="1470">
        <v>879</v>
      </c>
      <c r="AB81" s="1470">
        <v>1368</v>
      </c>
      <c r="AC81" s="1470">
        <v>3169</v>
      </c>
      <c r="AD81" s="1470">
        <v>4467.4991511364788</v>
      </c>
      <c r="AE81" s="1470"/>
      <c r="AF81" s="1470"/>
      <c r="AG81" s="1470"/>
    </row>
    <row r="82" spans="5:33" customFormat="1">
      <c r="E82" s="542"/>
      <c r="F82" s="543">
        <f>SUM(F64:F81)</f>
        <v>1207960</v>
      </c>
      <c r="G82" s="543">
        <f>SUM(G64:G81)</f>
        <v>299951</v>
      </c>
      <c r="H82" s="543">
        <f>SUM(H64:H81)</f>
        <v>47396</v>
      </c>
      <c r="J82" s="543">
        <f>SUM(J64:J81)</f>
        <v>1188033</v>
      </c>
      <c r="K82" s="543">
        <f>SUM(K64:K81)</f>
        <v>255051</v>
      </c>
      <c r="L82" s="543">
        <f>SUM(L64:L81)</f>
        <v>39909</v>
      </c>
      <c r="M82" s="534"/>
      <c r="N82" s="534"/>
      <c r="Q82" s="542" t="s">
        <v>224</v>
      </c>
      <c r="R82" s="543">
        <v>207867</v>
      </c>
      <c r="S82" s="543">
        <v>225543</v>
      </c>
      <c r="T82" s="543">
        <v>231018</v>
      </c>
      <c r="U82" s="1258">
        <f>SUM(U64:U81)</f>
        <v>236508.7374388976</v>
      </c>
      <c r="V82" s="543">
        <v>236350</v>
      </c>
      <c r="W82" s="1258">
        <f>SUM(W64:W81)</f>
        <v>242417.07296556627</v>
      </c>
      <c r="X82" s="543">
        <v>244966</v>
      </c>
      <c r="Z82" s="1472"/>
      <c r="AA82" s="1473">
        <v>33801</v>
      </c>
      <c r="AB82" s="1473">
        <v>39235</v>
      </c>
      <c r="AC82" s="1473">
        <v>46009</v>
      </c>
      <c r="AD82" s="1473">
        <v>54586.405512013283</v>
      </c>
      <c r="AE82" s="1473"/>
      <c r="AF82" s="1473"/>
      <c r="AG82" s="1473"/>
    </row>
    <row r="83" spans="5:33" customFormat="1">
      <c r="Q83" s="530"/>
      <c r="R83" s="529" t="s">
        <v>622</v>
      </c>
      <c r="S83" s="529" t="s">
        <v>623</v>
      </c>
      <c r="T83" s="529" t="s">
        <v>624</v>
      </c>
      <c r="U83" s="529" t="s">
        <v>1313</v>
      </c>
      <c r="V83" s="529" t="s">
        <v>1314</v>
      </c>
      <c r="W83" s="529" t="s">
        <v>1315</v>
      </c>
      <c r="X83" s="529" t="s">
        <v>1316</v>
      </c>
      <c r="Z83" s="668"/>
      <c r="AA83" s="529" t="s">
        <v>622</v>
      </c>
      <c r="AB83" s="529" t="s">
        <v>623</v>
      </c>
      <c r="AC83" s="529" t="s">
        <v>624</v>
      </c>
      <c r="AD83" s="529" t="s">
        <v>1313</v>
      </c>
      <c r="AE83" s="529" t="s">
        <v>1314</v>
      </c>
      <c r="AF83" s="529" t="s">
        <v>1315</v>
      </c>
      <c r="AG83" s="529" t="s">
        <v>1316</v>
      </c>
    </row>
    <row r="84" spans="5:33" customFormat="1">
      <c r="E84" s="552" t="s">
        <v>1320</v>
      </c>
      <c r="F84" s="552"/>
      <c r="G84" s="552"/>
      <c r="H84" s="552"/>
      <c r="I84" s="552"/>
      <c r="J84" s="552"/>
      <c r="K84" s="552"/>
      <c r="L84" s="552"/>
      <c r="M84" s="552"/>
      <c r="N84" s="552"/>
      <c r="Q84" s="535" t="s">
        <v>638</v>
      </c>
      <c r="R84" s="536"/>
      <c r="S84" s="536"/>
      <c r="T84" s="536"/>
      <c r="U84" s="536"/>
      <c r="V84" s="536"/>
      <c r="W84" s="536"/>
      <c r="X84" s="536"/>
      <c r="Z84" s="792" t="s">
        <v>998</v>
      </c>
      <c r="AA84" s="253"/>
      <c r="AB84" s="253"/>
      <c r="AC84" s="253"/>
      <c r="AD84" s="253"/>
      <c r="AE84" s="253"/>
      <c r="AF84" s="253"/>
      <c r="AG84" s="253"/>
    </row>
    <row r="85" spans="5:33" customFormat="1" ht="25.5">
      <c r="E85" s="256"/>
      <c r="F85" s="553"/>
      <c r="G85" s="553"/>
      <c r="H85" s="553"/>
      <c r="I85" s="256"/>
      <c r="J85" s="553" t="s">
        <v>1339</v>
      </c>
      <c r="K85" s="553" t="s">
        <v>1340</v>
      </c>
      <c r="L85" s="553" t="s">
        <v>1341</v>
      </c>
      <c r="M85" s="529"/>
      <c r="N85" s="529"/>
      <c r="Q85" s="537" t="s">
        <v>628</v>
      </c>
      <c r="R85" s="531">
        <f>4148+AA85</f>
        <v>6772</v>
      </c>
      <c r="S85" s="531">
        <f>4376+AB85</f>
        <v>7125</v>
      </c>
      <c r="T85" s="531">
        <f>5243+AC85</f>
        <v>7976</v>
      </c>
      <c r="U85" s="1253">
        <f>AD85+5862.99050296238</f>
        <v>8400.9905029623806</v>
      </c>
      <c r="V85" s="531">
        <f>AE85+6008</f>
        <v>8546</v>
      </c>
      <c r="W85" s="1253">
        <f>AF85+6648.34936169462</f>
        <v>9110.3493616946198</v>
      </c>
      <c r="X85" s="531">
        <f>AG85+5988</f>
        <v>8450</v>
      </c>
      <c r="Z85" s="557" t="s">
        <v>628</v>
      </c>
      <c r="AA85" s="793">
        <v>2624</v>
      </c>
      <c r="AB85" s="793">
        <v>2749</v>
      </c>
      <c r="AC85" s="793">
        <v>2733</v>
      </c>
      <c r="AD85" s="793">
        <v>2538</v>
      </c>
      <c r="AE85" s="793">
        <v>2538</v>
      </c>
      <c r="AF85" s="793">
        <v>2462</v>
      </c>
      <c r="AG85" s="793">
        <v>2462</v>
      </c>
    </row>
    <row r="86" spans="5:33" customFormat="1">
      <c r="E86" s="537" t="s">
        <v>628</v>
      </c>
      <c r="F86" s="531"/>
      <c r="G86" s="531"/>
      <c r="H86" s="531"/>
      <c r="J86" s="531">
        <f>(J41/($J41+$K41+$L41))*$C19</f>
        <v>2269347.7834839821</v>
      </c>
      <c r="K86" s="531">
        <f t="shared" ref="K86:L86" si="16">(K41/($J41+$K41+$L41))*$C19</f>
        <v>1606305.579446065</v>
      </c>
      <c r="L86" s="531">
        <f t="shared" si="16"/>
        <v>455923.18954273371</v>
      </c>
      <c r="M86" s="531">
        <f>SUM(J86:L86)</f>
        <v>4331576.5524727814</v>
      </c>
      <c r="N86" s="1330"/>
      <c r="Q86" s="537" t="s">
        <v>6</v>
      </c>
      <c r="R86" s="531">
        <v>12368</v>
      </c>
      <c r="S86" s="531">
        <v>9661</v>
      </c>
      <c r="T86" s="531">
        <v>10491</v>
      </c>
      <c r="U86" s="1253">
        <v>9253.2104597310026</v>
      </c>
      <c r="V86" s="531">
        <v>9704</v>
      </c>
      <c r="W86" s="1253">
        <v>9972.9871668452397</v>
      </c>
      <c r="X86" s="531">
        <v>9913</v>
      </c>
      <c r="Z86" s="557" t="s">
        <v>6</v>
      </c>
      <c r="AA86" s="793"/>
      <c r="AB86" s="793"/>
      <c r="AC86" s="793"/>
      <c r="AD86" s="793"/>
      <c r="AE86" s="793"/>
      <c r="AF86" s="793"/>
      <c r="AG86" s="793"/>
    </row>
    <row r="87" spans="5:33" customFormat="1">
      <c r="E87" s="537" t="s">
        <v>6</v>
      </c>
      <c r="F87" s="531"/>
      <c r="G87" s="531"/>
      <c r="H87" s="531"/>
      <c r="J87" s="531">
        <f t="shared" ref="J87:L87" si="17">(J42/($J42+$K42+$L42))*$C20</f>
        <v>3591012.2226497862</v>
      </c>
      <c r="K87" s="531">
        <f t="shared" si="17"/>
        <v>1936675.0114513105</v>
      </c>
      <c r="L87" s="531">
        <f t="shared" si="17"/>
        <v>433114.07033877668</v>
      </c>
      <c r="M87" s="531">
        <f t="shared" ref="M87:M97" si="18">SUM(J87:L87)</f>
        <v>5960801.3044398725</v>
      </c>
      <c r="N87" s="1330"/>
      <c r="Q87" s="537" t="s">
        <v>8</v>
      </c>
      <c r="R87" s="531">
        <v>2892</v>
      </c>
      <c r="S87" s="531">
        <v>3338</v>
      </c>
      <c r="T87" s="531">
        <v>2512</v>
      </c>
      <c r="U87" s="1253">
        <v>3114.676095516757</v>
      </c>
      <c r="V87" s="531">
        <v>2988</v>
      </c>
      <c r="W87" s="1253">
        <v>4552.8258029139342</v>
      </c>
      <c r="X87" s="531">
        <v>4289</v>
      </c>
      <c r="Z87" s="557" t="s">
        <v>8</v>
      </c>
      <c r="AA87" s="793"/>
      <c r="AB87" s="793"/>
      <c r="AC87" s="793"/>
      <c r="AD87" s="793"/>
      <c r="AE87" s="793"/>
      <c r="AF87" s="793"/>
      <c r="AG87" s="793"/>
    </row>
    <row r="88" spans="5:33" customFormat="1">
      <c r="E88" s="537" t="s">
        <v>8</v>
      </c>
      <c r="F88" s="531"/>
      <c r="G88" s="531"/>
      <c r="H88" s="531"/>
      <c r="J88" s="531">
        <f t="shared" ref="J88:L88" si="19">(J43/($J43+$K43+$L43))*$C21</f>
        <v>416877.22138195334</v>
      </c>
      <c r="K88" s="531">
        <f t="shared" si="19"/>
        <v>629670.24336046493</v>
      </c>
      <c r="L88" s="531">
        <f t="shared" si="19"/>
        <v>119099.88947975334</v>
      </c>
      <c r="M88" s="531">
        <f t="shared" si="18"/>
        <v>1165647.3542221717</v>
      </c>
      <c r="N88" s="1330"/>
      <c r="Q88" s="538" t="s">
        <v>2</v>
      </c>
      <c r="R88" s="539">
        <f>1216+AA88</f>
        <v>1306</v>
      </c>
      <c r="S88" s="539">
        <f>1149+AB88</f>
        <v>1257</v>
      </c>
      <c r="T88" s="539">
        <f>1033+AC88</f>
        <v>1144</v>
      </c>
      <c r="U88" s="1256">
        <f>AD88+1134.33333333333</f>
        <v>1233.3333333333301</v>
      </c>
      <c r="V88" s="539">
        <f>AE88+1121</f>
        <v>1220</v>
      </c>
      <c r="W88" s="1256">
        <f>AF88+1102.66666666667</f>
        <v>1208.6666666666699</v>
      </c>
      <c r="X88" s="539">
        <f>AG88+1159</f>
        <v>1265</v>
      </c>
      <c r="Z88" s="559" t="s">
        <v>2</v>
      </c>
      <c r="AA88" s="794">
        <v>90</v>
      </c>
      <c r="AB88" s="794">
        <v>108</v>
      </c>
      <c r="AC88" s="794">
        <v>111</v>
      </c>
      <c r="AD88" s="794">
        <v>99</v>
      </c>
      <c r="AE88" s="794">
        <v>99</v>
      </c>
      <c r="AF88" s="794">
        <v>106</v>
      </c>
      <c r="AG88" s="794">
        <v>106</v>
      </c>
    </row>
    <row r="89" spans="5:33" customFormat="1">
      <c r="E89" s="538" t="s">
        <v>2</v>
      </c>
      <c r="F89" s="539"/>
      <c r="G89" s="539"/>
      <c r="H89" s="539"/>
      <c r="J89" s="531">
        <f t="shared" ref="J89:L89" si="20">(J44/($J44+$K44+$L44))*$C22</f>
        <v>541061.95360451611</v>
      </c>
      <c r="K89" s="531">
        <f t="shared" si="20"/>
        <v>233432.76260651008</v>
      </c>
      <c r="L89" s="531">
        <f t="shared" si="20"/>
        <v>286669.15726791561</v>
      </c>
      <c r="M89" s="531">
        <f t="shared" si="18"/>
        <v>1061163.8734789419</v>
      </c>
      <c r="N89" s="1330"/>
      <c r="Q89" s="537" t="s">
        <v>10</v>
      </c>
      <c r="R89" s="530">
        <v>41</v>
      </c>
      <c r="S89" s="530">
        <v>62</v>
      </c>
      <c r="T89" s="530">
        <v>42</v>
      </c>
      <c r="U89" s="1253">
        <v>49.333333333333336</v>
      </c>
      <c r="V89" s="531">
        <v>53</v>
      </c>
      <c r="W89" s="1253">
        <v>53.333333333333336</v>
      </c>
      <c r="X89" s="531">
        <v>37</v>
      </c>
      <c r="Z89" s="557" t="s">
        <v>10</v>
      </c>
      <c r="AA89" s="795"/>
      <c r="AB89" s="795"/>
      <c r="AC89" s="795"/>
      <c r="AD89" s="795"/>
      <c r="AE89" s="795"/>
      <c r="AF89" s="795"/>
      <c r="AG89" s="795"/>
    </row>
    <row r="90" spans="5:33" customFormat="1">
      <c r="E90" s="537" t="s">
        <v>10</v>
      </c>
      <c r="F90" s="531"/>
      <c r="G90" s="531"/>
      <c r="H90" s="531"/>
      <c r="J90" s="531">
        <f t="shared" ref="J90:L90" si="21">(J45/($J45+$K45+$L45))*$C23</f>
        <v>103583.88974973552</v>
      </c>
      <c r="K90" s="531">
        <f t="shared" si="21"/>
        <v>8490.8031590133178</v>
      </c>
      <c r="L90" s="531">
        <f t="shared" si="21"/>
        <v>41600.723093580869</v>
      </c>
      <c r="M90" s="531">
        <f t="shared" si="18"/>
        <v>153675.4160023297</v>
      </c>
      <c r="N90" s="1330"/>
      <c r="Q90" s="537" t="s">
        <v>4</v>
      </c>
      <c r="R90" s="531">
        <f>30479+AA90</f>
        <v>27765</v>
      </c>
      <c r="S90" s="531">
        <f>30458+AB90</f>
        <v>27601</v>
      </c>
      <c r="T90" s="531">
        <f>24604+AC90</f>
        <v>21760</v>
      </c>
      <c r="U90" s="1253">
        <f>AD90+24266.0976944277</f>
        <v>21629.097694427699</v>
      </c>
      <c r="V90" s="531">
        <f>AE90+24391</f>
        <v>21754</v>
      </c>
      <c r="W90" s="1253">
        <f>AF90+24279.3891725805</f>
        <v>21711.389172580501</v>
      </c>
      <c r="X90" s="531">
        <f>AG90+24281</f>
        <v>21713</v>
      </c>
      <c r="Z90" s="557" t="s">
        <v>4</v>
      </c>
      <c r="AA90" s="793">
        <f t="shared" ref="AA90:AF90" si="22">-(AA85+AA88)</f>
        <v>-2714</v>
      </c>
      <c r="AB90" s="793">
        <f t="shared" si="22"/>
        <v>-2857</v>
      </c>
      <c r="AC90" s="793">
        <f t="shared" si="22"/>
        <v>-2844</v>
      </c>
      <c r="AD90" s="793">
        <f t="shared" si="22"/>
        <v>-2637</v>
      </c>
      <c r="AE90" s="793">
        <f t="shared" si="22"/>
        <v>-2637</v>
      </c>
      <c r="AF90" s="793">
        <f t="shared" si="22"/>
        <v>-2568</v>
      </c>
      <c r="AG90" s="793">
        <f t="shared" ref="AG90" si="23">-(AG85+AG88)</f>
        <v>-2568</v>
      </c>
    </row>
    <row r="91" spans="5:33" customFormat="1">
      <c r="E91" s="537" t="s">
        <v>4</v>
      </c>
      <c r="F91" s="531"/>
      <c r="G91" s="531"/>
      <c r="H91" s="531"/>
      <c r="J91" s="531">
        <f t="shared" ref="J91:L91" si="24">(J46/($J46+$K46+$L46))*$C24</f>
        <v>18316868.982998975</v>
      </c>
      <c r="K91" s="531">
        <f t="shared" si="24"/>
        <v>4195678.9216133468</v>
      </c>
      <c r="L91" s="531">
        <f t="shared" si="24"/>
        <v>1280032.2180538888</v>
      </c>
      <c r="M91" s="531">
        <f t="shared" si="18"/>
        <v>23792580.12266621</v>
      </c>
      <c r="N91" s="1330"/>
      <c r="Q91" s="537" t="s">
        <v>14</v>
      </c>
      <c r="R91" s="530">
        <v>60</v>
      </c>
      <c r="S91" s="530">
        <v>62</v>
      </c>
      <c r="T91" s="530">
        <v>33</v>
      </c>
      <c r="U91" s="1253">
        <v>52</v>
      </c>
      <c r="V91" s="531">
        <v>30</v>
      </c>
      <c r="W91" s="1253">
        <v>42</v>
      </c>
      <c r="X91" s="531">
        <v>24</v>
      </c>
      <c r="Z91" s="557" t="s">
        <v>14</v>
      </c>
      <c r="AA91" s="530"/>
      <c r="AB91" s="530"/>
      <c r="AC91" s="530"/>
      <c r="AD91" s="530"/>
      <c r="AE91" s="530"/>
      <c r="AF91" s="530"/>
      <c r="AG91" s="530"/>
    </row>
    <row r="92" spans="5:33" customFormat="1">
      <c r="E92" s="537" t="s">
        <v>14</v>
      </c>
      <c r="F92" s="531"/>
      <c r="G92" s="531"/>
      <c r="H92" s="531"/>
      <c r="J92" s="531">
        <f t="shared" ref="J92:L92" si="25">(J47/($J47+$K47+$L47))*$C25</f>
        <v>0</v>
      </c>
      <c r="K92" s="531">
        <f t="shared" si="25"/>
        <v>5596.2111729860508</v>
      </c>
      <c r="L92" s="531">
        <f t="shared" si="25"/>
        <v>323215.5869015287</v>
      </c>
      <c r="M92" s="531">
        <f t="shared" si="18"/>
        <v>328811.79807451478</v>
      </c>
      <c r="N92" s="1330"/>
      <c r="Q92" s="538" t="s">
        <v>17</v>
      </c>
      <c r="R92" s="539">
        <v>22630</v>
      </c>
      <c r="S92" s="539">
        <v>22763</v>
      </c>
      <c r="T92" s="539">
        <v>23560</v>
      </c>
      <c r="U92" s="1256">
        <v>23829.2593106514</v>
      </c>
      <c r="V92" s="539">
        <v>22913</v>
      </c>
      <c r="W92" s="1256">
        <v>21681.744252569246</v>
      </c>
      <c r="X92" s="539">
        <v>22346</v>
      </c>
      <c r="Z92" s="559" t="s">
        <v>17</v>
      </c>
      <c r="AA92" s="539"/>
      <c r="AB92" s="539"/>
      <c r="AC92" s="539"/>
      <c r="AD92" s="539"/>
      <c r="AE92" s="539"/>
      <c r="AF92" s="539"/>
      <c r="AG92" s="539"/>
    </row>
    <row r="93" spans="5:33" customFormat="1">
      <c r="E93" s="538" t="s">
        <v>17</v>
      </c>
      <c r="F93" s="539"/>
      <c r="G93" s="539"/>
      <c r="H93" s="539"/>
      <c r="J93" s="531">
        <f t="shared" ref="J93:L93" si="26">(J48/($J48+$K48+$L48))*$C26</f>
        <v>15978004.503811227</v>
      </c>
      <c r="K93" s="531">
        <f t="shared" si="26"/>
        <v>4426731.6863646787</v>
      </c>
      <c r="L93" s="531">
        <f t="shared" si="26"/>
        <v>1015653.7909171131</v>
      </c>
      <c r="M93" s="531">
        <f t="shared" si="18"/>
        <v>21420389.981093019</v>
      </c>
      <c r="N93" s="1330"/>
      <c r="Q93" s="537" t="s">
        <v>376</v>
      </c>
      <c r="R93" s="530">
        <v>2</v>
      </c>
      <c r="S93" s="530">
        <v>10</v>
      </c>
      <c r="T93" s="530">
        <v>0</v>
      </c>
      <c r="U93" s="1253">
        <v>4</v>
      </c>
      <c r="V93" s="531">
        <v>0</v>
      </c>
      <c r="W93" s="1253">
        <v>3.3333333333333335</v>
      </c>
      <c r="X93" s="531">
        <v>0</v>
      </c>
      <c r="Z93" s="557" t="s">
        <v>376</v>
      </c>
      <c r="AA93" s="530"/>
      <c r="AB93" s="530"/>
      <c r="AC93" s="530"/>
      <c r="AD93" s="530"/>
      <c r="AE93" s="530"/>
      <c r="AF93" s="530"/>
      <c r="AG93" s="530"/>
    </row>
    <row r="94" spans="5:33" customFormat="1">
      <c r="E94" s="537" t="s">
        <v>376</v>
      </c>
      <c r="F94" s="531"/>
      <c r="G94" s="531"/>
      <c r="H94" s="531"/>
      <c r="J94" s="531">
        <f t="shared" ref="J94:L94" si="27">(J49/($J49+$K49+$L49))*$C27</f>
        <v>11236.82316699671</v>
      </c>
      <c r="K94" s="531">
        <f t="shared" si="27"/>
        <v>0</v>
      </c>
      <c r="L94" s="531">
        <f t="shared" si="27"/>
        <v>219537.77233808723</v>
      </c>
      <c r="M94" s="531">
        <f t="shared" si="18"/>
        <v>230774.59550508394</v>
      </c>
      <c r="N94" s="1330"/>
      <c r="Q94" s="537" t="s">
        <v>7</v>
      </c>
      <c r="R94" s="531">
        <v>3898</v>
      </c>
      <c r="S94" s="531">
        <v>4034</v>
      </c>
      <c r="T94" s="531">
        <v>4106</v>
      </c>
      <c r="U94" s="1253">
        <v>4361.5547937870779</v>
      </c>
      <c r="V94" s="531">
        <v>4426</v>
      </c>
      <c r="W94" s="1253">
        <v>4123.0842136588471</v>
      </c>
      <c r="X94" s="531">
        <v>3819</v>
      </c>
      <c r="Z94" s="557" t="s">
        <v>7</v>
      </c>
      <c r="AA94" s="531"/>
      <c r="AB94" s="531"/>
      <c r="AC94" s="531"/>
      <c r="AD94" s="531"/>
      <c r="AE94" s="531"/>
      <c r="AF94" s="531"/>
      <c r="AG94" s="531"/>
    </row>
    <row r="95" spans="5:33" customFormat="1">
      <c r="E95" s="537" t="s">
        <v>7</v>
      </c>
      <c r="F95" s="531"/>
      <c r="G95" s="531"/>
      <c r="H95" s="531"/>
      <c r="J95" s="531">
        <f t="shared" ref="J95:L95" si="28">(J50/($J50+$K50+$L50))*$C28</f>
        <v>4855868.2780268835</v>
      </c>
      <c r="K95" s="531">
        <f t="shared" si="28"/>
        <v>794469.01376495068</v>
      </c>
      <c r="L95" s="531">
        <f t="shared" si="28"/>
        <v>401751.53143333556</v>
      </c>
      <c r="M95" s="531">
        <f t="shared" si="18"/>
        <v>6052088.8232251694</v>
      </c>
      <c r="N95" s="1330"/>
      <c r="Q95" s="537" t="s">
        <v>629</v>
      </c>
      <c r="R95" s="531">
        <v>23832</v>
      </c>
      <c r="S95" s="531">
        <v>12227</v>
      </c>
      <c r="T95" s="531">
        <v>5027</v>
      </c>
      <c r="U95" s="1253">
        <v>3148.4724463699031</v>
      </c>
      <c r="V95" s="531">
        <v>3973</v>
      </c>
      <c r="W95" s="1253">
        <v>3397.9644472560872</v>
      </c>
      <c r="X95" s="531">
        <v>3870</v>
      </c>
      <c r="Z95" s="557" t="s">
        <v>9</v>
      </c>
      <c r="AA95" s="531"/>
      <c r="AB95" s="531"/>
      <c r="AC95" s="531"/>
      <c r="AD95" s="531"/>
      <c r="AE95" s="531"/>
      <c r="AF95" s="531"/>
      <c r="AG95" s="531"/>
    </row>
    <row r="96" spans="5:33" customFormat="1">
      <c r="E96" s="537" t="s">
        <v>629</v>
      </c>
      <c r="F96" s="531"/>
      <c r="G96" s="531"/>
      <c r="H96" s="531"/>
      <c r="J96" s="531">
        <f>((J51+J53)/($J51+$K51+$L51+J53))*$C29</f>
        <v>3975498.8553471896</v>
      </c>
      <c r="K96" s="531">
        <f>((K51+K53)/($J51+$K51+$L51+J53))*$C29</f>
        <v>827853.30800379859</v>
      </c>
      <c r="L96" s="531">
        <f>((L51+L53)/($J51+$K51+$L51+J53))*$C29</f>
        <v>228220.78930777547</v>
      </c>
      <c r="M96" s="531">
        <f>SUM(J96:L96)</f>
        <v>5031572.9526587641</v>
      </c>
      <c r="N96" s="1330"/>
      <c r="Q96" s="538" t="s">
        <v>630</v>
      </c>
      <c r="R96" s="539">
        <v>5673</v>
      </c>
      <c r="S96" s="539">
        <v>6583</v>
      </c>
      <c r="T96" s="539">
        <v>5768</v>
      </c>
      <c r="U96" s="1256">
        <v>5736.1357327063561</v>
      </c>
      <c r="V96" s="539">
        <v>5856</v>
      </c>
      <c r="W96" s="1256">
        <v>4788.2338673248914</v>
      </c>
      <c r="X96" s="539">
        <v>4570</v>
      </c>
      <c r="Z96" s="559" t="s">
        <v>5</v>
      </c>
      <c r="AA96" s="539"/>
      <c r="AB96" s="539"/>
      <c r="AC96" s="539"/>
      <c r="AD96" s="539"/>
      <c r="AE96" s="539"/>
      <c r="AF96" s="539"/>
      <c r="AG96" s="539"/>
    </row>
    <row r="97" spans="5:33" customFormat="1">
      <c r="E97" s="538" t="s">
        <v>630</v>
      </c>
      <c r="F97" s="539"/>
      <c r="G97" s="539"/>
      <c r="H97" s="539"/>
      <c r="J97" s="531">
        <f t="shared" ref="J97:L97" si="29">(J52/($J52+$K52+$L52))*$C30</f>
        <v>1373211.1359159946</v>
      </c>
      <c r="K97" s="531">
        <f t="shared" si="29"/>
        <v>1041667.1693716794</v>
      </c>
      <c r="L97" s="531">
        <f t="shared" si="29"/>
        <v>363001.9482402493</v>
      </c>
      <c r="M97" s="531">
        <f t="shared" si="18"/>
        <v>2777880.2535279235</v>
      </c>
      <c r="N97" s="1330"/>
      <c r="Q97" s="537"/>
      <c r="R97" s="530"/>
      <c r="S97" s="530"/>
      <c r="T97" s="530"/>
      <c r="U97" s="1254"/>
      <c r="V97" s="530"/>
      <c r="W97" s="1254"/>
      <c r="X97" s="530"/>
    </row>
    <row r="98" spans="5:33" customFormat="1">
      <c r="E98" s="537"/>
      <c r="F98" s="531"/>
      <c r="G98" s="531"/>
      <c r="H98" s="531"/>
      <c r="J98" s="531">
        <f t="shared" ref="J98:L98" si="30">(J53/($J53+$K53+$L53))*$C31</f>
        <v>0</v>
      </c>
      <c r="K98" s="531">
        <f t="shared" si="30"/>
        <v>0</v>
      </c>
      <c r="L98" s="531">
        <f t="shared" si="30"/>
        <v>0</v>
      </c>
      <c r="M98" s="531"/>
      <c r="N98" s="558"/>
      <c r="Q98" s="557" t="s">
        <v>631</v>
      </c>
      <c r="R98" s="530">
        <v>1261</v>
      </c>
      <c r="S98" s="530">
        <v>901</v>
      </c>
      <c r="T98" s="530">
        <v>818</v>
      </c>
      <c r="U98" s="1253">
        <v>993.33333333333337</v>
      </c>
      <c r="V98" s="531">
        <v>852</v>
      </c>
      <c r="W98" s="1253">
        <v>857</v>
      </c>
      <c r="X98" s="531">
        <v>868</v>
      </c>
    </row>
    <row r="99" spans="5:33" customFormat="1">
      <c r="E99" s="557" t="s">
        <v>631</v>
      </c>
      <c r="F99" s="531"/>
      <c r="G99" s="531"/>
      <c r="H99" s="531"/>
      <c r="J99" s="531">
        <f t="shared" ref="J99:L99" si="31">(J54/($J54+$K54+$L54))*$C32</f>
        <v>145499.02378535818</v>
      </c>
      <c r="K99" s="531">
        <f t="shared" si="31"/>
        <v>163254.98801193791</v>
      </c>
      <c r="L99" s="531">
        <f t="shared" si="31"/>
        <v>0</v>
      </c>
      <c r="M99" s="531">
        <f t="shared" ref="M99:M103" si="32">SUM(J99:L99)</f>
        <v>308754.01179729612</v>
      </c>
      <c r="N99" s="1330"/>
      <c r="Q99" s="557" t="s">
        <v>657</v>
      </c>
      <c r="R99" s="530">
        <v>847</v>
      </c>
      <c r="S99" s="530">
        <v>423</v>
      </c>
      <c r="T99" s="530">
        <v>53</v>
      </c>
      <c r="U99" s="1253">
        <v>441</v>
      </c>
      <c r="V99" s="531">
        <v>209</v>
      </c>
      <c r="W99" s="1253">
        <v>228.33333333333334</v>
      </c>
      <c r="X99" s="531">
        <v>115</v>
      </c>
    </row>
    <row r="100" spans="5:33" customFormat="1">
      <c r="E100" s="557" t="s">
        <v>657</v>
      </c>
      <c r="F100" s="531"/>
      <c r="G100" s="531"/>
      <c r="H100" s="531"/>
      <c r="J100" s="531">
        <f t="shared" ref="J100:L100" si="33">(J55/($J55+$K55+$L55))*$C33</f>
        <v>11281.41373511971</v>
      </c>
      <c r="K100" s="531">
        <f t="shared" si="33"/>
        <v>24250.248416272887</v>
      </c>
      <c r="L100" s="531">
        <f t="shared" si="33"/>
        <v>388.79180461290542</v>
      </c>
      <c r="M100" s="531">
        <f t="shared" si="32"/>
        <v>35920.453956005498</v>
      </c>
      <c r="N100" s="1330"/>
      <c r="Q100" s="559" t="s">
        <v>633</v>
      </c>
      <c r="R100" s="540">
        <v>1380</v>
      </c>
      <c r="S100" s="540">
        <v>1742</v>
      </c>
      <c r="T100" s="540">
        <v>1988</v>
      </c>
      <c r="U100" s="1256">
        <v>1729.8107855809276</v>
      </c>
      <c r="V100" s="539">
        <v>1939</v>
      </c>
      <c r="W100" s="1256">
        <v>2134.6332347868929</v>
      </c>
      <c r="X100" s="539">
        <v>2068</v>
      </c>
    </row>
    <row r="101" spans="5:33" customFormat="1">
      <c r="E101" s="559" t="s">
        <v>633</v>
      </c>
      <c r="F101" s="539"/>
      <c r="G101" s="539"/>
      <c r="H101" s="539"/>
      <c r="J101" s="531">
        <f t="shared" ref="J101:L101" si="34">(J56/($J56+$K56+$L56))*$C34</f>
        <v>498299.59877455642</v>
      </c>
      <c r="K101" s="531">
        <f t="shared" si="34"/>
        <v>385623.97680518811</v>
      </c>
      <c r="L101" s="531">
        <f t="shared" si="34"/>
        <v>3887.9180461290534</v>
      </c>
      <c r="M101" s="531">
        <f t="shared" si="32"/>
        <v>887811.49362587358</v>
      </c>
      <c r="N101" s="1330"/>
      <c r="Q101" s="557" t="s">
        <v>656</v>
      </c>
      <c r="R101" s="530"/>
      <c r="S101" s="530"/>
      <c r="T101" s="530"/>
      <c r="U101" s="1254"/>
      <c r="V101" s="530">
        <v>80</v>
      </c>
      <c r="W101" s="1254"/>
      <c r="X101" s="530">
        <v>135</v>
      </c>
    </row>
    <row r="102" spans="5:33" customFormat="1">
      <c r="E102" s="557" t="s">
        <v>656</v>
      </c>
      <c r="F102" s="531"/>
      <c r="G102" s="531"/>
      <c r="H102" s="531"/>
      <c r="J102" s="531">
        <f t="shared" ref="J102:L102" si="35">(J57/($J57+$K57+$L57))*$C35</f>
        <v>1325053.3223431513</v>
      </c>
      <c r="K102" s="531">
        <f t="shared" si="35"/>
        <v>13829.71726657472</v>
      </c>
      <c r="L102" s="531">
        <f t="shared" si="35"/>
        <v>0</v>
      </c>
      <c r="M102" s="531">
        <f t="shared" si="32"/>
        <v>1338883.0396097261</v>
      </c>
      <c r="N102" s="1330"/>
      <c r="Q102" s="563" t="s">
        <v>635</v>
      </c>
      <c r="R102" s="530">
        <v>3278</v>
      </c>
      <c r="S102" s="530">
        <v>2416</v>
      </c>
      <c r="T102" s="530">
        <v>463</v>
      </c>
      <c r="U102" s="1253">
        <v>1433.5</v>
      </c>
      <c r="V102" s="531">
        <v>492</v>
      </c>
      <c r="W102" s="1253">
        <v>471.5</v>
      </c>
      <c r="X102" s="531">
        <v>793</v>
      </c>
    </row>
    <row r="103" spans="5:33" customFormat="1">
      <c r="E103" s="563" t="s">
        <v>635</v>
      </c>
      <c r="F103" s="531"/>
      <c r="G103" s="531"/>
      <c r="H103" s="531"/>
      <c r="J103" s="531">
        <f t="shared" ref="J103:L104" si="36">(J58/($J58+$K58+$L58))*$C36</f>
        <v>13867.666686253875</v>
      </c>
      <c r="K103" s="531">
        <f t="shared" si="36"/>
        <v>112438.81759057031</v>
      </c>
      <c r="L103" s="531">
        <f t="shared" si="36"/>
        <v>0</v>
      </c>
      <c r="M103" s="531">
        <f t="shared" si="32"/>
        <v>126306.48427682418</v>
      </c>
      <c r="N103" s="1330"/>
      <c r="Q103" s="542" t="s">
        <v>224</v>
      </c>
      <c r="R103" s="543">
        <v>114005</v>
      </c>
      <c r="S103" s="543">
        <v>100205</v>
      </c>
      <c r="T103" s="543">
        <v>85741</v>
      </c>
      <c r="U103" s="1258">
        <f>SUM(U85:U102)</f>
        <v>85409.707821733493</v>
      </c>
      <c r="V103" s="543">
        <v>85035</v>
      </c>
      <c r="W103" s="1258">
        <f>SUM(W85:W102)</f>
        <v>84337.378186296919</v>
      </c>
      <c r="X103" s="534">
        <v>84275</v>
      </c>
    </row>
    <row r="104" spans="5:33" customFormat="1">
      <c r="E104" s="542"/>
      <c r="F104" s="543"/>
      <c r="G104" s="543"/>
      <c r="H104" s="543"/>
      <c r="J104" s="531">
        <f t="shared" si="36"/>
        <v>53426572.675461687</v>
      </c>
      <c r="K104" s="531">
        <f t="shared" si="36"/>
        <v>16405968.458405348</v>
      </c>
      <c r="L104" s="531">
        <f t="shared" si="36"/>
        <v>5172097.3767654793</v>
      </c>
      <c r="M104" s="534">
        <f>SUM(M86:M103)</f>
        <v>75004638.510632515</v>
      </c>
      <c r="N104" s="534"/>
      <c r="Q104" s="546" t="s">
        <v>639</v>
      </c>
      <c r="R104" s="531">
        <v>321872</v>
      </c>
      <c r="S104" s="531">
        <v>325748</v>
      </c>
      <c r="T104" s="531">
        <v>316759</v>
      </c>
      <c r="U104" s="1253">
        <v>85409.707821733507</v>
      </c>
      <c r="V104" s="531">
        <v>107800</v>
      </c>
      <c r="W104" s="1253">
        <v>84337.378186296904</v>
      </c>
      <c r="X104" s="531"/>
    </row>
    <row r="105" spans="5:33" customFormat="1">
      <c r="Q105" s="544" t="s">
        <v>640</v>
      </c>
      <c r="R105" s="531">
        <v>321769</v>
      </c>
      <c r="S105" s="531">
        <v>325591</v>
      </c>
      <c r="T105" s="531">
        <v>316656</v>
      </c>
      <c r="U105" s="531"/>
      <c r="V105" s="531"/>
      <c r="W105" s="531"/>
      <c r="X105" s="531"/>
    </row>
    <row r="106" spans="5:33" customFormat="1">
      <c r="Q106" s="530"/>
      <c r="R106" s="531"/>
      <c r="S106" s="530"/>
      <c r="T106" s="530"/>
      <c r="U106" s="530"/>
      <c r="V106" s="530"/>
      <c r="W106" s="530"/>
      <c r="X106" s="530"/>
    </row>
    <row r="107" spans="5:33" customFormat="1">
      <c r="E107" s="552" t="s">
        <v>1319</v>
      </c>
      <c r="F107" s="552"/>
      <c r="G107" s="552"/>
      <c r="H107" s="552"/>
      <c r="I107" s="552"/>
      <c r="J107" s="552"/>
      <c r="K107" s="552"/>
      <c r="L107" s="552"/>
      <c r="M107" s="552"/>
      <c r="N107" s="552"/>
      <c r="Q107" s="535" t="s">
        <v>641</v>
      </c>
      <c r="R107" s="547">
        <v>1696</v>
      </c>
      <c r="S107" s="547">
        <v>1815</v>
      </c>
      <c r="T107" s="547">
        <v>1944</v>
      </c>
      <c r="U107" s="547"/>
      <c r="V107" s="547">
        <v>594</v>
      </c>
      <c r="W107" s="547"/>
      <c r="X107" s="547"/>
    </row>
    <row r="108" spans="5:33" customFormat="1" ht="25.5">
      <c r="E108" s="256"/>
      <c r="F108" s="553"/>
      <c r="G108" s="553"/>
      <c r="H108" s="553"/>
      <c r="I108" s="256"/>
      <c r="J108" s="553" t="s">
        <v>1339</v>
      </c>
      <c r="K108" s="553" t="s">
        <v>1340</v>
      </c>
      <c r="L108" s="553" t="s">
        <v>1341</v>
      </c>
      <c r="M108" s="529"/>
      <c r="N108" s="529"/>
      <c r="Q108" s="530"/>
      <c r="R108" s="531"/>
      <c r="S108" s="530"/>
      <c r="T108" s="530"/>
      <c r="U108" s="530"/>
      <c r="V108" s="530"/>
      <c r="W108" s="530"/>
      <c r="X108" s="530"/>
    </row>
    <row r="109" spans="5:33" customFormat="1">
      <c r="E109" s="537" t="s">
        <v>628</v>
      </c>
      <c r="F109" s="531"/>
      <c r="G109" s="531"/>
      <c r="H109" s="531"/>
      <c r="J109" s="1023">
        <f>J86/(J64/3)</f>
        <v>133.77170436900843</v>
      </c>
      <c r="K109" s="1023">
        <f t="shared" ref="K109:L109" si="37">K86/(K64/3)</f>
        <v>192.97279906848451</v>
      </c>
      <c r="L109" s="1023">
        <f t="shared" si="37"/>
        <v>388.79180461290537</v>
      </c>
      <c r="M109" s="531"/>
      <c r="N109" s="1330"/>
      <c r="Q109" s="548"/>
      <c r="R109" s="530"/>
      <c r="S109" s="530"/>
      <c r="T109" s="530"/>
      <c r="U109" s="530"/>
      <c r="V109" s="530"/>
      <c r="W109" s="530"/>
      <c r="X109" s="530"/>
    </row>
    <row r="110" spans="5:33" customFormat="1">
      <c r="E110" s="537" t="s">
        <v>6</v>
      </c>
      <c r="F110" s="531"/>
      <c r="G110" s="531"/>
      <c r="H110" s="531"/>
      <c r="J110" s="1023">
        <f t="shared" ref="J110:L110" si="38">J87/(J65/3)</f>
        <v>133.77170436900846</v>
      </c>
      <c r="K110" s="1023">
        <f t="shared" si="38"/>
        <v>192.97279906848451</v>
      </c>
      <c r="L110" s="1023">
        <f t="shared" si="38"/>
        <v>388.79180461290548</v>
      </c>
      <c r="M110" s="531"/>
      <c r="N110" s="1330"/>
      <c r="Q110" s="535" t="s">
        <v>642</v>
      </c>
      <c r="R110" s="536"/>
      <c r="S110" s="536"/>
      <c r="T110" s="536"/>
      <c r="U110" s="536"/>
      <c r="V110" s="536"/>
      <c r="W110" s="536"/>
      <c r="X110" s="536"/>
      <c r="Z110" s="667" t="s">
        <v>711</v>
      </c>
      <c r="AA110" s="536"/>
      <c r="AB110" s="536"/>
      <c r="AC110" s="536"/>
      <c r="AD110" s="536"/>
      <c r="AE110" s="536"/>
      <c r="AF110" s="536"/>
      <c r="AG110" s="536"/>
    </row>
    <row r="111" spans="5:33" customFormat="1">
      <c r="E111" s="537" t="s">
        <v>8</v>
      </c>
      <c r="F111" s="531"/>
      <c r="G111" s="531"/>
      <c r="H111" s="531"/>
      <c r="J111" s="1023">
        <f t="shared" ref="J111:L111" si="39">J88/(J66/3)</f>
        <v>133.77170436900843</v>
      </c>
      <c r="K111" s="1023">
        <f t="shared" si="39"/>
        <v>192.97279906848451</v>
      </c>
      <c r="L111" s="1023">
        <f t="shared" si="39"/>
        <v>388.79180461290537</v>
      </c>
      <c r="M111" s="531"/>
      <c r="N111" s="1330"/>
      <c r="Q111" s="537" t="s">
        <v>628</v>
      </c>
      <c r="R111" s="531">
        <v>10140</v>
      </c>
      <c r="S111" s="531">
        <v>10529</v>
      </c>
      <c r="T111" s="531">
        <v>10242</v>
      </c>
      <c r="U111" s="1253">
        <v>10344.466824389705</v>
      </c>
      <c r="V111" s="531">
        <v>10473</v>
      </c>
      <c r="W111" s="1253">
        <v>9957.5079822274984</v>
      </c>
      <c r="X111" s="531">
        <v>9516</v>
      </c>
      <c r="Z111" s="1463" t="s">
        <v>628</v>
      </c>
      <c r="AA111" s="1464">
        <v>155</v>
      </c>
      <c r="AB111" s="1464">
        <v>143</v>
      </c>
      <c r="AC111" s="1464">
        <v>366</v>
      </c>
      <c r="AD111" s="1464">
        <v>221.33333333333334</v>
      </c>
      <c r="AE111" s="1464"/>
      <c r="AF111" s="1464"/>
      <c r="AG111" s="1464"/>
    </row>
    <row r="112" spans="5:33" customFormat="1">
      <c r="E112" s="538" t="s">
        <v>2</v>
      </c>
      <c r="F112" s="539"/>
      <c r="G112" s="539"/>
      <c r="H112" s="539"/>
      <c r="J112" s="1023">
        <f t="shared" ref="J112:L112" si="40">J89/(J67/3)</f>
        <v>133.77170436900843</v>
      </c>
      <c r="K112" s="1023">
        <f t="shared" si="40"/>
        <v>192.97279906848448</v>
      </c>
      <c r="L112" s="1023">
        <f t="shared" si="40"/>
        <v>388.79180461290542</v>
      </c>
      <c r="M112" s="539"/>
      <c r="N112" s="1330"/>
      <c r="Q112" s="537" t="s">
        <v>6</v>
      </c>
      <c r="R112" s="531">
        <v>4877</v>
      </c>
      <c r="S112" s="531">
        <v>5185</v>
      </c>
      <c r="T112" s="531">
        <v>4977</v>
      </c>
      <c r="U112" s="1253">
        <v>5514.528697405688</v>
      </c>
      <c r="V112" s="531">
        <v>4925</v>
      </c>
      <c r="W112" s="1253">
        <v>4302.5617085434405</v>
      </c>
      <c r="X112" s="531">
        <v>4308</v>
      </c>
      <c r="Z112" s="1463" t="s">
        <v>6</v>
      </c>
      <c r="AA112" s="1464">
        <v>86</v>
      </c>
      <c r="AB112" s="1464">
        <v>157</v>
      </c>
      <c r="AC112" s="1464">
        <v>224</v>
      </c>
      <c r="AD112" s="1464">
        <v>155.66666666666666</v>
      </c>
      <c r="AE112" s="1464"/>
      <c r="AF112" s="1464"/>
      <c r="AG112" s="1464"/>
    </row>
    <row r="113" spans="5:33" customFormat="1">
      <c r="E113" s="537" t="s">
        <v>10</v>
      </c>
      <c r="F113" s="531"/>
      <c r="G113" s="531"/>
      <c r="H113" s="531"/>
      <c r="J113" s="1023">
        <f t="shared" ref="J113:L113" si="41">J90/(J68/3)</f>
        <v>133.7717043690084</v>
      </c>
      <c r="K113" s="1023">
        <f t="shared" si="41"/>
        <v>192.97279906848451</v>
      </c>
      <c r="L113" s="1023">
        <f t="shared" si="41"/>
        <v>388.79180461290531</v>
      </c>
      <c r="M113" s="531"/>
      <c r="N113" s="1330"/>
      <c r="Q113" s="537" t="s">
        <v>8</v>
      </c>
      <c r="R113" s="531">
        <v>2278</v>
      </c>
      <c r="S113" s="531">
        <v>2154</v>
      </c>
      <c r="T113" s="531">
        <v>2527</v>
      </c>
      <c r="U113" s="1253">
        <v>2093.7092945609229</v>
      </c>
      <c r="V113" s="531">
        <v>1334</v>
      </c>
      <c r="W113" s="1253">
        <v>997.18775696334865</v>
      </c>
      <c r="X113" s="531">
        <v>1204</v>
      </c>
      <c r="Z113" s="1463" t="s">
        <v>8</v>
      </c>
      <c r="AA113" s="1467">
        <v>676</v>
      </c>
      <c r="AB113" s="1467">
        <v>290</v>
      </c>
      <c r="AC113" s="1467">
        <v>253</v>
      </c>
      <c r="AD113" s="1467">
        <v>406.33333333333331</v>
      </c>
      <c r="AE113" s="1467"/>
      <c r="AF113" s="1467"/>
      <c r="AG113" s="1467"/>
    </row>
    <row r="114" spans="5:33" customFormat="1">
      <c r="E114" s="537" t="s">
        <v>4</v>
      </c>
      <c r="F114" s="531"/>
      <c r="G114" s="531"/>
      <c r="H114" s="531"/>
      <c r="J114" s="1023">
        <f t="shared" ref="J114:L114" si="42">J91/(J69/3)</f>
        <v>133.77170436900843</v>
      </c>
      <c r="K114" s="1023">
        <f t="shared" si="42"/>
        <v>192.97279906848453</v>
      </c>
      <c r="L114" s="1023">
        <f t="shared" si="42"/>
        <v>388.79180461290537</v>
      </c>
      <c r="M114" s="531"/>
      <c r="N114" s="1330"/>
      <c r="Q114" s="538" t="s">
        <v>2</v>
      </c>
      <c r="R114" s="539">
        <v>3439</v>
      </c>
      <c r="S114" s="539">
        <v>3557</v>
      </c>
      <c r="T114" s="539">
        <v>3487</v>
      </c>
      <c r="U114" s="1256">
        <v>3625.0142409058562</v>
      </c>
      <c r="V114" s="539">
        <v>3601</v>
      </c>
      <c r="W114" s="1256">
        <v>3744.4568584736589</v>
      </c>
      <c r="X114" s="539">
        <v>3535</v>
      </c>
      <c r="Z114" s="1469" t="s">
        <v>2</v>
      </c>
      <c r="AA114" s="1464">
        <v>58</v>
      </c>
      <c r="AB114" s="1464">
        <v>121</v>
      </c>
      <c r="AC114" s="1464">
        <v>81</v>
      </c>
      <c r="AD114" s="1464">
        <v>86.666666666666671</v>
      </c>
      <c r="AE114" s="1464"/>
      <c r="AF114" s="1464"/>
      <c r="AG114" s="1464"/>
    </row>
    <row r="115" spans="5:33" customFormat="1">
      <c r="E115" s="537" t="s">
        <v>14</v>
      </c>
      <c r="F115" s="531"/>
      <c r="G115" s="531"/>
      <c r="H115" s="531"/>
      <c r="J115" s="1023" t="e">
        <f t="shared" ref="J115:L115" si="43">J92/(J70/3)</f>
        <v>#DIV/0!</v>
      </c>
      <c r="K115" s="1023">
        <f t="shared" si="43"/>
        <v>192.97279906848451</v>
      </c>
      <c r="L115" s="1023">
        <f t="shared" si="43"/>
        <v>388.79180461290542</v>
      </c>
      <c r="M115" s="531"/>
      <c r="N115" s="1330"/>
      <c r="Q115" s="537" t="s">
        <v>10</v>
      </c>
      <c r="R115" s="530">
        <v>17207</v>
      </c>
      <c r="S115" s="530">
        <v>17325</v>
      </c>
      <c r="T115" s="530">
        <v>17451</v>
      </c>
      <c r="U115" s="1253">
        <v>17845.995248567433</v>
      </c>
      <c r="V115" s="531">
        <v>18055</v>
      </c>
      <c r="W115" s="1253">
        <v>17853.472759230837</v>
      </c>
      <c r="X115" s="531">
        <v>17335</v>
      </c>
      <c r="Z115" s="1463" t="s">
        <v>10</v>
      </c>
      <c r="AA115" s="1464">
        <v>0</v>
      </c>
      <c r="AB115" s="1464">
        <v>0</v>
      </c>
      <c r="AC115" s="1464">
        <v>0</v>
      </c>
      <c r="AD115" s="1464">
        <v>0</v>
      </c>
      <c r="AE115" s="1464"/>
      <c r="AF115" s="1464"/>
      <c r="AG115" s="1464"/>
    </row>
    <row r="116" spans="5:33" customFormat="1">
      <c r="E116" s="538" t="s">
        <v>17</v>
      </c>
      <c r="F116" s="539"/>
      <c r="G116" s="539"/>
      <c r="H116" s="539"/>
      <c r="J116" s="1023">
        <f t="shared" ref="J116:L116" si="44">J93/(J71/3)</f>
        <v>133.77170436900843</v>
      </c>
      <c r="K116" s="1023">
        <f t="shared" si="44"/>
        <v>192.97279906848451</v>
      </c>
      <c r="L116" s="1023">
        <f t="shared" si="44"/>
        <v>388.79180461290531</v>
      </c>
      <c r="M116" s="539"/>
      <c r="N116" s="1330"/>
      <c r="Q116" s="537" t="s">
        <v>4</v>
      </c>
      <c r="R116" s="531">
        <v>14255</v>
      </c>
      <c r="S116" s="531">
        <v>15644</v>
      </c>
      <c r="T116" s="531">
        <v>15445</v>
      </c>
      <c r="U116" s="1253">
        <v>15448.223373752335</v>
      </c>
      <c r="V116" s="531">
        <v>15453</v>
      </c>
      <c r="W116" s="1253">
        <v>15623.43872284797</v>
      </c>
      <c r="X116" s="531">
        <v>15670</v>
      </c>
      <c r="Z116" s="1463" t="s">
        <v>4</v>
      </c>
      <c r="AA116" s="1464">
        <v>69</v>
      </c>
      <c r="AB116" s="1464">
        <v>53</v>
      </c>
      <c r="AC116" s="1464">
        <v>102</v>
      </c>
      <c r="AD116" s="1464">
        <v>74.666666666666671</v>
      </c>
      <c r="AE116" s="1464"/>
      <c r="AF116" s="1464"/>
      <c r="AG116" s="1464"/>
    </row>
    <row r="117" spans="5:33" customFormat="1">
      <c r="E117" s="537" t="s">
        <v>376</v>
      </c>
      <c r="F117" s="531"/>
      <c r="G117" s="531"/>
      <c r="H117" s="531"/>
      <c r="J117" s="1023">
        <f t="shared" ref="J117:L117" si="45">J94/(J72/3)</f>
        <v>133.77170436900846</v>
      </c>
      <c r="K117" s="1023" t="e">
        <f t="shared" si="45"/>
        <v>#DIV/0!</v>
      </c>
      <c r="L117" s="1023">
        <f t="shared" si="45"/>
        <v>388.79180461290542</v>
      </c>
      <c r="M117" s="531"/>
      <c r="N117" s="1330"/>
      <c r="Q117" s="537" t="s">
        <v>14</v>
      </c>
      <c r="R117" s="530">
        <v>3423</v>
      </c>
      <c r="S117" s="530">
        <v>3103</v>
      </c>
      <c r="T117" s="530">
        <v>2840</v>
      </c>
      <c r="U117" s="1253">
        <v>2673.0791819181709</v>
      </c>
      <c r="V117" s="531">
        <v>2759</v>
      </c>
      <c r="W117" s="1253">
        <v>2851.0643479076107</v>
      </c>
      <c r="X117" s="531">
        <v>2752</v>
      </c>
      <c r="Z117" s="1463" t="s">
        <v>14</v>
      </c>
      <c r="AA117" s="1470">
        <v>38</v>
      </c>
      <c r="AB117" s="1470">
        <v>63</v>
      </c>
      <c r="AC117" s="1470">
        <v>86</v>
      </c>
      <c r="AD117" s="1470">
        <v>62.333333333333336</v>
      </c>
      <c r="AE117" s="1470"/>
      <c r="AF117" s="1470"/>
      <c r="AG117" s="1470"/>
    </row>
    <row r="118" spans="5:33" customFormat="1">
      <c r="E118" s="537" t="s">
        <v>7</v>
      </c>
      <c r="F118" s="531"/>
      <c r="G118" s="531"/>
      <c r="H118" s="531"/>
      <c r="J118" s="1023">
        <f t="shared" ref="J118:L118" si="46">J95/(J73/3)</f>
        <v>133.77170436900846</v>
      </c>
      <c r="K118" s="1023">
        <f t="shared" si="46"/>
        <v>192.97279906848451</v>
      </c>
      <c r="L118" s="1023">
        <f t="shared" si="46"/>
        <v>388.79180461290542</v>
      </c>
      <c r="M118" s="531"/>
      <c r="N118" s="1330"/>
      <c r="Q118" s="538" t="s">
        <v>17</v>
      </c>
      <c r="R118" s="539">
        <v>6475</v>
      </c>
      <c r="S118" s="539">
        <v>6996</v>
      </c>
      <c r="T118" s="539">
        <v>7185</v>
      </c>
      <c r="U118" s="1256">
        <v>7356.4176796996189</v>
      </c>
      <c r="V118" s="539">
        <v>7256</v>
      </c>
      <c r="W118" s="1256">
        <v>7530.6869459943118</v>
      </c>
      <c r="X118" s="539">
        <v>7269</v>
      </c>
      <c r="Z118" s="1469" t="s">
        <v>17</v>
      </c>
      <c r="AA118" s="1464">
        <v>182</v>
      </c>
      <c r="AB118" s="1464">
        <v>190</v>
      </c>
      <c r="AC118" s="1464">
        <v>139</v>
      </c>
      <c r="AD118" s="1464">
        <v>170.33333333333334</v>
      </c>
      <c r="AE118" s="1464"/>
      <c r="AF118" s="1464"/>
      <c r="AG118" s="1464"/>
    </row>
    <row r="119" spans="5:33" customFormat="1">
      <c r="E119" s="537" t="s">
        <v>629</v>
      </c>
      <c r="F119" s="531"/>
      <c r="G119" s="531"/>
      <c r="H119" s="531"/>
      <c r="J119" s="1023">
        <f t="shared" ref="J119:L119" si="47">J96/(J74/3)</f>
        <v>150.91100298673376</v>
      </c>
      <c r="K119" s="1023">
        <f t="shared" si="47"/>
        <v>192.97279906848453</v>
      </c>
      <c r="L119" s="1023">
        <f t="shared" si="47"/>
        <v>388.79180461290542</v>
      </c>
      <c r="M119" s="531"/>
      <c r="N119" s="1330"/>
      <c r="Q119" s="537" t="s">
        <v>376</v>
      </c>
      <c r="R119" s="530">
        <v>12462</v>
      </c>
      <c r="S119" s="530">
        <v>12570</v>
      </c>
      <c r="T119" s="530">
        <v>12503</v>
      </c>
      <c r="U119" s="1253">
        <v>12058.023910455411</v>
      </c>
      <c r="V119" s="531">
        <v>12153</v>
      </c>
      <c r="W119" s="1253">
        <v>11863.76035178995</v>
      </c>
      <c r="X119" s="531">
        <v>11793</v>
      </c>
      <c r="Z119" s="1463" t="s">
        <v>376</v>
      </c>
      <c r="AA119" s="1470">
        <v>0</v>
      </c>
      <c r="AB119" s="1470">
        <v>0</v>
      </c>
      <c r="AC119" s="1470">
        <v>0</v>
      </c>
      <c r="AD119" s="1470">
        <v>0</v>
      </c>
      <c r="AE119" s="1470"/>
      <c r="AF119" s="1470"/>
      <c r="AG119" s="1470"/>
    </row>
    <row r="120" spans="5:33" customFormat="1">
      <c r="E120" s="538" t="s">
        <v>630</v>
      </c>
      <c r="F120" s="539"/>
      <c r="G120" s="539"/>
      <c r="H120" s="539"/>
      <c r="J120" s="1023">
        <f t="shared" ref="J120:L120" si="48">J97/(J75/3)</f>
        <v>133.77170436900843</v>
      </c>
      <c r="K120" s="1023">
        <f t="shared" si="48"/>
        <v>192.97279906848451</v>
      </c>
      <c r="L120" s="1023">
        <f t="shared" si="48"/>
        <v>388.79180461290537</v>
      </c>
      <c r="M120" s="539"/>
      <c r="N120" s="1330"/>
      <c r="Q120" s="537" t="s">
        <v>7</v>
      </c>
      <c r="R120" s="531">
        <v>25998</v>
      </c>
      <c r="S120" s="531">
        <v>26492</v>
      </c>
      <c r="T120" s="531">
        <v>30508</v>
      </c>
      <c r="U120" s="1253">
        <v>34612.534601942141</v>
      </c>
      <c r="V120" s="531">
        <v>34151</v>
      </c>
      <c r="W120" s="1253">
        <v>36510.307645246452</v>
      </c>
      <c r="X120" s="531">
        <v>34839</v>
      </c>
      <c r="Z120" s="1463" t="s">
        <v>7</v>
      </c>
      <c r="AA120" s="1464">
        <v>26</v>
      </c>
      <c r="AB120" s="1464">
        <v>74</v>
      </c>
      <c r="AC120" s="1464">
        <v>135</v>
      </c>
      <c r="AD120" s="1464">
        <v>78.333333333333329</v>
      </c>
      <c r="AE120" s="1464"/>
      <c r="AF120" s="1464"/>
      <c r="AG120" s="1464"/>
    </row>
    <row r="121" spans="5:33" customFormat="1">
      <c r="E121" s="537"/>
      <c r="F121" s="531"/>
      <c r="G121" s="531"/>
      <c r="H121" s="531"/>
      <c r="J121" s="1023"/>
      <c r="K121" s="1484"/>
      <c r="L121" s="1484"/>
      <c r="M121" s="531"/>
      <c r="N121" s="558"/>
      <c r="Q121" s="537" t="s">
        <v>629</v>
      </c>
      <c r="R121" s="531">
        <v>5241</v>
      </c>
      <c r="S121" s="531">
        <v>6119</v>
      </c>
      <c r="T121" s="531">
        <v>6495</v>
      </c>
      <c r="U121" s="1253">
        <v>5986.8195435853067</v>
      </c>
      <c r="V121" s="531">
        <v>6028</v>
      </c>
      <c r="W121" s="1253">
        <v>6869.5655994026465</v>
      </c>
      <c r="X121" s="531">
        <v>6795</v>
      </c>
      <c r="Z121" s="1463" t="s">
        <v>9</v>
      </c>
      <c r="AA121" s="1464">
        <v>103</v>
      </c>
      <c r="AB121" s="1464">
        <v>127</v>
      </c>
      <c r="AC121" s="1464">
        <v>77</v>
      </c>
      <c r="AD121" s="1464">
        <v>102.33333333333333</v>
      </c>
      <c r="AE121" s="1464"/>
      <c r="AF121" s="1464"/>
      <c r="AG121" s="1464"/>
    </row>
    <row r="122" spans="5:33" customFormat="1">
      <c r="E122" s="557" t="s">
        <v>631</v>
      </c>
      <c r="F122" s="531"/>
      <c r="G122" s="531"/>
      <c r="H122" s="531"/>
      <c r="J122" s="1023">
        <f t="shared" ref="J122:K122" si="49">J99/(J77/3)</f>
        <v>133.77170436900843</v>
      </c>
      <c r="K122" s="1023">
        <f t="shared" si="49"/>
        <v>192.97279906848453</v>
      </c>
      <c r="L122" s="1023"/>
      <c r="M122" s="531"/>
      <c r="N122" s="1330"/>
      <c r="Q122" s="538" t="s">
        <v>630</v>
      </c>
      <c r="R122" s="539">
        <v>5184</v>
      </c>
      <c r="S122" s="539">
        <v>5422</v>
      </c>
      <c r="T122" s="539">
        <v>4487</v>
      </c>
      <c r="U122" s="1256">
        <v>4581.7386609035511</v>
      </c>
      <c r="V122" s="539">
        <v>4367</v>
      </c>
      <c r="W122" s="1256">
        <v>4079.726626950323</v>
      </c>
      <c r="X122" s="539">
        <v>4172</v>
      </c>
      <c r="Z122" s="1469" t="s">
        <v>5</v>
      </c>
      <c r="AA122" s="1464">
        <v>132</v>
      </c>
      <c r="AB122" s="1464">
        <v>114</v>
      </c>
      <c r="AC122" s="1464">
        <v>105</v>
      </c>
      <c r="AD122" s="1464">
        <v>117</v>
      </c>
      <c r="AE122" s="1464"/>
      <c r="AF122" s="1464"/>
      <c r="AG122" s="1464"/>
    </row>
    <row r="123" spans="5:33" customFormat="1">
      <c r="E123" s="557" t="s">
        <v>657</v>
      </c>
      <c r="F123" s="531"/>
      <c r="G123" s="531"/>
      <c r="H123" s="531"/>
      <c r="J123" s="1023">
        <f t="shared" ref="J123:L123" si="50">J100/(J78/3)</f>
        <v>133.77170436900843</v>
      </c>
      <c r="K123" s="1023">
        <f t="shared" si="50"/>
        <v>192.97279906848451</v>
      </c>
      <c r="L123" s="1023">
        <f t="shared" si="50"/>
        <v>388.79180461290542</v>
      </c>
      <c r="M123" s="531"/>
      <c r="N123" s="1330"/>
      <c r="Q123" s="537"/>
      <c r="R123" s="530"/>
      <c r="S123" s="530"/>
      <c r="T123" s="530"/>
      <c r="U123" s="1254"/>
      <c r="V123" s="530"/>
      <c r="W123" s="1254"/>
      <c r="X123" s="530"/>
      <c r="Z123" s="1463"/>
      <c r="AA123" s="1470"/>
      <c r="AB123" s="1470"/>
      <c r="AC123" s="1470"/>
      <c r="AD123" s="1470"/>
      <c r="AE123" s="1470"/>
      <c r="AF123" s="1470"/>
      <c r="AG123" s="1470"/>
    </row>
    <row r="124" spans="5:33" customFormat="1">
      <c r="E124" s="559" t="s">
        <v>633</v>
      </c>
      <c r="F124" s="539"/>
      <c r="G124" s="539"/>
      <c r="H124" s="539"/>
      <c r="J124" s="1023">
        <f t="shared" ref="J124:L124" si="51">J101/(J79/3)</f>
        <v>133.77170436900843</v>
      </c>
      <c r="K124" s="1023">
        <f t="shared" si="51"/>
        <v>192.97279906848448</v>
      </c>
      <c r="L124" s="1023">
        <f t="shared" si="51"/>
        <v>388.79180461290537</v>
      </c>
      <c r="M124" s="539"/>
      <c r="N124" s="1330"/>
      <c r="Q124" s="557" t="s">
        <v>631</v>
      </c>
      <c r="R124" s="530"/>
      <c r="S124" s="530"/>
      <c r="T124" s="530"/>
      <c r="U124" s="1254">
        <v>0</v>
      </c>
      <c r="V124" s="530">
        <v>0</v>
      </c>
      <c r="W124" s="1254">
        <v>0</v>
      </c>
      <c r="X124" s="530"/>
      <c r="Z124" s="1463" t="s">
        <v>631</v>
      </c>
      <c r="AA124" s="1470"/>
      <c r="AB124" s="1470"/>
      <c r="AC124" s="1470"/>
      <c r="AD124" s="1470"/>
      <c r="AE124" s="1470"/>
      <c r="AF124" s="1470"/>
      <c r="AG124" s="1470"/>
    </row>
    <row r="125" spans="5:33" customFormat="1">
      <c r="E125" s="557" t="s">
        <v>656</v>
      </c>
      <c r="F125" s="531"/>
      <c r="G125" s="531"/>
      <c r="H125" s="531"/>
      <c r="J125" s="1023">
        <f t="shared" ref="J125:K125" si="52">J102/(J80/3)</f>
        <v>133.7717043690084</v>
      </c>
      <c r="K125" s="1023">
        <f t="shared" si="52"/>
        <v>192.97279906848445</v>
      </c>
      <c r="L125" s="1023"/>
      <c r="M125" s="531"/>
      <c r="N125" s="1330"/>
      <c r="Q125" s="557" t="s">
        <v>657</v>
      </c>
      <c r="R125" s="530">
        <v>0</v>
      </c>
      <c r="S125" s="530">
        <v>0</v>
      </c>
      <c r="T125" s="530">
        <v>0</v>
      </c>
      <c r="U125" s="1254">
        <v>0</v>
      </c>
      <c r="V125" s="530">
        <v>0</v>
      </c>
      <c r="W125" s="1254">
        <v>0</v>
      </c>
      <c r="X125" s="530"/>
      <c r="Z125" s="1463" t="s">
        <v>657</v>
      </c>
      <c r="AA125" s="1464">
        <v>20</v>
      </c>
      <c r="AB125" s="1464">
        <v>18</v>
      </c>
      <c r="AC125" s="1464">
        <v>6</v>
      </c>
      <c r="AD125" s="1464">
        <v>14.666666666666666</v>
      </c>
      <c r="AE125" s="1464"/>
      <c r="AF125" s="1464"/>
      <c r="AG125" s="1464"/>
    </row>
    <row r="126" spans="5:33" customFormat="1">
      <c r="E126" s="563" t="s">
        <v>635</v>
      </c>
      <c r="F126" s="531"/>
      <c r="G126" s="531"/>
      <c r="H126" s="531"/>
      <c r="J126" s="1023">
        <f t="shared" ref="J126:K126" si="53">J103/(J81/3)</f>
        <v>133.77170436900843</v>
      </c>
      <c r="K126" s="1023">
        <f t="shared" si="53"/>
        <v>192.97279906848453</v>
      </c>
      <c r="L126" s="1023"/>
      <c r="M126" s="531"/>
      <c r="N126" s="1330"/>
      <c r="Q126" s="559" t="s">
        <v>633</v>
      </c>
      <c r="R126" s="540"/>
      <c r="S126" s="540"/>
      <c r="T126" s="540"/>
      <c r="U126" s="1257">
        <v>0</v>
      </c>
      <c r="V126" s="540">
        <v>0</v>
      </c>
      <c r="W126" s="1257">
        <v>0</v>
      </c>
      <c r="X126" s="540"/>
      <c r="Z126" s="1469" t="s">
        <v>633</v>
      </c>
      <c r="AA126" s="1470"/>
      <c r="AB126" s="1470"/>
      <c r="AC126" s="1470"/>
      <c r="AD126" s="1470"/>
      <c r="AE126" s="1470"/>
      <c r="AF126" s="1470"/>
      <c r="AG126" s="1470"/>
    </row>
    <row r="127" spans="5:33" customFormat="1">
      <c r="E127" s="542"/>
      <c r="F127" s="543"/>
      <c r="G127" s="543"/>
      <c r="H127" s="543"/>
      <c r="J127" s="1484">
        <f t="shared" ref="J127" si="54">J104/(J82/3)</f>
        <v>134.91184001318572</v>
      </c>
      <c r="K127" s="543"/>
      <c r="L127" s="543"/>
      <c r="M127" s="534"/>
      <c r="N127" s="534"/>
      <c r="Q127" s="557" t="s">
        <v>656</v>
      </c>
      <c r="R127" s="530"/>
      <c r="S127" s="530"/>
      <c r="T127" s="530"/>
      <c r="U127" s="1254">
        <v>0</v>
      </c>
      <c r="V127" s="530">
        <v>0</v>
      </c>
      <c r="W127" s="1254">
        <v>0</v>
      </c>
      <c r="X127" s="530"/>
      <c r="Z127" s="1463" t="s">
        <v>656</v>
      </c>
      <c r="AA127" s="1464"/>
      <c r="AB127" s="1464"/>
      <c r="AC127" s="1464"/>
      <c r="AD127" s="1464"/>
      <c r="AE127" s="1464"/>
      <c r="AF127" s="1464"/>
      <c r="AG127" s="1464"/>
    </row>
    <row r="128" spans="5:33" customFormat="1">
      <c r="Q128" s="563" t="s">
        <v>635</v>
      </c>
      <c r="R128" s="530"/>
      <c r="S128" s="530"/>
      <c r="T128" s="530"/>
      <c r="U128" s="1254">
        <v>0</v>
      </c>
      <c r="V128" s="530">
        <v>0</v>
      </c>
      <c r="W128" s="1254">
        <v>0</v>
      </c>
      <c r="X128" s="530"/>
      <c r="Z128" s="1471" t="s">
        <v>635</v>
      </c>
      <c r="AA128" s="1470">
        <v>12</v>
      </c>
      <c r="AB128" s="1470">
        <v>0</v>
      </c>
      <c r="AC128" s="1470">
        <v>0</v>
      </c>
      <c r="AD128" s="1470">
        <v>4</v>
      </c>
      <c r="AE128" s="1470"/>
      <c r="AF128" s="1470"/>
      <c r="AG128" s="1470"/>
    </row>
    <row r="129" spans="17:33" customFormat="1">
      <c r="Q129" s="542" t="s">
        <v>224</v>
      </c>
      <c r="R129" s="543">
        <v>110979</v>
      </c>
      <c r="S129" s="543">
        <v>115096</v>
      </c>
      <c r="T129" s="543">
        <v>118147</v>
      </c>
      <c r="U129" s="1258">
        <f>SUM(U111:U128)</f>
        <v>122140.55125808614</v>
      </c>
      <c r="V129" s="543">
        <v>120555</v>
      </c>
      <c r="W129" s="1258">
        <f>SUM(W111:W128)</f>
        <v>122183.73730557805</v>
      </c>
      <c r="X129" s="543">
        <v>119188</v>
      </c>
      <c r="Z129" s="1474"/>
      <c r="AA129" s="1475">
        <v>1557</v>
      </c>
      <c r="AB129" s="1475">
        <v>1350</v>
      </c>
      <c r="AC129" s="1475">
        <v>1574</v>
      </c>
      <c r="AD129" s="1475">
        <v>1493.6666666666665</v>
      </c>
      <c r="AE129" s="1475"/>
      <c r="AF129" s="1475"/>
      <c r="AG129" s="1475"/>
    </row>
    <row r="130" spans="17:33" customFormat="1">
      <c r="Q130" s="185"/>
      <c r="R130" s="530"/>
      <c r="S130" s="530"/>
      <c r="T130" s="530"/>
      <c r="U130" s="1253"/>
      <c r="V130" s="530"/>
      <c r="W130" s="1253"/>
      <c r="X130" s="531"/>
    </row>
    <row r="131" spans="17:33" customFormat="1">
      <c r="Q131" s="185"/>
      <c r="R131" s="530"/>
      <c r="S131" s="530"/>
      <c r="T131" s="530"/>
      <c r="U131" s="530"/>
      <c r="V131" s="530"/>
      <c r="W131" s="530"/>
      <c r="X131" s="530"/>
    </row>
    <row r="132" spans="17:33" customFormat="1">
      <c r="Q132" s="185"/>
      <c r="R132" s="529" t="s">
        <v>622</v>
      </c>
      <c r="S132" s="529" t="s">
        <v>623</v>
      </c>
      <c r="T132" s="529" t="s">
        <v>624</v>
      </c>
      <c r="U132" s="529" t="s">
        <v>1313</v>
      </c>
      <c r="V132" s="529" t="s">
        <v>1314</v>
      </c>
      <c r="W132" s="529" t="s">
        <v>1315</v>
      </c>
      <c r="X132" s="529" t="s">
        <v>1316</v>
      </c>
      <c r="Z132" s="668"/>
      <c r="AA132" s="529" t="s">
        <v>622</v>
      </c>
      <c r="AB132" s="529" t="s">
        <v>623</v>
      </c>
      <c r="AC132" s="529" t="s">
        <v>624</v>
      </c>
      <c r="AD132" s="529" t="s">
        <v>1313</v>
      </c>
      <c r="AE132" s="529" t="s">
        <v>1314</v>
      </c>
      <c r="AF132" s="529" t="s">
        <v>1315</v>
      </c>
      <c r="AG132" s="529" t="s">
        <v>1316</v>
      </c>
    </row>
    <row r="133" spans="17:33" customFormat="1">
      <c r="Q133" s="535" t="s">
        <v>643</v>
      </c>
      <c r="R133" s="536"/>
      <c r="S133" s="536"/>
      <c r="T133" s="536"/>
      <c r="U133" s="536"/>
      <c r="V133" s="536"/>
      <c r="W133" s="536"/>
      <c r="X133" s="536"/>
      <c r="Z133" s="792" t="s">
        <v>1067</v>
      </c>
      <c r="AA133" s="253"/>
      <c r="AB133" s="253"/>
      <c r="AC133" s="253"/>
      <c r="AD133" s="253"/>
      <c r="AE133" s="253"/>
      <c r="AF133" s="253"/>
      <c r="AG133" s="253"/>
    </row>
    <row r="134" spans="17:33" customFormat="1">
      <c r="Q134" s="537" t="s">
        <v>628</v>
      </c>
      <c r="R134" s="531">
        <v>2113</v>
      </c>
      <c r="S134" s="531">
        <v>1857</v>
      </c>
      <c r="T134" s="531">
        <f>AC134+1253</f>
        <v>1256</v>
      </c>
      <c r="U134" s="1253">
        <f>AD134+1168.33242482772</f>
        <v>1168.3324248277199</v>
      </c>
      <c r="V134" s="531">
        <f>AE134+1098</f>
        <v>1098</v>
      </c>
      <c r="W134" s="1253">
        <f>AF134+946.91303798055</f>
        <v>976.91303798055003</v>
      </c>
      <c r="X134" s="531">
        <f>AG134+1134</f>
        <v>1164</v>
      </c>
      <c r="Z134" s="557" t="s">
        <v>628</v>
      </c>
      <c r="AA134" s="793">
        <v>0</v>
      </c>
      <c r="AB134" s="793">
        <v>88</v>
      </c>
      <c r="AC134" s="793">
        <v>3</v>
      </c>
      <c r="AD134" s="793">
        <v>0</v>
      </c>
      <c r="AE134" s="793">
        <v>0</v>
      </c>
      <c r="AF134" s="793">
        <v>30</v>
      </c>
      <c r="AG134" s="793">
        <v>30</v>
      </c>
    </row>
    <row r="135" spans="17:33" customFormat="1">
      <c r="Q135" s="537" t="s">
        <v>6</v>
      </c>
      <c r="R135" s="531">
        <v>1124</v>
      </c>
      <c r="S135" s="531">
        <v>1591</v>
      </c>
      <c r="T135" s="531">
        <v>1429</v>
      </c>
      <c r="U135" s="1253">
        <v>1167.6504854368932</v>
      </c>
      <c r="V135" s="531">
        <v>981</v>
      </c>
      <c r="W135" s="1253">
        <v>1134.5677796933128</v>
      </c>
      <c r="X135" s="531">
        <v>932</v>
      </c>
      <c r="Z135" s="557" t="s">
        <v>6</v>
      </c>
      <c r="AA135" s="793"/>
      <c r="AB135" s="793"/>
      <c r="AC135" s="793"/>
      <c r="AD135" s="793"/>
      <c r="AE135" s="793"/>
      <c r="AF135" s="793"/>
      <c r="AG135" s="793"/>
    </row>
    <row r="136" spans="17:33" customFormat="1">
      <c r="Q136" s="537" t="s">
        <v>8</v>
      </c>
      <c r="R136" s="531">
        <v>1474</v>
      </c>
      <c r="S136" s="531">
        <v>950</v>
      </c>
      <c r="T136" s="531">
        <v>226</v>
      </c>
      <c r="U136" s="1253">
        <v>312.32388282439433</v>
      </c>
      <c r="V136" s="531">
        <v>330</v>
      </c>
      <c r="W136" s="1253">
        <v>328.59492077576891</v>
      </c>
      <c r="X136" s="531">
        <v>363</v>
      </c>
      <c r="Z136" s="557" t="s">
        <v>8</v>
      </c>
      <c r="AA136" s="793"/>
      <c r="AB136" s="793"/>
      <c r="AC136" s="793"/>
      <c r="AD136" s="793"/>
      <c r="AE136" s="793"/>
      <c r="AF136" s="793"/>
      <c r="AG136" s="793"/>
    </row>
    <row r="137" spans="17:33" customFormat="1">
      <c r="Q137" s="538" t="s">
        <v>2</v>
      </c>
      <c r="R137" s="539">
        <v>794</v>
      </c>
      <c r="S137" s="539">
        <v>857</v>
      </c>
      <c r="T137" s="539">
        <f>AC137+849</f>
        <v>855</v>
      </c>
      <c r="U137" s="1256">
        <v>833.33333333333337</v>
      </c>
      <c r="V137" s="539">
        <v>727</v>
      </c>
      <c r="W137" s="1256">
        <f>AF137+811</f>
        <v>816</v>
      </c>
      <c r="X137" s="539">
        <f>AG137+625</f>
        <v>630</v>
      </c>
      <c r="Z137" s="559" t="s">
        <v>2</v>
      </c>
      <c r="AA137" s="794">
        <v>0</v>
      </c>
      <c r="AB137" s="794">
        <v>9</v>
      </c>
      <c r="AC137" s="794">
        <v>6</v>
      </c>
      <c r="AD137" s="794">
        <v>0</v>
      </c>
      <c r="AE137" s="794">
        <v>0</v>
      </c>
      <c r="AF137" s="794">
        <v>5</v>
      </c>
      <c r="AG137" s="794">
        <v>5</v>
      </c>
    </row>
    <row r="138" spans="17:33" customFormat="1">
      <c r="Q138" s="537" t="s">
        <v>10</v>
      </c>
      <c r="R138" s="530">
        <v>90</v>
      </c>
      <c r="S138" s="530">
        <v>134</v>
      </c>
      <c r="T138" s="530">
        <v>71</v>
      </c>
      <c r="U138" s="1253">
        <v>132.66666666666666</v>
      </c>
      <c r="V138" s="531">
        <v>138</v>
      </c>
      <c r="W138" s="1253">
        <v>148.66666666666666</v>
      </c>
      <c r="X138" s="531">
        <v>112</v>
      </c>
      <c r="Z138" s="557" t="s">
        <v>10</v>
      </c>
      <c r="AA138" s="795"/>
      <c r="AB138" s="795"/>
      <c r="AC138" s="795"/>
      <c r="AD138" s="795"/>
      <c r="AE138" s="795"/>
      <c r="AF138" s="795"/>
      <c r="AG138" s="795"/>
    </row>
    <row r="139" spans="17:33" customFormat="1">
      <c r="Q139" s="537" t="s">
        <v>4</v>
      </c>
      <c r="R139" s="531">
        <v>3577</v>
      </c>
      <c r="S139" s="531">
        <v>3653</v>
      </c>
      <c r="T139" s="531">
        <f>3368+AC139</f>
        <v>3359</v>
      </c>
      <c r="U139" s="1253">
        <v>3230.1482966851427</v>
      </c>
      <c r="V139" s="531">
        <v>3208</v>
      </c>
      <c r="W139" s="1253">
        <f>AF139+3241.09076390863</f>
        <v>3206.0907639086299</v>
      </c>
      <c r="X139" s="531">
        <f>AG139+3345</f>
        <v>3310</v>
      </c>
      <c r="Z139" s="557" t="s">
        <v>4</v>
      </c>
      <c r="AA139" s="793">
        <f t="shared" ref="AA139:AF139" si="55">-(AA134+AA137)</f>
        <v>0</v>
      </c>
      <c r="AB139" s="793">
        <f t="shared" si="55"/>
        <v>-97</v>
      </c>
      <c r="AC139" s="793">
        <f t="shared" si="55"/>
        <v>-9</v>
      </c>
      <c r="AD139" s="793">
        <f t="shared" si="55"/>
        <v>0</v>
      </c>
      <c r="AE139" s="793">
        <f t="shared" si="55"/>
        <v>0</v>
      </c>
      <c r="AF139" s="793">
        <f t="shared" si="55"/>
        <v>-35</v>
      </c>
      <c r="AG139" s="793">
        <f t="shared" ref="AG139" si="56">-(AG134+AG137)</f>
        <v>-35</v>
      </c>
    </row>
    <row r="140" spans="17:33" customFormat="1">
      <c r="Q140" s="537" t="s">
        <v>14</v>
      </c>
      <c r="R140" s="530">
        <v>719</v>
      </c>
      <c r="S140" s="530">
        <v>828</v>
      </c>
      <c r="T140" s="530">
        <v>865</v>
      </c>
      <c r="U140" s="1253">
        <v>804</v>
      </c>
      <c r="V140" s="531">
        <v>903</v>
      </c>
      <c r="W140" s="1253">
        <v>865.33333333333337</v>
      </c>
      <c r="X140" s="531">
        <v>726</v>
      </c>
      <c r="Z140" s="557" t="s">
        <v>14</v>
      </c>
      <c r="AA140" s="530"/>
      <c r="AB140" s="530"/>
      <c r="AC140" s="530"/>
      <c r="AD140" s="530"/>
      <c r="AE140" s="530"/>
      <c r="AF140" s="530"/>
      <c r="AG140" s="530"/>
    </row>
    <row r="141" spans="17:33" customFormat="1">
      <c r="Q141" s="538" t="s">
        <v>17</v>
      </c>
      <c r="R141" s="539">
        <v>3008</v>
      </c>
      <c r="S141" s="539">
        <v>2698</v>
      </c>
      <c r="T141" s="539">
        <v>2468</v>
      </c>
      <c r="U141" s="1256">
        <v>2259.5575624531689</v>
      </c>
      <c r="V141" s="539">
        <v>2707</v>
      </c>
      <c r="W141" s="1256">
        <v>2552.7590449615655</v>
      </c>
      <c r="X141" s="539">
        <v>2662</v>
      </c>
      <c r="Z141" s="559" t="s">
        <v>17</v>
      </c>
      <c r="AA141" s="539"/>
      <c r="AB141" s="539"/>
      <c r="AC141" s="539"/>
      <c r="AD141" s="539"/>
      <c r="AE141" s="539"/>
      <c r="AF141" s="539"/>
      <c r="AG141" s="539"/>
    </row>
    <row r="142" spans="17:33" customFormat="1">
      <c r="Q142" s="537" t="s">
        <v>376</v>
      </c>
      <c r="R142" s="530">
        <v>88</v>
      </c>
      <c r="S142" s="530">
        <v>102</v>
      </c>
      <c r="T142" s="530">
        <v>273</v>
      </c>
      <c r="U142" s="1253">
        <v>790.85454545454547</v>
      </c>
      <c r="V142" s="531">
        <v>706</v>
      </c>
      <c r="W142" s="1253">
        <v>1150.2447943118334</v>
      </c>
      <c r="X142" s="531">
        <v>715</v>
      </c>
      <c r="Z142" s="557" t="s">
        <v>376</v>
      </c>
      <c r="AA142" s="530"/>
      <c r="AB142" s="530"/>
      <c r="AC142" s="530"/>
      <c r="AD142" s="530"/>
      <c r="AE142" s="530"/>
      <c r="AF142" s="530"/>
      <c r="AG142" s="530"/>
    </row>
    <row r="143" spans="17:33" customFormat="1">
      <c r="Q143" s="537" t="s">
        <v>7</v>
      </c>
      <c r="R143" s="531">
        <v>1300</v>
      </c>
      <c r="S143" s="531">
        <v>959</v>
      </c>
      <c r="T143" s="531">
        <v>1121</v>
      </c>
      <c r="U143" s="1253">
        <v>840.51094812186898</v>
      </c>
      <c r="V143" s="531">
        <v>929</v>
      </c>
      <c r="W143" s="1253">
        <v>1022.0835451841616</v>
      </c>
      <c r="X143" s="531">
        <v>1050</v>
      </c>
      <c r="Z143" s="557" t="s">
        <v>7</v>
      </c>
      <c r="AA143" s="531"/>
      <c r="AB143" s="531"/>
      <c r="AC143" s="531"/>
      <c r="AD143" s="531"/>
      <c r="AE143" s="531"/>
      <c r="AF143" s="531"/>
      <c r="AG143" s="531"/>
    </row>
    <row r="144" spans="17:33" customFormat="1">
      <c r="Q144" s="537" t="s">
        <v>629</v>
      </c>
      <c r="R144" s="531">
        <v>1896</v>
      </c>
      <c r="S144" s="531">
        <v>1348</v>
      </c>
      <c r="T144" s="531">
        <v>921</v>
      </c>
      <c r="U144" s="1253">
        <v>574.45635300372146</v>
      </c>
      <c r="V144" s="531">
        <v>503</v>
      </c>
      <c r="W144" s="1253">
        <v>278.57048151417081</v>
      </c>
      <c r="X144" s="531">
        <v>337</v>
      </c>
      <c r="Z144" s="557" t="s">
        <v>9</v>
      </c>
      <c r="AA144" s="531"/>
      <c r="AB144" s="531"/>
      <c r="AC144" s="531"/>
      <c r="AD144" s="531"/>
      <c r="AE144" s="531"/>
      <c r="AF144" s="531"/>
      <c r="AG144" s="531"/>
    </row>
    <row r="145" spans="15:33" customFormat="1">
      <c r="Q145" s="538" t="s">
        <v>630</v>
      </c>
      <c r="R145" s="539">
        <v>1170</v>
      </c>
      <c r="S145" s="539">
        <v>1004</v>
      </c>
      <c r="T145" s="539">
        <v>901</v>
      </c>
      <c r="U145" s="1256">
        <v>911.24473294087989</v>
      </c>
      <c r="V145" s="539">
        <v>937</v>
      </c>
      <c r="W145" s="1256">
        <v>881.53077596787534</v>
      </c>
      <c r="X145" s="539">
        <v>963</v>
      </c>
      <c r="Z145" s="559" t="s">
        <v>5</v>
      </c>
      <c r="AA145" s="539"/>
      <c r="AB145" s="539"/>
      <c r="AC145" s="539"/>
      <c r="AD145" s="539"/>
      <c r="AE145" s="539"/>
      <c r="AF145" s="539"/>
      <c r="AG145" s="539"/>
    </row>
    <row r="146" spans="15:33" customFormat="1">
      <c r="Q146" s="537"/>
      <c r="R146" s="530"/>
      <c r="S146" s="530"/>
      <c r="T146" s="530"/>
      <c r="U146" s="1254"/>
      <c r="V146" s="530"/>
      <c r="W146" s="1254"/>
      <c r="X146" s="530"/>
    </row>
    <row r="147" spans="15:33" customFormat="1">
      <c r="Q147" s="557" t="s">
        <v>631</v>
      </c>
      <c r="R147" s="530"/>
      <c r="S147" s="530"/>
      <c r="T147" s="530"/>
      <c r="U147" s="1254">
        <v>0</v>
      </c>
      <c r="V147" s="530"/>
      <c r="W147" s="1254">
        <v>0</v>
      </c>
      <c r="X147" s="530"/>
    </row>
    <row r="148" spans="15:33" customFormat="1">
      <c r="Q148" s="557" t="s">
        <v>657</v>
      </c>
      <c r="R148" s="530">
        <v>150</v>
      </c>
      <c r="S148" s="530">
        <v>42</v>
      </c>
      <c r="T148" s="530">
        <v>3</v>
      </c>
      <c r="U148" s="1254">
        <v>3</v>
      </c>
      <c r="V148" s="531">
        <v>0</v>
      </c>
      <c r="W148" s="1254">
        <v>0</v>
      </c>
      <c r="X148" s="530"/>
    </row>
    <row r="149" spans="15:33" customFormat="1">
      <c r="Q149" s="559" t="s">
        <v>633</v>
      </c>
      <c r="R149" s="540">
        <v>64</v>
      </c>
      <c r="S149" s="540">
        <v>40</v>
      </c>
      <c r="T149" s="540">
        <v>18</v>
      </c>
      <c r="U149" s="1257">
        <v>18</v>
      </c>
      <c r="V149" s="539">
        <v>12</v>
      </c>
      <c r="W149" s="1257">
        <v>12</v>
      </c>
      <c r="X149" s="540">
        <v>0</v>
      </c>
    </row>
    <row r="150" spans="15:33" customFormat="1">
      <c r="Q150" s="557" t="s">
        <v>656</v>
      </c>
      <c r="R150" s="530"/>
      <c r="S150" s="530"/>
      <c r="T150" s="530"/>
      <c r="U150" s="1254">
        <v>0</v>
      </c>
      <c r="V150" s="530"/>
      <c r="W150" s="1254">
        <v>0</v>
      </c>
      <c r="X150" s="530"/>
    </row>
    <row r="151" spans="15:33" customFormat="1">
      <c r="Q151" s="563" t="s">
        <v>635</v>
      </c>
      <c r="R151" s="530"/>
      <c r="S151" s="530"/>
      <c r="T151" s="530"/>
      <c r="U151" s="1254">
        <v>0</v>
      </c>
      <c r="V151" s="530"/>
      <c r="W151" s="1254">
        <v>0</v>
      </c>
      <c r="X151" s="530"/>
    </row>
    <row r="152" spans="15:33" customFormat="1">
      <c r="Q152" s="542" t="s">
        <v>224</v>
      </c>
      <c r="R152" s="543">
        <v>17567</v>
      </c>
      <c r="S152" s="543">
        <v>16063</v>
      </c>
      <c r="T152" s="543">
        <v>13766</v>
      </c>
      <c r="U152" s="1258">
        <f>SUM(U134:U151)</f>
        <v>13046.079231748336</v>
      </c>
      <c r="V152" s="543">
        <v>13179</v>
      </c>
      <c r="W152" s="1258">
        <f>SUM(W134:W151)</f>
        <v>13373.355144297868</v>
      </c>
      <c r="X152" s="543">
        <v>12964</v>
      </c>
    </row>
    <row r="153" spans="15:33" customFormat="1">
      <c r="Q153" s="546" t="s">
        <v>644</v>
      </c>
      <c r="R153" s="531">
        <v>128546</v>
      </c>
      <c r="S153" s="531">
        <v>131159</v>
      </c>
      <c r="T153" s="531">
        <v>131913</v>
      </c>
      <c r="U153" s="1253"/>
      <c r="V153" s="531"/>
      <c r="W153" s="1253"/>
      <c r="X153" s="531"/>
    </row>
    <row r="154" spans="15:33">
      <c r="O154" s="66"/>
      <c r="P154" s="66"/>
      <c r="Q154" s="544" t="s">
        <v>640</v>
      </c>
      <c r="R154" s="531">
        <v>128546</v>
      </c>
      <c r="S154" s="531">
        <v>131175</v>
      </c>
      <c r="T154" s="531">
        <v>131913</v>
      </c>
      <c r="U154" s="531"/>
      <c r="V154" s="531"/>
      <c r="X154" s="460"/>
    </row>
    <row r="155" spans="15:33">
      <c r="X155" s="460"/>
    </row>
    <row r="156" spans="15:33">
      <c r="X156" s="460"/>
    </row>
    <row r="157" spans="15:33">
      <c r="X157" s="460"/>
    </row>
    <row r="158" spans="15:33">
      <c r="X158" s="460"/>
    </row>
    <row r="159" spans="15:33">
      <c r="X159" s="460"/>
    </row>
    <row r="160" spans="15:33">
      <c r="X160" s="460"/>
    </row>
    <row r="161" spans="24:24">
      <c r="X161" s="460"/>
    </row>
    <row r="162" spans="24:24">
      <c r="X162" s="460"/>
    </row>
    <row r="163" spans="24:24">
      <c r="X163" s="460"/>
    </row>
    <row r="164" spans="24:24">
      <c r="X164" s="460"/>
    </row>
    <row r="165" spans="24:24">
      <c r="X165" s="460"/>
    </row>
    <row r="166" spans="24:24">
      <c r="X166" s="460"/>
    </row>
    <row r="167" spans="24:24">
      <c r="X167" s="460"/>
    </row>
    <row r="168" spans="24:24">
      <c r="X168" s="460"/>
    </row>
    <row r="169" spans="24:24">
      <c r="X169" s="460"/>
    </row>
    <row r="170" spans="24:24">
      <c r="X170" s="460"/>
    </row>
    <row r="171" spans="24:24">
      <c r="X171" s="460"/>
    </row>
    <row r="172" spans="24:24">
      <c r="X172" s="460"/>
    </row>
    <row r="173" spans="24:24">
      <c r="X173" s="460"/>
    </row>
    <row r="174" spans="24:24">
      <c r="X174" s="460"/>
    </row>
    <row r="175" spans="24:24">
      <c r="X175" s="460"/>
    </row>
    <row r="176" spans="24:24">
      <c r="X176" s="460"/>
    </row>
    <row r="177" spans="24:24">
      <c r="X177" s="460"/>
    </row>
    <row r="178" spans="24:24">
      <c r="X178" s="460"/>
    </row>
    <row r="179" spans="24:24">
      <c r="X179" s="460"/>
    </row>
    <row r="180" spans="24:24">
      <c r="X180" s="460"/>
    </row>
    <row r="181" spans="24:24">
      <c r="X181" s="460"/>
    </row>
    <row r="182" spans="24:24">
      <c r="X182" s="460"/>
    </row>
    <row r="183" spans="24:24">
      <c r="X183" s="460"/>
    </row>
    <row r="184" spans="24:24">
      <c r="X184" s="460"/>
    </row>
    <row r="185" spans="24:24">
      <c r="X185" s="460"/>
    </row>
    <row r="186" spans="24:24">
      <c r="X186" s="460"/>
    </row>
    <row r="187" spans="24:24">
      <c r="X187" s="460"/>
    </row>
    <row r="188" spans="24:24">
      <c r="X188" s="460"/>
    </row>
    <row r="189" spans="24:24">
      <c r="X189" s="460"/>
    </row>
    <row r="190" spans="24:24">
      <c r="X190" s="460"/>
    </row>
    <row r="191" spans="24:24">
      <c r="X191" s="460"/>
    </row>
    <row r="192" spans="24:24">
      <c r="X192" s="460"/>
    </row>
    <row r="193" spans="24:24">
      <c r="X193" s="460"/>
    </row>
    <row r="194" spans="24:24">
      <c r="X194" s="460"/>
    </row>
    <row r="195" spans="24:24">
      <c r="X195" s="460"/>
    </row>
    <row r="196" spans="24:24">
      <c r="X196" s="460"/>
    </row>
    <row r="197" spans="24:24">
      <c r="X197" s="460"/>
    </row>
    <row r="198" spans="24:24">
      <c r="X198" s="460"/>
    </row>
    <row r="199" spans="24:24">
      <c r="X199" s="460"/>
    </row>
    <row r="200" spans="24:24">
      <c r="X200" s="460"/>
    </row>
    <row r="201" spans="24:24">
      <c r="X201" s="460"/>
    </row>
    <row r="202" spans="24:24">
      <c r="X202" s="460"/>
    </row>
    <row r="203" spans="24:24">
      <c r="X203" s="460"/>
    </row>
    <row r="204" spans="24:24">
      <c r="X204" s="460"/>
    </row>
    <row r="205" spans="24:24">
      <c r="X205" s="460"/>
    </row>
    <row r="206" spans="24:24">
      <c r="X206" s="460"/>
    </row>
    <row r="207" spans="24:24">
      <c r="X207" s="460"/>
    </row>
    <row r="208" spans="24:24">
      <c r="X208" s="460"/>
    </row>
    <row r="209" spans="24:24">
      <c r="X209" s="460"/>
    </row>
    <row r="210" spans="24:24">
      <c r="X210" s="460"/>
    </row>
    <row r="211" spans="24:24">
      <c r="X211" s="460"/>
    </row>
  </sheetData>
  <mergeCells count="1">
    <mergeCell ref="C4:C6"/>
  </mergeCells>
  <dataValidations disablePrompts="1" count="2">
    <dataValidation type="decimal" allowBlank="1" showInputMessage="1" showErrorMessage="1" error="Must be 15% to 40%" prompt="Must be 15% to 40%" sqref="C4:D6">
      <formula1>0.15</formula1>
      <formula2>0.4</formula2>
    </dataValidation>
    <dataValidation type="decimal" allowBlank="1" showInputMessage="1" showErrorMessage="1" error="Must be 0% to 5%" prompt="Between 0% and 5%" sqref="C7:D7">
      <formula1>0</formula1>
      <formula2>0.05</formula2>
    </dataValidation>
  </dataValidation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69"/>
  <sheetViews>
    <sheetView topLeftCell="A4" workbookViewId="0">
      <selection activeCell="F12" sqref="F12"/>
    </sheetView>
  </sheetViews>
  <sheetFormatPr defaultColWidth="10.875" defaultRowHeight="15.75"/>
  <cols>
    <col min="1" max="1" width="28.375" style="329" customWidth="1"/>
    <col min="2" max="2" width="28.5" style="329" customWidth="1"/>
    <col min="3" max="3" width="19.375" style="329" customWidth="1"/>
    <col min="4" max="4" width="17.375" style="329" customWidth="1"/>
    <col min="5" max="5" width="14" style="329" customWidth="1"/>
    <col min="6" max="6" width="15.5" style="329" customWidth="1"/>
    <col min="7" max="7" width="13.375" style="329" customWidth="1"/>
    <col min="8" max="8" width="13.125" style="329" customWidth="1"/>
    <col min="9" max="9" width="11.375" style="329" customWidth="1"/>
    <col min="10" max="10" width="12" style="329" bestFit="1" customWidth="1"/>
    <col min="11" max="26" width="10.875" style="329"/>
    <col min="27" max="27" width="36.625" style="329" customWidth="1"/>
    <col min="28" max="28" width="13" style="329" customWidth="1"/>
    <col min="29" max="29" width="12.375" style="329" customWidth="1"/>
    <col min="30" max="30" width="13.875" style="329" customWidth="1"/>
    <col min="31" max="31" width="10.875" style="329"/>
    <col min="32" max="32" width="32.5" style="329" customWidth="1"/>
    <col min="33" max="33" width="14.375" style="329" customWidth="1"/>
    <col min="34" max="34" width="12" style="329" customWidth="1"/>
    <col min="35" max="35" width="11.375" style="329" bestFit="1" customWidth="1"/>
    <col min="36" max="36" width="11.5" style="329" bestFit="1" customWidth="1"/>
    <col min="37" max="16384" width="10.875" style="329"/>
  </cols>
  <sheetData>
    <row r="1" spans="1:37" ht="18.75">
      <c r="A1" s="1070" t="s">
        <v>1167</v>
      </c>
      <c r="B1" s="328"/>
      <c r="D1" s="330" t="s">
        <v>221</v>
      </c>
      <c r="E1" s="331">
        <f>'Step 4 Productivity Split'!C11</f>
        <v>117835553.69109999</v>
      </c>
      <c r="F1"/>
      <c r="G1" s="361"/>
      <c r="H1" s="361"/>
      <c r="K1"/>
      <c r="L1"/>
      <c r="M1"/>
      <c r="N1"/>
      <c r="O1"/>
      <c r="P1"/>
      <c r="Q1"/>
      <c r="R1"/>
      <c r="S1"/>
      <c r="T1"/>
      <c r="AA1" s="210" t="s">
        <v>77</v>
      </c>
      <c r="AB1"/>
      <c r="AC1"/>
      <c r="AD1"/>
      <c r="AE1"/>
      <c r="AF1"/>
    </row>
    <row r="2" spans="1:37">
      <c r="A2" s="1039">
        <v>42946</v>
      </c>
      <c r="D2" s="330" t="s">
        <v>351</v>
      </c>
      <c r="E2" s="332">
        <f>'Step 4 Productivity Split'!C22</f>
        <v>117865909.07792778</v>
      </c>
      <c r="F2" s="333"/>
      <c r="K2"/>
      <c r="L2"/>
      <c r="M2"/>
      <c r="N2"/>
      <c r="O2"/>
      <c r="P2"/>
      <c r="Q2"/>
      <c r="R2"/>
      <c r="S2"/>
      <c r="T2"/>
      <c r="AA2" s="210" t="s">
        <v>766</v>
      </c>
      <c r="AB2"/>
      <c r="AC2"/>
      <c r="AD2"/>
      <c r="AE2"/>
      <c r="AF2"/>
    </row>
    <row r="3" spans="1:37" ht="32.1" customHeight="1">
      <c r="A3" s="1588"/>
      <c r="B3" s="1588"/>
      <c r="C3" s="1588"/>
      <c r="D3" s="1588"/>
      <c r="E3" s="1588"/>
      <c r="F3" s="1588"/>
      <c r="K3"/>
      <c r="L3"/>
      <c r="M3"/>
      <c r="N3"/>
      <c r="O3"/>
      <c r="P3"/>
      <c r="Q3"/>
      <c r="R3"/>
      <c r="S3"/>
      <c r="T3"/>
      <c r="AA3" s="210"/>
      <c r="AB3"/>
      <c r="AC3"/>
      <c r="AD3"/>
      <c r="AE3"/>
      <c r="AF3"/>
    </row>
    <row r="4" spans="1:37">
      <c r="A4" s="333"/>
      <c r="B4" s="333"/>
      <c r="C4" s="333"/>
      <c r="D4" s="333"/>
      <c r="E4" s="333"/>
      <c r="F4" s="333"/>
      <c r="K4"/>
      <c r="L4"/>
      <c r="M4"/>
      <c r="N4"/>
      <c r="O4"/>
      <c r="P4"/>
      <c r="Q4"/>
      <c r="R4"/>
      <c r="S4"/>
      <c r="T4"/>
      <c r="AA4" s="211"/>
      <c r="AB4"/>
      <c r="AC4"/>
      <c r="AD4"/>
      <c r="AE4"/>
      <c r="AF4"/>
    </row>
    <row r="5" spans="1:37" ht="39">
      <c r="A5" s="333"/>
      <c r="B5" s="347"/>
      <c r="C5" s="333"/>
      <c r="D5" s="333"/>
      <c r="E5" s="348"/>
      <c r="F5"/>
      <c r="G5"/>
      <c r="K5"/>
      <c r="L5"/>
      <c r="M5"/>
      <c r="N5"/>
      <c r="O5"/>
      <c r="P5"/>
      <c r="Q5"/>
      <c r="R5"/>
      <c r="S5"/>
      <c r="T5"/>
      <c r="W5"/>
      <c r="AA5" s="329" t="s">
        <v>799</v>
      </c>
      <c r="AB5" s="614" t="s">
        <v>797</v>
      </c>
      <c r="AC5" s="614" t="s">
        <v>798</v>
      </c>
      <c r="AD5" s="614" t="s">
        <v>808</v>
      </c>
      <c r="AE5"/>
      <c r="AF5" s="802" t="s">
        <v>90</v>
      </c>
      <c r="AG5" s="614" t="s">
        <v>1127</v>
      </c>
      <c r="AH5" s="614" t="s">
        <v>1128</v>
      </c>
      <c r="AI5" s="614" t="s">
        <v>808</v>
      </c>
      <c r="AJ5" s="333"/>
      <c r="AK5" s="333"/>
    </row>
    <row r="6" spans="1:37" ht="18.75">
      <c r="A6" s="375" t="s">
        <v>367</v>
      </c>
      <c r="D6" s="333"/>
      <c r="E6" s="350"/>
      <c r="F6"/>
      <c r="G6"/>
      <c r="W6"/>
      <c r="AE6"/>
      <c r="AF6" s="212" t="s">
        <v>548</v>
      </c>
      <c r="AG6" s="63">
        <f>'Step 7 FY16 Final Model'!T6</f>
        <v>4544301.7949999999</v>
      </c>
      <c r="AH6" s="1594">
        <f>'Step 7 FY16 Final Model'!V6</f>
        <v>61119672</v>
      </c>
      <c r="AI6" s="1594">
        <f>SUM(AG6:AG10)-AH6</f>
        <v>-31713752</v>
      </c>
      <c r="AK6" s="333"/>
    </row>
    <row r="7" spans="1:37">
      <c r="A7" s="329" t="s">
        <v>368</v>
      </c>
      <c r="D7" s="333"/>
      <c r="E7" s="351"/>
      <c r="F7"/>
      <c r="G7"/>
      <c r="W7"/>
      <c r="AA7" s="214" t="s">
        <v>102</v>
      </c>
      <c r="AB7" s="452">
        <f t="shared" ref="AB7:AB17" si="0">AG14</f>
        <v>25251080.653743565</v>
      </c>
      <c r="AC7" s="452">
        <f t="shared" ref="AC7:AC17" si="1">AH14</f>
        <v>24160078</v>
      </c>
      <c r="AD7" s="452">
        <f>AB7-AC7</f>
        <v>1091002.6537435651</v>
      </c>
      <c r="AE7"/>
      <c r="AF7" s="212" t="s">
        <v>555</v>
      </c>
      <c r="AG7" s="63">
        <f>'Step 7 FY16 Final Model'!T7</f>
        <v>-508451.79499999993</v>
      </c>
      <c r="AH7" s="1595"/>
      <c r="AI7" s="1595"/>
      <c r="AK7" s="333"/>
    </row>
    <row r="8" spans="1:37">
      <c r="E8" s="351"/>
      <c r="F8"/>
      <c r="G8"/>
      <c r="W8"/>
      <c r="AA8" s="76" t="s">
        <v>103</v>
      </c>
      <c r="AB8" s="453">
        <f t="shared" si="0"/>
        <v>20560560.064390406</v>
      </c>
      <c r="AC8" s="453">
        <f t="shared" si="1"/>
        <v>20462422</v>
      </c>
      <c r="AD8" s="453">
        <f>AB8-AC8</f>
        <v>98138.064390406013</v>
      </c>
      <c r="AE8"/>
      <c r="AF8" s="212" t="s">
        <v>864</v>
      </c>
      <c r="AG8" s="63">
        <f>'Step 7 FY16 Final Model'!T8</f>
        <v>0</v>
      </c>
      <c r="AH8" s="1595"/>
      <c r="AI8" s="1595"/>
      <c r="AJ8" s="803"/>
      <c r="AK8" s="333"/>
    </row>
    <row r="9" spans="1:37">
      <c r="A9" s="353" t="s">
        <v>362</v>
      </c>
      <c r="B9" s="353"/>
      <c r="C9" s="354">
        <f>E36</f>
        <v>117865909.07792781</v>
      </c>
      <c r="D9" s="333"/>
      <c r="E9" s="333"/>
      <c r="F9"/>
      <c r="G9"/>
      <c r="W9"/>
      <c r="AA9" s="213" t="s">
        <v>104</v>
      </c>
      <c r="AB9" s="453">
        <f t="shared" si="0"/>
        <v>64761554.961694747</v>
      </c>
      <c r="AC9" s="453">
        <f t="shared" si="1"/>
        <v>61306607</v>
      </c>
      <c r="AD9" s="453">
        <f>AB9-AC9</f>
        <v>3454947.9616947472</v>
      </c>
      <c r="AE9"/>
      <c r="AF9" s="212" t="s">
        <v>549</v>
      </c>
      <c r="AG9" s="63">
        <f>'Step 7 FY16 Final Model'!T10</f>
        <v>21345070</v>
      </c>
      <c r="AH9" s="1595"/>
      <c r="AI9" s="1595"/>
      <c r="AK9" s="333"/>
    </row>
    <row r="10" spans="1:37">
      <c r="A10" s="353" t="s">
        <v>363</v>
      </c>
      <c r="B10" s="353"/>
      <c r="C10" s="354">
        <f>'Pools, Rates, Reference'!B24-'Dashboard-Academic Allocation'!C58</f>
        <v>-30355.386827781796</v>
      </c>
      <c r="D10" s="333"/>
      <c r="F10" s="349"/>
      <c r="G10"/>
      <c r="W10"/>
      <c r="AA10" s="214" t="s">
        <v>105</v>
      </c>
      <c r="AB10" s="452">
        <f t="shared" si="0"/>
        <v>9195643.4326616675</v>
      </c>
      <c r="AC10" s="452">
        <f t="shared" si="1"/>
        <v>9355600</v>
      </c>
      <c r="AD10" s="452">
        <f>AB10-AC10</f>
        <v>-159956.56733833253</v>
      </c>
      <c r="AE10"/>
      <c r="AF10" s="212" t="s">
        <v>550</v>
      </c>
      <c r="AG10" s="63">
        <f>'Step 7 FY16 Final Model'!T11</f>
        <v>4025000</v>
      </c>
      <c r="AH10" s="1595"/>
      <c r="AI10" s="1595"/>
      <c r="AK10" s="333"/>
    </row>
    <row r="11" spans="1:37">
      <c r="F11" s="349"/>
      <c r="G11"/>
      <c r="W11"/>
      <c r="AA11" s="76" t="s">
        <v>106</v>
      </c>
      <c r="AB11" s="453">
        <f t="shared" si="0"/>
        <v>19399629.473356012</v>
      </c>
      <c r="AC11" s="453">
        <f t="shared" si="1"/>
        <v>20440194</v>
      </c>
      <c r="AD11" s="453">
        <f t="shared" ref="AD11:AD23" si="2">AB11-AC11</f>
        <v>-1040564.5266439877</v>
      </c>
      <c r="AE11"/>
      <c r="AF11" s="212" t="s">
        <v>551</v>
      </c>
      <c r="AG11" s="63">
        <f>'Step 7 FY16 Final Model'!T12</f>
        <v>22663752.16</v>
      </c>
      <c r="AH11" s="1595"/>
      <c r="AI11" s="1595"/>
      <c r="AK11" s="333"/>
    </row>
    <row r="12" spans="1:37" ht="30.75" thickBot="1">
      <c r="A12" s="355"/>
      <c r="B12" s="355" t="s">
        <v>296</v>
      </c>
      <c r="C12" s="940" t="s">
        <v>885</v>
      </c>
      <c r="D12" s="940" t="s">
        <v>306</v>
      </c>
      <c r="E12" s="356" t="s">
        <v>307</v>
      </c>
      <c r="F12" s="333"/>
      <c r="G12"/>
      <c r="W12"/>
      <c r="AA12" s="213" t="s">
        <v>107</v>
      </c>
      <c r="AB12" s="453">
        <f t="shared" si="0"/>
        <v>4710030.6052281586</v>
      </c>
      <c r="AC12" s="453">
        <f t="shared" si="1"/>
        <v>4806568</v>
      </c>
      <c r="AD12" s="453">
        <f t="shared" si="2"/>
        <v>-96537.394771841355</v>
      </c>
      <c r="AE12"/>
      <c r="AF12" s="203"/>
      <c r="AG12" s="68"/>
      <c r="AH12" s="68"/>
      <c r="AI12" s="68"/>
      <c r="AK12" s="333"/>
    </row>
    <row r="13" spans="1:37" ht="16.5" thickTop="1">
      <c r="A13" s="357" t="s">
        <v>90</v>
      </c>
      <c r="B13" s="333"/>
      <c r="C13" s="333"/>
      <c r="D13" s="333"/>
      <c r="E13" s="333"/>
      <c r="F13" s="352"/>
      <c r="G13"/>
      <c r="W13"/>
      <c r="AA13" s="214" t="s">
        <v>108</v>
      </c>
      <c r="AB13" s="452">
        <f t="shared" si="0"/>
        <v>46552740.84674415</v>
      </c>
      <c r="AC13" s="452">
        <f t="shared" si="1"/>
        <v>45894131</v>
      </c>
      <c r="AD13" s="452">
        <f t="shared" si="2"/>
        <v>658609.84674414992</v>
      </c>
      <c r="AE13"/>
      <c r="AF13" s="71" t="s">
        <v>101</v>
      </c>
      <c r="AG13" s="42"/>
      <c r="AH13" s="42"/>
      <c r="AI13" s="42"/>
      <c r="AK13" s="333"/>
    </row>
    <row r="14" spans="1:37">
      <c r="A14" s="213" t="s">
        <v>113</v>
      </c>
      <c r="B14" s="213" t="s">
        <v>298</v>
      </c>
      <c r="C14" s="358">
        <f>'Step 5a Serv Support Measures'!G24</f>
        <v>51472</v>
      </c>
      <c r="D14" s="941">
        <f>'Step 5a Serv Support Measures'!H24</f>
        <v>10.56</v>
      </c>
      <c r="E14" s="358">
        <f>'Step 5a Serv Support Measures'!I24</f>
        <v>535112.03073288093</v>
      </c>
      <c r="F14" s="333"/>
      <c r="G14"/>
      <c r="W14"/>
      <c r="AA14" s="213" t="s">
        <v>109</v>
      </c>
      <c r="AB14" s="453">
        <f t="shared" si="0"/>
        <v>13922883.385676662</v>
      </c>
      <c r="AC14" s="453">
        <f t="shared" si="1"/>
        <v>14831995</v>
      </c>
      <c r="AD14" s="453">
        <f t="shared" si="2"/>
        <v>-909111.61432333849</v>
      </c>
      <c r="AE14"/>
      <c r="AF14" s="214" t="s">
        <v>102</v>
      </c>
      <c r="AG14" s="452">
        <f>'Step 7 FY16 Final Model'!T15</f>
        <v>25251080.653743565</v>
      </c>
      <c r="AH14" s="452">
        <f>'Step 7 FY16 Final Model'!V15</f>
        <v>24160078</v>
      </c>
      <c r="AI14" s="452">
        <f>AG14-AH14</f>
        <v>1091002.6537435651</v>
      </c>
      <c r="AK14" s="333"/>
    </row>
    <row r="15" spans="1:37">
      <c r="A15" s="438" t="s">
        <v>523</v>
      </c>
      <c r="B15" s="438" t="s">
        <v>884</v>
      </c>
      <c r="C15" s="359">
        <f>'Step 5a Serv Support Measures'!G28</f>
        <v>4589.333333333333</v>
      </c>
      <c r="D15" s="942">
        <f>'Step 5a Serv Support Measures'!H28</f>
        <v>432.47</v>
      </c>
      <c r="E15" s="359">
        <f>'Step 5a Serv Support Measures'!I28</f>
        <v>1953958.530465791</v>
      </c>
      <c r="G15"/>
      <c r="W15"/>
      <c r="AA15" s="213" t="s">
        <v>110</v>
      </c>
      <c r="AB15" s="454">
        <f t="shared" si="0"/>
        <v>12680723.591873774</v>
      </c>
      <c r="AC15" s="454">
        <f t="shared" si="1"/>
        <v>12737398</v>
      </c>
      <c r="AD15" s="454">
        <f t="shared" si="2"/>
        <v>-56674.408126225695</v>
      </c>
      <c r="AE15"/>
      <c r="AF15" s="76" t="s">
        <v>103</v>
      </c>
      <c r="AG15" s="453">
        <f>'Step 7 FY16 Final Model'!T16</f>
        <v>20560560.064390406</v>
      </c>
      <c r="AH15" s="453">
        <f>'Step 7 FY16 Final Model'!V16</f>
        <v>20462422</v>
      </c>
      <c r="AI15" s="453">
        <f t="shared" ref="AI15:AI32" si="3">AG15-AH15</f>
        <v>98138.064390406013</v>
      </c>
      <c r="AK15" s="333"/>
    </row>
    <row r="16" spans="1:37">
      <c r="A16" s="213" t="s">
        <v>118</v>
      </c>
      <c r="B16" s="213" t="s">
        <v>603</v>
      </c>
      <c r="C16" s="358">
        <f>'Step 5a Serv Support Measures'!G30</f>
        <v>35565.333333333336</v>
      </c>
      <c r="D16" s="941">
        <f>'Step 5a Serv Support Measures'!H30</f>
        <v>333.15</v>
      </c>
      <c r="E16" s="358">
        <f>'Step 5a Serv Support Measures'!I30</f>
        <v>11664777.371440345</v>
      </c>
      <c r="G16"/>
      <c r="W16"/>
      <c r="AA16" s="214" t="s">
        <v>111</v>
      </c>
      <c r="AB16" s="452">
        <f t="shared" si="0"/>
        <v>42524687.582767554</v>
      </c>
      <c r="AC16" s="452">
        <f t="shared" si="1"/>
        <v>41127158</v>
      </c>
      <c r="AD16" s="452">
        <f t="shared" si="2"/>
        <v>1397529.5827675536</v>
      </c>
      <c r="AE16"/>
      <c r="AF16" s="213" t="s">
        <v>104</v>
      </c>
      <c r="AG16" s="453">
        <f>'Step 7 FY16 Final Model'!T17</f>
        <v>64761554.961694747</v>
      </c>
      <c r="AH16" s="453">
        <f>'Step 7 FY16 Final Model'!V17</f>
        <v>61306607</v>
      </c>
      <c r="AI16" s="453">
        <f t="shared" si="3"/>
        <v>3454947.9616947472</v>
      </c>
      <c r="AK16" s="333"/>
    </row>
    <row r="17" spans="1:37">
      <c r="A17" s="214" t="s">
        <v>122</v>
      </c>
      <c r="B17" s="214" t="s">
        <v>883</v>
      </c>
      <c r="C17" s="359"/>
      <c r="D17" s="942"/>
      <c r="E17" s="359">
        <f t="shared" ref="E17:E20" si="4">C17*D17</f>
        <v>0</v>
      </c>
      <c r="G17"/>
      <c r="W17"/>
      <c r="AA17" s="213" t="s">
        <v>112</v>
      </c>
      <c r="AB17" s="454">
        <f t="shared" si="0"/>
        <v>25234458.289048038</v>
      </c>
      <c r="AC17" s="454">
        <f t="shared" si="1"/>
        <v>24909417</v>
      </c>
      <c r="AD17" s="454">
        <f t="shared" si="2"/>
        <v>325041.28904803842</v>
      </c>
      <c r="AE17"/>
      <c r="AF17" s="214" t="s">
        <v>105</v>
      </c>
      <c r="AG17" s="452">
        <f>'Step 7 FY16 Final Model'!T18</f>
        <v>9195643.4326616675</v>
      </c>
      <c r="AH17" s="452">
        <f>'Step 7 FY16 Final Model'!V18</f>
        <v>9355600</v>
      </c>
      <c r="AI17" s="452">
        <f t="shared" si="3"/>
        <v>-159956.56733833253</v>
      </c>
      <c r="AK17" s="333"/>
    </row>
    <row r="18" spans="1:37">
      <c r="A18" s="213" t="s">
        <v>123</v>
      </c>
      <c r="B18" s="213" t="s">
        <v>288</v>
      </c>
      <c r="C18" s="358">
        <f>'Step 5a Serv Support Measures'!G37</f>
        <v>31775.666666666668</v>
      </c>
      <c r="D18" s="941">
        <f>'Step 5a Serv Support Measures'!H37</f>
        <v>124.51</v>
      </c>
      <c r="E18" s="358">
        <f>'Step 5a Serv Support Measures'!I37</f>
        <v>3895010.722203155</v>
      </c>
      <c r="G18"/>
      <c r="W18"/>
      <c r="AA18" s="213" t="s">
        <v>114</v>
      </c>
      <c r="AB18" s="453">
        <f>AG26</f>
        <v>3118551.8819559645</v>
      </c>
      <c r="AC18" s="453">
        <f>AH26</f>
        <v>2839964</v>
      </c>
      <c r="AD18" s="453">
        <f t="shared" si="2"/>
        <v>278587.88195596449</v>
      </c>
      <c r="AE18"/>
      <c r="AF18" s="76" t="s">
        <v>106</v>
      </c>
      <c r="AG18" s="453">
        <f>'Step 7 FY16 Final Model'!T19</f>
        <v>19399629.473356012</v>
      </c>
      <c r="AH18" s="453">
        <f>'Step 7 FY16 Final Model'!V19</f>
        <v>20440194</v>
      </c>
      <c r="AI18" s="453">
        <f t="shared" si="3"/>
        <v>-1040564.5266439877</v>
      </c>
      <c r="AK18" s="333"/>
    </row>
    <row r="19" spans="1:37">
      <c r="A19" s="76" t="s">
        <v>124</v>
      </c>
      <c r="B19" s="76" t="s">
        <v>883</v>
      </c>
      <c r="C19" s="358"/>
      <c r="D19" s="941"/>
      <c r="E19" s="358">
        <f t="shared" si="4"/>
        <v>0</v>
      </c>
      <c r="G19"/>
      <c r="W19"/>
      <c r="AA19" s="214" t="s">
        <v>524</v>
      </c>
      <c r="AB19" s="452">
        <f>AG30</f>
        <v>1205528.075254363</v>
      </c>
      <c r="AC19" s="452">
        <f>AH30</f>
        <v>833083</v>
      </c>
      <c r="AD19" s="452">
        <f t="shared" si="2"/>
        <v>372445.07525436301</v>
      </c>
      <c r="AE19"/>
      <c r="AF19" s="213" t="s">
        <v>107</v>
      </c>
      <c r="AG19" s="453">
        <f>'Step 7 FY16 Final Model'!T20</f>
        <v>4710030.6052281586</v>
      </c>
      <c r="AH19" s="453">
        <f>'Step 7 FY16 Final Model'!V20</f>
        <v>4806568</v>
      </c>
      <c r="AI19" s="453">
        <f t="shared" si="3"/>
        <v>-96537.394771841355</v>
      </c>
      <c r="AK19" s="333"/>
    </row>
    <row r="20" spans="1:37">
      <c r="A20" s="214" t="s">
        <v>125</v>
      </c>
      <c r="B20" s="214" t="s">
        <v>883</v>
      </c>
      <c r="C20" s="359"/>
      <c r="D20" s="942"/>
      <c r="E20" s="359">
        <f t="shared" si="4"/>
        <v>0</v>
      </c>
      <c r="G20"/>
      <c r="W20"/>
      <c r="AA20" s="76" t="s">
        <v>119</v>
      </c>
      <c r="AB20" s="78">
        <f>AG32</f>
        <v>11790037.252126154</v>
      </c>
      <c r="AC20" s="78">
        <f>AH32</f>
        <v>11354618</v>
      </c>
      <c r="AD20" s="78">
        <f t="shared" si="2"/>
        <v>435419.25212615356</v>
      </c>
      <c r="AE20"/>
      <c r="AF20" s="214" t="s">
        <v>108</v>
      </c>
      <c r="AG20" s="452">
        <f>'Step 7 FY16 Final Model'!T21</f>
        <v>46552740.84674415</v>
      </c>
      <c r="AH20" s="452">
        <f>'Step 7 FY16 Final Model'!V21</f>
        <v>45894131</v>
      </c>
      <c r="AI20" s="452">
        <f t="shared" si="3"/>
        <v>658609.84674414992</v>
      </c>
      <c r="AK20" s="333"/>
    </row>
    <row r="21" spans="1:37">
      <c r="A21" s="213" t="s">
        <v>126</v>
      </c>
      <c r="B21" s="213" t="s">
        <v>604</v>
      </c>
      <c r="C21" s="358">
        <f>'Step 5a Serv Support Measures'!G40</f>
        <v>21929.333333333332</v>
      </c>
      <c r="D21" s="941">
        <f>'Step 5a Serv Support Measures'!H40</f>
        <v>308.79000000000002</v>
      </c>
      <c r="E21" s="358">
        <f>'Step 5a Serv Support Measures'!I40</f>
        <v>6666508.0818057153</v>
      </c>
      <c r="G21"/>
      <c r="W21"/>
      <c r="AA21" s="213" t="s">
        <v>116</v>
      </c>
      <c r="AB21" s="68">
        <f>AG27</f>
        <v>18786975</v>
      </c>
      <c r="AC21" s="68">
        <f>AH27</f>
        <v>18786975</v>
      </c>
      <c r="AD21" s="68">
        <f t="shared" si="2"/>
        <v>0</v>
      </c>
      <c r="AE21"/>
      <c r="AF21" s="213" t="s">
        <v>109</v>
      </c>
      <c r="AG21" s="453">
        <f>'Step 7 FY16 Final Model'!T22</f>
        <v>13922883.385676662</v>
      </c>
      <c r="AH21" s="453">
        <f>'Step 7 FY16 Final Model'!V22</f>
        <v>14831995</v>
      </c>
      <c r="AI21" s="453">
        <f t="shared" si="3"/>
        <v>-909111.61432333849</v>
      </c>
      <c r="AK21" s="333"/>
    </row>
    <row r="22" spans="1:37">
      <c r="A22" s="437" t="s">
        <v>552</v>
      </c>
      <c r="B22" s="437" t="s">
        <v>604</v>
      </c>
      <c r="C22" s="358">
        <f>'Step 5a Serv Support Measures'!G41</f>
        <v>21929.333333333332</v>
      </c>
      <c r="D22" s="941">
        <f>'Step 5a Serv Support Measures'!H41</f>
        <v>144.56</v>
      </c>
      <c r="E22" s="358">
        <f>'Step 5a Serv Support Measures'!I41</f>
        <v>3120924.9273157618</v>
      </c>
      <c r="G22"/>
      <c r="W22"/>
      <c r="AA22" s="438" t="s">
        <v>117</v>
      </c>
      <c r="AB22" s="266">
        <f>AG28</f>
        <v>3296000</v>
      </c>
      <c r="AC22" s="266">
        <f>AH28</f>
        <v>3296000</v>
      </c>
      <c r="AD22" s="266">
        <f t="shared" si="2"/>
        <v>0</v>
      </c>
      <c r="AE22"/>
      <c r="AF22" s="213" t="s">
        <v>110</v>
      </c>
      <c r="AG22" s="454">
        <f>'Step 7 FY16 Final Model'!T23</f>
        <v>12680723.591873774</v>
      </c>
      <c r="AH22" s="454">
        <f>'Step 7 FY16 Final Model'!V23</f>
        <v>12737398</v>
      </c>
      <c r="AI22" s="454">
        <f t="shared" si="3"/>
        <v>-56674.408126225695</v>
      </c>
      <c r="AK22" s="333"/>
    </row>
    <row r="23" spans="1:37">
      <c r="A23" s="213" t="s">
        <v>127</v>
      </c>
      <c r="B23" s="213" t="s">
        <v>292</v>
      </c>
      <c r="C23" s="358">
        <f>'Step 5a Serv Support Measures'!G42</f>
        <v>3965</v>
      </c>
      <c r="D23" s="941">
        <f>'Step 5a Serv Support Measures'!H42</f>
        <v>746.23</v>
      </c>
      <c r="E23" s="358">
        <f>'Step 5a Serv Support Measures'!I42</f>
        <v>2912900.4972417117</v>
      </c>
      <c r="G23"/>
      <c r="W23"/>
      <c r="AA23" s="441"/>
      <c r="AB23" s="441"/>
      <c r="AC23" s="441"/>
      <c r="AD23" s="441">
        <f t="shared" si="2"/>
        <v>0</v>
      </c>
      <c r="AE23"/>
      <c r="AF23" s="214" t="s">
        <v>111</v>
      </c>
      <c r="AG23" s="452">
        <f>'Step 7 FY16 Final Model'!T24</f>
        <v>42524687.582767554</v>
      </c>
      <c r="AH23" s="452">
        <f>'Step 7 FY16 Final Model'!V24</f>
        <v>41127158</v>
      </c>
      <c r="AI23" s="452">
        <f t="shared" si="3"/>
        <v>1397529.5827675536</v>
      </c>
      <c r="AK23" s="333"/>
    </row>
    <row r="24" spans="1:37">
      <c r="A24" s="214" t="s">
        <v>128</v>
      </c>
      <c r="B24" s="214" t="s">
        <v>288</v>
      </c>
      <c r="C24" s="359">
        <f>'Step 5a Serv Support Measures'!G43</f>
        <v>31775.666666666668</v>
      </c>
      <c r="D24" s="942">
        <f>'Step 5a Serv Support Measures'!H43</f>
        <v>505.52</v>
      </c>
      <c r="E24" s="359">
        <f>'Step 5a Serv Support Measures'!I43</f>
        <v>15814037.589656563</v>
      </c>
      <c r="G24"/>
      <c r="W24"/>
      <c r="AA24" s="213"/>
      <c r="AB24" s="66"/>
      <c r="AC24" s="66"/>
      <c r="AD24" s="66"/>
      <c r="AE24"/>
      <c r="AF24" s="213" t="s">
        <v>112</v>
      </c>
      <c r="AG24" s="454">
        <f>'Step 7 FY16 Final Model'!T25</f>
        <v>25234458.289048038</v>
      </c>
      <c r="AH24" s="454">
        <f>'Step 7 FY16 Final Model'!V25</f>
        <v>24909417</v>
      </c>
      <c r="AI24" s="454">
        <f t="shared" si="3"/>
        <v>325041.28904803842</v>
      </c>
      <c r="AK24" s="333"/>
    </row>
    <row r="25" spans="1:37">
      <c r="A25" s="213" t="s">
        <v>553</v>
      </c>
      <c r="B25" s="213" t="s">
        <v>289</v>
      </c>
      <c r="C25" s="358">
        <f>'Step 5a Serv Support Measures'!G44</f>
        <v>4409</v>
      </c>
      <c r="D25" s="941">
        <f>'Step 5a Serv Support Measures'!H44</f>
        <v>418.47</v>
      </c>
      <c r="E25" s="358">
        <f>'Step 5a Serv Support Measures'!I44</f>
        <v>1816411.2423932189</v>
      </c>
      <c r="W25"/>
      <c r="AE25"/>
      <c r="AF25" s="213" t="s">
        <v>113</v>
      </c>
      <c r="AG25" s="453">
        <f>'Step 7 FY16 Final Model'!T26</f>
        <v>535112.03073288093</v>
      </c>
      <c r="AH25" s="453">
        <f>'Step 7 FY16 Final Model'!V26</f>
        <v>543366</v>
      </c>
      <c r="AI25" s="453">
        <f t="shared" si="3"/>
        <v>-8253.9692671190714</v>
      </c>
      <c r="AK25" s="333"/>
    </row>
    <row r="26" spans="1:37">
      <c r="A26" s="76" t="s">
        <v>115</v>
      </c>
      <c r="B26" s="76" t="s">
        <v>811</v>
      </c>
      <c r="C26" s="358">
        <f>'Step 5a Serv Support Measures'!G45</f>
        <v>17746.666666666668</v>
      </c>
      <c r="D26" s="941">
        <f>'Step 5a Serv Support Measures'!H45</f>
        <v>84.8</v>
      </c>
      <c r="E26" s="358">
        <f>'Step 5a Serv Support Measures'!I45</f>
        <v>1481570.7582504256</v>
      </c>
      <c r="G26" s="378"/>
      <c r="W26"/>
      <c r="AE26"/>
      <c r="AF26" s="214" t="s">
        <v>114</v>
      </c>
      <c r="AG26" s="452">
        <f>'Step 7 FY16 Final Model'!T27</f>
        <v>3118551.8819559645</v>
      </c>
      <c r="AH26" s="452">
        <f>'Step 7 FY16 Final Model'!V27</f>
        <v>2839964</v>
      </c>
      <c r="AI26" s="452">
        <f t="shared" si="3"/>
        <v>278587.88195596449</v>
      </c>
      <c r="AK26" s="333"/>
    </row>
    <row r="27" spans="1:37">
      <c r="A27" s="438" t="s">
        <v>129</v>
      </c>
      <c r="B27" s="438" t="s">
        <v>309</v>
      </c>
      <c r="C27" s="359">
        <f>'Step 5a Serv Support Measures'!G46</f>
        <v>201022</v>
      </c>
      <c r="D27" s="942">
        <f>'Step 5a Serv Support Measures'!H46</f>
        <v>18.03</v>
      </c>
      <c r="E27" s="359">
        <f>'Step 5a Serv Support Measures'!I46</f>
        <v>3568199.0205968725</v>
      </c>
      <c r="W27"/>
      <c r="AE27"/>
      <c r="AF27" s="76" t="s">
        <v>116</v>
      </c>
      <c r="AG27" s="78">
        <f>'Step 7 FY16 Final Model'!T28</f>
        <v>18786975</v>
      </c>
      <c r="AH27" s="78">
        <f>'Step 7 FY16 Final Model'!V28</f>
        <v>18786975</v>
      </c>
      <c r="AI27" s="78">
        <f t="shared" si="3"/>
        <v>0</v>
      </c>
      <c r="AK27" s="333"/>
    </row>
    <row r="28" spans="1:37">
      <c r="A28" s="213" t="s">
        <v>130</v>
      </c>
      <c r="B28" s="213" t="s">
        <v>604</v>
      </c>
      <c r="C28" s="358">
        <f>'Step 5a Serv Support Measures'!G47</f>
        <v>21929.333333333332</v>
      </c>
      <c r="D28" s="941">
        <f>'Step 5a Serv Support Measures'!H47</f>
        <v>301.32</v>
      </c>
      <c r="E28" s="358">
        <f>'Step 5a Serv Support Measures'!I47</f>
        <v>6505237.2654868942</v>
      </c>
      <c r="W28"/>
      <c r="AE28"/>
      <c r="AF28" s="213" t="s">
        <v>117</v>
      </c>
      <c r="AG28" s="68">
        <f>'Step 7 FY16 Final Model'!T29</f>
        <v>3296000</v>
      </c>
      <c r="AH28" s="68">
        <f>'Step 7 FY16 Final Model'!V29</f>
        <v>3296000</v>
      </c>
      <c r="AI28" s="68">
        <f t="shared" si="3"/>
        <v>0</v>
      </c>
      <c r="AK28" s="333"/>
    </row>
    <row r="29" spans="1:37">
      <c r="A29" s="213" t="s">
        <v>882</v>
      </c>
      <c r="B29" s="213" t="s">
        <v>588</v>
      </c>
      <c r="C29" s="358">
        <f>'Step 5a Serv Support Measures'!G48</f>
        <v>978622.33333333337</v>
      </c>
      <c r="D29" s="941">
        <f>'Step 5a Serv Support Measures'!H48</f>
        <v>10.27</v>
      </c>
      <c r="E29" s="358">
        <f>'Step 5a Serv Support Measures'!I48</f>
        <v>9894533.4187566377</v>
      </c>
      <c r="G29" s="378"/>
      <c r="W29"/>
      <c r="AE29"/>
      <c r="AF29" s="438" t="s">
        <v>523</v>
      </c>
      <c r="AG29" s="266">
        <f>'Step 7 FY16 Final Model'!T30</f>
        <v>4697910.0306345625</v>
      </c>
      <c r="AH29" s="266">
        <f>'Step 7 FY16 Final Model'!V30</f>
        <v>4706010</v>
      </c>
      <c r="AI29" s="266">
        <f t="shared" si="3"/>
        <v>-8099.9693654375151</v>
      </c>
      <c r="AJ29" s="333"/>
      <c r="AK29" s="333"/>
    </row>
    <row r="30" spans="1:37">
      <c r="A30" s="438" t="s">
        <v>132</v>
      </c>
      <c r="B30" s="438" t="s">
        <v>588</v>
      </c>
      <c r="C30" s="359">
        <f>'Step 5a Serv Support Measures'!G49</f>
        <v>978622.33333333337</v>
      </c>
      <c r="D30" s="942">
        <f>'Step 5a Serv Support Measures'!H49</f>
        <v>22.97</v>
      </c>
      <c r="E30" s="359">
        <f>'Step 5a Serv Support Measures'!I49</f>
        <v>22130227.130364165</v>
      </c>
      <c r="G30" s="379"/>
      <c r="W30"/>
      <c r="AE30"/>
      <c r="AF30" s="437" t="s">
        <v>524</v>
      </c>
      <c r="AG30" s="78">
        <f>'Step 7 FY16 Final Model'!T31</f>
        <v>1205528.075254363</v>
      </c>
      <c r="AH30" s="78">
        <f>'Step 7 FY16 Final Model'!V31</f>
        <v>833083</v>
      </c>
      <c r="AI30" s="78">
        <f t="shared" si="3"/>
        <v>372445.07525436301</v>
      </c>
    </row>
    <row r="31" spans="1:37">
      <c r="A31" s="213" t="s">
        <v>133</v>
      </c>
      <c r="B31" s="213" t="s">
        <v>583</v>
      </c>
      <c r="C31" s="358">
        <f>'Step 5a Serv Support Measures'!G50</f>
        <v>3873680</v>
      </c>
      <c r="D31" s="941">
        <f>'Step 5a Serv Support Measures'!H50</f>
        <v>3.46</v>
      </c>
      <c r="E31" s="358">
        <f>'Step 5a Serv Support Measures'!I50</f>
        <v>13195006.04547636</v>
      </c>
      <c r="G31" s="379"/>
      <c r="W31"/>
      <c r="AE31"/>
      <c r="AF31" s="213" t="s">
        <v>118</v>
      </c>
      <c r="AG31" s="68">
        <f>'Step 7 FY16 Final Model'!T32</f>
        <v>14395598.191832963</v>
      </c>
      <c r="AH31" s="68">
        <f>'Step 7 FY16 Final Model'!V32</f>
        <v>14579074</v>
      </c>
      <c r="AI31" s="68">
        <f t="shared" si="3"/>
        <v>-183475.80816703662</v>
      </c>
    </row>
    <row r="32" spans="1:37">
      <c r="A32" s="213" t="s">
        <v>521</v>
      </c>
      <c r="B32" s="213" t="s">
        <v>288</v>
      </c>
      <c r="C32" s="358">
        <f>'Step 5a Serv Support Measures'!G51</f>
        <v>31775.666666666668</v>
      </c>
      <c r="D32" s="941">
        <f>'Step 5a Serv Support Measures'!H51</f>
        <v>107.67</v>
      </c>
      <c r="E32" s="358">
        <f>'Step 5a Serv Support Measures'!I51</f>
        <v>3368209.818164113</v>
      </c>
      <c r="G32" s="379"/>
      <c r="I32" s="336"/>
      <c r="W32"/>
      <c r="AA32" s="1084" t="s">
        <v>113</v>
      </c>
      <c r="AB32" s="1085">
        <f>AG25</f>
        <v>535112.03073288093</v>
      </c>
      <c r="AC32" s="1085">
        <f>AH25</f>
        <v>543366</v>
      </c>
      <c r="AD32" s="1085">
        <f t="shared" ref="AD32:AD52" si="5">AB32-AC32</f>
        <v>-8253.9692671190714</v>
      </c>
      <c r="AE32"/>
      <c r="AF32" s="438" t="s">
        <v>119</v>
      </c>
      <c r="AG32" s="455">
        <f>'Step 7 FY16 Final Model'!T33</f>
        <v>11790037.252126154</v>
      </c>
      <c r="AH32" s="455">
        <f>'Step 7 FY16 Final Model'!V33</f>
        <v>11354618</v>
      </c>
      <c r="AI32" s="455">
        <f t="shared" si="3"/>
        <v>435419.25212615356</v>
      </c>
    </row>
    <row r="33" spans="1:35">
      <c r="A33" s="457" t="s">
        <v>554</v>
      </c>
      <c r="B33" s="457" t="s">
        <v>583</v>
      </c>
      <c r="C33" s="359">
        <f>'Step 5a Serv Support Measures'!G52</f>
        <v>3873680</v>
      </c>
      <c r="D33" s="942">
        <f>'Step 5a Serv Support Measures'!H52</f>
        <v>0.32</v>
      </c>
      <c r="E33" s="359">
        <f>'Step 5a Serv Support Measures'!I52</f>
        <v>1220347.3799284496</v>
      </c>
      <c r="W33"/>
      <c r="AA33" s="438" t="s">
        <v>523</v>
      </c>
      <c r="AB33" s="267">
        <f>AG29</f>
        <v>4697910.0306345625</v>
      </c>
      <c r="AC33" s="267">
        <f>AH29</f>
        <v>4706010</v>
      </c>
      <c r="AD33" s="267">
        <f t="shared" si="5"/>
        <v>-8099.9693654375151</v>
      </c>
      <c r="AE33"/>
      <c r="AF33" s="441" t="s">
        <v>120</v>
      </c>
      <c r="AG33" s="442">
        <f>SUM(AG14:AG32)</f>
        <v>342619705.34972161</v>
      </c>
      <c r="AH33" s="442">
        <f>SUM(AH14:AH32)</f>
        <v>336970658</v>
      </c>
      <c r="AI33" s="442">
        <f>SUM(AI14:AI32)</f>
        <v>5649047.3497216227</v>
      </c>
    </row>
    <row r="34" spans="1:35" ht="16.5" thickBot="1">
      <c r="A34" s="943" t="s">
        <v>134</v>
      </c>
      <c r="B34" s="943" t="s">
        <v>583</v>
      </c>
      <c r="C34" s="360">
        <f>'Step 5a Serv Support Measures'!G53</f>
        <v>3873680</v>
      </c>
      <c r="D34" s="944">
        <f>'Step 5a Serv Support Measures'!H53</f>
        <v>2.13</v>
      </c>
      <c r="E34" s="360">
        <f>'Step 5a Serv Support Measures'!I53</f>
        <v>8122937.247648742</v>
      </c>
      <c r="G34" s="380"/>
      <c r="I34" s="338"/>
      <c r="W34"/>
      <c r="AA34" s="213" t="s">
        <v>118</v>
      </c>
      <c r="AB34" s="78">
        <f>AG31</f>
        <v>14395598.191832963</v>
      </c>
      <c r="AC34" s="78">
        <f>AH31</f>
        <v>14579074</v>
      </c>
      <c r="AD34" s="78">
        <f t="shared" si="5"/>
        <v>-183475.80816703662</v>
      </c>
      <c r="AE34"/>
      <c r="AF34" s="213"/>
      <c r="AG34" s="66"/>
      <c r="AH34" s="66"/>
      <c r="AI34" s="66"/>
    </row>
    <row r="35" spans="1:35" ht="16.5" thickTop="1">
      <c r="E35" s="358"/>
      <c r="G35" s="380"/>
      <c r="I35" s="338"/>
      <c r="W35"/>
      <c r="AA35" s="214" t="s">
        <v>122</v>
      </c>
      <c r="AB35" s="452">
        <f t="shared" ref="AB35:AB52" si="6">AG37</f>
        <v>8390980.8901681937</v>
      </c>
      <c r="AC35" s="452">
        <f t="shared" ref="AC35:AC52" si="7">AH37</f>
        <v>8388275</v>
      </c>
      <c r="AD35" s="452">
        <f t="shared" si="5"/>
        <v>2705.8901681937277</v>
      </c>
      <c r="AE35"/>
      <c r="AF35" s="203"/>
      <c r="AG35"/>
      <c r="AH35"/>
      <c r="AI35"/>
    </row>
    <row r="36" spans="1:35">
      <c r="E36" s="358">
        <f>SUM(E14:E34)</f>
        <v>117865909.07792781</v>
      </c>
      <c r="G36" s="380"/>
      <c r="I36" s="338"/>
      <c r="W36"/>
      <c r="AA36" s="213" t="s">
        <v>123</v>
      </c>
      <c r="AB36" s="454">
        <f t="shared" si="6"/>
        <v>3921595.722203155</v>
      </c>
      <c r="AC36" s="454">
        <f t="shared" si="7"/>
        <v>3982978</v>
      </c>
      <c r="AD36" s="454">
        <f t="shared" si="5"/>
        <v>-61382.277796844952</v>
      </c>
      <c r="AE36"/>
      <c r="AF36" s="76" t="s">
        <v>121</v>
      </c>
      <c r="AG36" s="78"/>
      <c r="AH36" s="78"/>
      <c r="AI36" s="78"/>
    </row>
    <row r="37" spans="1:35">
      <c r="I37" s="338"/>
      <c r="W37"/>
      <c r="AA37" s="76" t="s">
        <v>124</v>
      </c>
      <c r="AB37" s="454">
        <f t="shared" si="6"/>
        <v>1441801</v>
      </c>
      <c r="AC37" s="454">
        <f t="shared" si="7"/>
        <v>1441801</v>
      </c>
      <c r="AD37" s="454">
        <f t="shared" si="5"/>
        <v>0</v>
      </c>
      <c r="AE37"/>
      <c r="AF37" s="214" t="s">
        <v>122</v>
      </c>
      <c r="AG37" s="452">
        <f>'Step 7 FY16 Final Model'!T38</f>
        <v>8390980.8901681937</v>
      </c>
      <c r="AH37" s="452">
        <f>'Step 7 FY16 Final Model'!V38</f>
        <v>8388275</v>
      </c>
      <c r="AI37" s="452">
        <f>AG37-AH37</f>
        <v>2705.8901681937277</v>
      </c>
    </row>
    <row r="38" spans="1:35">
      <c r="E38" s="329" t="s">
        <v>1014</v>
      </c>
      <c r="G38" s="381"/>
      <c r="I38" s="338"/>
      <c r="W38"/>
      <c r="AA38" s="214" t="s">
        <v>125</v>
      </c>
      <c r="AB38" s="452">
        <f t="shared" si="6"/>
        <v>7948710</v>
      </c>
      <c r="AC38" s="452">
        <f t="shared" si="7"/>
        <v>7948710</v>
      </c>
      <c r="AD38" s="452">
        <f t="shared" si="5"/>
        <v>0</v>
      </c>
      <c r="AE38"/>
      <c r="AF38" s="213" t="s">
        <v>123</v>
      </c>
      <c r="AG38" s="454">
        <f>'Step 7 FY16 Final Model'!T39</f>
        <v>3921595.722203155</v>
      </c>
      <c r="AH38" s="454">
        <f>'Step 7 FY16 Final Model'!V39</f>
        <v>3982978</v>
      </c>
      <c r="AI38" s="454">
        <f t="shared" ref="AI38:AI54" si="8">AG38-AH38</f>
        <v>-61382.277796844952</v>
      </c>
    </row>
    <row r="39" spans="1:35">
      <c r="I39" s="338"/>
      <c r="W39"/>
      <c r="AA39" s="213" t="s">
        <v>126</v>
      </c>
      <c r="AB39" s="454">
        <f t="shared" si="6"/>
        <v>9619195.5771910213</v>
      </c>
      <c r="AC39" s="454">
        <f t="shared" si="7"/>
        <v>9724870</v>
      </c>
      <c r="AD39" s="454">
        <f t="shared" si="5"/>
        <v>-105674.42280897871</v>
      </c>
      <c r="AE39"/>
      <c r="AF39" s="76" t="s">
        <v>124</v>
      </c>
      <c r="AG39" s="454">
        <f>'Step 7 FY16 Final Model'!T40</f>
        <v>1441801</v>
      </c>
      <c r="AH39" s="454">
        <f>'Step 7 FY16 Final Model'!V40</f>
        <v>1441801</v>
      </c>
      <c r="AI39" s="454">
        <f t="shared" si="8"/>
        <v>0</v>
      </c>
    </row>
    <row r="40" spans="1:35">
      <c r="G40" s="341"/>
      <c r="I40" s="338"/>
      <c r="J40" s="341"/>
      <c r="W40"/>
      <c r="AA40" s="437" t="s">
        <v>552</v>
      </c>
      <c r="AB40" s="454">
        <f t="shared" si="6"/>
        <v>4972158.6469286196</v>
      </c>
      <c r="AC40" s="454">
        <f t="shared" si="7"/>
        <v>5000049</v>
      </c>
      <c r="AD40" s="454">
        <f t="shared" si="5"/>
        <v>-27890.353071380407</v>
      </c>
      <c r="AE40"/>
      <c r="AF40" s="214" t="s">
        <v>125</v>
      </c>
      <c r="AG40" s="452">
        <f>'Step 7 FY16 Final Model'!T41</f>
        <v>7948710</v>
      </c>
      <c r="AH40" s="452">
        <f>'Step 7 FY16 Final Model'!V41</f>
        <v>7948710</v>
      </c>
      <c r="AI40" s="452">
        <f t="shared" si="8"/>
        <v>0</v>
      </c>
    </row>
    <row r="41" spans="1:35">
      <c r="G41" s="341"/>
      <c r="W41"/>
      <c r="AA41" s="213" t="s">
        <v>127</v>
      </c>
      <c r="AB41" s="454">
        <f t="shared" si="6"/>
        <v>3597301.1172417118</v>
      </c>
      <c r="AC41" s="454">
        <f t="shared" si="7"/>
        <v>3643184</v>
      </c>
      <c r="AD41" s="454">
        <f t="shared" si="5"/>
        <v>-45882.882758288179</v>
      </c>
      <c r="AE41"/>
      <c r="AF41" s="213" t="s">
        <v>126</v>
      </c>
      <c r="AG41" s="454">
        <f>'Step 7 FY16 Final Model'!T42</f>
        <v>9619195.5771910213</v>
      </c>
      <c r="AH41" s="454">
        <f>'Step 7 FY16 Final Model'!V42</f>
        <v>9724870</v>
      </c>
      <c r="AI41" s="454">
        <f t="shared" si="8"/>
        <v>-105674.42280897871</v>
      </c>
    </row>
    <row r="42" spans="1:35">
      <c r="W42"/>
      <c r="AA42" s="214" t="s">
        <v>128</v>
      </c>
      <c r="AB42" s="452">
        <f t="shared" si="6"/>
        <v>19526422.413185891</v>
      </c>
      <c r="AC42" s="452">
        <f t="shared" si="7"/>
        <v>19774816</v>
      </c>
      <c r="AD42" s="452">
        <f t="shared" si="5"/>
        <v>-248393.58681410924</v>
      </c>
      <c r="AE42"/>
      <c r="AF42" s="437" t="s">
        <v>552</v>
      </c>
      <c r="AG42" s="454">
        <f>'Step 7 FY16 Final Model'!T43</f>
        <v>4972158.6469286196</v>
      </c>
      <c r="AH42" s="454">
        <f>'Step 7 FY16 Final Model'!V43</f>
        <v>5000049</v>
      </c>
      <c r="AI42" s="454">
        <f t="shared" si="8"/>
        <v>-27890.353071380407</v>
      </c>
    </row>
    <row r="43" spans="1:35">
      <c r="W43"/>
      <c r="AA43" s="213" t="s">
        <v>553</v>
      </c>
      <c r="AB43" s="454">
        <f t="shared" si="6"/>
        <v>4478576.5193162952</v>
      </c>
      <c r="AC43" s="454">
        <f t="shared" si="7"/>
        <v>4507186</v>
      </c>
      <c r="AD43" s="454">
        <f t="shared" si="5"/>
        <v>-28609.480683704838</v>
      </c>
      <c r="AE43"/>
      <c r="AF43" s="213" t="s">
        <v>127</v>
      </c>
      <c r="AG43" s="454">
        <f>'Step 7 FY16 Final Model'!T44</f>
        <v>3597301.1172417118</v>
      </c>
      <c r="AH43" s="454">
        <f>'Step 7 FY16 Final Model'!V44</f>
        <v>3643184</v>
      </c>
      <c r="AI43" s="454">
        <f t="shared" si="8"/>
        <v>-45882.882758288179</v>
      </c>
    </row>
    <row r="44" spans="1:35" ht="15" customHeight="1">
      <c r="W44"/>
      <c r="AA44" s="76" t="s">
        <v>115</v>
      </c>
      <c r="AB44" s="453">
        <f t="shared" si="6"/>
        <v>1500790.5299174413</v>
      </c>
      <c r="AC44" s="453">
        <f t="shared" si="7"/>
        <v>1522413</v>
      </c>
      <c r="AD44" s="453">
        <f t="shared" si="5"/>
        <v>-21622.470082558692</v>
      </c>
      <c r="AE44"/>
      <c r="AF44" s="214" t="s">
        <v>128</v>
      </c>
      <c r="AG44" s="452">
        <f>'Step 7 FY16 Final Model'!T45</f>
        <v>19526422.413185891</v>
      </c>
      <c r="AH44" s="452">
        <f>'Step 7 FY16 Final Model'!V45</f>
        <v>19774816</v>
      </c>
      <c r="AI44" s="452">
        <f t="shared" si="8"/>
        <v>-248393.58681410924</v>
      </c>
    </row>
    <row r="45" spans="1:35">
      <c r="W45"/>
      <c r="AA45" s="438" t="s">
        <v>129</v>
      </c>
      <c r="AB45" s="452">
        <f t="shared" si="6"/>
        <v>7525709.2859814875</v>
      </c>
      <c r="AC45" s="452">
        <f t="shared" si="7"/>
        <v>7582890</v>
      </c>
      <c r="AD45" s="452">
        <f t="shared" si="5"/>
        <v>-57180.714018512517</v>
      </c>
      <c r="AE45"/>
      <c r="AF45" s="213" t="s">
        <v>553</v>
      </c>
      <c r="AG45" s="454">
        <f>'Step 7 FY16 Final Model'!T46</f>
        <v>4478576.5193162952</v>
      </c>
      <c r="AH45" s="454">
        <f>'Step 7 FY16 Final Model'!V46</f>
        <v>4507186</v>
      </c>
      <c r="AI45" s="454">
        <f t="shared" si="8"/>
        <v>-28609.480683704838</v>
      </c>
    </row>
    <row r="46" spans="1:35">
      <c r="W46"/>
      <c r="AA46" s="213" t="s">
        <v>130</v>
      </c>
      <c r="AB46" s="453">
        <f t="shared" si="6"/>
        <v>7605397.4548346</v>
      </c>
      <c r="AC46" s="453">
        <f t="shared" si="7"/>
        <v>7705927</v>
      </c>
      <c r="AD46" s="453">
        <f t="shared" si="5"/>
        <v>-100529.54516540002</v>
      </c>
      <c r="AE46"/>
      <c r="AF46" s="76" t="s">
        <v>115</v>
      </c>
      <c r="AG46" s="453">
        <f>'Step 7 FY16 Final Model'!T47</f>
        <v>1500790.5299174413</v>
      </c>
      <c r="AH46" s="453">
        <f>'Step 7 FY16 Final Model'!V47</f>
        <v>1522413</v>
      </c>
      <c r="AI46" s="453">
        <f t="shared" si="8"/>
        <v>-21622.470082558692</v>
      </c>
    </row>
    <row r="47" spans="1:35">
      <c r="W47"/>
      <c r="AA47" s="213" t="s">
        <v>882</v>
      </c>
      <c r="AB47" s="454">
        <f t="shared" si="6"/>
        <v>12069695.356448947</v>
      </c>
      <c r="AC47" s="454">
        <f t="shared" si="7"/>
        <v>12221894</v>
      </c>
      <c r="AD47" s="454">
        <f t="shared" si="5"/>
        <v>-152198.64355105348</v>
      </c>
      <c r="AE47"/>
      <c r="AF47" s="438" t="s">
        <v>129</v>
      </c>
      <c r="AG47" s="452">
        <f>'Step 7 FY16 Final Model'!T48</f>
        <v>7525709.2859814875</v>
      </c>
      <c r="AH47" s="452">
        <f>'Step 7 FY16 Final Model'!V48</f>
        <v>7582890</v>
      </c>
      <c r="AI47" s="452">
        <f t="shared" si="8"/>
        <v>-57180.714018512517</v>
      </c>
    </row>
    <row r="48" spans="1:35">
      <c r="W48"/>
      <c r="AA48" s="438" t="s">
        <v>132</v>
      </c>
      <c r="AB48" s="452">
        <f t="shared" si="6"/>
        <v>24978281.048056472</v>
      </c>
      <c r="AC48" s="452">
        <f t="shared" si="7"/>
        <v>25322352</v>
      </c>
      <c r="AD48" s="452">
        <f t="shared" si="5"/>
        <v>-344070.95194352791</v>
      </c>
      <c r="AE48"/>
      <c r="AF48" s="213" t="s">
        <v>130</v>
      </c>
      <c r="AG48" s="453">
        <f>'Step 7 FY16 Final Model'!T49</f>
        <v>7605397.4548346</v>
      </c>
      <c r="AH48" s="453">
        <f>'Step 7 FY16 Final Model'!V49</f>
        <v>7705927</v>
      </c>
      <c r="AI48" s="453">
        <f t="shared" si="8"/>
        <v>-100529.54516540002</v>
      </c>
    </row>
    <row r="49" spans="23:35">
      <c r="W49"/>
      <c r="AA49" s="213" t="s">
        <v>133</v>
      </c>
      <c r="AB49" s="453">
        <f t="shared" si="6"/>
        <v>17717915.391630206</v>
      </c>
      <c r="AC49" s="453">
        <f t="shared" si="7"/>
        <v>17924002</v>
      </c>
      <c r="AD49" s="453">
        <f t="shared" si="5"/>
        <v>-206086.60836979374</v>
      </c>
      <c r="AE49"/>
      <c r="AF49" s="213" t="s">
        <v>131</v>
      </c>
      <c r="AG49" s="454">
        <f>'Step 7 FY16 Final Model'!T50</f>
        <v>12069695.356448947</v>
      </c>
      <c r="AH49" s="454">
        <f>'Step 7 FY16 Final Model'!V50</f>
        <v>12221894</v>
      </c>
      <c r="AI49" s="454">
        <f t="shared" si="8"/>
        <v>-152198.64355105348</v>
      </c>
    </row>
    <row r="50" spans="23:35">
      <c r="W50"/>
      <c r="AA50" s="213" t="s">
        <v>521</v>
      </c>
      <c r="AB50" s="453">
        <f t="shared" si="6"/>
        <v>3405402.9865202676</v>
      </c>
      <c r="AC50" s="453">
        <f t="shared" si="7"/>
        <v>3458422</v>
      </c>
      <c r="AD50" s="453">
        <f t="shared" si="5"/>
        <v>-53019.013479732443</v>
      </c>
      <c r="AE50"/>
      <c r="AF50" s="438" t="s">
        <v>132</v>
      </c>
      <c r="AG50" s="452">
        <f>'Step 7 FY16 Final Model'!T51</f>
        <v>24978281.048056472</v>
      </c>
      <c r="AH50" s="452">
        <f>'Step 7 FY16 Final Model'!V51</f>
        <v>25322352</v>
      </c>
      <c r="AI50" s="452">
        <f t="shared" si="8"/>
        <v>-344070.95194352791</v>
      </c>
    </row>
    <row r="51" spans="23:35">
      <c r="W51"/>
      <c r="AA51" s="457" t="s">
        <v>554</v>
      </c>
      <c r="AB51" s="452">
        <f t="shared" si="6"/>
        <v>2332414.5337746036</v>
      </c>
      <c r="AC51" s="452">
        <f t="shared" si="7"/>
        <v>2369486</v>
      </c>
      <c r="AD51" s="452">
        <f t="shared" si="5"/>
        <v>-37071.466225396376</v>
      </c>
      <c r="AE51"/>
      <c r="AF51" s="213" t="s">
        <v>133</v>
      </c>
      <c r="AG51" s="453">
        <f>'Step 7 FY16 Final Model'!T52</f>
        <v>17717915.391630206</v>
      </c>
      <c r="AH51" s="453">
        <f>'Step 7 FY16 Final Model'!V52</f>
        <v>17924002</v>
      </c>
      <c r="AI51" s="453">
        <f t="shared" si="8"/>
        <v>-206086.60836979374</v>
      </c>
    </row>
    <row r="52" spans="23:35">
      <c r="W52"/>
      <c r="AA52" s="1086" t="s">
        <v>134</v>
      </c>
      <c r="AB52" s="466">
        <f t="shared" si="6"/>
        <v>12290233.01687951</v>
      </c>
      <c r="AC52" s="466">
        <f t="shared" si="7"/>
        <v>12402374</v>
      </c>
      <c r="AD52" s="466">
        <f t="shared" si="5"/>
        <v>-112140.98312048987</v>
      </c>
      <c r="AE52"/>
      <c r="AF52" s="213" t="s">
        <v>521</v>
      </c>
      <c r="AG52" s="453">
        <f>'Step 7 FY16 Final Model'!T53</f>
        <v>3405402.9865202676</v>
      </c>
      <c r="AH52" s="453">
        <f>'Step 7 FY16 Final Model'!V53</f>
        <v>3458422</v>
      </c>
      <c r="AI52" s="453">
        <f t="shared" si="8"/>
        <v>-53019.013479732443</v>
      </c>
    </row>
    <row r="53" spans="23:35">
      <c r="W53"/>
      <c r="AE53"/>
      <c r="AF53" s="457" t="s">
        <v>554</v>
      </c>
      <c r="AG53" s="452">
        <f>'Step 7 FY16 Final Model'!T54</f>
        <v>2332414.5337746036</v>
      </c>
      <c r="AH53" s="452">
        <f>'Step 7 FY16 Final Model'!V54</f>
        <v>2369486</v>
      </c>
      <c r="AI53" s="452">
        <f t="shared" si="8"/>
        <v>-37071.466225396376</v>
      </c>
    </row>
    <row r="54" spans="23:35">
      <c r="W54"/>
      <c r="AE54"/>
      <c r="AF54" s="213" t="s">
        <v>134</v>
      </c>
      <c r="AG54" s="453">
        <f>'Step 7 FY16 Final Model'!T55</f>
        <v>12290233.01687951</v>
      </c>
      <c r="AH54" s="453">
        <f>'Step 7 FY16 Final Model'!V55</f>
        <v>12402374</v>
      </c>
      <c r="AI54" s="453">
        <f t="shared" si="8"/>
        <v>-112140.98312048987</v>
      </c>
    </row>
    <row r="55" spans="23:35">
      <c r="W55"/>
      <c r="AA55" s="213" t="s">
        <v>863</v>
      </c>
      <c r="AB55" s="803">
        <f>AG6+AG7</f>
        <v>4035850</v>
      </c>
      <c r="AE55"/>
      <c r="AF55" s="445" t="s">
        <v>135</v>
      </c>
      <c r="AG55" s="446">
        <f>SUM(AG37:AG54)</f>
        <v>153322581.49027842</v>
      </c>
      <c r="AH55" s="446">
        <f>SUM(AH37:AH54)</f>
        <v>154921629</v>
      </c>
      <c r="AI55" s="446">
        <f>SUM(AI37:AI54)</f>
        <v>-1599047.5097215776</v>
      </c>
    </row>
    <row r="56" spans="23:35" ht="16.5" thickBot="1">
      <c r="W56"/>
      <c r="AA56" s="213" t="s">
        <v>862</v>
      </c>
      <c r="AB56" s="803">
        <f>AG8+AG9+AG10</f>
        <v>25370070</v>
      </c>
      <c r="AE56"/>
      <c r="AF56" s="447" t="s">
        <v>136</v>
      </c>
      <c r="AG56" s="448">
        <f>SUM(AG6:AG11)+AG33+AG55</f>
        <v>548011959</v>
      </c>
      <c r="AH56" s="448">
        <f>SUM(AH6:AH10)+AH33+AH55</f>
        <v>553011959</v>
      </c>
      <c r="AI56" s="448"/>
    </row>
    <row r="57" spans="23:35" ht="16.5" thickTop="1">
      <c r="W57"/>
      <c r="AA57" s="213" t="s">
        <v>305</v>
      </c>
      <c r="AB57" s="803">
        <f>AG11</f>
        <v>22663752.16</v>
      </c>
      <c r="AG57"/>
      <c r="AH57"/>
    </row>
    <row r="58" spans="23:35">
      <c r="W58"/>
      <c r="AF58" s="329" t="s">
        <v>809</v>
      </c>
      <c r="AG58" t="str">
        <f>IF(AG56='Step 0 FY18 Revenue'!L60,"Yes", "NO!!!")</f>
        <v>NO!!!</v>
      </c>
      <c r="AH58"/>
    </row>
    <row r="59" spans="23:35">
      <c r="AB59" s="803">
        <f>SUM(AB7:AB57)</f>
        <v>548011959</v>
      </c>
      <c r="AG59"/>
      <c r="AH59"/>
    </row>
    <row r="60" spans="23:35">
      <c r="AG60"/>
      <c r="AH60"/>
    </row>
    <row r="61" spans="23:35">
      <c r="AD61" s="803"/>
      <c r="AG61"/>
      <c r="AH61"/>
    </row>
    <row r="62" spans="23:35">
      <c r="AD62" s="803"/>
      <c r="AE62" s="333"/>
    </row>
    <row r="63" spans="23:35">
      <c r="AE63" s="333"/>
    </row>
    <row r="64" spans="23:35">
      <c r="AE64" s="333"/>
    </row>
    <row r="65" spans="31:40">
      <c r="AE65" s="333"/>
    </row>
    <row r="66" spans="31:40">
      <c r="AE66" s="333"/>
      <c r="AF66" s="333"/>
      <c r="AG66" s="333"/>
      <c r="AH66" s="333"/>
      <c r="AI66" s="333"/>
      <c r="AJ66" s="333"/>
      <c r="AK66" s="333"/>
      <c r="AL66" s="333"/>
      <c r="AM66" s="333"/>
      <c r="AN66" s="333"/>
    </row>
    <row r="67" spans="31:40">
      <c r="AE67" s="333"/>
      <c r="AF67" s="333"/>
      <c r="AG67" s="333"/>
      <c r="AH67" s="333"/>
      <c r="AI67" s="333"/>
      <c r="AJ67" s="333"/>
      <c r="AK67" s="333"/>
      <c r="AL67" s="333"/>
      <c r="AM67" s="333"/>
      <c r="AN67" s="333"/>
    </row>
    <row r="68" spans="31:40">
      <c r="AE68" s="333"/>
      <c r="AF68" s="333"/>
      <c r="AG68" s="333"/>
      <c r="AH68" s="333"/>
      <c r="AI68" s="333"/>
      <c r="AJ68" s="333"/>
      <c r="AK68" s="333"/>
      <c r="AL68" s="333"/>
      <c r="AM68" s="333"/>
      <c r="AN68" s="333"/>
    </row>
    <row r="69" spans="31:40">
      <c r="AE69" s="333"/>
      <c r="AF69" s="333"/>
      <c r="AG69" s="333"/>
      <c r="AH69" s="333"/>
      <c r="AI69" s="333"/>
      <c r="AJ69" s="333"/>
      <c r="AK69" s="333"/>
      <c r="AL69" s="333"/>
      <c r="AM69" s="333"/>
      <c r="AN69" s="333"/>
    </row>
  </sheetData>
  <mergeCells count="3">
    <mergeCell ref="AH6:AH11"/>
    <mergeCell ref="AI6:AI11"/>
    <mergeCell ref="A3:F3"/>
  </mergeCells>
  <pageMargins left="0.75" right="0.75" top="1" bottom="1" header="0.5" footer="0.5"/>
  <pageSetup orientation="portrait" horizontalDpi="4294967292" verticalDpi="429496729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2"/>
  <sheetViews>
    <sheetView workbookViewId="0">
      <selection activeCell="I31" sqref="I31:N31"/>
    </sheetView>
  </sheetViews>
  <sheetFormatPr defaultColWidth="11" defaultRowHeight="15.75"/>
  <cols>
    <col min="1" max="1" width="21.5" customWidth="1"/>
    <col min="8" max="8" width="21.125" customWidth="1"/>
  </cols>
  <sheetData>
    <row r="1" spans="1:22">
      <c r="A1" s="10" t="s">
        <v>663</v>
      </c>
      <c r="G1" s="1" t="s">
        <v>999</v>
      </c>
      <c r="N1" s="1263"/>
      <c r="O1" s="1263"/>
    </row>
    <row r="2" spans="1:22">
      <c r="G2" s="1" t="s">
        <v>1000</v>
      </c>
    </row>
    <row r="4" spans="1:22" ht="16.5" thickBot="1"/>
    <row r="5" spans="1:22" ht="16.5" thickBot="1">
      <c r="A5" s="575" t="s">
        <v>658</v>
      </c>
      <c r="B5" s="576"/>
      <c r="C5" s="1135">
        <f>'Dashboard-Academic Allocation'!D33</f>
        <v>833384.87234036124</v>
      </c>
    </row>
    <row r="10" spans="1:22" ht="19.5">
      <c r="A10" t="s">
        <v>1001</v>
      </c>
      <c r="H10" s="583"/>
      <c r="I10" s="584" t="s">
        <v>622</v>
      </c>
      <c r="J10" s="584" t="s">
        <v>623</v>
      </c>
      <c r="K10" s="584" t="s">
        <v>624</v>
      </c>
      <c r="L10" s="584" t="s">
        <v>660</v>
      </c>
      <c r="M10" s="1261" t="s">
        <v>1068</v>
      </c>
      <c r="N10" s="1261" t="s">
        <v>1066</v>
      </c>
      <c r="O10" s="1261" t="s">
        <v>1308</v>
      </c>
      <c r="P10" s="15"/>
    </row>
    <row r="11" spans="1:22" ht="26.25">
      <c r="A11" s="555"/>
      <c r="B11" s="556" t="s">
        <v>1011</v>
      </c>
      <c r="C11" s="556" t="s">
        <v>1148</v>
      </c>
      <c r="E11" s="556" t="s">
        <v>1010</v>
      </c>
      <c r="F11" s="556" t="s">
        <v>1147</v>
      </c>
      <c r="H11" s="585" t="s">
        <v>659</v>
      </c>
      <c r="I11" s="586"/>
      <c r="J11" s="586"/>
      <c r="K11" s="586"/>
      <c r="L11" s="586"/>
      <c r="M11" s="1262"/>
      <c r="N11" s="1262"/>
      <c r="O11" s="1262"/>
      <c r="P11" s="1170" t="s">
        <v>1002</v>
      </c>
      <c r="Q11" s="185" t="s">
        <v>662</v>
      </c>
      <c r="U11" t="s">
        <v>1321</v>
      </c>
    </row>
    <row r="12" spans="1:22">
      <c r="A12" s="557" t="s">
        <v>628</v>
      </c>
      <c r="B12" s="531">
        <f>E12*C$5</f>
        <v>8740.1248464006858</v>
      </c>
      <c r="C12" s="531">
        <f>F12*C$5</f>
        <v>7761.8645898436389</v>
      </c>
      <c r="E12" s="592">
        <f>(I12+J12+K12)/(I$31+J$31+K$31)</f>
        <v>1.0487501197203333E-2</v>
      </c>
      <c r="F12" s="592">
        <f>(O12+K12+M12)/(O$31+K$31+M$31)</f>
        <v>9.3136614875745302E-3</v>
      </c>
      <c r="H12" s="557" t="s">
        <v>628</v>
      </c>
      <c r="I12" s="580">
        <v>87</v>
      </c>
      <c r="J12" s="580">
        <v>71</v>
      </c>
      <c r="K12" s="580">
        <v>61</v>
      </c>
      <c r="L12" s="1253">
        <f>AVERAGE(J12:K12)</f>
        <v>66</v>
      </c>
      <c r="M12" s="531">
        <v>88</v>
      </c>
      <c r="N12" s="1253">
        <f>(K12+M12)/2</f>
        <v>74.5</v>
      </c>
      <c r="O12" s="531">
        <v>65</v>
      </c>
      <c r="P12" s="582" t="s">
        <v>661</v>
      </c>
      <c r="Q12" s="589">
        <v>1</v>
      </c>
      <c r="R12" s="590">
        <v>2</v>
      </c>
      <c r="S12" s="590">
        <v>3</v>
      </c>
      <c r="T12" s="591">
        <v>4</v>
      </c>
      <c r="U12" s="244">
        <f t="shared" ref="U12:U16" si="0">C12/((K12+M12+N12)/3)</f>
        <v>104.18610187709582</v>
      </c>
      <c r="V12" s="551"/>
    </row>
    <row r="13" spans="1:22">
      <c r="A13" s="557" t="s">
        <v>6</v>
      </c>
      <c r="B13" s="531">
        <f t="shared" ref="B13:B23" si="1">E13*C$5</f>
        <v>23785.910540889538</v>
      </c>
      <c r="C13" s="531">
        <f t="shared" ref="C13:C23" si="2">F13*C$5</f>
        <v>28254.637922842034</v>
      </c>
      <c r="E13" s="592">
        <f t="shared" ref="E13:E29" si="3">(I13+J13+K13)/(I$31+J$31+K$31)</f>
        <v>2.8541327459055646E-2</v>
      </c>
      <c r="F13" s="592">
        <f t="shared" ref="F13:F29" si="4">(O13+K13+M13)/(O$31+K$31+M$31)</f>
        <v>3.3903468686077382E-2</v>
      </c>
      <c r="H13" s="557" t="s">
        <v>6</v>
      </c>
      <c r="I13" s="580">
        <v>212</v>
      </c>
      <c r="J13" s="580">
        <v>176</v>
      </c>
      <c r="K13" s="580">
        <v>208</v>
      </c>
      <c r="L13" s="1253">
        <f t="shared" ref="L13:L23" si="5">AVERAGE(J13:K13)</f>
        <v>192</v>
      </c>
      <c r="M13" s="531">
        <v>132</v>
      </c>
      <c r="N13" s="1253">
        <f t="shared" ref="N13:N23" si="6">(K13+M13)/2</f>
        <v>170</v>
      </c>
      <c r="O13" s="531">
        <v>439</v>
      </c>
      <c r="P13" s="582" t="s">
        <v>661</v>
      </c>
      <c r="U13" s="244">
        <f t="shared" si="0"/>
        <v>166.20375248730608</v>
      </c>
    </row>
    <row r="14" spans="1:22">
      <c r="A14" s="557" t="s">
        <v>8</v>
      </c>
      <c r="B14" s="531">
        <f t="shared" si="1"/>
        <v>638.54793398361176</v>
      </c>
      <c r="C14" s="531">
        <f t="shared" si="2"/>
        <v>0</v>
      </c>
      <c r="E14" s="592">
        <f t="shared" si="3"/>
        <v>7.6621013312901066E-4</v>
      </c>
      <c r="F14" s="592">
        <f t="shared" si="4"/>
        <v>0</v>
      </c>
      <c r="H14" s="557" t="s">
        <v>8</v>
      </c>
      <c r="I14" s="580">
        <v>8</v>
      </c>
      <c r="J14" s="580">
        <v>8</v>
      </c>
      <c r="K14" s="580">
        <v>0</v>
      </c>
      <c r="L14" s="1253">
        <f t="shared" si="5"/>
        <v>4</v>
      </c>
      <c r="M14" s="531">
        <v>0</v>
      </c>
      <c r="N14" s="1253">
        <f t="shared" si="6"/>
        <v>0</v>
      </c>
      <c r="O14" s="531">
        <v>0</v>
      </c>
      <c r="P14" s="582" t="s">
        <v>661</v>
      </c>
      <c r="U14" s="244" t="e">
        <f t="shared" si="0"/>
        <v>#DIV/0!</v>
      </c>
    </row>
    <row r="15" spans="1:22">
      <c r="A15" s="559" t="s">
        <v>2</v>
      </c>
      <c r="B15" s="539">
        <f t="shared" si="1"/>
        <v>2634.0102276823986</v>
      </c>
      <c r="C15" s="539">
        <f t="shared" si="2"/>
        <v>1088.1118583892953</v>
      </c>
      <c r="E15" s="594">
        <f t="shared" si="3"/>
        <v>3.160616799157169E-3</v>
      </c>
      <c r="F15" s="592">
        <f t="shared" si="4"/>
        <v>1.3056534795665231E-3</v>
      </c>
      <c r="H15" s="559" t="s">
        <v>2</v>
      </c>
      <c r="I15" s="580">
        <v>33</v>
      </c>
      <c r="J15" s="580">
        <v>33</v>
      </c>
      <c r="K15" s="580">
        <v>0</v>
      </c>
      <c r="L15" s="1253">
        <f t="shared" si="5"/>
        <v>16.5</v>
      </c>
      <c r="M15" s="531">
        <v>21</v>
      </c>
      <c r="N15" s="1253">
        <f t="shared" si="6"/>
        <v>10.5</v>
      </c>
      <c r="O15" s="531">
        <v>9</v>
      </c>
      <c r="P15" s="582" t="s">
        <v>661</v>
      </c>
      <c r="U15" s="244">
        <f t="shared" si="0"/>
        <v>103.62970079898051</v>
      </c>
    </row>
    <row r="16" spans="1:22">
      <c r="A16" s="557" t="s">
        <v>10</v>
      </c>
      <c r="B16" s="531">
        <f t="shared" si="1"/>
        <v>0</v>
      </c>
      <c r="C16" s="531">
        <f t="shared" si="2"/>
        <v>0</v>
      </c>
      <c r="E16" s="592">
        <f t="shared" si="3"/>
        <v>0</v>
      </c>
      <c r="F16" s="592">
        <f t="shared" si="4"/>
        <v>0</v>
      </c>
      <c r="H16" s="557" t="s">
        <v>10</v>
      </c>
      <c r="I16" s="579">
        <v>0</v>
      </c>
      <c r="J16" s="579">
        <v>0</v>
      </c>
      <c r="K16" s="579">
        <v>0</v>
      </c>
      <c r="L16" s="1254">
        <f t="shared" si="5"/>
        <v>0</v>
      </c>
      <c r="M16" s="530">
        <v>0</v>
      </c>
      <c r="N16" s="1254">
        <f t="shared" si="6"/>
        <v>0</v>
      </c>
      <c r="O16" s="530">
        <v>0</v>
      </c>
      <c r="P16" s="582" t="s">
        <v>661</v>
      </c>
      <c r="U16" s="244" t="e">
        <f t="shared" si="0"/>
        <v>#DIV/0!</v>
      </c>
    </row>
    <row r="17" spans="1:21">
      <c r="A17" s="557" t="s">
        <v>4</v>
      </c>
      <c r="B17" s="531">
        <f t="shared" si="1"/>
        <v>300875.80464390304</v>
      </c>
      <c r="C17" s="531">
        <f t="shared" si="2"/>
        <v>294334.25769430434</v>
      </c>
      <c r="E17" s="592">
        <f t="shared" si="3"/>
        <v>0.36102863710372568</v>
      </c>
      <c r="F17" s="592">
        <f t="shared" si="4"/>
        <v>0.35317926622274448</v>
      </c>
      <c r="H17" s="557" t="s">
        <v>4</v>
      </c>
      <c r="I17" s="580">
        <v>2376</v>
      </c>
      <c r="J17" s="580">
        <v>2524</v>
      </c>
      <c r="K17" s="580">
        <v>2639</v>
      </c>
      <c r="L17" s="1253">
        <f t="shared" si="5"/>
        <v>2581.5</v>
      </c>
      <c r="M17" s="531">
        <v>2636</v>
      </c>
      <c r="N17" s="1253">
        <f t="shared" si="6"/>
        <v>2637.5</v>
      </c>
      <c r="O17" s="531">
        <v>2840</v>
      </c>
      <c r="P17" s="582" t="s">
        <v>661</v>
      </c>
      <c r="U17" s="244">
        <f>C17/((K17+M17+N17)/3)</f>
        <v>111.5959270878879</v>
      </c>
    </row>
    <row r="18" spans="1:21">
      <c r="A18" s="557" t="s">
        <v>14</v>
      </c>
      <c r="B18" s="531">
        <f t="shared" si="1"/>
        <v>0</v>
      </c>
      <c r="C18" s="531">
        <f t="shared" si="2"/>
        <v>0</v>
      </c>
      <c r="E18" s="592">
        <f t="shared" si="3"/>
        <v>0</v>
      </c>
      <c r="F18" s="592">
        <f t="shared" si="4"/>
        <v>0</v>
      </c>
      <c r="H18" s="557" t="s">
        <v>14</v>
      </c>
      <c r="I18" s="579">
        <v>0</v>
      </c>
      <c r="J18" s="579">
        <v>0</v>
      </c>
      <c r="K18" s="579">
        <v>0</v>
      </c>
      <c r="L18" s="1254">
        <f t="shared" si="5"/>
        <v>0</v>
      </c>
      <c r="M18" s="530">
        <v>0</v>
      </c>
      <c r="N18" s="1254">
        <f t="shared" si="6"/>
        <v>0</v>
      </c>
      <c r="O18" s="530">
        <v>0</v>
      </c>
      <c r="P18" s="582" t="s">
        <v>661</v>
      </c>
      <c r="U18" s="244" t="e">
        <f t="shared" ref="U18:U23" si="7">C18/((K18+M18+N18)/3)</f>
        <v>#DIV/0!</v>
      </c>
    </row>
    <row r="19" spans="1:21">
      <c r="A19" s="559" t="s">
        <v>17</v>
      </c>
      <c r="B19" s="539">
        <f t="shared" si="1"/>
        <v>142954.91872058107</v>
      </c>
      <c r="C19" s="539">
        <f t="shared" si="2"/>
        <v>136267.87506561942</v>
      </c>
      <c r="E19" s="594">
        <f t="shared" si="3"/>
        <v>0.17153529355425726</v>
      </c>
      <c r="F19" s="592">
        <f t="shared" si="4"/>
        <v>0.1635113374243809</v>
      </c>
      <c r="H19" s="559" t="s">
        <v>17</v>
      </c>
      <c r="I19" s="580">
        <v>1082</v>
      </c>
      <c r="J19" s="580">
        <v>1284</v>
      </c>
      <c r="K19" s="580">
        <v>1216</v>
      </c>
      <c r="L19" s="1253">
        <f t="shared" si="5"/>
        <v>1250</v>
      </c>
      <c r="M19" s="531">
        <v>1193</v>
      </c>
      <c r="N19" s="1253">
        <f t="shared" si="6"/>
        <v>1204.5</v>
      </c>
      <c r="O19" s="531">
        <v>1348</v>
      </c>
      <c r="P19" s="582" t="s">
        <v>661</v>
      </c>
      <c r="U19" s="244">
        <f t="shared" si="7"/>
        <v>113.13231636830172</v>
      </c>
    </row>
    <row r="20" spans="1:21">
      <c r="A20" s="557" t="s">
        <v>376</v>
      </c>
      <c r="B20" s="531">
        <f t="shared" si="1"/>
        <v>0</v>
      </c>
      <c r="C20" s="531">
        <f t="shared" si="2"/>
        <v>0</v>
      </c>
      <c r="E20" s="592">
        <f t="shared" si="3"/>
        <v>0</v>
      </c>
      <c r="F20" s="592">
        <f t="shared" si="4"/>
        <v>0</v>
      </c>
      <c r="H20" s="557" t="s">
        <v>376</v>
      </c>
      <c r="I20" s="579">
        <v>0</v>
      </c>
      <c r="J20" s="579">
        <v>0</v>
      </c>
      <c r="K20" s="579">
        <v>0</v>
      </c>
      <c r="L20" s="1254">
        <f t="shared" si="5"/>
        <v>0</v>
      </c>
      <c r="M20" s="530">
        <v>0</v>
      </c>
      <c r="N20" s="1254">
        <f t="shared" si="6"/>
        <v>0</v>
      </c>
      <c r="O20" s="530">
        <v>0</v>
      </c>
      <c r="P20" s="582" t="s">
        <v>661</v>
      </c>
      <c r="U20" s="244" t="e">
        <f t="shared" si="7"/>
        <v>#DIV/0!</v>
      </c>
    </row>
    <row r="21" spans="1:21">
      <c r="A21" s="557" t="s">
        <v>7</v>
      </c>
      <c r="B21" s="531">
        <f t="shared" si="1"/>
        <v>110428.88333329085</v>
      </c>
      <c r="C21" s="531">
        <f t="shared" si="2"/>
        <v>128143.30652297933</v>
      </c>
      <c r="E21" s="592">
        <f t="shared" si="3"/>
        <v>0.13250646489799828</v>
      </c>
      <c r="F21" s="592">
        <f t="shared" si="4"/>
        <v>0.15376245811028419</v>
      </c>
      <c r="H21" s="557" t="s">
        <v>7</v>
      </c>
      <c r="I21" s="580">
        <v>736</v>
      </c>
      <c r="J21" s="580">
        <v>923</v>
      </c>
      <c r="K21" s="580">
        <v>1108</v>
      </c>
      <c r="L21" s="1253">
        <f t="shared" si="5"/>
        <v>1015.5</v>
      </c>
      <c r="M21" s="531">
        <v>1093</v>
      </c>
      <c r="N21" s="1253">
        <f t="shared" si="6"/>
        <v>1100.5</v>
      </c>
      <c r="O21" s="531">
        <v>1332</v>
      </c>
      <c r="P21" s="582" t="s">
        <v>661</v>
      </c>
      <c r="U21" s="244">
        <f t="shared" si="7"/>
        <v>116.44098729939057</v>
      </c>
    </row>
    <row r="22" spans="1:21">
      <c r="A22" s="557" t="s">
        <v>9</v>
      </c>
      <c r="B22" s="531">
        <f t="shared" si="1"/>
        <v>10895.224123595375</v>
      </c>
      <c r="C22" s="531">
        <f t="shared" si="2"/>
        <v>12078.041628121178</v>
      </c>
      <c r="E22" s="592">
        <f t="shared" si="3"/>
        <v>1.3073460396513744E-2</v>
      </c>
      <c r="F22" s="592">
        <f t="shared" si="4"/>
        <v>1.4492753623188406E-2</v>
      </c>
      <c r="H22" s="557" t="s">
        <v>9</v>
      </c>
      <c r="I22" s="580">
        <v>51</v>
      </c>
      <c r="J22" s="580">
        <v>102</v>
      </c>
      <c r="K22" s="580">
        <v>120</v>
      </c>
      <c r="L22" s="1253">
        <f t="shared" si="5"/>
        <v>111</v>
      </c>
      <c r="M22" s="531">
        <v>132</v>
      </c>
      <c r="N22" s="1253">
        <f t="shared" si="6"/>
        <v>126</v>
      </c>
      <c r="O22" s="531">
        <v>81</v>
      </c>
      <c r="P22" s="582" t="s">
        <v>661</v>
      </c>
      <c r="U22" s="244">
        <f t="shared" si="7"/>
        <v>95.857473239056972</v>
      </c>
    </row>
    <row r="23" spans="1:21">
      <c r="A23" s="559" t="s">
        <v>5</v>
      </c>
      <c r="B23" s="539">
        <f t="shared" si="1"/>
        <v>9298.8542886363466</v>
      </c>
      <c r="C23" s="539">
        <f t="shared" si="2"/>
        <v>7943.2165662418547</v>
      </c>
      <c r="E23" s="594">
        <f t="shared" si="3"/>
        <v>1.1157935063691218E-2</v>
      </c>
      <c r="F23" s="592">
        <f t="shared" si="4"/>
        <v>9.5312704008356178E-3</v>
      </c>
      <c r="H23" s="559" t="s">
        <v>5</v>
      </c>
      <c r="I23" s="580">
        <v>62</v>
      </c>
      <c r="J23" s="580">
        <v>78</v>
      </c>
      <c r="K23" s="580">
        <v>93</v>
      </c>
      <c r="L23" s="1253">
        <f t="shared" si="5"/>
        <v>85.5</v>
      </c>
      <c r="M23" s="531">
        <v>66</v>
      </c>
      <c r="N23" s="1253">
        <f t="shared" si="6"/>
        <v>79.5</v>
      </c>
      <c r="O23" s="531">
        <v>60</v>
      </c>
      <c r="P23" s="582" t="s">
        <v>661</v>
      </c>
      <c r="U23" s="244">
        <f t="shared" si="7"/>
        <v>99.914673789205722</v>
      </c>
    </row>
    <row r="24" spans="1:21">
      <c r="A24" s="557"/>
      <c r="B24" s="548"/>
      <c r="C24" s="548"/>
      <c r="E24" s="592">
        <f t="shared" si="3"/>
        <v>0</v>
      </c>
      <c r="F24" s="592">
        <f t="shared" si="4"/>
        <v>0</v>
      </c>
      <c r="H24" s="537"/>
      <c r="I24" s="579"/>
      <c r="J24" s="579"/>
      <c r="K24" s="579"/>
      <c r="L24" s="1254"/>
      <c r="M24" s="530"/>
      <c r="N24" s="1254"/>
      <c r="O24" s="530"/>
    </row>
    <row r="25" spans="1:21">
      <c r="A25" s="557" t="s">
        <v>631</v>
      </c>
      <c r="B25" s="531">
        <f>E25*C$5</f>
        <v>0</v>
      </c>
      <c r="C25" s="531">
        <f>F25*C$5</f>
        <v>0</v>
      </c>
      <c r="E25" s="592">
        <f t="shared" si="3"/>
        <v>0</v>
      </c>
      <c r="F25" s="592">
        <f t="shared" si="4"/>
        <v>0</v>
      </c>
      <c r="H25" s="557" t="s">
        <v>631</v>
      </c>
      <c r="I25" s="579"/>
      <c r="J25" s="579"/>
      <c r="K25" s="579"/>
      <c r="L25" s="1254"/>
      <c r="M25" s="530"/>
      <c r="N25" s="1254"/>
      <c r="O25" s="530"/>
    </row>
    <row r="26" spans="1:21">
      <c r="A26" s="557" t="s">
        <v>657</v>
      </c>
      <c r="B26" s="531">
        <f>E26*C$5</f>
        <v>0</v>
      </c>
      <c r="C26" s="531">
        <f>F26*C$5</f>
        <v>0</v>
      </c>
      <c r="E26" s="592">
        <f t="shared" si="3"/>
        <v>0</v>
      </c>
      <c r="F26" s="592">
        <f t="shared" si="4"/>
        <v>0</v>
      </c>
      <c r="H26" s="557" t="s">
        <v>657</v>
      </c>
      <c r="I26" s="579"/>
      <c r="J26" s="579"/>
      <c r="K26" s="579"/>
      <c r="L26" s="1254"/>
      <c r="M26" s="530"/>
      <c r="N26" s="1254"/>
      <c r="O26" s="530"/>
    </row>
    <row r="27" spans="1:21">
      <c r="A27" s="559" t="s">
        <v>633</v>
      </c>
      <c r="B27" s="539">
        <f>E27*C$5</f>
        <v>218503.12116001712</v>
      </c>
      <c r="C27" s="539">
        <f>F27*C$5</f>
        <v>209534.0735304986</v>
      </c>
      <c r="E27" s="594">
        <f t="shared" si="3"/>
        <v>0.26218752993008332</v>
      </c>
      <c r="F27" s="592">
        <f t="shared" si="4"/>
        <v>0.2514253383818601</v>
      </c>
      <c r="H27" s="559" t="s">
        <v>633</v>
      </c>
      <c r="I27" s="580">
        <v>1696</v>
      </c>
      <c r="J27" s="580">
        <v>1825</v>
      </c>
      <c r="K27" s="580">
        <v>1954</v>
      </c>
      <c r="L27" s="1253">
        <f>AVERAGE(J27:K27)</f>
        <v>1889.5</v>
      </c>
      <c r="M27" s="531">
        <v>1744</v>
      </c>
      <c r="N27" s="1253">
        <f>(K27+M27)/2</f>
        <v>1849</v>
      </c>
      <c r="O27" s="531">
        <v>2079</v>
      </c>
      <c r="P27" s="582" t="s">
        <v>661</v>
      </c>
      <c r="U27" s="244">
        <f t="shared" ref="U27:U28" si="8">C27/((K27+M27+N27)/3)</f>
        <v>113.32291699864716</v>
      </c>
    </row>
    <row r="28" spans="1:21">
      <c r="A28" s="557" t="s">
        <v>656</v>
      </c>
      <c r="B28" s="531">
        <f>E28*C$5</f>
        <v>4629.4725213811853</v>
      </c>
      <c r="C28" s="531">
        <f>F28*C$5</f>
        <v>7979.4869615214993</v>
      </c>
      <c r="E28" s="592">
        <f t="shared" si="3"/>
        <v>5.555023465185327E-3</v>
      </c>
      <c r="F28" s="592">
        <f t="shared" si="4"/>
        <v>9.5747921834878364E-3</v>
      </c>
      <c r="H28" s="557" t="s">
        <v>656</v>
      </c>
      <c r="I28" s="579">
        <v>0</v>
      </c>
      <c r="J28" s="579">
        <v>46</v>
      </c>
      <c r="K28" s="579">
        <v>70</v>
      </c>
      <c r="L28" s="1254">
        <f>AVERAGE(J28:K28)</f>
        <v>58</v>
      </c>
      <c r="M28" s="530">
        <v>80</v>
      </c>
      <c r="N28" s="1254">
        <f>(K28+M28)/2</f>
        <v>75</v>
      </c>
      <c r="O28" s="530">
        <v>70</v>
      </c>
      <c r="P28" s="582" t="s">
        <v>661</v>
      </c>
      <c r="U28" s="244">
        <f t="shared" si="8"/>
        <v>106.39315948695332</v>
      </c>
    </row>
    <row r="29" spans="1:21" ht="16.5" thickBot="1">
      <c r="A29" s="563" t="s">
        <v>635</v>
      </c>
      <c r="B29" s="531">
        <f>E29*C$5</f>
        <v>0</v>
      </c>
      <c r="C29" s="531">
        <f>F29*C$5</f>
        <v>0</v>
      </c>
      <c r="E29" s="592">
        <f t="shared" si="3"/>
        <v>0</v>
      </c>
      <c r="F29" s="592">
        <f t="shared" si="4"/>
        <v>0</v>
      </c>
      <c r="H29" s="587" t="s">
        <v>635</v>
      </c>
      <c r="I29" s="588"/>
      <c r="J29" s="588"/>
      <c r="K29" s="588"/>
      <c r="L29" s="588"/>
      <c r="M29" s="588"/>
      <c r="N29" s="588"/>
      <c r="O29" s="588"/>
      <c r="P29" s="433"/>
    </row>
    <row r="30" spans="1:21" ht="16.5" thickTop="1">
      <c r="A30" s="564"/>
      <c r="B30" s="543">
        <f>SUM(B12:B29)</f>
        <v>833384.87234036124</v>
      </c>
      <c r="C30" s="543">
        <f>SUM(C12:C29)</f>
        <v>833384.87234036112</v>
      </c>
      <c r="E30" s="593">
        <f>SUM(E12:E29)</f>
        <v>1</v>
      </c>
      <c r="F30" s="593">
        <f>SUM(F12:F29)</f>
        <v>0.99999999999999989</v>
      </c>
      <c r="H30" s="581"/>
      <c r="I30" s="579"/>
      <c r="J30" s="579"/>
      <c r="K30" s="579"/>
      <c r="L30" s="579"/>
      <c r="M30" s="579"/>
      <c r="N30" s="579"/>
      <c r="O30" s="579"/>
    </row>
    <row r="31" spans="1:21">
      <c r="H31" s="581" t="s">
        <v>224</v>
      </c>
      <c r="I31" s="580">
        <f t="shared" ref="I31:N31" si="9">SUM(I12:I28)</f>
        <v>6343</v>
      </c>
      <c r="J31" s="580">
        <f t="shared" si="9"/>
        <v>7070</v>
      </c>
      <c r="K31" s="580">
        <f t="shared" si="9"/>
        <v>7469</v>
      </c>
      <c r="L31" s="580">
        <f t="shared" si="9"/>
        <v>7269.5</v>
      </c>
      <c r="M31" s="580">
        <f t="shared" si="9"/>
        <v>7185</v>
      </c>
      <c r="N31" s="580">
        <f t="shared" si="9"/>
        <v>7327</v>
      </c>
      <c r="O31" s="580">
        <f>SUM(O12:O28)</f>
        <v>8323</v>
      </c>
    </row>
    <row r="32" spans="1:21">
      <c r="H32" s="581" t="s">
        <v>640</v>
      </c>
      <c r="I32" s="580">
        <v>6339</v>
      </c>
      <c r="J32" s="580">
        <v>7060</v>
      </c>
      <c r="K32" s="580">
        <v>7459</v>
      </c>
      <c r="L32" s="580">
        <v>2749</v>
      </c>
      <c r="M32" s="580"/>
      <c r="N32" s="580"/>
      <c r="O32" s="580"/>
    </row>
  </sheetData>
  <pageMargins left="0.75" right="0.75" top="1" bottom="1" header="0.5" footer="0.5"/>
  <pageSetup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112"/>
  <sheetViews>
    <sheetView topLeftCell="Z37" workbookViewId="0">
      <selection activeCell="AK49" sqref="AK49"/>
    </sheetView>
  </sheetViews>
  <sheetFormatPr defaultColWidth="11" defaultRowHeight="15.75"/>
  <cols>
    <col min="1" max="1" width="18.5" customWidth="1"/>
    <col min="2" max="2" width="14.375" customWidth="1"/>
    <col min="3" max="3" width="14.625" customWidth="1"/>
    <col min="4" max="4" width="8" style="66" customWidth="1"/>
    <col min="5" max="5" width="19.875" customWidth="1"/>
    <col min="6" max="6" width="12.625" customWidth="1"/>
    <col min="7" max="7" width="8.5" customWidth="1"/>
    <col min="8" max="8" width="12.625" customWidth="1"/>
    <col min="10" max="10" width="11.875" customWidth="1"/>
    <col min="11" max="11" width="6.375" style="66" customWidth="1"/>
    <col min="12" max="12" width="11.875" style="66" customWidth="1"/>
    <col min="13" max="13" width="5.625" customWidth="1"/>
    <col min="14" max="14" width="10.5" style="66" customWidth="1"/>
    <col min="15" max="15" width="11" style="66" customWidth="1"/>
    <col min="16" max="16" width="21.875" customWidth="1"/>
    <col min="25" max="25" width="22" customWidth="1"/>
    <col min="26" max="26" width="10.875" customWidth="1"/>
    <col min="27" max="27" width="10" customWidth="1"/>
    <col min="28" max="28" width="9.375" customWidth="1"/>
    <col min="31" max="31" width="20.375" customWidth="1"/>
    <col min="35" max="35" width="11.875" bestFit="1" customWidth="1"/>
  </cols>
  <sheetData>
    <row r="1" spans="1:28">
      <c r="A1" s="10" t="s">
        <v>683</v>
      </c>
      <c r="F1" s="1" t="s">
        <v>1006</v>
      </c>
    </row>
    <row r="2" spans="1:28" ht="16.5" thickBot="1">
      <c r="A2" s="10"/>
      <c r="F2" s="1" t="s">
        <v>1007</v>
      </c>
      <c r="K2"/>
      <c r="L2"/>
      <c r="N2"/>
    </row>
    <row r="3" spans="1:28" ht="16.5" thickBot="1">
      <c r="A3" s="514" t="s">
        <v>348</v>
      </c>
      <c r="B3" s="515" t="s">
        <v>296</v>
      </c>
      <c r="C3" s="516" t="s">
        <v>349</v>
      </c>
      <c r="D3" s="595"/>
      <c r="E3" s="185"/>
      <c r="F3" s="185"/>
      <c r="K3"/>
      <c r="L3"/>
      <c r="N3"/>
      <c r="O3" s="517"/>
    </row>
    <row r="4" spans="1:28">
      <c r="A4" s="518" t="s">
        <v>299</v>
      </c>
      <c r="B4" s="519" t="s">
        <v>665</v>
      </c>
      <c r="C4" s="1171">
        <f>'Dashboard-Academic Allocation'!C34</f>
        <v>0.15</v>
      </c>
      <c r="D4" s="1142">
        <f>C4/(C4+C5)</f>
        <v>0.6</v>
      </c>
      <c r="E4" s="185"/>
      <c r="F4" s="185"/>
      <c r="K4"/>
      <c r="L4"/>
      <c r="N4"/>
      <c r="O4" s="186"/>
      <c r="AA4" s="1263"/>
    </row>
    <row r="5" spans="1:28" ht="16.5" thickBot="1">
      <c r="A5" s="596"/>
      <c r="B5" s="597" t="s">
        <v>666</v>
      </c>
      <c r="C5" s="1172">
        <f>'Dashboard-Academic Allocation'!C35</f>
        <v>0.1</v>
      </c>
      <c r="D5" s="1144">
        <f>1-D4</f>
        <v>0.4</v>
      </c>
      <c r="E5" s="185"/>
      <c r="F5" s="185"/>
      <c r="K5"/>
      <c r="L5"/>
      <c r="N5"/>
      <c r="O5" s="185"/>
    </row>
    <row r="6" spans="1:28">
      <c r="K6"/>
      <c r="L6"/>
      <c r="N6"/>
      <c r="O6"/>
    </row>
    <row r="7" spans="1:28">
      <c r="E7" s="10"/>
      <c r="K7"/>
      <c r="L7"/>
      <c r="N7"/>
      <c r="O7"/>
      <c r="P7" s="10"/>
    </row>
    <row r="8" spans="1:28" ht="16.5" thickBot="1">
      <c r="K8"/>
      <c r="L8"/>
      <c r="N8"/>
      <c r="O8"/>
      <c r="T8" s="550"/>
      <c r="U8" s="550"/>
      <c r="V8" s="550"/>
      <c r="W8" s="550"/>
    </row>
    <row r="9" spans="1:28" ht="16.5" thickBot="1">
      <c r="A9" s="575" t="s">
        <v>664</v>
      </c>
      <c r="B9" s="576"/>
      <c r="C9" s="1135">
        <f>'Dashboard-Academic Allocation'!D34+'Dashboard-Academic Allocation'!D35</f>
        <v>41669243.617018059</v>
      </c>
      <c r="N9"/>
      <c r="O9"/>
      <c r="P9" s="528"/>
    </row>
    <row r="10" spans="1:28" ht="16.5" thickBot="1">
      <c r="N10"/>
      <c r="O10"/>
      <c r="P10" s="530"/>
      <c r="Q10" s="185"/>
      <c r="R10" s="185"/>
      <c r="S10" s="185"/>
      <c r="T10" s="185"/>
      <c r="U10" s="185"/>
      <c r="V10" s="185"/>
      <c r="W10" s="185"/>
    </row>
    <row r="11" spans="1:28" ht="16.5" thickBot="1">
      <c r="N11"/>
      <c r="O11"/>
      <c r="P11" s="530"/>
      <c r="Q11" s="531"/>
      <c r="R11" s="531"/>
      <c r="S11" s="531"/>
      <c r="T11" s="532"/>
      <c r="U11" s="532"/>
      <c r="V11" s="532"/>
      <c r="W11" s="532"/>
      <c r="Y11" s="1145" t="s">
        <v>967</v>
      </c>
      <c r="Z11" s="947" t="s">
        <v>617</v>
      </c>
    </row>
    <row r="12" spans="1:28">
      <c r="N12"/>
      <c r="O12"/>
      <c r="P12" s="530"/>
      <c r="Q12" s="530"/>
      <c r="R12" s="530"/>
      <c r="S12" s="530"/>
      <c r="T12" s="530"/>
      <c r="U12" s="530"/>
      <c r="V12" s="530"/>
      <c r="W12" s="530"/>
    </row>
    <row r="13" spans="1:28">
      <c r="N13"/>
      <c r="O13"/>
      <c r="P13" s="533"/>
      <c r="Q13" s="531"/>
      <c r="R13" s="531"/>
      <c r="S13" s="531"/>
      <c r="T13" s="534"/>
      <c r="U13" s="534"/>
      <c r="V13" s="534"/>
      <c r="W13" s="534"/>
    </row>
    <row r="14" spans="1:28" ht="51.75">
      <c r="N14" s="469" t="s">
        <v>673</v>
      </c>
      <c r="O14"/>
      <c r="Y14" s="613" t="s">
        <v>674</v>
      </c>
      <c r="Z14" s="614" t="s">
        <v>675</v>
      </c>
      <c r="AA14" s="614" t="s">
        <v>965</v>
      </c>
      <c r="AB14" s="614" t="s">
        <v>966</v>
      </c>
    </row>
    <row r="15" spans="1:28">
      <c r="A15" s="554" t="s">
        <v>681</v>
      </c>
      <c r="B15" s="253"/>
      <c r="C15" s="253"/>
      <c r="E15" s="554" t="s">
        <v>678</v>
      </c>
      <c r="F15" s="554"/>
      <c r="G15" s="554"/>
      <c r="H15" s="554"/>
      <c r="I15" s="554"/>
      <c r="J15" s="554"/>
      <c r="K15" s="554"/>
      <c r="L15" s="554"/>
      <c r="N15"/>
      <c r="O15"/>
      <c r="P15" s="535" t="s">
        <v>637</v>
      </c>
      <c r="Q15" s="536"/>
      <c r="R15" s="536"/>
      <c r="S15" s="536"/>
      <c r="T15" s="536"/>
      <c r="U15" s="536"/>
      <c r="V15" s="536"/>
      <c r="W15" s="536"/>
      <c r="Y15" s="185"/>
      <c r="Z15" s="185"/>
      <c r="AA15" s="185"/>
      <c r="AB15" s="185"/>
    </row>
    <row r="16" spans="1:28" ht="25.5">
      <c r="A16" s="555"/>
      <c r="B16" s="556" t="s">
        <v>1011</v>
      </c>
      <c r="C16" s="556" t="s">
        <v>1148</v>
      </c>
      <c r="D16" s="574"/>
      <c r="E16" s="555"/>
      <c r="F16" s="556" t="s">
        <v>1019</v>
      </c>
      <c r="G16" s="556"/>
      <c r="H16" s="556" t="s">
        <v>1150</v>
      </c>
      <c r="I16" s="555"/>
      <c r="J16" s="556" t="s">
        <v>676</v>
      </c>
      <c r="K16" s="556"/>
      <c r="L16" s="556" t="s">
        <v>1342</v>
      </c>
      <c r="O16"/>
      <c r="P16" s="530"/>
      <c r="Q16" s="529" t="s">
        <v>622</v>
      </c>
      <c r="R16" s="529" t="s">
        <v>623</v>
      </c>
      <c r="S16" s="529" t="s">
        <v>624</v>
      </c>
      <c r="T16" s="529" t="s">
        <v>645</v>
      </c>
      <c r="U16" s="529" t="s">
        <v>1070</v>
      </c>
      <c r="V16" s="529" t="s">
        <v>1066</v>
      </c>
      <c r="W16" s="529" t="s">
        <v>1308</v>
      </c>
    </row>
    <row r="17" spans="1:42">
      <c r="A17" s="557" t="s">
        <v>628</v>
      </c>
      <c r="B17" s="531">
        <f>B42*C$9</f>
        <v>4613081.2788945194</v>
      </c>
      <c r="C17" s="531">
        <f>C42*C$9</f>
        <v>4549327.9764392469</v>
      </c>
      <c r="E17" s="557" t="s">
        <v>628</v>
      </c>
      <c r="F17" s="631">
        <f>J17/J$35</f>
        <v>0.10126362365795727</v>
      </c>
      <c r="G17" s="568"/>
      <c r="H17" s="631">
        <f>L17/L$35</f>
        <v>9.1513109057462322E-2</v>
      </c>
      <c r="I17" s="227"/>
      <c r="J17" s="531">
        <f>N17*(Q17+R17+S17)</f>
        <v>76213.670899806617</v>
      </c>
      <c r="K17" s="558"/>
      <c r="L17" s="531">
        <f>N17*(W17+S17+U17)</f>
        <v>74100.039757739447</v>
      </c>
      <c r="N17" s="1146">
        <f>AB17</f>
        <v>1.3814582627890051</v>
      </c>
      <c r="O17"/>
      <c r="P17" s="557" t="s">
        <v>628</v>
      </c>
      <c r="Q17" s="531">
        <v>17403</v>
      </c>
      <c r="R17" s="531">
        <v>19218</v>
      </c>
      <c r="S17" s="531">
        <v>18548</v>
      </c>
      <c r="T17" s="1253">
        <v>19562.171582015028</v>
      </c>
      <c r="U17" s="531">
        <v>18247</v>
      </c>
      <c r="V17" s="1253">
        <v>20066.226515046277</v>
      </c>
      <c r="W17" s="531">
        <v>16844</v>
      </c>
      <c r="Y17" s="557" t="s">
        <v>628</v>
      </c>
      <c r="Z17" s="1264">
        <v>1.3814582627890051</v>
      </c>
      <c r="AA17" s="1023">
        <v>1</v>
      </c>
      <c r="AB17" s="1023">
        <f>IF(Z$11="yes",Z17,AA17)</f>
        <v>1.3814582627890051</v>
      </c>
    </row>
    <row r="18" spans="1:42">
      <c r="A18" s="557" t="s">
        <v>6</v>
      </c>
      <c r="B18" s="531">
        <f t="shared" ref="B18:B28" si="0">B43*C$9</f>
        <v>5693177.3149861312</v>
      </c>
      <c r="C18" s="531">
        <f t="shared" ref="C18:C34" si="1">C43*C$9</f>
        <v>5058150.0758163491</v>
      </c>
      <c r="E18" s="557" t="s">
        <v>6</v>
      </c>
      <c r="F18" s="631">
        <f t="shared" ref="F18:F28" si="2">J18/J$35</f>
        <v>0.14528688049074695</v>
      </c>
      <c r="G18" s="568"/>
      <c r="H18" s="631">
        <f t="shared" ref="H18:H28" si="3">L18/L$35</f>
        <v>0.13045655004647772</v>
      </c>
      <c r="I18" s="227"/>
      <c r="J18" s="531">
        <f t="shared" ref="J18:J28" si="4">N18*(Q18+R18+S18)</f>
        <v>109346.73376080811</v>
      </c>
      <c r="K18" s="558"/>
      <c r="L18" s="531">
        <f t="shared" ref="L18:L28" si="5">N18*(W18+S18+U18)</f>
        <v>105633.34198416959</v>
      </c>
      <c r="N18" s="1146">
        <f t="shared" ref="N18:N34" si="6">AB18</f>
        <v>0.92029535976171861</v>
      </c>
      <c r="O18"/>
      <c r="P18" s="557" t="s">
        <v>6</v>
      </c>
      <c r="Q18" s="531">
        <v>39935</v>
      </c>
      <c r="R18" s="531">
        <v>40868</v>
      </c>
      <c r="S18" s="531">
        <v>38014</v>
      </c>
      <c r="T18" s="1253">
        <v>35990.111966232194</v>
      </c>
      <c r="U18" s="531">
        <v>36776</v>
      </c>
      <c r="V18" s="1253">
        <v>36864.049488457465</v>
      </c>
      <c r="W18" s="531">
        <v>39992</v>
      </c>
      <c r="Y18" s="557" t="s">
        <v>6</v>
      </c>
      <c r="Z18" s="1265">
        <v>0.92029535976171861</v>
      </c>
      <c r="AA18" s="1023">
        <v>1</v>
      </c>
      <c r="AB18" s="1023">
        <f t="shared" ref="AB18:AB28" si="7">IF(Z$11="yes",Z18,AA18)</f>
        <v>0.92029535976171861</v>
      </c>
      <c r="AJ18" s="10"/>
      <c r="AK18" s="10"/>
      <c r="AL18" s="10"/>
      <c r="AM18" s="10"/>
      <c r="AN18" s="10"/>
      <c r="AO18" s="10"/>
      <c r="AP18" s="10"/>
    </row>
    <row r="19" spans="1:42">
      <c r="A19" s="557" t="s">
        <v>8</v>
      </c>
      <c r="B19" s="531">
        <f t="shared" si="0"/>
        <v>295681.74950392731</v>
      </c>
      <c r="C19" s="531">
        <f t="shared" si="1"/>
        <v>227220.77037863396</v>
      </c>
      <c r="E19" s="557" t="s">
        <v>8</v>
      </c>
      <c r="F19" s="631">
        <f t="shared" si="2"/>
        <v>5.7543974797624189E-4</v>
      </c>
      <c r="G19" s="568"/>
      <c r="H19" s="631">
        <f t="shared" si="3"/>
        <v>8.7407584448383441E-4</v>
      </c>
      <c r="I19" s="227"/>
      <c r="J19" s="531">
        <f t="shared" si="4"/>
        <v>433.09111397262092</v>
      </c>
      <c r="K19" s="558"/>
      <c r="L19" s="531">
        <f t="shared" si="5"/>
        <v>707.75712348339562</v>
      </c>
      <c r="N19" s="1146">
        <f t="shared" si="6"/>
        <v>0.93742665362039157</v>
      </c>
      <c r="O19"/>
      <c r="P19" s="557" t="s">
        <v>8</v>
      </c>
      <c r="Q19" s="531">
        <v>227</v>
      </c>
      <c r="R19" s="531">
        <v>94</v>
      </c>
      <c r="S19" s="531">
        <v>141</v>
      </c>
      <c r="T19" s="1253">
        <v>154</v>
      </c>
      <c r="U19" s="531">
        <v>245</v>
      </c>
      <c r="V19" s="1253">
        <v>160</v>
      </c>
      <c r="W19" s="531">
        <v>369</v>
      </c>
      <c r="Y19" s="557" t="s">
        <v>8</v>
      </c>
      <c r="Z19" s="1265">
        <v>0.93742665362039157</v>
      </c>
      <c r="AA19" s="1023">
        <v>1</v>
      </c>
      <c r="AB19" s="1023">
        <f t="shared" si="7"/>
        <v>0.93742665362039157</v>
      </c>
    </row>
    <row r="20" spans="1:42">
      <c r="A20" s="559" t="s">
        <v>2</v>
      </c>
      <c r="B20" s="539">
        <f t="shared" si="0"/>
        <v>1506161.8743889024</v>
      </c>
      <c r="C20" s="539">
        <f t="shared" si="1"/>
        <v>1279847.5389440395</v>
      </c>
      <c r="E20" s="559" t="s">
        <v>2</v>
      </c>
      <c r="F20" s="632">
        <f t="shared" si="2"/>
        <v>3.0260838154073079E-2</v>
      </c>
      <c r="G20" s="568"/>
      <c r="H20" s="632">
        <f t="shared" si="3"/>
        <v>2.6190558581966117E-2</v>
      </c>
      <c r="I20" s="227"/>
      <c r="J20" s="539">
        <f t="shared" si="4"/>
        <v>22775.103999999999</v>
      </c>
      <c r="K20" s="558"/>
      <c r="L20" s="531">
        <f t="shared" si="5"/>
        <v>21207.031999999999</v>
      </c>
      <c r="N20" s="1146">
        <f t="shared" si="6"/>
        <v>1.3839999999999999</v>
      </c>
      <c r="O20"/>
      <c r="P20" s="559" t="s">
        <v>2</v>
      </c>
      <c r="Q20" s="539">
        <v>5328</v>
      </c>
      <c r="R20" s="539">
        <v>5857</v>
      </c>
      <c r="S20" s="539">
        <v>5271</v>
      </c>
      <c r="T20" s="1256">
        <v>3810.7121961561829</v>
      </c>
      <c r="U20" s="539">
        <v>4700</v>
      </c>
      <c r="V20" s="1256">
        <v>4995.6925975422027</v>
      </c>
      <c r="W20" s="539">
        <v>5352</v>
      </c>
      <c r="Y20" s="559" t="s">
        <v>2</v>
      </c>
      <c r="Z20" s="1266">
        <v>1.3839999999999999</v>
      </c>
      <c r="AA20" s="1024">
        <v>1</v>
      </c>
      <c r="AB20" s="1024">
        <f t="shared" si="7"/>
        <v>1.3839999999999999</v>
      </c>
    </row>
    <row r="21" spans="1:42" s="10" customFormat="1">
      <c r="A21" s="557" t="s">
        <v>10</v>
      </c>
      <c r="B21" s="530">
        <f t="shared" si="0"/>
        <v>0</v>
      </c>
      <c r="C21" s="530">
        <f t="shared" si="1"/>
        <v>0</v>
      </c>
      <c r="D21" s="66"/>
      <c r="E21" s="557" t="s">
        <v>10</v>
      </c>
      <c r="F21" s="631">
        <f t="shared" si="2"/>
        <v>0</v>
      </c>
      <c r="G21" s="568"/>
      <c r="H21" s="631">
        <f t="shared" si="3"/>
        <v>0</v>
      </c>
      <c r="I21" s="227"/>
      <c r="J21" s="530">
        <f t="shared" si="4"/>
        <v>0</v>
      </c>
      <c r="K21" s="558"/>
      <c r="L21" s="531">
        <f t="shared" si="5"/>
        <v>0</v>
      </c>
      <c r="M21"/>
      <c r="N21" s="1146">
        <f t="shared" si="6"/>
        <v>0</v>
      </c>
      <c r="O21"/>
      <c r="P21" s="557" t="s">
        <v>10</v>
      </c>
      <c r="Q21" s="530">
        <v>0</v>
      </c>
      <c r="R21" s="530">
        <v>0</v>
      </c>
      <c r="S21" s="530">
        <v>0</v>
      </c>
      <c r="T21" s="1254">
        <v>0</v>
      </c>
      <c r="U21" s="530">
        <v>0</v>
      </c>
      <c r="V21" s="1254">
        <v>0</v>
      </c>
      <c r="W21" s="530">
        <v>37</v>
      </c>
      <c r="X21"/>
      <c r="Y21" s="557" t="s">
        <v>10</v>
      </c>
      <c r="Z21" s="1265"/>
      <c r="AA21" s="1023">
        <v>1</v>
      </c>
      <c r="AB21" s="1023">
        <f t="shared" si="7"/>
        <v>0</v>
      </c>
      <c r="AC21"/>
      <c r="AD21"/>
      <c r="AE21"/>
      <c r="AF21"/>
      <c r="AG21"/>
      <c r="AH21"/>
      <c r="AI21"/>
      <c r="AJ21"/>
      <c r="AK21"/>
      <c r="AL21"/>
      <c r="AM21"/>
      <c r="AN21"/>
      <c r="AO21"/>
      <c r="AP21"/>
    </row>
    <row r="22" spans="1:42">
      <c r="A22" s="557" t="s">
        <v>4</v>
      </c>
      <c r="B22" s="531">
        <f t="shared" si="0"/>
        <v>5630030.7069412498</v>
      </c>
      <c r="C22" s="531">
        <f t="shared" si="1"/>
        <v>5416643.8763528112</v>
      </c>
      <c r="E22" s="557" t="s">
        <v>4</v>
      </c>
      <c r="F22" s="631">
        <f t="shared" si="2"/>
        <v>0.15952741246887087</v>
      </c>
      <c r="G22" s="568"/>
      <c r="H22" s="631">
        <f t="shared" si="3"/>
        <v>0.15127129189306684</v>
      </c>
      <c r="I22" s="227"/>
      <c r="J22" s="531">
        <f t="shared" si="4"/>
        <v>120064.53328657715</v>
      </c>
      <c r="K22" s="558"/>
      <c r="L22" s="531">
        <f t="shared" si="5"/>
        <v>122487.46500834594</v>
      </c>
      <c r="N22" s="1146">
        <f t="shared" si="6"/>
        <v>1.1402031631853178</v>
      </c>
      <c r="O22"/>
      <c r="P22" s="557" t="s">
        <v>4</v>
      </c>
      <c r="Q22" s="531">
        <v>33970</v>
      </c>
      <c r="R22" s="531">
        <v>36004</v>
      </c>
      <c r="S22" s="531">
        <v>35327</v>
      </c>
      <c r="T22" s="1253">
        <v>36333.480107188807</v>
      </c>
      <c r="U22" s="531">
        <v>35964</v>
      </c>
      <c r="V22" s="1253">
        <v>36401.379723617691</v>
      </c>
      <c r="W22" s="531">
        <v>36135</v>
      </c>
      <c r="Y22" s="557" t="s">
        <v>4</v>
      </c>
      <c r="Z22" s="1265">
        <v>1.1402031631853178</v>
      </c>
      <c r="AA22" s="1023">
        <v>1</v>
      </c>
      <c r="AB22" s="1023">
        <f t="shared" si="7"/>
        <v>1.1402031631853178</v>
      </c>
    </row>
    <row r="23" spans="1:42">
      <c r="A23" s="557" t="s">
        <v>14</v>
      </c>
      <c r="B23" s="530">
        <f t="shared" si="0"/>
        <v>0</v>
      </c>
      <c r="C23" s="530">
        <f t="shared" si="1"/>
        <v>0</v>
      </c>
      <c r="E23" s="557" t="s">
        <v>14</v>
      </c>
      <c r="F23" s="631">
        <f t="shared" si="2"/>
        <v>0</v>
      </c>
      <c r="G23" s="568"/>
      <c r="H23" s="631">
        <f t="shared" si="3"/>
        <v>0</v>
      </c>
      <c r="I23" s="227"/>
      <c r="J23" s="530">
        <f t="shared" si="4"/>
        <v>0</v>
      </c>
      <c r="K23" s="558"/>
      <c r="L23" s="531">
        <f t="shared" si="5"/>
        <v>0</v>
      </c>
      <c r="N23" s="1146">
        <f t="shared" si="6"/>
        <v>0</v>
      </c>
      <c r="O23"/>
      <c r="P23" s="557" t="s">
        <v>14</v>
      </c>
      <c r="Q23" s="530">
        <v>0</v>
      </c>
      <c r="R23" s="530">
        <v>0</v>
      </c>
      <c r="S23" s="530">
        <v>0</v>
      </c>
      <c r="T23" s="1254">
        <v>0</v>
      </c>
      <c r="U23" s="530">
        <v>0</v>
      </c>
      <c r="V23" s="1254">
        <v>0</v>
      </c>
      <c r="W23" s="530">
        <v>0</v>
      </c>
      <c r="Y23" s="557" t="s">
        <v>14</v>
      </c>
      <c r="Z23" s="1265"/>
      <c r="AA23" s="1023">
        <v>1</v>
      </c>
      <c r="AB23" s="1023">
        <f t="shared" si="7"/>
        <v>0</v>
      </c>
    </row>
    <row r="24" spans="1:42">
      <c r="A24" s="559" t="s">
        <v>17</v>
      </c>
      <c r="B24" s="539">
        <f t="shared" si="0"/>
        <v>6883070.7045194535</v>
      </c>
      <c r="C24" s="539">
        <f t="shared" si="1"/>
        <v>6493890.4712111112</v>
      </c>
      <c r="E24" s="559" t="s">
        <v>17</v>
      </c>
      <c r="F24" s="632">
        <f t="shared" si="2"/>
        <v>0.15408265739045726</v>
      </c>
      <c r="G24" s="568"/>
      <c r="H24" s="632">
        <f t="shared" si="3"/>
        <v>0.14144037183977365</v>
      </c>
      <c r="I24" s="227"/>
      <c r="J24" s="539">
        <f t="shared" si="4"/>
        <v>115966.6671754659</v>
      </c>
      <c r="K24" s="558"/>
      <c r="L24" s="531">
        <f t="shared" si="5"/>
        <v>114527.16757875291</v>
      </c>
      <c r="N24" s="1146">
        <f t="shared" si="6"/>
        <v>0.9661071118879152</v>
      </c>
      <c r="O24"/>
      <c r="P24" s="559" t="s">
        <v>17</v>
      </c>
      <c r="Q24" s="539">
        <v>40816</v>
      </c>
      <c r="R24" s="539">
        <v>39061</v>
      </c>
      <c r="S24" s="539">
        <v>40158</v>
      </c>
      <c r="T24" s="1256">
        <v>40113.126033273729</v>
      </c>
      <c r="U24" s="539">
        <v>38373</v>
      </c>
      <c r="V24" s="1256">
        <v>39406.527837184542</v>
      </c>
      <c r="W24" s="539">
        <v>40014</v>
      </c>
      <c r="Y24" s="559" t="s">
        <v>17</v>
      </c>
      <c r="Z24" s="1265">
        <v>0.9661071118879152</v>
      </c>
      <c r="AA24" s="1024">
        <v>1</v>
      </c>
      <c r="AB24" s="1024">
        <f t="shared" si="7"/>
        <v>0.9661071118879152</v>
      </c>
    </row>
    <row r="25" spans="1:42">
      <c r="A25" s="557" t="s">
        <v>376</v>
      </c>
      <c r="B25" s="530">
        <f t="shared" si="0"/>
        <v>0</v>
      </c>
      <c r="C25" s="530">
        <f t="shared" si="1"/>
        <v>0</v>
      </c>
      <c r="E25" s="557" t="s">
        <v>376</v>
      </c>
      <c r="F25" s="631">
        <f t="shared" si="2"/>
        <v>0</v>
      </c>
      <c r="G25" s="568"/>
      <c r="H25" s="631">
        <f t="shared" si="3"/>
        <v>0</v>
      </c>
      <c r="I25" s="227"/>
      <c r="J25" s="530">
        <f t="shared" si="4"/>
        <v>0</v>
      </c>
      <c r="K25" s="558"/>
      <c r="L25" s="531">
        <f t="shared" si="5"/>
        <v>0</v>
      </c>
      <c r="N25" s="1146">
        <f t="shared" si="6"/>
        <v>0</v>
      </c>
      <c r="O25"/>
      <c r="P25" s="557" t="s">
        <v>376</v>
      </c>
      <c r="Q25" s="530">
        <v>0</v>
      </c>
      <c r="R25" s="530">
        <v>0</v>
      </c>
      <c r="S25" s="530">
        <v>0</v>
      </c>
      <c r="T25" s="1254">
        <v>0</v>
      </c>
      <c r="U25" s="530">
        <v>0</v>
      </c>
      <c r="V25" s="1254">
        <v>0</v>
      </c>
      <c r="W25" s="530">
        <v>0</v>
      </c>
      <c r="Y25" s="557" t="s">
        <v>376</v>
      </c>
      <c r="Z25" s="1265"/>
      <c r="AA25" s="1023">
        <v>1</v>
      </c>
      <c r="AB25" s="1023">
        <f t="shared" si="7"/>
        <v>0</v>
      </c>
    </row>
    <row r="26" spans="1:42">
      <c r="A26" s="557" t="s">
        <v>7</v>
      </c>
      <c r="B26" s="531">
        <f t="shared" si="0"/>
        <v>10560028.051860293</v>
      </c>
      <c r="C26" s="531">
        <f t="shared" si="1"/>
        <v>12198318.468291897</v>
      </c>
      <c r="E26" s="557" t="s">
        <v>7</v>
      </c>
      <c r="F26" s="631">
        <f t="shared" si="2"/>
        <v>0.30630639719021069</v>
      </c>
      <c r="G26" s="568"/>
      <c r="H26" s="631">
        <f t="shared" si="3"/>
        <v>0.34252833970289287</v>
      </c>
      <c r="I26" s="227"/>
      <c r="J26" s="531">
        <f t="shared" si="4"/>
        <v>230534.264</v>
      </c>
      <c r="K26" s="558"/>
      <c r="L26" s="531">
        <f t="shared" si="5"/>
        <v>277352.21599999996</v>
      </c>
      <c r="N26" s="1146">
        <f t="shared" si="6"/>
        <v>1.3839999999999999</v>
      </c>
      <c r="O26"/>
      <c r="P26" s="557" t="s">
        <v>7</v>
      </c>
      <c r="Q26" s="531">
        <v>51009</v>
      </c>
      <c r="R26" s="531">
        <v>56576</v>
      </c>
      <c r="S26" s="531">
        <v>58986</v>
      </c>
      <c r="T26" s="1253">
        <v>62500.888078871525</v>
      </c>
      <c r="U26" s="531">
        <v>66785</v>
      </c>
      <c r="V26" s="1253">
        <v>71081.641620063718</v>
      </c>
      <c r="W26" s="531">
        <v>74628</v>
      </c>
      <c r="Y26" s="557" t="s">
        <v>7</v>
      </c>
      <c r="Z26" s="1266">
        <v>1.3839999999999999</v>
      </c>
      <c r="AA26" s="1023">
        <v>1</v>
      </c>
      <c r="AB26" s="1023">
        <f t="shared" si="7"/>
        <v>1.3839999999999999</v>
      </c>
    </row>
    <row r="27" spans="1:42">
      <c r="A27" s="557" t="s">
        <v>9</v>
      </c>
      <c r="B27" s="531">
        <f>B52*C$9</f>
        <v>4536645.074447073</v>
      </c>
      <c r="C27" s="531">
        <f t="shared" si="1"/>
        <v>4750541.314223161</v>
      </c>
      <c r="E27" s="557" t="s">
        <v>9</v>
      </c>
      <c r="F27" s="631">
        <f t="shared" si="2"/>
        <v>8.3322247164667615E-2</v>
      </c>
      <c r="G27" s="568"/>
      <c r="H27" s="631">
        <f t="shared" si="3"/>
        <v>0.10134019195073</v>
      </c>
      <c r="I27" s="227"/>
      <c r="J27" s="531">
        <f t="shared" si="4"/>
        <v>62710.518295197486</v>
      </c>
      <c r="K27" s="558"/>
      <c r="L27" s="531">
        <f t="shared" si="5"/>
        <v>82057.23016022591</v>
      </c>
      <c r="N27" s="1146">
        <f t="shared" si="6"/>
        <v>0.88220300342126901</v>
      </c>
      <c r="O27"/>
      <c r="P27" s="557" t="s">
        <v>9</v>
      </c>
      <c r="Q27" s="531">
        <v>15170</v>
      </c>
      <c r="R27" s="531">
        <v>24174</v>
      </c>
      <c r="S27" s="531">
        <v>31740</v>
      </c>
      <c r="T27" s="1253">
        <v>35472.265261317312</v>
      </c>
      <c r="U27" s="531">
        <v>32369</v>
      </c>
      <c r="V27" s="1253">
        <v>30991.696572212866</v>
      </c>
      <c r="W27" s="531">
        <v>28905</v>
      </c>
      <c r="Y27" s="557" t="s">
        <v>9</v>
      </c>
      <c r="Z27" s="1265">
        <v>0.88220300342126901</v>
      </c>
      <c r="AA27" s="1023">
        <v>1</v>
      </c>
      <c r="AB27" s="1023">
        <f t="shared" si="7"/>
        <v>0.88220300342126901</v>
      </c>
    </row>
    <row r="28" spans="1:42">
      <c r="A28" s="559" t="s">
        <v>5</v>
      </c>
      <c r="B28" s="539">
        <f t="shared" si="0"/>
        <v>1150029.1745399914</v>
      </c>
      <c r="C28" s="539">
        <f t="shared" si="1"/>
        <v>926738.7608623344</v>
      </c>
      <c r="E28" s="559" t="s">
        <v>5</v>
      </c>
      <c r="F28" s="632">
        <f t="shared" si="2"/>
        <v>1.9374503735039968E-2</v>
      </c>
      <c r="G28" s="568"/>
      <c r="H28" s="632">
        <f t="shared" si="3"/>
        <v>1.4385511083146514E-2</v>
      </c>
      <c r="I28" s="227"/>
      <c r="J28" s="539">
        <f t="shared" si="4"/>
        <v>14581.761921704439</v>
      </c>
      <c r="K28" s="558"/>
      <c r="L28" s="531">
        <f t="shared" si="5"/>
        <v>11648.243122493226</v>
      </c>
      <c r="N28" s="1146">
        <f t="shared" si="6"/>
        <v>1.3843882959939655</v>
      </c>
      <c r="O28"/>
      <c r="P28" s="559" t="s">
        <v>5</v>
      </c>
      <c r="Q28" s="539">
        <v>4009</v>
      </c>
      <c r="R28" s="539">
        <v>3691</v>
      </c>
      <c r="S28" s="539">
        <v>2833</v>
      </c>
      <c r="T28" s="1256">
        <v>2571.9822138428108</v>
      </c>
      <c r="U28" s="539">
        <v>2891</v>
      </c>
      <c r="V28" s="1256">
        <v>2449.8586114414902</v>
      </c>
      <c r="W28" s="539">
        <v>2690</v>
      </c>
      <c r="Y28" s="559" t="s">
        <v>5</v>
      </c>
      <c r="Z28" s="1265">
        <v>1.3843882959939655</v>
      </c>
      <c r="AA28" s="1024">
        <v>1</v>
      </c>
      <c r="AB28" s="1024">
        <f t="shared" si="7"/>
        <v>1.3843882959939655</v>
      </c>
    </row>
    <row r="29" spans="1:42">
      <c r="A29" s="557"/>
      <c r="B29" s="530"/>
      <c r="C29" s="530"/>
      <c r="E29" s="557"/>
      <c r="F29" s="631"/>
      <c r="G29" s="568"/>
      <c r="H29" s="631"/>
      <c r="I29" s="227"/>
      <c r="J29" s="530"/>
      <c r="K29" s="558"/>
      <c r="L29" s="531">
        <f t="shared" ref="L29:L34" si="8">N29*(V29+S29+U29)</f>
        <v>0</v>
      </c>
      <c r="N29" s="1146"/>
      <c r="O29"/>
      <c r="P29" s="557"/>
      <c r="Q29" s="530"/>
      <c r="R29" s="530"/>
      <c r="S29" s="530"/>
      <c r="T29" s="1254"/>
      <c r="U29" s="530"/>
      <c r="V29" s="1254"/>
      <c r="W29" s="530"/>
      <c r="Y29" s="557"/>
      <c r="Z29" s="1267"/>
      <c r="AA29" s="1023"/>
      <c r="AB29" s="1023"/>
    </row>
    <row r="30" spans="1:42">
      <c r="A30" s="557" t="s">
        <v>631</v>
      </c>
      <c r="B30" s="531">
        <f>B55*C$9</f>
        <v>0</v>
      </c>
      <c r="C30" s="531">
        <f t="shared" si="1"/>
        <v>0</v>
      </c>
      <c r="E30" s="557" t="s">
        <v>631</v>
      </c>
      <c r="F30" s="631">
        <f>J30/J$35</f>
        <v>0</v>
      </c>
      <c r="G30" s="568"/>
      <c r="H30" s="631">
        <f>L30/L$35</f>
        <v>0</v>
      </c>
      <c r="I30" s="227"/>
      <c r="J30" s="530">
        <f>N30*(Q30+R30+S30)</f>
        <v>0</v>
      </c>
      <c r="K30" s="558"/>
      <c r="L30" s="531">
        <f t="shared" si="8"/>
        <v>0</v>
      </c>
      <c r="N30" s="1146">
        <f t="shared" si="6"/>
        <v>1.0549999999999999</v>
      </c>
      <c r="O30"/>
      <c r="P30" s="557" t="s">
        <v>631</v>
      </c>
      <c r="Q30" s="530">
        <v>0</v>
      </c>
      <c r="R30" s="530">
        <v>0</v>
      </c>
      <c r="S30" s="530">
        <v>0</v>
      </c>
      <c r="T30" s="1254">
        <v>0</v>
      </c>
      <c r="U30" s="530">
        <v>0</v>
      </c>
      <c r="V30" s="1254">
        <v>0</v>
      </c>
      <c r="W30" s="530"/>
      <c r="Y30" s="557" t="s">
        <v>631</v>
      </c>
      <c r="Z30" s="1267">
        <v>1.0549999999999999</v>
      </c>
      <c r="AA30" s="1023">
        <v>1</v>
      </c>
      <c r="AB30" s="1023">
        <f t="shared" ref="AB30:AB36" si="9">IF(Z$11="yes",Z30,AA30)</f>
        <v>1.0549999999999999</v>
      </c>
    </row>
    <row r="31" spans="1:42">
      <c r="A31" s="557" t="s">
        <v>657</v>
      </c>
      <c r="B31" s="530">
        <f>B56*C$9</f>
        <v>0</v>
      </c>
      <c r="C31" s="530">
        <f t="shared" si="1"/>
        <v>0</v>
      </c>
      <c r="E31" s="557" t="s">
        <v>657</v>
      </c>
      <c r="F31" s="631">
        <f>J31/J$35</f>
        <v>0</v>
      </c>
      <c r="G31" s="568"/>
      <c r="H31" s="631">
        <f>L31/L$35</f>
        <v>0</v>
      </c>
      <c r="I31" s="227"/>
      <c r="J31" s="530">
        <f>N31*(Q31+R31+S31)</f>
        <v>0</v>
      </c>
      <c r="K31" s="558"/>
      <c r="L31" s="531">
        <f t="shared" si="8"/>
        <v>0</v>
      </c>
      <c r="N31" s="1146">
        <f t="shared" si="6"/>
        <v>1.0549999999999999</v>
      </c>
      <c r="O31"/>
      <c r="P31" s="557" t="s">
        <v>657</v>
      </c>
      <c r="Q31" s="530">
        <v>0</v>
      </c>
      <c r="R31" s="530">
        <v>0</v>
      </c>
      <c r="S31" s="530">
        <v>0</v>
      </c>
      <c r="T31" s="1254">
        <v>0</v>
      </c>
      <c r="U31" s="530">
        <v>0</v>
      </c>
      <c r="V31" s="1254">
        <v>0</v>
      </c>
      <c r="W31" s="530"/>
      <c r="Y31" s="557" t="s">
        <v>657</v>
      </c>
      <c r="Z31" s="1267">
        <v>1.0549999999999999</v>
      </c>
      <c r="AA31" s="1023">
        <v>1</v>
      </c>
      <c r="AB31" s="1023">
        <f t="shared" si="9"/>
        <v>1.0549999999999999</v>
      </c>
    </row>
    <row r="32" spans="1:42">
      <c r="A32" s="559" t="s">
        <v>633</v>
      </c>
      <c r="B32" s="539">
        <f>B57*C$9</f>
        <v>800373.49163685518</v>
      </c>
      <c r="C32" s="539">
        <f t="shared" si="1"/>
        <v>768564.36449847114</v>
      </c>
      <c r="E32" s="559" t="s">
        <v>633</v>
      </c>
      <c r="F32" s="632">
        <f>J32/J$35</f>
        <v>0</v>
      </c>
      <c r="G32" s="568"/>
      <c r="H32" s="632">
        <f>L32/L$35</f>
        <v>0</v>
      </c>
      <c r="I32" s="227"/>
      <c r="J32" s="540">
        <f>N32*(Q32+R32+S32)</f>
        <v>0</v>
      </c>
      <c r="K32" s="558"/>
      <c r="L32" s="531">
        <f t="shared" si="8"/>
        <v>0</v>
      </c>
      <c r="N32" s="1146">
        <f t="shared" si="6"/>
        <v>1.085</v>
      </c>
      <c r="O32"/>
      <c r="P32" s="559" t="s">
        <v>633</v>
      </c>
      <c r="Q32" s="540">
        <v>0</v>
      </c>
      <c r="R32" s="540">
        <v>0</v>
      </c>
      <c r="S32" s="540">
        <v>0</v>
      </c>
      <c r="T32" s="1257">
        <v>0</v>
      </c>
      <c r="U32" s="540">
        <v>0</v>
      </c>
      <c r="V32" s="1257">
        <v>0</v>
      </c>
      <c r="W32" s="540"/>
      <c r="Y32" s="559" t="s">
        <v>633</v>
      </c>
      <c r="Z32" s="1268">
        <v>1.085</v>
      </c>
      <c r="AA32" s="1024">
        <v>1</v>
      </c>
      <c r="AB32" s="1024">
        <f t="shared" si="9"/>
        <v>1.085</v>
      </c>
    </row>
    <row r="33" spans="1:42">
      <c r="A33" s="557" t="s">
        <v>656</v>
      </c>
      <c r="B33" s="531">
        <f>B58*C$9</f>
        <v>964.19529965958566</v>
      </c>
      <c r="C33" s="531">
        <f t="shared" si="1"/>
        <v>0</v>
      </c>
      <c r="E33" s="557" t="s">
        <v>656</v>
      </c>
      <c r="F33" s="631">
        <f>J33/J$35</f>
        <v>0</v>
      </c>
      <c r="G33" s="568"/>
      <c r="H33" s="631">
        <f>L33/L$35</f>
        <v>0</v>
      </c>
      <c r="I33" s="227"/>
      <c r="J33" s="530">
        <f>N33*(Q33+R33+S33)</f>
        <v>0</v>
      </c>
      <c r="K33" s="558"/>
      <c r="L33" s="531">
        <f t="shared" si="8"/>
        <v>0</v>
      </c>
      <c r="N33" s="1146">
        <f t="shared" si="6"/>
        <v>1.0549999999999999</v>
      </c>
      <c r="O33"/>
      <c r="P33" s="557" t="s">
        <v>656</v>
      </c>
      <c r="Q33" s="530">
        <v>0</v>
      </c>
      <c r="R33" s="530">
        <v>0</v>
      </c>
      <c r="S33" s="530">
        <v>0</v>
      </c>
      <c r="T33" s="1254">
        <v>0</v>
      </c>
      <c r="U33" s="530">
        <v>0</v>
      </c>
      <c r="V33" s="1254">
        <v>0</v>
      </c>
      <c r="W33" s="530"/>
      <c r="Y33" s="557" t="s">
        <v>656</v>
      </c>
      <c r="Z33" s="1267">
        <v>1.0549999999999999</v>
      </c>
      <c r="AA33" s="1023">
        <v>1</v>
      </c>
      <c r="AB33" s="1023">
        <f t="shared" si="9"/>
        <v>1.0549999999999999</v>
      </c>
    </row>
    <row r="34" spans="1:42">
      <c r="A34" s="563" t="s">
        <v>635</v>
      </c>
      <c r="B34" s="531">
        <f>B59*C$9</f>
        <v>0</v>
      </c>
      <c r="C34" s="531">
        <f t="shared" si="1"/>
        <v>0</v>
      </c>
      <c r="E34" s="563" t="s">
        <v>635</v>
      </c>
      <c r="F34" s="568">
        <f>J34/J$35</f>
        <v>0</v>
      </c>
      <c r="G34" s="558"/>
      <c r="H34" s="568">
        <f>L34/L$35</f>
        <v>0</v>
      </c>
      <c r="I34" s="227"/>
      <c r="J34" s="531">
        <f>N34*(Q34+R34+S34)</f>
        <v>0</v>
      </c>
      <c r="K34" s="558"/>
      <c r="L34" s="531">
        <f t="shared" si="8"/>
        <v>0</v>
      </c>
      <c r="N34" s="1146">
        <f t="shared" si="6"/>
        <v>1.0820000000000001</v>
      </c>
      <c r="O34"/>
      <c r="P34" s="563" t="s">
        <v>635</v>
      </c>
      <c r="Q34" s="530">
        <v>0</v>
      </c>
      <c r="R34" s="530">
        <v>0</v>
      </c>
      <c r="S34" s="530">
        <v>0</v>
      </c>
      <c r="T34" s="1254">
        <v>0</v>
      </c>
      <c r="U34" s="530">
        <v>0</v>
      </c>
      <c r="V34" s="1254">
        <v>0</v>
      </c>
      <c r="W34" s="530"/>
      <c r="Y34" s="563" t="s">
        <v>635</v>
      </c>
      <c r="Z34" s="1267">
        <v>1.0820000000000001</v>
      </c>
      <c r="AA34" s="1023">
        <v>1</v>
      </c>
      <c r="AB34" s="1023">
        <f t="shared" si="9"/>
        <v>1.0820000000000001</v>
      </c>
    </row>
    <row r="35" spans="1:42">
      <c r="A35" s="564"/>
      <c r="B35" s="543">
        <f>SUM(B17:B34)</f>
        <v>41669243.617018059</v>
      </c>
      <c r="C35" s="543">
        <f>SUM(C17:C34)</f>
        <v>41669243.617018059</v>
      </c>
      <c r="D35" s="404"/>
      <c r="E35" s="564"/>
      <c r="F35" s="569">
        <f>SUM(F17:F34)</f>
        <v>1</v>
      </c>
      <c r="G35" s="565"/>
      <c r="H35" s="569">
        <f>SUM(H17:H34)</f>
        <v>0.99999999999999989</v>
      </c>
      <c r="I35" s="227"/>
      <c r="J35" s="543">
        <f>SUM(J17:J34)</f>
        <v>752626.34445353237</v>
      </c>
      <c r="K35" s="565"/>
      <c r="L35" s="543">
        <f>SUM(L17:L34)</f>
        <v>809720.49273521046</v>
      </c>
      <c r="N35" s="185"/>
      <c r="O35"/>
      <c r="P35" s="542" t="s">
        <v>224</v>
      </c>
      <c r="Q35" s="543">
        <f t="shared" ref="Q35:W35" si="10">SUM(Q17:Q34)</f>
        <v>207867</v>
      </c>
      <c r="R35" s="543">
        <f t="shared" si="10"/>
        <v>225543</v>
      </c>
      <c r="S35" s="543">
        <f t="shared" si="10"/>
        <v>231018</v>
      </c>
      <c r="T35" s="543">
        <f t="shared" si="10"/>
        <v>236508.7374388976</v>
      </c>
      <c r="U35" s="543">
        <f t="shared" si="10"/>
        <v>236350</v>
      </c>
      <c r="V35" s="543">
        <f t="shared" si="10"/>
        <v>242417.07296556627</v>
      </c>
      <c r="W35" s="543">
        <f t="shared" si="10"/>
        <v>244966</v>
      </c>
      <c r="Y35" s="1025" t="s">
        <v>889</v>
      </c>
      <c r="Z35" s="1269">
        <v>1.181</v>
      </c>
      <c r="AA35" s="1026">
        <v>1</v>
      </c>
      <c r="AB35" s="1026">
        <f t="shared" si="9"/>
        <v>1.181</v>
      </c>
    </row>
    <row r="36" spans="1:42" ht="16.5" thickBot="1">
      <c r="K36"/>
      <c r="L36"/>
      <c r="N36" s="185"/>
      <c r="O36"/>
      <c r="Q36" s="543">
        <v>207867</v>
      </c>
      <c r="R36" s="543">
        <v>225543</v>
      </c>
      <c r="S36" s="543">
        <v>231018</v>
      </c>
      <c r="T36" s="543">
        <v>238836.76589565893</v>
      </c>
      <c r="U36" s="534"/>
      <c r="V36" s="534"/>
      <c r="W36" s="534"/>
      <c r="Y36" s="1027" t="s">
        <v>1069</v>
      </c>
      <c r="Z36" s="1270">
        <v>1.0549999999999999</v>
      </c>
      <c r="AA36" s="1028">
        <v>1</v>
      </c>
      <c r="AB36" s="1028">
        <f t="shared" si="9"/>
        <v>1.0549999999999999</v>
      </c>
    </row>
    <row r="37" spans="1:42" ht="16.5" thickTop="1">
      <c r="N37" s="185"/>
      <c r="O37"/>
    </row>
    <row r="38" spans="1:42">
      <c r="N38" s="185"/>
      <c r="O38"/>
      <c r="P38" s="10" t="s">
        <v>667</v>
      </c>
      <c r="Q38" s="460"/>
      <c r="R38" s="460"/>
      <c r="S38" s="460"/>
      <c r="T38" s="460"/>
      <c r="U38" s="460"/>
      <c r="V38" s="460"/>
      <c r="W38" s="460"/>
      <c r="X38" s="460"/>
      <c r="Y38" s="196" t="s">
        <v>672</v>
      </c>
      <c r="Z38" s="196"/>
      <c r="AA38" s="196"/>
      <c r="AB38" s="196"/>
      <c r="AC38" s="196"/>
      <c r="AD38" s="196"/>
      <c r="AE38" s="196" t="s">
        <v>1073</v>
      </c>
    </row>
    <row r="39" spans="1:42">
      <c r="N39" s="185"/>
      <c r="O39"/>
      <c r="P39" s="286"/>
      <c r="Q39" s="286"/>
      <c r="R39" s="286"/>
      <c r="S39" s="286"/>
      <c r="T39" s="615" t="s">
        <v>668</v>
      </c>
      <c r="U39" s="529" t="s">
        <v>830</v>
      </c>
      <c r="V39" s="529" t="s">
        <v>1071</v>
      </c>
      <c r="W39" s="529" t="s">
        <v>1308</v>
      </c>
      <c r="X39" s="460"/>
      <c r="Y39" s="15"/>
      <c r="Z39" s="15"/>
      <c r="AA39" s="15"/>
      <c r="AB39" s="15"/>
      <c r="AC39" s="15"/>
      <c r="AE39" s="15"/>
      <c r="AF39" s="15"/>
      <c r="AG39" s="15"/>
      <c r="AH39" s="15"/>
      <c r="AI39" s="15"/>
    </row>
    <row r="40" spans="1:42">
      <c r="A40" s="554" t="s">
        <v>682</v>
      </c>
      <c r="B40" s="253"/>
      <c r="C40" s="253"/>
      <c r="E40" s="552" t="s">
        <v>677</v>
      </c>
      <c r="F40" s="552"/>
      <c r="G40" s="552"/>
      <c r="H40" s="552"/>
      <c r="I40" s="552"/>
      <c r="J40" s="552"/>
      <c r="K40" s="552"/>
      <c r="L40" s="552"/>
      <c r="N40" s="185"/>
      <c r="O40"/>
      <c r="P40" s="600"/>
      <c r="Q40" s="600" t="s">
        <v>0</v>
      </c>
      <c r="R40" s="600" t="s">
        <v>12</v>
      </c>
      <c r="S40" s="600" t="s">
        <v>669</v>
      </c>
      <c r="T40" s="600" t="s">
        <v>670</v>
      </c>
      <c r="U40" s="1271" t="s">
        <v>670</v>
      </c>
      <c r="V40" s="1271" t="s">
        <v>1072</v>
      </c>
      <c r="W40" s="1271"/>
      <c r="X40" s="185"/>
      <c r="Y40" s="578"/>
      <c r="Z40" s="608" t="s">
        <v>622</v>
      </c>
      <c r="AA40" s="608" t="s">
        <v>623</v>
      </c>
      <c r="AB40" s="609" t="s">
        <v>624</v>
      </c>
      <c r="AC40" s="608" t="s">
        <v>625</v>
      </c>
      <c r="AD40" s="608">
        <v>2017</v>
      </c>
      <c r="AE40" s="610"/>
      <c r="AF40" s="608" t="s">
        <v>622</v>
      </c>
      <c r="AG40" s="608" t="s">
        <v>623</v>
      </c>
      <c r="AH40" s="609" t="s">
        <v>624</v>
      </c>
      <c r="AI40" s="608" t="s">
        <v>625</v>
      </c>
      <c r="AJ40" s="608">
        <v>2017</v>
      </c>
    </row>
    <row r="41" spans="1:42" ht="25.5">
      <c r="A41" s="555"/>
      <c r="B41" s="556" t="s">
        <v>1010</v>
      </c>
      <c r="C41" s="556" t="s">
        <v>1147</v>
      </c>
      <c r="E41" s="256"/>
      <c r="F41" s="556" t="s">
        <v>1013</v>
      </c>
      <c r="G41" s="556"/>
      <c r="H41" s="556" t="s">
        <v>1343</v>
      </c>
      <c r="I41" s="256"/>
      <c r="J41" s="556" t="s">
        <v>1013</v>
      </c>
      <c r="K41" s="556"/>
      <c r="L41" s="556" t="s">
        <v>1343</v>
      </c>
      <c r="N41" s="185"/>
      <c r="O41"/>
      <c r="P41" s="601" t="s">
        <v>671</v>
      </c>
      <c r="Q41" s="612"/>
      <c r="R41" s="528"/>
      <c r="S41" s="528"/>
      <c r="T41" s="528"/>
      <c r="U41" s="528"/>
      <c r="V41" s="528"/>
      <c r="W41" s="528"/>
      <c r="X41" s="185"/>
      <c r="Y41" s="605" t="s">
        <v>141</v>
      </c>
      <c r="Z41" s="578"/>
      <c r="AA41" s="578"/>
      <c r="AB41" s="578"/>
      <c r="AC41" s="578"/>
      <c r="AD41" s="578"/>
      <c r="AE41" s="605" t="s">
        <v>141</v>
      </c>
      <c r="AF41" s="578"/>
    </row>
    <row r="42" spans="1:42">
      <c r="A42" s="557" t="s">
        <v>628</v>
      </c>
      <c r="B42" s="631">
        <f>F42*D$4+F17*D$5</f>
        <v>0.11070710381242677</v>
      </c>
      <c r="C42" s="631">
        <f>H42*D$4+H17*D$5</f>
        <v>0.1091771191781668</v>
      </c>
      <c r="E42" s="557" t="s">
        <v>628</v>
      </c>
      <c r="F42" s="631">
        <f>J42/J$60</f>
        <v>0.11700275724873978</v>
      </c>
      <c r="G42" s="568"/>
      <c r="H42" s="631">
        <f>L42/L$60</f>
        <v>0.12095312592530312</v>
      </c>
      <c r="J42" s="531">
        <f>N42*(Q42+R42+S42+Z42+AA42+AB42)</f>
        <v>1792.4144668034783</v>
      </c>
      <c r="K42" s="531"/>
      <c r="L42" s="531">
        <f t="shared" ref="L42:L59" si="11">N42*(W42+S42+U42+AD42+AB42+AC42)</f>
        <v>2096.1142512950132</v>
      </c>
      <c r="N42" s="1146">
        <f>AB17</f>
        <v>1.3814582627890051</v>
      </c>
      <c r="O42" s="551"/>
      <c r="P42" s="557" t="s">
        <v>628</v>
      </c>
      <c r="Q42" s="616">
        <v>348</v>
      </c>
      <c r="R42" s="617">
        <v>435</v>
      </c>
      <c r="S42" s="617">
        <v>473</v>
      </c>
      <c r="T42" s="1272">
        <v>505.0775937521895</v>
      </c>
      <c r="U42" s="617">
        <v>502</v>
      </c>
      <c r="V42" s="1272">
        <v>519.11130027619345</v>
      </c>
      <c r="W42" s="603">
        <v>506</v>
      </c>
      <c r="X42" s="185"/>
      <c r="Y42" s="557" t="s">
        <v>628</v>
      </c>
      <c r="Z42" s="531">
        <f>AF42/5/5</f>
        <v>17.16</v>
      </c>
      <c r="AA42" s="531">
        <f>AG42/5/5</f>
        <v>12.559999999999999</v>
      </c>
      <c r="AB42" s="531">
        <f>AH42/5/5</f>
        <v>11.76</v>
      </c>
      <c r="AC42" s="531">
        <f>AI42/5/5</f>
        <v>12.040000000000001</v>
      </c>
      <c r="AD42" s="531">
        <f>AJ42/5/5</f>
        <v>12.52</v>
      </c>
      <c r="AE42" s="557" t="s">
        <v>628</v>
      </c>
      <c r="AF42" s="531">
        <v>429</v>
      </c>
      <c r="AG42" s="551">
        <v>314</v>
      </c>
      <c r="AH42" s="551">
        <v>294</v>
      </c>
      <c r="AI42" s="551">
        <v>301</v>
      </c>
      <c r="AJ42" s="551">
        <v>313</v>
      </c>
      <c r="AK42" s="10"/>
      <c r="AL42" s="10"/>
      <c r="AM42" s="10"/>
      <c r="AN42" s="10"/>
      <c r="AO42" s="10"/>
      <c r="AP42" s="10"/>
    </row>
    <row r="43" spans="1:42">
      <c r="A43" s="557" t="s">
        <v>6</v>
      </c>
      <c r="B43" s="631">
        <f t="shared" ref="B43:B53" si="12">F43*D$4+F18*D$5</f>
        <v>0.13662780556594964</v>
      </c>
      <c r="C43" s="631">
        <f t="shared" ref="C43:C53" si="13">H43*D$4+H18*D$5</f>
        <v>0.1213880943533748</v>
      </c>
      <c r="E43" s="557" t="s">
        <v>6</v>
      </c>
      <c r="F43" s="631">
        <f t="shared" ref="F43:F53" si="14">J43/J$60</f>
        <v>0.13085508894941808</v>
      </c>
      <c r="G43" s="568"/>
      <c r="H43" s="631">
        <f t="shared" ref="H43:H53" si="15">L43/L$60</f>
        <v>0.11534245722463952</v>
      </c>
      <c r="J43" s="531">
        <f>N43*(Q43+R43+S43+Z43+AA43+AB43)</f>
        <v>2004.6241644473657</v>
      </c>
      <c r="K43" s="531"/>
      <c r="L43" s="531">
        <f t="shared" si="11"/>
        <v>1998.8815214024528</v>
      </c>
      <c r="N43" s="1146">
        <f t="shared" ref="N43:N59" si="16">AB18</f>
        <v>0.92029535976171861</v>
      </c>
      <c r="O43"/>
      <c r="P43" s="557" t="s">
        <v>6</v>
      </c>
      <c r="Q43" s="616">
        <v>637</v>
      </c>
      <c r="R43" s="617">
        <v>770</v>
      </c>
      <c r="S43" s="617">
        <v>697</v>
      </c>
      <c r="T43" s="1272">
        <v>719.58563870499347</v>
      </c>
      <c r="U43" s="617">
        <v>703</v>
      </c>
      <c r="V43" s="1272">
        <v>686.57794629580656</v>
      </c>
      <c r="W43" s="603">
        <v>672</v>
      </c>
      <c r="X43" s="185"/>
      <c r="Y43" s="557" t="s">
        <v>6</v>
      </c>
      <c r="Z43" s="531">
        <f t="shared" ref="Z43:Z53" si="17">AF43/5/5</f>
        <v>13.52</v>
      </c>
      <c r="AA43" s="531">
        <f t="shared" ref="AA43:AA53" si="18">AG43/5/5</f>
        <v>29.72</v>
      </c>
      <c r="AB43" s="531">
        <f t="shared" ref="AB43:AB53" si="19">AH43/5/5</f>
        <v>31</v>
      </c>
      <c r="AC43" s="531">
        <f t="shared" ref="AC43:AD53" si="20">AI43/5/5</f>
        <v>34.04</v>
      </c>
      <c r="AD43" s="531">
        <f t="shared" si="20"/>
        <v>34.96</v>
      </c>
      <c r="AE43" s="557" t="s">
        <v>6</v>
      </c>
      <c r="AF43" s="531">
        <v>338</v>
      </c>
      <c r="AG43" s="551">
        <v>743</v>
      </c>
      <c r="AH43" s="551">
        <v>775</v>
      </c>
      <c r="AI43" s="551">
        <v>851</v>
      </c>
      <c r="AJ43" s="551">
        <v>874</v>
      </c>
    </row>
    <row r="44" spans="1:42">
      <c r="A44" s="557" t="s">
        <v>8</v>
      </c>
      <c r="B44" s="631">
        <f t="shared" si="12"/>
        <v>7.0959231278959062E-3</v>
      </c>
      <c r="C44" s="631">
        <f t="shared" si="13"/>
        <v>5.4529612408379582E-3</v>
      </c>
      <c r="E44" s="557" t="s">
        <v>8</v>
      </c>
      <c r="F44" s="631">
        <f t="shared" si="14"/>
        <v>1.1442912047842349E-2</v>
      </c>
      <c r="G44" s="568"/>
      <c r="H44" s="631">
        <f t="shared" si="15"/>
        <v>8.5055515050740417E-3</v>
      </c>
      <c r="J44" s="531">
        <f t="shared" ref="J44:J53" si="21">N44*(Q44+R44+S44+Z44+AA44+AB44)</f>
        <v>175.29878422701321</v>
      </c>
      <c r="K44" s="531"/>
      <c r="L44" s="531">
        <f t="shared" si="11"/>
        <v>147.40096701527037</v>
      </c>
      <c r="N44" s="1146">
        <f t="shared" si="16"/>
        <v>0.93742665362039157</v>
      </c>
      <c r="O44"/>
      <c r="P44" s="557" t="s">
        <v>8</v>
      </c>
      <c r="Q44" s="616">
        <v>71</v>
      </c>
      <c r="R44" s="617">
        <v>68</v>
      </c>
      <c r="S44" s="617">
        <v>48</v>
      </c>
      <c r="T44" s="1272">
        <v>35.64203380127271</v>
      </c>
      <c r="U44" s="617">
        <v>46</v>
      </c>
      <c r="V44" s="1272">
        <v>34.912183832038352</v>
      </c>
      <c r="W44" s="603">
        <v>63</v>
      </c>
      <c r="X44" s="185"/>
      <c r="Y44" s="557" t="s">
        <v>8</v>
      </c>
      <c r="Z44" s="531">
        <f t="shared" si="17"/>
        <v>0</v>
      </c>
      <c r="AA44" s="531">
        <f t="shared" si="18"/>
        <v>0</v>
      </c>
      <c r="AB44" s="531">
        <f t="shared" si="19"/>
        <v>0</v>
      </c>
      <c r="AC44" s="531">
        <f t="shared" si="20"/>
        <v>0</v>
      </c>
      <c r="AD44" s="531">
        <f t="shared" si="20"/>
        <v>0.24</v>
      </c>
      <c r="AE44" s="557" t="s">
        <v>8</v>
      </c>
      <c r="AF44" s="531">
        <v>0</v>
      </c>
      <c r="AG44">
        <v>0</v>
      </c>
      <c r="AH44">
        <v>0</v>
      </c>
      <c r="AI44">
        <v>0</v>
      </c>
      <c r="AJ44">
        <v>6</v>
      </c>
    </row>
    <row r="45" spans="1:42" s="10" customFormat="1">
      <c r="A45" s="559" t="s">
        <v>2</v>
      </c>
      <c r="B45" s="632">
        <f t="shared" si="12"/>
        <v>3.6145649492273807E-2</v>
      </c>
      <c r="C45" s="632">
        <f t="shared" si="13"/>
        <v>3.0714441344486976E-2</v>
      </c>
      <c r="D45" s="66"/>
      <c r="E45" s="559" t="s">
        <v>2</v>
      </c>
      <c r="F45" s="632">
        <f t="shared" si="14"/>
        <v>4.0068857051074283E-2</v>
      </c>
      <c r="G45" s="568"/>
      <c r="H45" s="632">
        <f t="shared" si="15"/>
        <v>3.3730363186167546E-2</v>
      </c>
      <c r="I45"/>
      <c r="J45" s="539">
        <f t="shared" si="21"/>
        <v>613.83167999999989</v>
      </c>
      <c r="K45" s="531"/>
      <c r="L45" s="531">
        <f t="shared" si="11"/>
        <v>584.54624000000001</v>
      </c>
      <c r="M45"/>
      <c r="N45" s="1146">
        <f t="shared" si="16"/>
        <v>1.3839999999999999</v>
      </c>
      <c r="O45"/>
      <c r="P45" s="559" t="s">
        <v>2</v>
      </c>
      <c r="Q45" s="616">
        <v>145</v>
      </c>
      <c r="R45" s="617">
        <v>146</v>
      </c>
      <c r="S45" s="617">
        <v>146</v>
      </c>
      <c r="T45" s="1272">
        <v>144.83290946126411</v>
      </c>
      <c r="U45" s="617">
        <v>135</v>
      </c>
      <c r="V45" s="1272">
        <v>139.91727870651232</v>
      </c>
      <c r="W45" s="603">
        <v>138</v>
      </c>
      <c r="X45" s="185"/>
      <c r="Y45" s="559" t="s">
        <v>2</v>
      </c>
      <c r="Z45" s="531">
        <f t="shared" si="17"/>
        <v>3.7600000000000002</v>
      </c>
      <c r="AA45" s="531">
        <f t="shared" si="18"/>
        <v>1.56</v>
      </c>
      <c r="AB45" s="531">
        <f t="shared" si="19"/>
        <v>1.2</v>
      </c>
      <c r="AC45" s="531">
        <f t="shared" si="20"/>
        <v>1.1199999999999999</v>
      </c>
      <c r="AD45" s="531">
        <f t="shared" si="20"/>
        <v>1.04</v>
      </c>
      <c r="AE45" s="559" t="s">
        <v>2</v>
      </c>
      <c r="AF45" s="531">
        <v>94</v>
      </c>
      <c r="AG45" s="551">
        <v>39</v>
      </c>
      <c r="AH45" s="551">
        <v>30</v>
      </c>
      <c r="AI45" s="551">
        <v>28</v>
      </c>
      <c r="AJ45" s="551">
        <v>26</v>
      </c>
    </row>
    <row r="46" spans="1:42">
      <c r="A46" s="557" t="s">
        <v>10</v>
      </c>
      <c r="B46" s="631">
        <f t="shared" si="12"/>
        <v>0</v>
      </c>
      <c r="C46" s="631">
        <f t="shared" si="13"/>
        <v>0</v>
      </c>
      <c r="E46" s="557" t="s">
        <v>10</v>
      </c>
      <c r="F46" s="631">
        <f t="shared" si="14"/>
        <v>0</v>
      </c>
      <c r="G46" s="568"/>
      <c r="H46" s="631">
        <f t="shared" si="15"/>
        <v>0</v>
      </c>
      <c r="J46" s="530">
        <f t="shared" si="21"/>
        <v>0</v>
      </c>
      <c r="K46" s="531"/>
      <c r="L46" s="531">
        <f t="shared" si="11"/>
        <v>0</v>
      </c>
      <c r="N46" s="1146">
        <f t="shared" si="16"/>
        <v>0</v>
      </c>
      <c r="O46"/>
      <c r="P46" s="557" t="s">
        <v>10</v>
      </c>
      <c r="Q46" s="616">
        <v>0</v>
      </c>
      <c r="R46" s="617">
        <v>0</v>
      </c>
      <c r="S46" s="528">
        <v>0</v>
      </c>
      <c r="T46" s="1272"/>
      <c r="U46" s="528">
        <v>0</v>
      </c>
      <c r="V46" s="1272"/>
      <c r="W46" s="603">
        <v>0</v>
      </c>
      <c r="X46" s="185"/>
      <c r="Y46" s="557" t="s">
        <v>10</v>
      </c>
      <c r="Z46" s="531">
        <f t="shared" si="17"/>
        <v>0.2</v>
      </c>
      <c r="AA46" s="531">
        <f t="shared" si="18"/>
        <v>0</v>
      </c>
      <c r="AB46" s="531">
        <f t="shared" si="19"/>
        <v>0</v>
      </c>
      <c r="AC46" s="531">
        <f t="shared" si="20"/>
        <v>0</v>
      </c>
      <c r="AD46" s="531">
        <f t="shared" si="20"/>
        <v>0</v>
      </c>
      <c r="AE46" s="557" t="s">
        <v>10</v>
      </c>
      <c r="AF46" s="531">
        <v>5</v>
      </c>
      <c r="AG46">
        <v>0</v>
      </c>
      <c r="AH46">
        <v>0</v>
      </c>
      <c r="AI46">
        <v>0</v>
      </c>
      <c r="AJ46">
        <v>0</v>
      </c>
    </row>
    <row r="47" spans="1:42">
      <c r="A47" s="557" t="s">
        <v>4</v>
      </c>
      <c r="B47" s="631">
        <f t="shared" si="12"/>
        <v>0.13511238069706405</v>
      </c>
      <c r="C47" s="631">
        <f t="shared" si="13"/>
        <v>0.12999141347842008</v>
      </c>
      <c r="E47" s="557" t="s">
        <v>4</v>
      </c>
      <c r="F47" s="631">
        <f t="shared" si="14"/>
        <v>0.11883569284919288</v>
      </c>
      <c r="G47" s="568"/>
      <c r="H47" s="631">
        <f t="shared" si="15"/>
        <v>0.11580482786865555</v>
      </c>
      <c r="J47" s="531">
        <f t="shared" si="21"/>
        <v>1820.4939784682056</v>
      </c>
      <c r="K47" s="531"/>
      <c r="L47" s="531">
        <f t="shared" si="11"/>
        <v>2006.8943915857417</v>
      </c>
      <c r="N47" s="1146">
        <f t="shared" si="16"/>
        <v>1.1402031631853178</v>
      </c>
      <c r="O47"/>
      <c r="P47" s="557" t="s">
        <v>4</v>
      </c>
      <c r="Q47" s="616">
        <v>451</v>
      </c>
      <c r="R47" s="617">
        <v>523</v>
      </c>
      <c r="S47" s="617">
        <v>534</v>
      </c>
      <c r="T47" s="1272">
        <v>543.66217016934581</v>
      </c>
      <c r="U47" s="617">
        <v>562</v>
      </c>
      <c r="V47" s="1272">
        <v>560.04805707293201</v>
      </c>
      <c r="W47" s="603">
        <v>559</v>
      </c>
      <c r="X47" s="185"/>
      <c r="Y47" s="557" t="s">
        <v>4</v>
      </c>
      <c r="Z47" s="531">
        <f t="shared" si="17"/>
        <v>20.28</v>
      </c>
      <c r="AA47" s="531">
        <f t="shared" si="18"/>
        <v>33.519999999999996</v>
      </c>
      <c r="AB47" s="531">
        <f t="shared" si="19"/>
        <v>34.839999999999996</v>
      </c>
      <c r="AC47" s="531">
        <f t="shared" si="20"/>
        <v>33.4</v>
      </c>
      <c r="AD47" s="531">
        <f t="shared" si="20"/>
        <v>36.880000000000003</v>
      </c>
      <c r="AE47" s="557" t="s">
        <v>4</v>
      </c>
      <c r="AF47" s="531">
        <v>507</v>
      </c>
      <c r="AG47" s="551">
        <v>838</v>
      </c>
      <c r="AH47" s="551">
        <v>871</v>
      </c>
      <c r="AI47" s="551">
        <v>835</v>
      </c>
      <c r="AJ47" s="551">
        <v>922</v>
      </c>
    </row>
    <row r="48" spans="1:42" s="10" customFormat="1">
      <c r="A48" s="557" t="s">
        <v>14</v>
      </c>
      <c r="B48" s="631">
        <f t="shared" si="12"/>
        <v>0</v>
      </c>
      <c r="C48" s="631">
        <f t="shared" si="13"/>
        <v>0</v>
      </c>
      <c r="D48" s="66"/>
      <c r="E48" s="557" t="s">
        <v>14</v>
      </c>
      <c r="F48" s="631">
        <f t="shared" si="14"/>
        <v>0</v>
      </c>
      <c r="G48" s="568"/>
      <c r="H48" s="631">
        <f t="shared" si="15"/>
        <v>0</v>
      </c>
      <c r="I48"/>
      <c r="J48" s="530">
        <f t="shared" si="21"/>
        <v>0</v>
      </c>
      <c r="K48" s="531"/>
      <c r="L48" s="531">
        <f t="shared" si="11"/>
        <v>0</v>
      </c>
      <c r="M48"/>
      <c r="N48" s="1146">
        <f t="shared" si="16"/>
        <v>0</v>
      </c>
      <c r="O48"/>
      <c r="P48" s="557" t="s">
        <v>14</v>
      </c>
      <c r="Q48" s="616">
        <v>0</v>
      </c>
      <c r="R48" s="617">
        <v>0</v>
      </c>
      <c r="S48" s="528">
        <v>0</v>
      </c>
      <c r="T48" s="1272"/>
      <c r="U48" s="528">
        <v>0</v>
      </c>
      <c r="V48" s="1272"/>
      <c r="W48" s="603">
        <v>0</v>
      </c>
      <c r="X48" s="185"/>
      <c r="Y48" s="557" t="s">
        <v>14</v>
      </c>
      <c r="Z48" s="531">
        <f t="shared" si="17"/>
        <v>0.24</v>
      </c>
      <c r="AA48" s="531">
        <f t="shared" si="18"/>
        <v>0</v>
      </c>
      <c r="AB48" s="531">
        <f t="shared" si="19"/>
        <v>0</v>
      </c>
      <c r="AC48" s="531">
        <f t="shared" si="20"/>
        <v>0</v>
      </c>
      <c r="AD48" s="531">
        <f t="shared" si="20"/>
        <v>0</v>
      </c>
      <c r="AE48" s="557" t="s">
        <v>14</v>
      </c>
      <c r="AF48" s="531">
        <v>6</v>
      </c>
      <c r="AG48">
        <v>0</v>
      </c>
      <c r="AH48">
        <v>0</v>
      </c>
      <c r="AI48">
        <v>0</v>
      </c>
      <c r="AJ48">
        <v>0</v>
      </c>
      <c r="AK48"/>
      <c r="AL48"/>
      <c r="AM48"/>
      <c r="AN48"/>
      <c r="AO48"/>
      <c r="AP48"/>
    </row>
    <row r="49" spans="1:36">
      <c r="A49" s="559" t="s">
        <v>17</v>
      </c>
      <c r="B49" s="632">
        <f t="shared" si="12"/>
        <v>0.16518348083737117</v>
      </c>
      <c r="C49" s="632">
        <f t="shared" si="13"/>
        <v>0.15584373287157421</v>
      </c>
      <c r="E49" s="559" t="s">
        <v>17</v>
      </c>
      <c r="F49" s="632">
        <f t="shared" si="14"/>
        <v>0.17258402980198045</v>
      </c>
      <c r="G49" s="568"/>
      <c r="H49" s="632">
        <f t="shared" si="15"/>
        <v>0.16544597355944124</v>
      </c>
      <c r="J49" s="539">
        <f t="shared" si="21"/>
        <v>2643.8873666769446</v>
      </c>
      <c r="K49" s="531"/>
      <c r="L49" s="531">
        <f t="shared" si="11"/>
        <v>2867.1740423764795</v>
      </c>
      <c r="N49" s="1146">
        <f t="shared" si="16"/>
        <v>0.9661071118879152</v>
      </c>
      <c r="O49"/>
      <c r="P49" s="559" t="s">
        <v>17</v>
      </c>
      <c r="Q49" s="616">
        <v>823</v>
      </c>
      <c r="R49" s="617">
        <v>880</v>
      </c>
      <c r="S49" s="617">
        <v>898</v>
      </c>
      <c r="T49" s="1272">
        <v>887.98651669844583</v>
      </c>
      <c r="U49" s="617">
        <v>916</v>
      </c>
      <c r="V49" s="1272">
        <v>919.0103593533081</v>
      </c>
      <c r="W49" s="603">
        <v>986</v>
      </c>
      <c r="X49" s="185"/>
      <c r="Y49" s="559" t="s">
        <v>17</v>
      </c>
      <c r="Z49" s="531">
        <f t="shared" si="17"/>
        <v>25.839999999999996</v>
      </c>
      <c r="AA49" s="531">
        <f t="shared" si="18"/>
        <v>53.279999999999994</v>
      </c>
      <c r="AB49" s="531">
        <f t="shared" si="19"/>
        <v>56.52</v>
      </c>
      <c r="AC49" s="531">
        <f t="shared" si="20"/>
        <v>52.36</v>
      </c>
      <c r="AD49" s="531">
        <f t="shared" si="20"/>
        <v>58.879999999999995</v>
      </c>
      <c r="AE49" s="559" t="s">
        <v>17</v>
      </c>
      <c r="AF49" s="531">
        <v>646</v>
      </c>
      <c r="AG49" s="551">
        <v>1332</v>
      </c>
      <c r="AH49" s="551">
        <v>1413</v>
      </c>
      <c r="AI49" s="551">
        <v>1309</v>
      </c>
      <c r="AJ49" s="551">
        <v>1472</v>
      </c>
    </row>
    <row r="50" spans="1:36">
      <c r="A50" s="557" t="s">
        <v>376</v>
      </c>
      <c r="B50" s="631">
        <f t="shared" si="12"/>
        <v>0</v>
      </c>
      <c r="C50" s="631">
        <f t="shared" si="13"/>
        <v>0</v>
      </c>
      <c r="E50" s="557" t="s">
        <v>376</v>
      </c>
      <c r="F50" s="631">
        <f t="shared" si="14"/>
        <v>0</v>
      </c>
      <c r="G50" s="568"/>
      <c r="H50" s="631">
        <f t="shared" si="15"/>
        <v>0</v>
      </c>
      <c r="J50" s="530">
        <f t="shared" si="21"/>
        <v>0</v>
      </c>
      <c r="K50" s="531"/>
      <c r="L50" s="531">
        <f t="shared" si="11"/>
        <v>0</v>
      </c>
      <c r="N50" s="1146">
        <f t="shared" si="16"/>
        <v>0</v>
      </c>
      <c r="O50"/>
      <c r="P50" s="557" t="s">
        <v>376</v>
      </c>
      <c r="Q50" s="616">
        <v>0</v>
      </c>
      <c r="R50" s="617">
        <v>0</v>
      </c>
      <c r="S50" s="528">
        <v>0</v>
      </c>
      <c r="T50" s="1272"/>
      <c r="U50" s="528">
        <v>0</v>
      </c>
      <c r="V50" s="1272"/>
      <c r="W50" s="603">
        <v>0</v>
      </c>
      <c r="X50" s="185"/>
      <c r="Y50" s="557" t="s">
        <v>376</v>
      </c>
      <c r="Z50" s="531">
        <f t="shared" si="17"/>
        <v>0</v>
      </c>
      <c r="AA50" s="531">
        <f t="shared" si="18"/>
        <v>0</v>
      </c>
      <c r="AB50" s="531">
        <f t="shared" si="19"/>
        <v>0</v>
      </c>
      <c r="AC50" s="531">
        <f t="shared" si="20"/>
        <v>0</v>
      </c>
      <c r="AD50" s="531">
        <f t="shared" si="20"/>
        <v>0</v>
      </c>
      <c r="AE50" s="557" t="s">
        <v>376</v>
      </c>
      <c r="AF50" s="530">
        <v>0</v>
      </c>
      <c r="AG50">
        <v>0</v>
      </c>
      <c r="AH50">
        <v>0</v>
      </c>
      <c r="AI50">
        <v>0</v>
      </c>
      <c r="AJ50">
        <v>0</v>
      </c>
    </row>
    <row r="51" spans="1:36">
      <c r="A51" s="557" t="s">
        <v>7</v>
      </c>
      <c r="B51" s="631">
        <f t="shared" si="12"/>
        <v>0.25342499971723731</v>
      </c>
      <c r="C51" s="631">
        <f t="shared" si="13"/>
        <v>0.29274153810917758</v>
      </c>
      <c r="E51" s="557" t="s">
        <v>7</v>
      </c>
      <c r="F51" s="631">
        <f t="shared" si="14"/>
        <v>0.21817073473525508</v>
      </c>
      <c r="G51" s="568"/>
      <c r="H51" s="631">
        <f t="shared" si="15"/>
        <v>0.25955033704670072</v>
      </c>
      <c r="J51" s="531">
        <f t="shared" si="21"/>
        <v>3342.24928</v>
      </c>
      <c r="K51" s="531"/>
      <c r="L51" s="531">
        <f t="shared" si="11"/>
        <v>4498</v>
      </c>
      <c r="N51" s="1146">
        <f t="shared" si="16"/>
        <v>1.3839999999999999</v>
      </c>
      <c r="O51"/>
      <c r="P51" s="557" t="s">
        <v>7</v>
      </c>
      <c r="Q51" s="616">
        <v>668</v>
      </c>
      <c r="R51" s="617">
        <v>822</v>
      </c>
      <c r="S51" s="617">
        <v>907</v>
      </c>
      <c r="T51" s="1272">
        <v>1019.1575833891262</v>
      </c>
      <c r="U51" s="617">
        <v>1031</v>
      </c>
      <c r="V51" s="1272">
        <v>1128.6957977779159</v>
      </c>
      <c r="W51" s="603">
        <v>1310</v>
      </c>
      <c r="X51" s="185"/>
      <c r="Y51" s="557" t="s">
        <v>7</v>
      </c>
      <c r="Z51" s="531">
        <f t="shared" si="17"/>
        <v>16.080000000000002</v>
      </c>
      <c r="AA51" s="531">
        <f t="shared" si="18"/>
        <v>1.44</v>
      </c>
      <c r="AB51" s="531">
        <f t="shared" si="19"/>
        <v>0.4</v>
      </c>
      <c r="AC51" s="531">
        <f t="shared" si="20"/>
        <v>0.6</v>
      </c>
      <c r="AD51" s="531">
        <f t="shared" si="20"/>
        <v>1</v>
      </c>
      <c r="AE51" s="557" t="s">
        <v>7</v>
      </c>
      <c r="AF51" s="531">
        <v>402</v>
      </c>
      <c r="AG51" s="551">
        <v>36</v>
      </c>
      <c r="AH51" s="551">
        <v>10</v>
      </c>
      <c r="AI51" s="551">
        <v>15</v>
      </c>
      <c r="AJ51" s="551">
        <v>25</v>
      </c>
    </row>
    <row r="52" spans="1:36">
      <c r="A52" s="557" t="s">
        <v>9</v>
      </c>
      <c r="B52" s="631">
        <f t="shared" si="12"/>
        <v>0.10887274835471863</v>
      </c>
      <c r="C52" s="631">
        <f t="shared" si="13"/>
        <v>0.11400594063778496</v>
      </c>
      <c r="E52" s="557" t="s">
        <v>9</v>
      </c>
      <c r="F52" s="631">
        <f t="shared" si="14"/>
        <v>0.12590641581475265</v>
      </c>
      <c r="G52" s="568"/>
      <c r="H52" s="631">
        <f t="shared" si="15"/>
        <v>0.1224497730958216</v>
      </c>
      <c r="J52" s="531">
        <f t="shared" si="21"/>
        <v>1928.8133585601258</v>
      </c>
      <c r="K52" s="531"/>
      <c r="L52" s="531">
        <f t="shared" si="11"/>
        <v>2122.0511044295204</v>
      </c>
      <c r="N52" s="1146">
        <f t="shared" si="16"/>
        <v>0.88220300342126901</v>
      </c>
      <c r="O52"/>
      <c r="P52" s="557" t="s">
        <v>9</v>
      </c>
      <c r="Q52" s="616">
        <v>690</v>
      </c>
      <c r="R52" s="617">
        <v>729</v>
      </c>
      <c r="S52" s="617">
        <v>739</v>
      </c>
      <c r="T52" s="1272">
        <v>785.04533459491302</v>
      </c>
      <c r="U52" s="617">
        <v>826</v>
      </c>
      <c r="V52" s="1272">
        <v>780.27033928176979</v>
      </c>
      <c r="W52" s="603">
        <v>819</v>
      </c>
      <c r="X52" s="185"/>
      <c r="Y52" s="557" t="s">
        <v>9</v>
      </c>
      <c r="Z52" s="531">
        <f t="shared" si="17"/>
        <v>16.399999999999999</v>
      </c>
      <c r="AA52" s="531">
        <f t="shared" si="18"/>
        <v>5.5600000000000005</v>
      </c>
      <c r="AB52" s="531">
        <f t="shared" si="19"/>
        <v>6.4</v>
      </c>
      <c r="AC52" s="531">
        <f t="shared" si="20"/>
        <v>7.2</v>
      </c>
      <c r="AD52" s="531">
        <f t="shared" si="20"/>
        <v>7.8</v>
      </c>
      <c r="AE52" s="557" t="s">
        <v>9</v>
      </c>
      <c r="AF52" s="531">
        <v>410</v>
      </c>
      <c r="AG52" s="551">
        <v>139</v>
      </c>
      <c r="AH52" s="551">
        <v>160</v>
      </c>
      <c r="AI52" s="551">
        <v>180</v>
      </c>
      <c r="AJ52" s="551">
        <v>195</v>
      </c>
    </row>
    <row r="53" spans="1:36">
      <c r="A53" s="559" t="s">
        <v>5</v>
      </c>
      <c r="B53" s="632">
        <f t="shared" si="12"/>
        <v>2.7598993279309494E-2</v>
      </c>
      <c r="C53" s="632">
        <f t="shared" si="13"/>
        <v>2.2240354765735337E-2</v>
      </c>
      <c r="E53" s="559" t="s">
        <v>5</v>
      </c>
      <c r="F53" s="632">
        <f t="shared" si="14"/>
        <v>3.308198630882251E-2</v>
      </c>
      <c r="G53" s="568"/>
      <c r="H53" s="632">
        <f t="shared" si="15"/>
        <v>2.7476917220794556E-2</v>
      </c>
      <c r="J53" s="539">
        <f t="shared" si="21"/>
        <v>506.79686739747098</v>
      </c>
      <c r="K53" s="531"/>
      <c r="L53" s="531">
        <f t="shared" si="11"/>
        <v>476.17419829008441</v>
      </c>
      <c r="N53" s="1146">
        <f t="shared" si="16"/>
        <v>1.3843882959939655</v>
      </c>
      <c r="O53"/>
      <c r="P53" s="559" t="s">
        <v>5</v>
      </c>
      <c r="Q53" s="616">
        <v>133</v>
      </c>
      <c r="R53" s="617">
        <v>115</v>
      </c>
      <c r="S53" s="617">
        <v>111</v>
      </c>
      <c r="T53" s="1272">
        <v>123.38438005629625</v>
      </c>
      <c r="U53" s="617">
        <v>119</v>
      </c>
      <c r="V53" s="1272">
        <v>110.161501229892</v>
      </c>
      <c r="W53" s="603">
        <v>108</v>
      </c>
      <c r="X53" s="185"/>
      <c r="Y53" s="559" t="s">
        <v>5</v>
      </c>
      <c r="Z53" s="531">
        <f t="shared" si="17"/>
        <v>3.72</v>
      </c>
      <c r="AA53" s="531">
        <f t="shared" si="18"/>
        <v>1.48</v>
      </c>
      <c r="AB53" s="531">
        <f t="shared" si="19"/>
        <v>1.8800000000000001</v>
      </c>
      <c r="AC53" s="531">
        <f t="shared" si="20"/>
        <v>2.16</v>
      </c>
      <c r="AD53" s="531">
        <f t="shared" si="20"/>
        <v>1.92</v>
      </c>
      <c r="AE53" s="559" t="s">
        <v>5</v>
      </c>
      <c r="AF53" s="531">
        <v>93</v>
      </c>
      <c r="AG53" s="551">
        <v>37</v>
      </c>
      <c r="AH53" s="551">
        <v>47</v>
      </c>
      <c r="AI53" s="551">
        <v>54</v>
      </c>
      <c r="AJ53" s="551">
        <v>48</v>
      </c>
    </row>
    <row r="54" spans="1:36">
      <c r="A54" s="557"/>
      <c r="B54" s="631"/>
      <c r="C54" s="631"/>
      <c r="E54" s="537"/>
      <c r="F54" s="631"/>
      <c r="G54" s="633"/>
      <c r="H54" s="631"/>
      <c r="I54" s="66"/>
      <c r="J54" s="530"/>
      <c r="K54" s="624"/>
      <c r="L54" s="531">
        <f t="shared" si="11"/>
        <v>0</v>
      </c>
      <c r="N54" s="1146"/>
      <c r="O54"/>
      <c r="P54" s="557"/>
      <c r="Q54" s="612"/>
      <c r="R54" s="528"/>
      <c r="S54" s="528"/>
      <c r="T54" s="1273"/>
      <c r="U54" s="528"/>
      <c r="V54" s="1273"/>
      <c r="W54" s="185"/>
      <c r="X54" s="185"/>
      <c r="Y54" s="557"/>
      <c r="Z54" s="530"/>
      <c r="AA54" s="530"/>
      <c r="AB54" s="530"/>
      <c r="AC54" s="545"/>
      <c r="AD54" s="545"/>
      <c r="AE54" s="557"/>
      <c r="AF54" s="530"/>
    </row>
    <row r="55" spans="1:36">
      <c r="A55" s="557" t="s">
        <v>631</v>
      </c>
      <c r="B55" s="631">
        <f>F55*D$4+F30*D$5</f>
        <v>0</v>
      </c>
      <c r="C55" s="631">
        <f>H55*D$4+H30*D$5</f>
        <v>0</v>
      </c>
      <c r="E55" s="557" t="s">
        <v>631</v>
      </c>
      <c r="F55" s="631">
        <f>J55/J$60</f>
        <v>0</v>
      </c>
      <c r="G55" s="568"/>
      <c r="H55" s="631">
        <f>L55/L$60</f>
        <v>0</v>
      </c>
      <c r="J55" s="530">
        <f>N55*(Q55+R55+S55+Z55+AA55+AB55)</f>
        <v>0</v>
      </c>
      <c r="K55" s="531"/>
      <c r="L55" s="531">
        <f t="shared" si="11"/>
        <v>0</v>
      </c>
      <c r="N55" s="1146">
        <f t="shared" si="16"/>
        <v>1.0549999999999999</v>
      </c>
      <c r="O55"/>
      <c r="P55" s="557" t="s">
        <v>631</v>
      </c>
      <c r="Q55" s="612"/>
      <c r="R55" s="528"/>
      <c r="S55" s="528"/>
      <c r="T55" s="1273"/>
      <c r="U55" s="528"/>
      <c r="V55" s="1273"/>
      <c r="W55" s="185"/>
      <c r="X55" s="185"/>
      <c r="Y55" s="557" t="s">
        <v>631</v>
      </c>
      <c r="Z55" s="530"/>
      <c r="AA55" s="530"/>
      <c r="AB55" s="530"/>
      <c r="AC55" s="545"/>
      <c r="AD55" s="545"/>
      <c r="AE55" s="557" t="s">
        <v>631</v>
      </c>
      <c r="AF55" s="530"/>
      <c r="AG55" s="551">
        <v>23</v>
      </c>
      <c r="AH55" s="551">
        <v>26</v>
      </c>
      <c r="AI55" s="551">
        <v>22</v>
      </c>
      <c r="AJ55" s="551">
        <v>23</v>
      </c>
    </row>
    <row r="56" spans="1:36">
      <c r="A56" s="557" t="s">
        <v>657</v>
      </c>
      <c r="B56" s="631">
        <f>F56*D$4+F31*D$5</f>
        <v>0</v>
      </c>
      <c r="C56" s="631">
        <f>H56*D$4+H31*D$5</f>
        <v>0</v>
      </c>
      <c r="E56" s="557" t="s">
        <v>657</v>
      </c>
      <c r="F56" s="631">
        <f>J56/J$60</f>
        <v>0</v>
      </c>
      <c r="G56" s="568"/>
      <c r="H56" s="631">
        <f>L56/L$60</f>
        <v>0</v>
      </c>
      <c r="J56" s="530">
        <f>N56*(Q56+R56+S56+Z56+AA56+AB56)</f>
        <v>0</v>
      </c>
      <c r="K56" s="531"/>
      <c r="L56" s="531">
        <f t="shared" si="11"/>
        <v>0</v>
      </c>
      <c r="N56" s="1146">
        <f t="shared" si="16"/>
        <v>1.0549999999999999</v>
      </c>
      <c r="O56"/>
      <c r="P56" s="557" t="s">
        <v>657</v>
      </c>
      <c r="Q56" s="612"/>
      <c r="R56" s="528"/>
      <c r="S56" s="528"/>
      <c r="T56" s="1273"/>
      <c r="U56" s="528"/>
      <c r="V56" s="1273"/>
      <c r="W56" s="185"/>
      <c r="X56" s="185"/>
      <c r="Y56" s="557" t="s">
        <v>657</v>
      </c>
      <c r="Z56" s="530"/>
      <c r="AA56" s="530"/>
      <c r="AB56" s="530"/>
      <c r="AC56" s="545"/>
      <c r="AD56" s="545"/>
      <c r="AE56" s="557" t="s">
        <v>657</v>
      </c>
      <c r="AF56" s="530"/>
      <c r="AG56">
        <v>0</v>
      </c>
      <c r="AH56">
        <v>0</v>
      </c>
      <c r="AI56">
        <v>2</v>
      </c>
      <c r="AJ56">
        <v>15</v>
      </c>
    </row>
    <row r="57" spans="1:36">
      <c r="A57" s="559" t="s">
        <v>633</v>
      </c>
      <c r="B57" s="632">
        <f>F57*D$4+F32*D$5</f>
        <v>1.92077758596505E-2</v>
      </c>
      <c r="C57" s="632">
        <f>H57*D$4+H32*D$5</f>
        <v>1.8444404020441188E-2</v>
      </c>
      <c r="E57" s="559" t="s">
        <v>633</v>
      </c>
      <c r="F57" s="632">
        <f>J57/J$60</f>
        <v>3.2012959766084169E-2</v>
      </c>
      <c r="G57" s="568"/>
      <c r="H57" s="632">
        <f>L57/L$60</f>
        <v>3.0740673367401983E-2</v>
      </c>
      <c r="J57" s="540">
        <f>N57*(Q57+R57+S57+Z57+AA57+AB57)</f>
        <v>490.41999999999996</v>
      </c>
      <c r="K57" s="531"/>
      <c r="L57" s="531">
        <f t="shared" si="11"/>
        <v>532.73500000000001</v>
      </c>
      <c r="N57" s="1146">
        <f t="shared" si="16"/>
        <v>1.085</v>
      </c>
      <c r="O57"/>
      <c r="P57" s="559" t="s">
        <v>633</v>
      </c>
      <c r="Q57" s="618">
        <v>101</v>
      </c>
      <c r="R57" s="618">
        <v>180</v>
      </c>
      <c r="S57" s="617">
        <v>171</v>
      </c>
      <c r="T57" s="1272">
        <v>195.62748784462116</v>
      </c>
      <c r="U57" s="617">
        <v>182</v>
      </c>
      <c r="V57" s="1272">
        <v>143.43915177249883</v>
      </c>
      <c r="W57" s="603">
        <v>138</v>
      </c>
      <c r="X57" s="185"/>
      <c r="Y57" s="559" t="s">
        <v>633</v>
      </c>
      <c r="Z57" s="530"/>
      <c r="AA57" s="530"/>
      <c r="AB57" s="530"/>
      <c r="AC57" s="545"/>
      <c r="AD57" s="545"/>
      <c r="AE57" s="559" t="s">
        <v>633</v>
      </c>
      <c r="AF57" s="530"/>
    </row>
    <row r="58" spans="1:36">
      <c r="A58" s="557" t="s">
        <v>656</v>
      </c>
      <c r="B58" s="631">
        <f>F58*D$4+F33*D$5</f>
        <v>2.3139256102690582E-5</v>
      </c>
      <c r="C58" s="631">
        <f>H58*D$4+H33*D$5</f>
        <v>0</v>
      </c>
      <c r="E58" s="557" t="s">
        <v>656</v>
      </c>
      <c r="F58" s="631">
        <f>J58/J$60</f>
        <v>3.8565426837817635E-5</v>
      </c>
      <c r="G58" s="568"/>
      <c r="H58" s="631">
        <f>L58/L$60</f>
        <v>0</v>
      </c>
      <c r="J58" s="530">
        <f>N58*(Q58+R58+S58+Z58+AA58+AB58)</f>
        <v>0.59079999999999988</v>
      </c>
      <c r="K58" s="531"/>
      <c r="L58" s="531">
        <f t="shared" si="11"/>
        <v>0</v>
      </c>
      <c r="N58" s="1146">
        <f t="shared" si="16"/>
        <v>1.0549999999999999</v>
      </c>
      <c r="O58"/>
      <c r="P58" s="557" t="s">
        <v>656</v>
      </c>
      <c r="Q58" s="612"/>
      <c r="R58" s="528"/>
      <c r="S58" s="528"/>
      <c r="T58" s="528"/>
      <c r="U58" s="528"/>
      <c r="V58" s="528"/>
      <c r="W58" s="528"/>
      <c r="X58" s="185"/>
      <c r="Y58" s="557" t="s">
        <v>656</v>
      </c>
      <c r="Z58" s="531">
        <f>AF58/5/5</f>
        <v>0.55999999999999994</v>
      </c>
      <c r="AA58" s="531">
        <f>AG58/5/5</f>
        <v>0</v>
      </c>
      <c r="AB58" s="531">
        <f>AH58/5/5</f>
        <v>0</v>
      </c>
      <c r="AC58" s="531">
        <f>AI58/5/5</f>
        <v>0</v>
      </c>
      <c r="AD58" s="531">
        <f>AJ58/5/5</f>
        <v>0</v>
      </c>
      <c r="AE58" s="557" t="s">
        <v>656</v>
      </c>
      <c r="AF58" s="531">
        <v>14</v>
      </c>
    </row>
    <row r="59" spans="1:36">
      <c r="A59" s="563" t="s">
        <v>635</v>
      </c>
      <c r="B59" s="631">
        <f>F59*D$4+F34*D$5</f>
        <v>0</v>
      </c>
      <c r="C59" s="631">
        <f>H59*D$4+H34*D$5</f>
        <v>0</v>
      </c>
      <c r="E59" s="563" t="s">
        <v>635</v>
      </c>
      <c r="F59" s="568">
        <f>J59/J$60</f>
        <v>0</v>
      </c>
      <c r="G59" s="568"/>
      <c r="H59" s="568">
        <f>L59/L$60</f>
        <v>0</v>
      </c>
      <c r="J59" s="531">
        <f>N59*(Q59+R59+S59+Z59+AA59+AB59)</f>
        <v>0</v>
      </c>
      <c r="K59" s="531"/>
      <c r="L59" s="531">
        <f t="shared" si="11"/>
        <v>0</v>
      </c>
      <c r="N59" s="1146">
        <f t="shared" si="16"/>
        <v>1.0820000000000001</v>
      </c>
      <c r="O59"/>
      <c r="P59" s="619" t="s">
        <v>635</v>
      </c>
      <c r="Q59" s="620"/>
      <c r="R59" s="621"/>
      <c r="S59" s="621"/>
      <c r="T59" s="621"/>
      <c r="U59" s="528"/>
      <c r="V59" s="528"/>
      <c r="W59" s="528"/>
      <c r="X59" s="185"/>
      <c r="Y59" s="619" t="s">
        <v>635</v>
      </c>
      <c r="Z59" s="622"/>
      <c r="AA59" s="622"/>
      <c r="AB59" s="622"/>
      <c r="AC59" s="623"/>
      <c r="AD59" s="623"/>
      <c r="AE59" s="619" t="s">
        <v>635</v>
      </c>
      <c r="AF59" s="622"/>
    </row>
    <row r="60" spans="1:36">
      <c r="A60" s="564"/>
      <c r="B60" s="569">
        <f>SUM(B42:B59)</f>
        <v>0.99999999999999989</v>
      </c>
      <c r="C60" s="569">
        <f>SUM(C42:C59)</f>
        <v>0.99999999999999989</v>
      </c>
      <c r="E60" s="542"/>
      <c r="F60" s="569">
        <f>SUM(F42:F59)</f>
        <v>1.0000000000000002</v>
      </c>
      <c r="G60" s="543"/>
      <c r="H60" s="569">
        <f>SUM(H42:H59)</f>
        <v>0.99999999999999989</v>
      </c>
      <c r="J60" s="543">
        <f>SUM(J42:J59)</f>
        <v>15319.420746580603</v>
      </c>
      <c r="K60" s="543">
        <f>SUM(K42:K59)</f>
        <v>0</v>
      </c>
      <c r="L60" s="543">
        <f>SUM(L42:L59)</f>
        <v>17329.971716394564</v>
      </c>
      <c r="N60" s="185"/>
      <c r="O60"/>
      <c r="P60" s="542" t="s">
        <v>224</v>
      </c>
      <c r="Q60" s="543">
        <f t="shared" ref="Q60:W60" si="22">SUM(Q42:Q59)</f>
        <v>4067</v>
      </c>
      <c r="R60" s="543">
        <f t="shared" si="22"/>
        <v>4668</v>
      </c>
      <c r="S60" s="543">
        <f t="shared" si="22"/>
        <v>4724</v>
      </c>
      <c r="T60" s="543">
        <f t="shared" si="22"/>
        <v>4960.0016484724674</v>
      </c>
      <c r="U60" s="543">
        <f t="shared" si="22"/>
        <v>5022</v>
      </c>
      <c r="V60" s="543">
        <f t="shared" si="22"/>
        <v>5022.1439155988674</v>
      </c>
      <c r="W60" s="543">
        <f t="shared" si="22"/>
        <v>5299</v>
      </c>
      <c r="X60" s="185"/>
      <c r="Y60" s="542" t="s">
        <v>224</v>
      </c>
      <c r="Z60" s="543">
        <f>SUM(Z42:Z59)</f>
        <v>117.75999999999999</v>
      </c>
      <c r="AA60" s="543">
        <f>SUM(AA42:AA59)</f>
        <v>139.11999999999998</v>
      </c>
      <c r="AB60" s="543">
        <f>SUM(AB42:AB59)</f>
        <v>144</v>
      </c>
      <c r="AC60" s="543">
        <f>SUM(AC42:AC59)</f>
        <v>142.91999999999996</v>
      </c>
      <c r="AD60" s="543">
        <f>SUM(AD42:AD59)</f>
        <v>155.24</v>
      </c>
      <c r="AE60" s="542" t="s">
        <v>224</v>
      </c>
      <c r="AF60" s="543">
        <f>SUM(AF42:AF59)</f>
        <v>2944</v>
      </c>
      <c r="AG60" s="543">
        <f>SUM(AG42:AG59)</f>
        <v>3501</v>
      </c>
      <c r="AH60" s="543">
        <f>SUM(AH42:AH59)</f>
        <v>3626</v>
      </c>
      <c r="AI60" s="543">
        <f>SUM(AI42:AI59)</f>
        <v>3597</v>
      </c>
      <c r="AJ60" s="543">
        <f>SUM(AJ42:AJ59)</f>
        <v>3919</v>
      </c>
    </row>
    <row r="61" spans="1:36">
      <c r="K61"/>
      <c r="L61"/>
      <c r="N61"/>
      <c r="O61"/>
      <c r="Y61" s="606"/>
      <c r="Z61" s="549"/>
      <c r="AA61" s="549"/>
      <c r="AB61" s="549"/>
      <c r="AC61" s="607"/>
      <c r="AE61" s="606"/>
      <c r="AF61" s="549"/>
      <c r="AG61" s="549"/>
      <c r="AH61" s="549"/>
      <c r="AI61" s="607"/>
    </row>
    <row r="62" spans="1:36">
      <c r="K62"/>
      <c r="L62"/>
      <c r="N62"/>
      <c r="O62"/>
    </row>
    <row r="63" spans="1:36">
      <c r="D63"/>
      <c r="K63"/>
      <c r="L63"/>
      <c r="N63"/>
      <c r="O63"/>
    </row>
    <row r="64" spans="1:36">
      <c r="D64"/>
      <c r="K64"/>
      <c r="L64"/>
      <c r="N64"/>
      <c r="O64"/>
    </row>
    <row r="65" spans="1:15">
      <c r="D65"/>
      <c r="K65"/>
      <c r="L65"/>
      <c r="N65"/>
      <c r="O65"/>
    </row>
    <row r="66" spans="1:15">
      <c r="D66"/>
      <c r="K66"/>
      <c r="L66"/>
      <c r="N66"/>
      <c r="O66"/>
    </row>
    <row r="67" spans="1:15">
      <c r="A67" s="554" t="s">
        <v>1327</v>
      </c>
      <c r="B67" s="253"/>
      <c r="C67" s="253"/>
      <c r="D67"/>
      <c r="K67"/>
      <c r="L67"/>
      <c r="N67"/>
      <c r="O67"/>
    </row>
    <row r="68" spans="1:15">
      <c r="A68" s="555"/>
      <c r="B68" s="556" t="s">
        <v>1247</v>
      </c>
      <c r="C68" s="556" t="s">
        <v>1329</v>
      </c>
      <c r="D68"/>
      <c r="K68"/>
      <c r="L68"/>
      <c r="N68"/>
      <c r="O68"/>
    </row>
    <row r="69" spans="1:15">
      <c r="A69" s="557" t="s">
        <v>628</v>
      </c>
      <c r="B69" s="531">
        <f>0.4*C17*H17/(0.4*H17+0.6*H42)</f>
        <v>1525312.8141864557</v>
      </c>
      <c r="C69" s="1023">
        <f>B69/((S17+U17+W17)/3)</f>
        <v>85.309913357060466</v>
      </c>
      <c r="D69"/>
      <c r="E69" s="256"/>
      <c r="F69" s="630" t="s">
        <v>679</v>
      </c>
      <c r="G69" s="630" t="s">
        <v>680</v>
      </c>
      <c r="K69"/>
      <c r="L69"/>
      <c r="N69"/>
      <c r="O69"/>
    </row>
    <row r="70" spans="1:15">
      <c r="A70" s="557" t="s">
        <v>6</v>
      </c>
      <c r="B70" s="531">
        <f t="shared" ref="B70:B80" si="23">0.4*C18*H18/(0.4*H18+0.6*H43)</f>
        <v>2174410.3061289554</v>
      </c>
      <c r="C70" s="1023">
        <f t="shared" ref="C70:C80" si="24">B70/((S18+U18+W18)/3)</f>
        <v>56.83147983470289</v>
      </c>
      <c r="D70"/>
      <c r="E70" s="557" t="s">
        <v>628</v>
      </c>
      <c r="F70" s="625">
        <v>0.10317316392370419</v>
      </c>
      <c r="G70" s="568">
        <v>8.7119284504576608E-2</v>
      </c>
      <c r="K70"/>
      <c r="L70"/>
      <c r="N70"/>
      <c r="O70"/>
    </row>
    <row r="71" spans="1:15">
      <c r="A71" s="557" t="s">
        <v>8</v>
      </c>
      <c r="B71" s="531">
        <f t="shared" si="23"/>
        <v>14568.831721419076</v>
      </c>
      <c r="C71" s="1023">
        <f t="shared" si="24"/>
        <v>57.889397568552617</v>
      </c>
      <c r="D71"/>
      <c r="E71" s="557" t="s">
        <v>6</v>
      </c>
      <c r="F71" s="625">
        <v>0.12836867491120668</v>
      </c>
      <c r="G71" s="568">
        <v>0.13898374257389956</v>
      </c>
      <c r="K71"/>
      <c r="L71"/>
      <c r="N71"/>
      <c r="O71"/>
    </row>
    <row r="72" spans="1:15">
      <c r="A72" s="559" t="s">
        <v>2</v>
      </c>
      <c r="B72" s="539">
        <f t="shared" si="23"/>
        <v>436536.30640709173</v>
      </c>
      <c r="C72" s="1024">
        <f t="shared" si="24"/>
        <v>85.466874582084131</v>
      </c>
      <c r="D72"/>
      <c r="E72" s="557" t="s">
        <v>8</v>
      </c>
      <c r="F72" s="625">
        <v>1.2447034470798674E-2</v>
      </c>
      <c r="G72" s="568">
        <v>5.9445650013092196E-4</v>
      </c>
      <c r="K72"/>
      <c r="L72"/>
      <c r="N72"/>
      <c r="O72"/>
    </row>
    <row r="73" spans="1:15">
      <c r="A73" s="557" t="s">
        <v>10</v>
      </c>
      <c r="B73" s="530">
        <v>0</v>
      </c>
      <c r="C73" s="1023">
        <f t="shared" si="24"/>
        <v>0</v>
      </c>
      <c r="D73"/>
      <c r="E73" s="559" t="s">
        <v>2</v>
      </c>
      <c r="F73" s="625">
        <v>4.0074978604820517E-2</v>
      </c>
      <c r="G73" s="568">
        <v>2.8873601434930493E-2</v>
      </c>
      <c r="K73"/>
      <c r="L73"/>
      <c r="N73"/>
      <c r="O73"/>
    </row>
    <row r="74" spans="1:15">
      <c r="A74" s="557" t="s">
        <v>4</v>
      </c>
      <c r="B74" s="531">
        <f t="shared" si="23"/>
        <v>2521344.125661301</v>
      </c>
      <c r="C74" s="1023">
        <f t="shared" si="24"/>
        <v>70.411561232698816</v>
      </c>
      <c r="D74"/>
      <c r="E74" s="557" t="s">
        <v>10</v>
      </c>
      <c r="F74" s="625">
        <v>0</v>
      </c>
      <c r="G74" s="568">
        <v>0</v>
      </c>
      <c r="K74"/>
      <c r="L74"/>
      <c r="N74"/>
      <c r="O74"/>
    </row>
    <row r="75" spans="1:15">
      <c r="A75" s="557" t="s">
        <v>14</v>
      </c>
      <c r="B75" s="530">
        <v>0</v>
      </c>
      <c r="C75" s="1023"/>
      <c r="D75"/>
      <c r="E75" s="557" t="s">
        <v>4</v>
      </c>
      <c r="F75" s="625">
        <v>0.13180775635604364</v>
      </c>
      <c r="G75" s="568">
        <v>0.17244315129555429</v>
      </c>
      <c r="K75"/>
      <c r="L75"/>
      <c r="N75"/>
      <c r="O75"/>
    </row>
    <row r="76" spans="1:15">
      <c r="A76" s="559" t="s">
        <v>17</v>
      </c>
      <c r="B76" s="539">
        <f t="shared" si="23"/>
        <v>2357485.3245892595</v>
      </c>
      <c r="C76" s="1024">
        <f t="shared" si="24"/>
        <v>59.660516881924828</v>
      </c>
      <c r="D76"/>
      <c r="E76" s="557" t="s">
        <v>14</v>
      </c>
      <c r="F76" s="625">
        <v>3.0024108157886455E-5</v>
      </c>
      <c r="G76" s="568">
        <v>0</v>
      </c>
      <c r="K76"/>
      <c r="L76"/>
      <c r="N76"/>
      <c r="O76"/>
    </row>
    <row r="77" spans="1:15">
      <c r="A77" s="557" t="s">
        <v>376</v>
      </c>
      <c r="B77" s="530">
        <v>0</v>
      </c>
      <c r="C77" s="1023"/>
      <c r="D77"/>
      <c r="E77" s="559" t="s">
        <v>17</v>
      </c>
      <c r="F77" s="625">
        <v>0.17687154077237863</v>
      </c>
      <c r="G77" s="568">
        <v>0.15444932033163467</v>
      </c>
      <c r="K77"/>
      <c r="L77"/>
      <c r="N77"/>
      <c r="O77"/>
    </row>
    <row r="78" spans="1:15">
      <c r="A78" s="557" t="s">
        <v>7</v>
      </c>
      <c r="B78" s="531">
        <f t="shared" si="23"/>
        <v>5709158.7331250254</v>
      </c>
      <c r="C78" s="1023">
        <f t="shared" si="24"/>
        <v>85.466874582084117</v>
      </c>
      <c r="D78"/>
      <c r="E78" s="557" t="s">
        <v>376</v>
      </c>
      <c r="F78" s="625">
        <v>0</v>
      </c>
      <c r="G78" s="568">
        <v>0</v>
      </c>
      <c r="K78"/>
      <c r="L78"/>
      <c r="N78"/>
      <c r="O78"/>
    </row>
    <row r="79" spans="1:15">
      <c r="A79" s="557" t="s">
        <v>9</v>
      </c>
      <c r="B79" s="531">
        <f t="shared" si="23"/>
        <v>1689107.6586361367</v>
      </c>
      <c r="C79" s="1023">
        <f t="shared" si="24"/>
        <v>54.479142665710647</v>
      </c>
      <c r="D79"/>
      <c r="E79" s="557" t="s">
        <v>7</v>
      </c>
      <c r="F79" s="625">
        <v>0.23513536429211201</v>
      </c>
      <c r="G79" s="568">
        <v>0.31174880341065031</v>
      </c>
      <c r="K79"/>
      <c r="L79"/>
      <c r="N79"/>
      <c r="O79"/>
    </row>
    <row r="80" spans="1:15">
      <c r="A80" s="559" t="s">
        <v>5</v>
      </c>
      <c r="B80" s="539">
        <f t="shared" si="23"/>
        <v>239773.34635157819</v>
      </c>
      <c r="C80" s="1024">
        <f t="shared" si="24"/>
        <v>85.490853227327619</v>
      </c>
      <c r="D80"/>
      <c r="E80" s="557" t="s">
        <v>9</v>
      </c>
      <c r="F80" s="625">
        <v>0.13892322979659749</v>
      </c>
      <c r="G80" s="568">
        <v>8.7306499701046397E-2</v>
      </c>
      <c r="K80"/>
      <c r="L80"/>
      <c r="N80"/>
      <c r="O80"/>
    </row>
    <row r="81" spans="1:15" ht="16.5" thickBot="1">
      <c r="A81" s="557"/>
      <c r="B81" s="530"/>
      <c r="C81" s="1023"/>
      <c r="D81"/>
      <c r="E81" s="627" t="s">
        <v>5</v>
      </c>
      <c r="F81" s="628">
        <v>3.3168232764180329E-2</v>
      </c>
      <c r="G81" s="629">
        <v>1.8481140247576744E-2</v>
      </c>
      <c r="K81"/>
      <c r="L81"/>
      <c r="N81"/>
      <c r="O81"/>
    </row>
    <row r="82" spans="1:15" ht="16.5" thickTop="1">
      <c r="A82" s="557" t="s">
        <v>631</v>
      </c>
      <c r="B82" s="531">
        <v>0</v>
      </c>
      <c r="C82" s="1023"/>
      <c r="D82"/>
      <c r="K82"/>
      <c r="L82"/>
      <c r="N82"/>
      <c r="O82"/>
    </row>
    <row r="83" spans="1:15">
      <c r="A83" s="557" t="s">
        <v>657</v>
      </c>
      <c r="B83" s="530">
        <v>0</v>
      </c>
      <c r="C83" s="1023"/>
      <c r="D83"/>
      <c r="K83"/>
      <c r="L83"/>
      <c r="N83"/>
      <c r="O83"/>
    </row>
    <row r="84" spans="1:15">
      <c r="A84" s="559" t="s">
        <v>633</v>
      </c>
      <c r="B84" s="539">
        <f t="shared" ref="B84" si="25">0.4*C32*H32/(0.4*H32+0.6*H57)</f>
        <v>0</v>
      </c>
      <c r="C84" s="1024"/>
      <c r="D84"/>
      <c r="K84"/>
      <c r="L84"/>
      <c r="N84"/>
      <c r="O84"/>
    </row>
    <row r="85" spans="1:15">
      <c r="A85" s="557" t="s">
        <v>656</v>
      </c>
      <c r="B85" s="531">
        <v>0</v>
      </c>
      <c r="C85" s="1023"/>
      <c r="D85"/>
      <c r="K85"/>
      <c r="L85"/>
      <c r="N85"/>
      <c r="O85"/>
    </row>
    <row r="86" spans="1:15">
      <c r="A86" s="563" t="s">
        <v>635</v>
      </c>
      <c r="B86" s="531">
        <v>0</v>
      </c>
      <c r="C86" s="1023"/>
      <c r="D86"/>
      <c r="K86"/>
      <c r="L86"/>
      <c r="N86"/>
      <c r="O86"/>
    </row>
    <row r="87" spans="1:15">
      <c r="A87" s="564"/>
      <c r="B87" s="543">
        <f>SUM(B69:B86)</f>
        <v>16667697.446807222</v>
      </c>
      <c r="C87" s="1487">
        <f>B87/((S35+U35+W35)/3)</f>
        <v>70.196133190921216</v>
      </c>
      <c r="D87"/>
      <c r="K87"/>
      <c r="L87"/>
      <c r="N87"/>
      <c r="O87"/>
    </row>
    <row r="88" spans="1:15">
      <c r="D88"/>
      <c r="K88"/>
      <c r="L88"/>
      <c r="N88"/>
      <c r="O88"/>
    </row>
    <row r="89" spans="1:15">
      <c r="D89"/>
      <c r="K89"/>
      <c r="L89"/>
      <c r="N89"/>
      <c r="O89"/>
    </row>
    <row r="90" spans="1:15">
      <c r="A90" s="554" t="s">
        <v>1326</v>
      </c>
      <c r="B90" s="253"/>
      <c r="C90" s="253"/>
      <c r="D90"/>
      <c r="K90"/>
      <c r="L90"/>
      <c r="N90"/>
      <c r="O90"/>
    </row>
    <row r="91" spans="1:15">
      <c r="A91" s="555"/>
      <c r="B91" s="556" t="s">
        <v>1247</v>
      </c>
      <c r="C91" s="556" t="s">
        <v>1328</v>
      </c>
      <c r="D91"/>
      <c r="K91"/>
      <c r="L91"/>
      <c r="N91"/>
      <c r="O91"/>
    </row>
    <row r="92" spans="1:15">
      <c r="A92" s="557" t="s">
        <v>628</v>
      </c>
      <c r="B92" s="531">
        <f>0.6*C17*H42/(0.6*H42+0.4*H17)</f>
        <v>3024015.1622527912</v>
      </c>
      <c r="C92" s="1023">
        <f>B92/((S42+U42+W42+AB42+AC42+AD42)/3)</f>
        <v>5978.9928866411665</v>
      </c>
      <c r="D92"/>
      <c r="E92" s="551">
        <f>B92+B69</f>
        <v>4549327.9764392469</v>
      </c>
      <c r="K92"/>
      <c r="L92"/>
      <c r="N92"/>
      <c r="O92"/>
    </row>
    <row r="93" spans="1:15">
      <c r="A93" s="557" t="s">
        <v>6</v>
      </c>
      <c r="B93" s="531">
        <f t="shared" ref="B93:B103" si="26">0.6*C18*H43/(0.6*H43+0.4*H18)</f>
        <v>2883739.7696873937</v>
      </c>
      <c r="C93" s="1023">
        <f t="shared" ref="C93:C103" si="27">B93/((S43+U43+W43+AB43+AC43+AD43)/3)</f>
        <v>3983.0659802312066</v>
      </c>
      <c r="D93"/>
      <c r="E93" s="551">
        <f t="shared" ref="E93:E109" si="28">B93+B70</f>
        <v>5058150.0758163491</v>
      </c>
      <c r="K93"/>
      <c r="L93"/>
      <c r="N93"/>
      <c r="O93"/>
    </row>
    <row r="94" spans="1:15">
      <c r="A94" s="557" t="s">
        <v>8</v>
      </c>
      <c r="B94" s="531">
        <f t="shared" si="26"/>
        <v>212651.93865721492</v>
      </c>
      <c r="C94" s="1023">
        <f t="shared" si="27"/>
        <v>4057.2107350015567</v>
      </c>
      <c r="D94"/>
      <c r="E94" s="551">
        <f t="shared" si="28"/>
        <v>227220.77037863398</v>
      </c>
      <c r="K94"/>
      <c r="L94"/>
      <c r="N94"/>
      <c r="O94"/>
    </row>
    <row r="95" spans="1:15">
      <c r="A95" s="559" t="s">
        <v>2</v>
      </c>
      <c r="B95" s="539">
        <f t="shared" si="26"/>
        <v>843311.2325369477</v>
      </c>
      <c r="C95" s="1024">
        <f t="shared" si="27"/>
        <v>5989.9936016924976</v>
      </c>
      <c r="D95"/>
      <c r="E95" s="551">
        <f t="shared" si="28"/>
        <v>1279847.5389440395</v>
      </c>
      <c r="K95"/>
      <c r="L95"/>
      <c r="N95"/>
      <c r="O95"/>
    </row>
    <row r="96" spans="1:15">
      <c r="A96" s="557" t="s">
        <v>10</v>
      </c>
      <c r="B96" s="530">
        <v>0</v>
      </c>
      <c r="C96" s="1023"/>
      <c r="D96"/>
      <c r="E96" s="551">
        <f t="shared" si="28"/>
        <v>0</v>
      </c>
      <c r="K96"/>
      <c r="L96"/>
      <c r="N96"/>
      <c r="O96"/>
    </row>
    <row r="97" spans="1:15">
      <c r="A97" s="557" t="s">
        <v>4</v>
      </c>
      <c r="B97" s="531">
        <f t="shared" si="26"/>
        <v>2895299.7506915098</v>
      </c>
      <c r="C97" s="1023">
        <f t="shared" si="27"/>
        <v>4934.8335636630054</v>
      </c>
      <c r="D97"/>
      <c r="E97" s="551">
        <f t="shared" si="28"/>
        <v>5416643.8763528112</v>
      </c>
      <c r="K97"/>
      <c r="L97"/>
      <c r="N97"/>
      <c r="O97"/>
    </row>
    <row r="98" spans="1:15">
      <c r="A98" s="557" t="s">
        <v>14</v>
      </c>
      <c r="B98" s="530">
        <v>0</v>
      </c>
      <c r="C98" s="1023"/>
      <c r="D98"/>
      <c r="E98" s="551">
        <f t="shared" si="28"/>
        <v>0</v>
      </c>
      <c r="K98"/>
      <c r="L98"/>
      <c r="N98"/>
      <c r="O98"/>
    </row>
    <row r="99" spans="1:15">
      <c r="A99" s="559" t="s">
        <v>17</v>
      </c>
      <c r="B99" s="539">
        <f t="shared" si="26"/>
        <v>4136405.1466218508</v>
      </c>
      <c r="C99" s="1024">
        <f t="shared" si="27"/>
        <v>4181.3406204900502</v>
      </c>
      <c r="D99"/>
      <c r="E99" s="551">
        <f t="shared" si="28"/>
        <v>6493890.4712111102</v>
      </c>
      <c r="K99"/>
      <c r="L99"/>
      <c r="N99"/>
      <c r="O99"/>
    </row>
    <row r="100" spans="1:15">
      <c r="A100" s="557" t="s">
        <v>376</v>
      </c>
      <c r="B100" s="530">
        <v>0</v>
      </c>
      <c r="C100" s="1023"/>
      <c r="D100"/>
      <c r="E100" s="551">
        <f t="shared" si="28"/>
        <v>0</v>
      </c>
      <c r="K100"/>
      <c r="L100"/>
      <c r="N100"/>
      <c r="O100"/>
    </row>
    <row r="101" spans="1:15">
      <c r="A101" s="557" t="s">
        <v>7</v>
      </c>
      <c r="B101" s="531">
        <f t="shared" si="26"/>
        <v>6489159.7351668719</v>
      </c>
      <c r="C101" s="1023">
        <f t="shared" si="27"/>
        <v>5989.9936016924976</v>
      </c>
      <c r="D101"/>
      <c r="E101" s="551">
        <f t="shared" si="28"/>
        <v>12198318.468291897</v>
      </c>
      <c r="K101"/>
      <c r="L101"/>
      <c r="N101"/>
      <c r="O101"/>
    </row>
    <row r="102" spans="1:15">
      <c r="A102" s="557" t="s">
        <v>9</v>
      </c>
      <c r="B102" s="531">
        <f t="shared" si="26"/>
        <v>3061433.6555870245</v>
      </c>
      <c r="C102" s="1023">
        <f t="shared" si="27"/>
        <v>3818.2011169705966</v>
      </c>
      <c r="D102"/>
      <c r="E102" s="551">
        <f t="shared" si="28"/>
        <v>4750541.314223161</v>
      </c>
      <c r="K102"/>
      <c r="L102"/>
      <c r="N102"/>
      <c r="O102"/>
    </row>
    <row r="103" spans="1:15">
      <c r="A103" s="559" t="s">
        <v>5</v>
      </c>
      <c r="B103" s="539">
        <f t="shared" si="26"/>
        <v>686965.41451075638</v>
      </c>
      <c r="C103" s="1024">
        <f t="shared" si="27"/>
        <v>5991.6741584261799</v>
      </c>
      <c r="D103"/>
      <c r="E103" s="551">
        <f t="shared" si="28"/>
        <v>926738.76086233463</v>
      </c>
      <c r="K103"/>
      <c r="L103"/>
      <c r="N103"/>
      <c r="O103"/>
    </row>
    <row r="104" spans="1:15">
      <c r="A104" s="557"/>
      <c r="B104" s="530"/>
      <c r="C104" s="1023"/>
      <c r="D104"/>
      <c r="E104" s="551">
        <f t="shared" si="28"/>
        <v>0</v>
      </c>
      <c r="K104"/>
      <c r="L104"/>
      <c r="N104"/>
      <c r="O104"/>
    </row>
    <row r="105" spans="1:15">
      <c r="A105" s="557" t="s">
        <v>631</v>
      </c>
      <c r="B105" s="531">
        <v>0</v>
      </c>
      <c r="C105" s="1023"/>
      <c r="D105"/>
      <c r="E105" s="551">
        <f t="shared" si="28"/>
        <v>0</v>
      </c>
      <c r="K105"/>
      <c r="L105"/>
      <c r="N105"/>
      <c r="O105"/>
    </row>
    <row r="106" spans="1:15">
      <c r="A106" s="557" t="s">
        <v>657</v>
      </c>
      <c r="B106" s="530">
        <v>0</v>
      </c>
      <c r="C106" s="1023"/>
      <c r="D106"/>
      <c r="E106" s="551">
        <f t="shared" si="28"/>
        <v>0</v>
      </c>
      <c r="K106"/>
      <c r="L106"/>
      <c r="N106"/>
      <c r="O106"/>
    </row>
    <row r="107" spans="1:15">
      <c r="A107" s="559" t="s">
        <v>633</v>
      </c>
      <c r="B107" s="539">
        <f t="shared" ref="B107" si="29">0.6*C32*H57/(0.6*H57+0.4*H32)</f>
        <v>768564.36449847126</v>
      </c>
      <c r="C107" s="1024">
        <f>B107/((S57+U57+W57+AB57+AC57+AD57)/3)</f>
        <v>4695.9126140436128</v>
      </c>
      <c r="D107"/>
      <c r="E107" s="551">
        <f t="shared" si="28"/>
        <v>768564.36449847126</v>
      </c>
      <c r="K107"/>
      <c r="L107"/>
      <c r="N107"/>
      <c r="O107"/>
    </row>
    <row r="108" spans="1:15">
      <c r="A108" s="557" t="s">
        <v>656</v>
      </c>
      <c r="B108" s="531">
        <v>0</v>
      </c>
      <c r="C108" s="1023"/>
      <c r="D108"/>
      <c r="E108" s="551">
        <f t="shared" si="28"/>
        <v>0</v>
      </c>
      <c r="K108"/>
      <c r="L108"/>
      <c r="N108"/>
      <c r="O108"/>
    </row>
    <row r="109" spans="1:15">
      <c r="A109" s="563" t="s">
        <v>635</v>
      </c>
      <c r="B109" s="531">
        <v>0</v>
      </c>
      <c r="C109" s="1023"/>
      <c r="D109"/>
      <c r="E109" s="551">
        <f t="shared" si="28"/>
        <v>0</v>
      </c>
      <c r="K109"/>
      <c r="L109"/>
      <c r="N109"/>
      <c r="O109"/>
    </row>
    <row r="110" spans="1:15">
      <c r="A110" s="564"/>
      <c r="B110" s="543">
        <f>SUM(B92:B109)</f>
        <v>25001546.170210831</v>
      </c>
      <c r="C110" s="1023">
        <f>B110/((S60+U60+W60+AB60+AC60+AD60)/3)</f>
        <v>4843.020832136589</v>
      </c>
      <c r="D110"/>
      <c r="E110" s="543">
        <f>SUM(E92:E109)</f>
        <v>41669243.617018059</v>
      </c>
      <c r="K110"/>
      <c r="L110"/>
      <c r="N110"/>
      <c r="O110"/>
    </row>
    <row r="111" spans="1:15">
      <c r="D111"/>
      <c r="K111"/>
      <c r="L111"/>
      <c r="N111"/>
      <c r="O111"/>
    </row>
    <row r="112" spans="1:15">
      <c r="D112"/>
      <c r="K112"/>
      <c r="L112"/>
      <c r="N112"/>
      <c r="O112"/>
    </row>
  </sheetData>
  <pageMargins left="0.75" right="0.75" top="1" bottom="1" header="0.5" footer="0.5"/>
  <pageSetup orientation="portrait" horizontalDpi="4294967292" verticalDpi="429496729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145"/>
  <sheetViews>
    <sheetView workbookViewId="0">
      <selection activeCell="L89" sqref="L89"/>
    </sheetView>
  </sheetViews>
  <sheetFormatPr defaultColWidth="11" defaultRowHeight="15.75"/>
  <cols>
    <col min="1" max="1" width="18.5" customWidth="1"/>
    <col min="2" max="2" width="16.875" customWidth="1"/>
    <col min="3" max="3" width="17.625" customWidth="1"/>
    <col min="4" max="4" width="8" style="66" customWidth="1"/>
    <col min="5" max="5" width="19.875" customWidth="1"/>
    <col min="10" max="10" width="11.875" customWidth="1"/>
    <col min="11" max="11" width="11" style="66" customWidth="1"/>
    <col min="12" max="12" width="11.875" style="66" customWidth="1"/>
    <col min="13" max="13" width="5.625" customWidth="1"/>
    <col min="14" max="14" width="9.625" style="66" customWidth="1"/>
    <col min="15" max="15" width="11" style="66" customWidth="1"/>
    <col min="16" max="16" width="21.875" customWidth="1"/>
    <col min="25" max="25" width="23.375" customWidth="1"/>
  </cols>
  <sheetData>
    <row r="1" spans="1:31">
      <c r="A1" s="10" t="s">
        <v>684</v>
      </c>
      <c r="P1" s="1" t="s">
        <v>1006</v>
      </c>
    </row>
    <row r="2" spans="1:31" ht="16.5" thickBot="1">
      <c r="A2" s="10"/>
      <c r="K2"/>
      <c r="L2"/>
      <c r="N2"/>
      <c r="P2" s="1" t="s">
        <v>1007</v>
      </c>
    </row>
    <row r="3" spans="1:31" ht="16.5" thickBot="1">
      <c r="A3" s="514" t="s">
        <v>348</v>
      </c>
      <c r="B3" s="515" t="s">
        <v>296</v>
      </c>
      <c r="C3" s="516" t="s">
        <v>349</v>
      </c>
      <c r="D3" s="595"/>
      <c r="E3" s="185"/>
      <c r="F3" s="708" t="s">
        <v>744</v>
      </c>
      <c r="G3" s="654"/>
      <c r="H3" s="654"/>
      <c r="I3" s="709"/>
      <c r="K3"/>
      <c r="L3"/>
      <c r="N3"/>
      <c r="O3" s="517"/>
    </row>
    <row r="4" spans="1:31">
      <c r="A4" s="518" t="s">
        <v>299</v>
      </c>
      <c r="B4" s="519" t="s">
        <v>665</v>
      </c>
      <c r="C4" s="1141">
        <f>'Dashboard-Academic Allocation'!C36</f>
        <v>0.12</v>
      </c>
      <c r="D4" s="1142">
        <f>C4/(C4+C5)</f>
        <v>0.6</v>
      </c>
      <c r="E4" s="185"/>
      <c r="F4" s="705" t="s">
        <v>745</v>
      </c>
      <c r="G4" s="91"/>
      <c r="H4" s="91"/>
      <c r="I4" s="796">
        <v>1.2</v>
      </c>
      <c r="K4"/>
      <c r="L4"/>
      <c r="N4"/>
      <c r="O4" s="186"/>
      <c r="U4" s="1263"/>
    </row>
    <row r="5" spans="1:31" ht="16.5" thickBot="1">
      <c r="A5" s="596"/>
      <c r="B5" s="597" t="s">
        <v>685</v>
      </c>
      <c r="C5" s="1143">
        <f>'Dashboard-Academic Allocation'!C37</f>
        <v>0.08</v>
      </c>
      <c r="D5" s="1144">
        <f>1-D4</f>
        <v>0.4</v>
      </c>
      <c r="E5" s="185"/>
      <c r="F5" s="705" t="s">
        <v>746</v>
      </c>
      <c r="G5" s="91"/>
      <c r="H5" s="91"/>
      <c r="I5" s="710">
        <v>0.8</v>
      </c>
      <c r="K5"/>
      <c r="L5"/>
      <c r="N5"/>
      <c r="O5" s="185"/>
    </row>
    <row r="6" spans="1:31" ht="16.5" thickBot="1">
      <c r="F6" s="706" t="s">
        <v>747</v>
      </c>
      <c r="G6" s="480"/>
      <c r="H6" s="480"/>
      <c r="I6" s="707">
        <f>1-I5</f>
        <v>0.19999999999999996</v>
      </c>
      <c r="K6"/>
      <c r="L6"/>
      <c r="N6"/>
      <c r="O6"/>
    </row>
    <row r="7" spans="1:31">
      <c r="E7" s="10"/>
      <c r="K7"/>
      <c r="L7"/>
      <c r="N7"/>
      <c r="O7"/>
      <c r="P7" s="10"/>
    </row>
    <row r="8" spans="1:31" ht="16.5" thickBot="1">
      <c r="K8"/>
      <c r="L8"/>
      <c r="N8"/>
      <c r="O8"/>
      <c r="T8" s="550"/>
      <c r="U8" s="550"/>
      <c r="V8" s="550"/>
    </row>
    <row r="9" spans="1:31" ht="16.5" thickBot="1">
      <c r="A9" s="575" t="s">
        <v>1037</v>
      </c>
      <c r="B9" s="576"/>
      <c r="C9" s="1135">
        <f>'Dashboard-Academic Allocation'!D36+'Dashboard-Academic Allocation'!D37</f>
        <v>33335394.893614449</v>
      </c>
      <c r="J9" s="1147" t="s">
        <v>886</v>
      </c>
      <c r="K9" s="1148"/>
      <c r="L9" s="1148"/>
      <c r="M9" s="474"/>
      <c r="N9" s="1151">
        <v>0</v>
      </c>
      <c r="O9"/>
      <c r="P9" s="528"/>
    </row>
    <row r="10" spans="1:31" ht="16.5" thickBot="1">
      <c r="J10" s="479" t="s">
        <v>1003</v>
      </c>
      <c r="K10" s="1149"/>
      <c r="L10" s="1149"/>
      <c r="M10" s="480"/>
      <c r="N10" s="1150"/>
      <c r="O10"/>
      <c r="P10" s="530"/>
      <c r="Q10" s="185"/>
      <c r="R10" s="185"/>
      <c r="S10" s="185"/>
      <c r="T10" s="185"/>
      <c r="U10" s="185"/>
      <c r="V10" s="185"/>
    </row>
    <row r="11" spans="1:31" ht="16.5" thickBot="1">
      <c r="N11"/>
      <c r="O11"/>
      <c r="P11" s="530"/>
      <c r="Q11" s="531"/>
      <c r="R11" s="531"/>
      <c r="S11" s="531"/>
      <c r="T11" s="532"/>
      <c r="U11" s="532"/>
      <c r="V11" s="532"/>
    </row>
    <row r="12" spans="1:31" ht="16.5" thickBot="1">
      <c r="J12" s="1154" t="s">
        <v>968</v>
      </c>
      <c r="K12" s="1128"/>
      <c r="L12" s="1128"/>
      <c r="M12" s="1128"/>
      <c r="N12" s="1155" t="s">
        <v>617</v>
      </c>
      <c r="O12"/>
      <c r="P12" s="530"/>
      <c r="Q12" s="530"/>
      <c r="R12" s="530"/>
      <c r="S12" s="530"/>
      <c r="T12" s="530"/>
      <c r="U12" s="530"/>
      <c r="V12" s="530"/>
    </row>
    <row r="13" spans="1:31" ht="16.5" thickBot="1">
      <c r="J13" s="1337" t="s">
        <v>1137</v>
      </c>
      <c r="K13" s="1338"/>
      <c r="L13" s="1338"/>
      <c r="M13" s="1338"/>
      <c r="N13" s="1374" t="str">
        <f>'Dashboard-Academic Allocation'!C21</f>
        <v>yes</v>
      </c>
      <c r="O13"/>
      <c r="P13" s="533"/>
      <c r="Q13" s="531"/>
      <c r="R13" s="531"/>
      <c r="S13" s="531"/>
      <c r="T13" s="534"/>
      <c r="U13" s="534"/>
      <c r="V13" s="534"/>
    </row>
    <row r="14" spans="1:31" ht="51.75">
      <c r="N14" s="469" t="s">
        <v>673</v>
      </c>
      <c r="O14"/>
    </row>
    <row r="15" spans="1:31">
      <c r="A15" s="554" t="s">
        <v>681</v>
      </c>
      <c r="B15" s="253"/>
      <c r="C15" s="253"/>
      <c r="E15" s="552" t="s">
        <v>696</v>
      </c>
      <c r="F15" s="554"/>
      <c r="G15" s="554"/>
      <c r="H15" s="554"/>
      <c r="I15" s="645"/>
      <c r="J15" s="554" t="s">
        <v>691</v>
      </c>
      <c r="K15" s="554"/>
      <c r="L15" s="554"/>
      <c r="N15"/>
      <c r="O15"/>
      <c r="P15" s="635" t="s">
        <v>689</v>
      </c>
      <c r="Q15" s="636"/>
      <c r="R15" s="636"/>
      <c r="S15" s="636"/>
      <c r="T15" s="636"/>
      <c r="U15" s="1274"/>
      <c r="V15" s="1274"/>
      <c r="W15" s="1274"/>
      <c r="Y15" s="1140" t="s">
        <v>888</v>
      </c>
      <c r="Z15" s="253"/>
      <c r="AA15" s="253"/>
      <c r="AB15" s="253"/>
      <c r="AC15" s="253"/>
      <c r="AD15" s="253"/>
    </row>
    <row r="16" spans="1:31" ht="26.25">
      <c r="A16" s="555"/>
      <c r="B16" s="556" t="s">
        <v>1015</v>
      </c>
      <c r="C16" s="556" t="s">
        <v>1345</v>
      </c>
      <c r="D16" s="647"/>
      <c r="E16" s="555"/>
      <c r="F16" s="556" t="s">
        <v>1017</v>
      </c>
      <c r="G16" s="556"/>
      <c r="H16" s="556" t="s">
        <v>1344</v>
      </c>
      <c r="I16" s="646"/>
      <c r="J16" s="556" t="s">
        <v>1004</v>
      </c>
      <c r="K16" s="556"/>
      <c r="L16" s="556" t="s">
        <v>1153</v>
      </c>
      <c r="O16"/>
      <c r="P16" s="530"/>
      <c r="Q16" s="529" t="s">
        <v>622</v>
      </c>
      <c r="R16" s="529" t="s">
        <v>623</v>
      </c>
      <c r="S16" s="529" t="s">
        <v>624</v>
      </c>
      <c r="T16" s="529" t="s">
        <v>645</v>
      </c>
      <c r="U16" s="529" t="s">
        <v>1065</v>
      </c>
      <c r="V16" s="529" t="s">
        <v>1074</v>
      </c>
      <c r="W16" s="529" t="s">
        <v>1309</v>
      </c>
      <c r="X16" s="185"/>
      <c r="Y16" s="626"/>
      <c r="Z16" s="634" t="s">
        <v>290</v>
      </c>
      <c r="AA16" s="634" t="s">
        <v>291</v>
      </c>
      <c r="AB16" s="634" t="s">
        <v>687</v>
      </c>
      <c r="AC16" s="634" t="s">
        <v>688</v>
      </c>
      <c r="AD16" s="945" t="s">
        <v>887</v>
      </c>
      <c r="AE16" s="1371" t="s">
        <v>1166</v>
      </c>
    </row>
    <row r="17" spans="1:31">
      <c r="A17" s="557" t="s">
        <v>628</v>
      </c>
      <c r="B17" s="531">
        <f>B42*C$9</f>
        <v>3418599.7296055006</v>
      </c>
      <c r="C17" s="531">
        <f>C42*C$9</f>
        <v>3546030.1462770039</v>
      </c>
      <c r="E17" s="557" t="s">
        <v>628</v>
      </c>
      <c r="F17" s="631">
        <f>(J17+J42+J65)/(J$35+J$60+J$83)</f>
        <v>0.10644702111117145</v>
      </c>
      <c r="G17" s="568"/>
      <c r="H17" s="631">
        <f>(L17+L42+L65)/(L$35+L$60+L$83)</f>
        <v>0.11676310023808248</v>
      </c>
      <c r="I17" s="227"/>
      <c r="J17" s="531">
        <f>N17*(Q17+R17+S17)+'Interdisciplinary Graduate'!B12</f>
        <v>257.70501726626225</v>
      </c>
      <c r="K17" s="558"/>
      <c r="L17" s="531">
        <f>N17*(W17+S17+U17)+'Interdisciplinary Graduate'!D12</f>
        <v>327.81851449443047</v>
      </c>
      <c r="N17" s="1152">
        <f>IF(N$12="yes",AC17,1)</f>
        <v>2.9165348264629047</v>
      </c>
      <c r="O17"/>
      <c r="P17" s="557" t="s">
        <v>628</v>
      </c>
      <c r="Q17" s="616">
        <v>20</v>
      </c>
      <c r="R17" s="617">
        <v>20</v>
      </c>
      <c r="S17" s="617">
        <v>20</v>
      </c>
      <c r="T17" s="1272">
        <v>20</v>
      </c>
      <c r="U17" s="617">
        <v>22</v>
      </c>
      <c r="V17" s="1276">
        <v>22.666666666666668</v>
      </c>
      <c r="W17" s="1454">
        <v>44</v>
      </c>
      <c r="Y17" s="557" t="s">
        <v>628</v>
      </c>
      <c r="Z17" s="1210">
        <v>0.73825523572651897</v>
      </c>
      <c r="AA17" s="1211">
        <v>1.3814582627890051</v>
      </c>
      <c r="AB17" s="1210">
        <v>2.729632612875367</v>
      </c>
      <c r="AC17" s="1210">
        <v>2.9165348264629047</v>
      </c>
    </row>
    <row r="18" spans="1:31">
      <c r="A18" s="557" t="s">
        <v>6</v>
      </c>
      <c r="B18" s="531">
        <f t="shared" ref="B18:B28" si="0">B43*C$9</f>
        <v>1420109.5724083516</v>
      </c>
      <c r="C18" s="531">
        <f t="shared" ref="C18:C28" si="1">C43*C$9</f>
        <v>1524993.742287562</v>
      </c>
      <c r="E18" s="557" t="s">
        <v>6</v>
      </c>
      <c r="F18" s="631">
        <f t="shared" ref="F18:F28" si="2">(J18+J43+J66)/(J$35+J$60+J$83)</f>
        <v>5.1381390118352001E-2</v>
      </c>
      <c r="G18" s="568"/>
      <c r="H18" s="631">
        <f t="shared" ref="H18:H28" si="3">(L18+L43+L66)/(L$35+L$60+L$83)</f>
        <v>5.844962363500826E-2</v>
      </c>
      <c r="I18" s="227"/>
      <c r="J18" s="531">
        <f>N18*(Q18+R18+S18)+'Interdisciplinary Graduate'!B13</f>
        <v>41.733890097133035</v>
      </c>
      <c r="K18" s="558"/>
      <c r="L18" s="531">
        <f>N18*(W18+S18+U18)+'Interdisciplinary Graduate'!D13</f>
        <v>45.907279106846339</v>
      </c>
      <c r="N18" s="1152">
        <f t="shared" ref="N18:N28" si="4">IF(N$12="yes",AC18,1)</f>
        <v>4.1733890097133033</v>
      </c>
      <c r="O18"/>
      <c r="P18" s="557" t="s">
        <v>6</v>
      </c>
      <c r="Q18" s="616">
        <v>2</v>
      </c>
      <c r="R18" s="617">
        <v>4</v>
      </c>
      <c r="S18" s="617">
        <v>4</v>
      </c>
      <c r="T18" s="1272">
        <v>5.333333333333333</v>
      </c>
      <c r="U18" s="617">
        <v>1</v>
      </c>
      <c r="V18" s="1276">
        <v>3</v>
      </c>
      <c r="W18" s="1454">
        <v>6</v>
      </c>
      <c r="Y18" s="557" t="s">
        <v>6</v>
      </c>
      <c r="Z18" s="1210">
        <v>0.61576638800854122</v>
      </c>
      <c r="AA18" s="1210">
        <v>0.92029535976171861</v>
      </c>
      <c r="AB18" s="1210">
        <v>1.7073273464509895</v>
      </c>
      <c r="AC18" s="1210">
        <v>4.1733890097133033</v>
      </c>
    </row>
    <row r="19" spans="1:31">
      <c r="A19" s="557" t="s">
        <v>8</v>
      </c>
      <c r="B19" s="531">
        <f t="shared" si="0"/>
        <v>1210367.9051241328</v>
      </c>
      <c r="C19" s="531">
        <f t="shared" si="1"/>
        <v>1205720.6226141171</v>
      </c>
      <c r="E19" s="557" t="s">
        <v>8</v>
      </c>
      <c r="F19" s="631">
        <f t="shared" si="2"/>
        <v>5.2752328238014588E-2</v>
      </c>
      <c r="G19" s="568"/>
      <c r="H19" s="631">
        <f t="shared" si="3"/>
        <v>5.485900492343284E-2</v>
      </c>
      <c r="I19" s="227"/>
      <c r="J19" s="531">
        <f>N19*(Q19+R19+S19)+'Interdisciplinary Graduate'!B14</f>
        <v>171.86567849915943</v>
      </c>
      <c r="K19" s="558"/>
      <c r="L19" s="531">
        <f>N19*(W19+S19+U19)+'Interdisciplinary Graduate'!D14</f>
        <v>204.72235232988109</v>
      </c>
      <c r="N19" s="1152">
        <f t="shared" si="4"/>
        <v>2.5274364485170504</v>
      </c>
      <c r="O19"/>
      <c r="P19" s="557" t="s">
        <v>8</v>
      </c>
      <c r="Q19" s="616">
        <v>25</v>
      </c>
      <c r="R19" s="617">
        <v>16</v>
      </c>
      <c r="S19" s="617">
        <v>27</v>
      </c>
      <c r="T19" s="1272">
        <v>24.666666666666668</v>
      </c>
      <c r="U19" s="617">
        <v>32</v>
      </c>
      <c r="V19" s="1276">
        <v>41</v>
      </c>
      <c r="W19" s="1454">
        <v>22</v>
      </c>
      <c r="Y19" s="557" t="s">
        <v>8</v>
      </c>
      <c r="Z19" s="1210">
        <v>0.78234378161025708</v>
      </c>
      <c r="AA19" s="1210">
        <v>0.93742665362039157</v>
      </c>
      <c r="AB19" s="1210">
        <v>1.4597833437439227</v>
      </c>
      <c r="AC19" s="1210">
        <v>2.5274364485170504</v>
      </c>
    </row>
    <row r="20" spans="1:31">
      <c r="A20" s="559" t="s">
        <v>2</v>
      </c>
      <c r="B20" s="539">
        <f t="shared" si="0"/>
        <v>1289112.0067375265</v>
      </c>
      <c r="C20" s="539">
        <f t="shared" si="1"/>
        <v>1382182.1221234945</v>
      </c>
      <c r="E20" s="559" t="s">
        <v>2</v>
      </c>
      <c r="F20" s="631">
        <f t="shared" si="2"/>
        <v>4.4253806931745174E-2</v>
      </c>
      <c r="G20" s="568"/>
      <c r="H20" s="631">
        <f t="shared" si="3"/>
        <v>4.9457441430718507E-2</v>
      </c>
      <c r="I20" s="227"/>
      <c r="J20" s="531">
        <f>N20*(Q20+R20+S20)+'Interdisciplinary Graduate'!B15</f>
        <v>68.464172272176114</v>
      </c>
      <c r="K20" s="558"/>
      <c r="L20" s="531">
        <f>N20*(W20+S20+U20)+'Interdisciplinary Graduate'!D15</f>
        <v>81.142722692949462</v>
      </c>
      <c r="N20" s="1152">
        <f t="shared" si="4"/>
        <v>2.5357100841546707</v>
      </c>
      <c r="O20"/>
      <c r="P20" s="559" t="s">
        <v>2</v>
      </c>
      <c r="Q20" s="616">
        <v>10</v>
      </c>
      <c r="R20" s="617">
        <v>6</v>
      </c>
      <c r="S20" s="617">
        <v>11</v>
      </c>
      <c r="T20" s="1272">
        <v>9.9999999999999982</v>
      </c>
      <c r="U20" s="617">
        <v>11</v>
      </c>
      <c r="V20" s="1276">
        <v>14.333333333333336</v>
      </c>
      <c r="W20" s="1454">
        <v>10</v>
      </c>
      <c r="Y20" s="559" t="s">
        <v>2</v>
      </c>
      <c r="Z20" s="1210">
        <v>0.68615868064819785</v>
      </c>
      <c r="AA20" s="1212">
        <v>1.3839999999999999</v>
      </c>
      <c r="AB20" s="1210">
        <v>2.5215181068519161</v>
      </c>
      <c r="AC20" s="1210">
        <v>2.5357100841546707</v>
      </c>
    </row>
    <row r="21" spans="1:31" s="10" customFormat="1">
      <c r="A21" s="557" t="s">
        <v>10</v>
      </c>
      <c r="B21" s="531">
        <f t="shared" si="0"/>
        <v>3913602.1558206058</v>
      </c>
      <c r="C21" s="531">
        <f t="shared" si="1"/>
        <v>3712900.3802159945</v>
      </c>
      <c r="D21" s="66"/>
      <c r="E21" s="557" t="s">
        <v>10</v>
      </c>
      <c r="F21" s="631">
        <f t="shared" si="2"/>
        <v>8.5681136548115877E-2</v>
      </c>
      <c r="G21" s="568"/>
      <c r="H21" s="631">
        <f t="shared" si="3"/>
        <v>7.831133146150214E-2</v>
      </c>
      <c r="I21" s="227"/>
      <c r="J21" s="531">
        <f>N21*(Q21+R21+S21)+'Interdisciplinary Graduate'!B16</f>
        <v>55.886091055492351</v>
      </c>
      <c r="K21" s="558"/>
      <c r="L21" s="531">
        <f>N21*(W21+S21+U21)+'Interdisciplinary Graduate'!D16</f>
        <v>46.509230140141291</v>
      </c>
      <c r="M21"/>
      <c r="N21" s="1152">
        <f t="shared" si="4"/>
        <v>3.1256203051170219</v>
      </c>
      <c r="O21"/>
      <c r="P21" s="557" t="s">
        <v>10</v>
      </c>
      <c r="Q21" s="616">
        <v>7</v>
      </c>
      <c r="R21" s="617">
        <v>4</v>
      </c>
      <c r="S21" s="617">
        <v>4</v>
      </c>
      <c r="T21" s="1272">
        <v>5</v>
      </c>
      <c r="U21" s="617">
        <v>3</v>
      </c>
      <c r="V21" s="1276">
        <v>3.6666666666666665</v>
      </c>
      <c r="W21" s="1454">
        <v>5</v>
      </c>
      <c r="Y21" s="557" t="s">
        <v>10</v>
      </c>
      <c r="Z21" s="1210"/>
      <c r="AA21" s="1210"/>
      <c r="AB21" s="1210">
        <v>5.8710151352874629</v>
      </c>
      <c r="AC21" s="1210">
        <v>3.1256203051170219</v>
      </c>
      <c r="AD21" s="1370">
        <v>8.2690000000000001</v>
      </c>
      <c r="AE21" s="1212">
        <v>8.2690000000000001</v>
      </c>
    </row>
    <row r="22" spans="1:31">
      <c r="A22" s="557" t="s">
        <v>4</v>
      </c>
      <c r="B22" s="531">
        <f t="shared" si="0"/>
        <v>3557892.555892895</v>
      </c>
      <c r="C22" s="531">
        <f t="shared" si="1"/>
        <v>3479498.9531154828</v>
      </c>
      <c r="E22" s="557" t="s">
        <v>4</v>
      </c>
      <c r="F22" s="631">
        <f t="shared" si="2"/>
        <v>9.0608106594631796E-2</v>
      </c>
      <c r="G22" s="568"/>
      <c r="H22" s="631">
        <f t="shared" si="3"/>
        <v>8.7924413867524698E-2</v>
      </c>
      <c r="I22" s="227"/>
      <c r="J22" s="531">
        <f>N22*(Q22+R22+S22)+'Interdisciplinary Graduate'!B17</f>
        <v>348.82577447505611</v>
      </c>
      <c r="K22" s="558"/>
      <c r="L22" s="531">
        <f>N22*(W22+S22+U22)+'Interdisciplinary Graduate'!D17</f>
        <v>420.60062519008824</v>
      </c>
      <c r="N22" s="1152">
        <f t="shared" si="4"/>
        <v>2.9906187797930048</v>
      </c>
      <c r="O22"/>
      <c r="P22" s="557" t="s">
        <v>4</v>
      </c>
      <c r="Q22" s="616">
        <v>42</v>
      </c>
      <c r="R22" s="617">
        <v>29</v>
      </c>
      <c r="S22" s="617">
        <v>37</v>
      </c>
      <c r="T22" s="1272">
        <v>36</v>
      </c>
      <c r="U22" s="617">
        <v>40</v>
      </c>
      <c r="V22" s="1276">
        <v>46.333333333333336</v>
      </c>
      <c r="W22" s="1454">
        <v>55</v>
      </c>
      <c r="Y22" s="557" t="s">
        <v>4</v>
      </c>
      <c r="Z22" s="1210">
        <v>0.7842708946636604</v>
      </c>
      <c r="AA22" s="1210">
        <v>1.1402031631853178</v>
      </c>
      <c r="AB22" s="1210">
        <v>2.5189298202715129</v>
      </c>
      <c r="AC22" s="1210">
        <v>2.9906187797930048</v>
      </c>
    </row>
    <row r="23" spans="1:31">
      <c r="A23" s="557" t="s">
        <v>14</v>
      </c>
      <c r="B23" s="531">
        <f t="shared" si="0"/>
        <v>1959600.6663932251</v>
      </c>
      <c r="C23" s="531">
        <f t="shared" si="1"/>
        <v>634140.4104599295</v>
      </c>
      <c r="E23" s="557" t="s">
        <v>14</v>
      </c>
      <c r="F23" s="631">
        <f t="shared" si="2"/>
        <v>7.8947567345747163E-2</v>
      </c>
      <c r="G23" s="568"/>
      <c r="H23" s="631">
        <f t="shared" si="3"/>
        <v>1.5420344498446342E-2</v>
      </c>
      <c r="I23" s="227"/>
      <c r="J23" s="531">
        <f>N23*(Q23+R23+S23)+'Interdisciplinary Graduate'!B18</f>
        <v>183.56464017683436</v>
      </c>
      <c r="K23" s="558"/>
      <c r="L23" s="531">
        <f>'Interdisciplinary Graduate'!D18</f>
        <v>27.603705289749524</v>
      </c>
      <c r="N23" s="1152">
        <f t="shared" si="4"/>
        <v>2.8753859676822429</v>
      </c>
      <c r="O23"/>
      <c r="P23" s="557" t="s">
        <v>14</v>
      </c>
      <c r="Q23" s="616">
        <v>20</v>
      </c>
      <c r="R23" s="617">
        <v>19</v>
      </c>
      <c r="S23" s="617">
        <v>15</v>
      </c>
      <c r="T23" s="1272">
        <v>18</v>
      </c>
      <c r="U23" s="617">
        <v>16</v>
      </c>
      <c r="V23" s="1276">
        <v>16.666666666666668</v>
      </c>
      <c r="W23" s="1454">
        <v>13</v>
      </c>
      <c r="Y23" s="557" t="s">
        <v>14</v>
      </c>
      <c r="Z23" s="1210"/>
      <c r="AA23" s="1210"/>
      <c r="AB23" s="1210">
        <v>2.6585575928061984</v>
      </c>
      <c r="AC23" s="1210">
        <v>2.8753859676822429</v>
      </c>
    </row>
    <row r="24" spans="1:31">
      <c r="A24" s="559" t="s">
        <v>17</v>
      </c>
      <c r="B24" s="539">
        <f t="shared" si="0"/>
        <v>2013626.7654125241</v>
      </c>
      <c r="C24" s="539">
        <f t="shared" si="1"/>
        <v>2094002.7996516735</v>
      </c>
      <c r="E24" s="559" t="s">
        <v>17</v>
      </c>
      <c r="F24" s="631">
        <f t="shared" si="2"/>
        <v>6.7983839192824969E-2</v>
      </c>
      <c r="G24" s="568"/>
      <c r="H24" s="631">
        <f t="shared" si="3"/>
        <v>7.1711095280632409E-2</v>
      </c>
      <c r="I24" s="227"/>
      <c r="J24" s="531">
        <f>N24*(Q24+R24+S24)+'Interdisciplinary Graduate'!B19</f>
        <v>40.738155425703113</v>
      </c>
      <c r="K24" s="558"/>
      <c r="L24" s="531">
        <f>N24*(W24+S24+U24)+'Interdisciplinary Graduate'!D19</f>
        <v>56.701382473392414</v>
      </c>
      <c r="N24" s="1152">
        <f t="shared" si="4"/>
        <v>3.1926454095378611</v>
      </c>
      <c r="O24"/>
      <c r="P24" s="559" t="s">
        <v>17</v>
      </c>
      <c r="Q24" s="616">
        <v>2</v>
      </c>
      <c r="R24" s="617">
        <v>1</v>
      </c>
      <c r="S24" s="617">
        <v>4</v>
      </c>
      <c r="T24" s="1272">
        <v>4.333333333333333</v>
      </c>
      <c r="U24" s="617">
        <v>4</v>
      </c>
      <c r="V24" s="1276">
        <v>6</v>
      </c>
      <c r="W24" s="1454">
        <v>4</v>
      </c>
      <c r="Y24" s="559" t="s">
        <v>17</v>
      </c>
      <c r="Z24" s="1210">
        <v>0.62524737129045094</v>
      </c>
      <c r="AA24" s="1210">
        <v>0.9661071118879152</v>
      </c>
      <c r="AB24" s="1210">
        <v>2.0712334710740294</v>
      </c>
      <c r="AC24" s="1210">
        <v>3.1926454095378611</v>
      </c>
    </row>
    <row r="25" spans="1:31">
      <c r="A25" s="557" t="s">
        <v>376</v>
      </c>
      <c r="B25" s="531">
        <f t="shared" si="0"/>
        <v>2658090.0273108659</v>
      </c>
      <c r="C25" s="531">
        <f t="shared" si="1"/>
        <v>2512230.6266447878</v>
      </c>
      <c r="E25" s="557" t="s">
        <v>376</v>
      </c>
      <c r="F25" s="631">
        <f t="shared" si="2"/>
        <v>5.3478834950969195E-2</v>
      </c>
      <c r="G25" s="568"/>
      <c r="H25" s="631">
        <f t="shared" si="3"/>
        <v>5.1574370958554529E-2</v>
      </c>
      <c r="I25" s="227"/>
      <c r="J25" s="531">
        <f>N25*(Q25+R25+S25)+'Interdisciplinary Graduate'!B20</f>
        <v>0</v>
      </c>
      <c r="K25" s="558"/>
      <c r="L25" s="531">
        <f>N25*(W25+S25+U25)+'Interdisciplinary Graduate'!D20</f>
        <v>0</v>
      </c>
      <c r="N25" s="1152">
        <f t="shared" si="4"/>
        <v>0</v>
      </c>
      <c r="O25"/>
      <c r="P25" s="557" t="s">
        <v>376</v>
      </c>
      <c r="Q25" s="616">
        <v>0</v>
      </c>
      <c r="R25" s="617">
        <v>0</v>
      </c>
      <c r="S25" s="617">
        <v>0</v>
      </c>
      <c r="T25" s="1272">
        <v>0</v>
      </c>
      <c r="U25" s="528">
        <v>0</v>
      </c>
      <c r="V25" s="1276">
        <v>0</v>
      </c>
      <c r="W25" s="1454">
        <v>0</v>
      </c>
      <c r="Y25" s="557" t="s">
        <v>376</v>
      </c>
      <c r="Z25" s="1210"/>
      <c r="AA25" s="1210"/>
      <c r="AB25" s="1210">
        <v>2.3077760272136798</v>
      </c>
      <c r="AC25" s="1210">
        <v>0</v>
      </c>
      <c r="AD25" s="1212">
        <v>12.77</v>
      </c>
      <c r="AE25" s="1212">
        <v>12.77</v>
      </c>
    </row>
    <row r="26" spans="1:31">
      <c r="A26" s="557" t="s">
        <v>7</v>
      </c>
      <c r="B26" s="531">
        <f t="shared" si="0"/>
        <v>8254857.9203609694</v>
      </c>
      <c r="C26" s="531">
        <f t="shared" si="1"/>
        <v>9667502.8682717104</v>
      </c>
      <c r="E26" s="557" t="s">
        <v>7</v>
      </c>
      <c r="F26" s="631">
        <f t="shared" si="2"/>
        <v>0.24888703591605973</v>
      </c>
      <c r="G26" s="568"/>
      <c r="H26" s="631">
        <f t="shared" si="3"/>
        <v>0.29481540705636594</v>
      </c>
      <c r="I26" s="227"/>
      <c r="J26" s="531">
        <f>N26*(Q26+R26+S26)+'Interdisciplinary Graduate'!B21</f>
        <v>577.51497342185348</v>
      </c>
      <c r="K26" s="558"/>
      <c r="L26" s="531">
        <f>N26*(W26+S26+U26)+'Interdisciplinary Graduate'!D21</f>
        <v>558.98508122649991</v>
      </c>
      <c r="N26" s="1152">
        <f t="shared" si="4"/>
        <v>3.0883153658922646</v>
      </c>
      <c r="O26"/>
      <c r="P26" s="557" t="s">
        <v>7</v>
      </c>
      <c r="Q26" s="616">
        <v>60</v>
      </c>
      <c r="R26" s="617">
        <v>67</v>
      </c>
      <c r="S26" s="617">
        <v>60</v>
      </c>
      <c r="T26" s="1272">
        <v>61.666666666666664</v>
      </c>
      <c r="U26" s="617">
        <v>46</v>
      </c>
      <c r="V26" s="1276">
        <v>57</v>
      </c>
      <c r="W26" s="1454">
        <v>75</v>
      </c>
      <c r="Y26" s="557" t="s">
        <v>7</v>
      </c>
      <c r="Z26" s="1210">
        <v>0.92433615746192432</v>
      </c>
      <c r="AA26" s="1212">
        <v>1.3839999999999999</v>
      </c>
      <c r="AB26" s="1210">
        <v>2.5832720468437356</v>
      </c>
      <c r="AC26" s="1210">
        <v>3.0883153658922646</v>
      </c>
    </row>
    <row r="27" spans="1:31">
      <c r="A27" s="557" t="s">
        <v>9</v>
      </c>
      <c r="B27" s="531">
        <f t="shared" si="0"/>
        <v>1991869.0716297356</v>
      </c>
      <c r="C27" s="531">
        <f t="shared" si="1"/>
        <v>2027083.0349747173</v>
      </c>
      <c r="E27" s="557" t="s">
        <v>9</v>
      </c>
      <c r="F27" s="631">
        <f t="shared" si="2"/>
        <v>6.9130398629891565E-2</v>
      </c>
      <c r="G27" s="568"/>
      <c r="H27" s="631">
        <f t="shared" si="3"/>
        <v>6.9715857790043079E-2</v>
      </c>
      <c r="I27" s="227"/>
      <c r="J27" s="531">
        <f>N27*(Q27+R27+S27)+'Interdisciplinary Graduate'!B22</f>
        <v>150.20500027615918</v>
      </c>
      <c r="K27" s="558"/>
      <c r="L27" s="531">
        <f>N27*(W27+S27+U27)+'Interdisciplinary Graduate'!D22</f>
        <v>189.32088576474231</v>
      </c>
      <c r="N27" s="1152">
        <f t="shared" si="4"/>
        <v>3.0089142683525476</v>
      </c>
      <c r="O27"/>
      <c r="P27" s="557" t="s">
        <v>9</v>
      </c>
      <c r="Q27" s="616">
        <v>18</v>
      </c>
      <c r="R27" s="617">
        <v>14</v>
      </c>
      <c r="S27" s="617">
        <v>16</v>
      </c>
      <c r="T27" s="1272">
        <v>16</v>
      </c>
      <c r="U27" s="617">
        <v>22</v>
      </c>
      <c r="V27" s="1276">
        <v>25.333333333333329</v>
      </c>
      <c r="W27" s="1454">
        <v>23</v>
      </c>
      <c r="Y27" s="557" t="s">
        <v>9</v>
      </c>
      <c r="Z27" s="1210">
        <v>0.60760924440702391</v>
      </c>
      <c r="AA27" s="1210">
        <v>0.88220300342126901</v>
      </c>
      <c r="AB27" s="1210">
        <v>2.2323857203999244</v>
      </c>
      <c r="AC27" s="1210">
        <v>3.0089142683525476</v>
      </c>
    </row>
    <row r="28" spans="1:31">
      <c r="A28" s="559" t="s">
        <v>5</v>
      </c>
      <c r="B28" s="539">
        <f t="shared" si="0"/>
        <v>1647666.5169181142</v>
      </c>
      <c r="C28" s="539">
        <f t="shared" si="1"/>
        <v>1549109.1869779767</v>
      </c>
      <c r="E28" s="559" t="s">
        <v>5</v>
      </c>
      <c r="F28" s="631">
        <f t="shared" si="2"/>
        <v>5.0448534422476439E-2</v>
      </c>
      <c r="G28" s="568"/>
      <c r="H28" s="631">
        <f t="shared" si="3"/>
        <v>5.0998008859688866E-2</v>
      </c>
      <c r="I28" s="227"/>
      <c r="J28" s="531">
        <f>N28*(Q28+R28+S28)+'Interdisciplinary Graduate'!B23</f>
        <v>118.21213061301707</v>
      </c>
      <c r="K28" s="558"/>
      <c r="L28" s="531">
        <f>N28*(W28+S28+U28)+'Interdisciplinary Graduate'!D23</f>
        <v>138.9407106303297</v>
      </c>
      <c r="N28" s="1152">
        <f t="shared" si="4"/>
        <v>2.9612257167589449</v>
      </c>
      <c r="O28"/>
      <c r="P28" s="559" t="s">
        <v>5</v>
      </c>
      <c r="Q28" s="616">
        <v>7</v>
      </c>
      <c r="R28" s="617">
        <v>16</v>
      </c>
      <c r="S28" s="617">
        <v>15</v>
      </c>
      <c r="T28" s="1272">
        <v>20.666666666666668</v>
      </c>
      <c r="U28" s="617">
        <v>15</v>
      </c>
      <c r="V28" s="1276">
        <v>15.333333333333334</v>
      </c>
      <c r="W28" s="1454">
        <v>15</v>
      </c>
      <c r="Y28" s="559" t="s">
        <v>5</v>
      </c>
      <c r="Z28" s="1210">
        <v>0.68584674669160639</v>
      </c>
      <c r="AA28" s="1210">
        <v>1.3843882959939655</v>
      </c>
      <c r="AB28" s="1210">
        <v>2.768615670287919</v>
      </c>
      <c r="AC28" s="1210">
        <v>2.9612257167589449</v>
      </c>
    </row>
    <row r="29" spans="1:31">
      <c r="A29" s="557"/>
      <c r="B29" s="530"/>
      <c r="C29" s="530"/>
      <c r="E29" s="557"/>
      <c r="F29" s="631"/>
      <c r="G29" s="568"/>
      <c r="H29" s="631"/>
      <c r="I29" s="227"/>
      <c r="J29" s="530"/>
      <c r="K29" s="558"/>
      <c r="L29" s="530"/>
      <c r="N29" s="1214"/>
      <c r="O29"/>
      <c r="P29" s="557"/>
      <c r="Q29" s="612"/>
      <c r="R29" s="528"/>
      <c r="S29" s="528"/>
      <c r="T29" s="528"/>
      <c r="U29" s="185"/>
      <c r="V29" s="528"/>
      <c r="W29" s="528"/>
      <c r="Y29" s="557"/>
      <c r="Z29" s="185"/>
      <c r="AA29" s="185"/>
      <c r="AB29" s="185"/>
      <c r="AC29" s="185"/>
      <c r="AD29" s="185"/>
    </row>
    <row r="30" spans="1:31">
      <c r="A30" s="557" t="s">
        <v>631</v>
      </c>
      <c r="B30" s="530">
        <f>F30*C$9</f>
        <v>0</v>
      </c>
      <c r="C30" s="530">
        <f>J30*C$9</f>
        <v>0</v>
      </c>
      <c r="E30" s="557" t="s">
        <v>631</v>
      </c>
      <c r="F30" s="631">
        <f>(J30+J55+J78)/(J$35+J$60+J$83)</f>
        <v>0</v>
      </c>
      <c r="G30" s="568"/>
      <c r="H30" s="631">
        <f>(L30+L55+L78)/(L$35+L$60+L$83)</f>
        <v>0</v>
      </c>
      <c r="I30" s="227"/>
      <c r="J30" s="531">
        <f>N30*(Q30+R30+S30)</f>
        <v>0</v>
      </c>
      <c r="K30" s="558"/>
      <c r="L30" s="531">
        <f>N30*(R30+S30+T30)</f>
        <v>0</v>
      </c>
      <c r="N30" s="1214"/>
      <c r="O30"/>
      <c r="P30" s="557" t="s">
        <v>631</v>
      </c>
      <c r="Q30" s="612"/>
      <c r="R30" s="528"/>
      <c r="S30" s="528"/>
      <c r="T30" s="528"/>
      <c r="U30" s="185"/>
      <c r="V30" s="528"/>
      <c r="W30" s="528"/>
      <c r="Y30" s="557" t="s">
        <v>631</v>
      </c>
      <c r="Z30" s="185"/>
      <c r="AA30" s="185"/>
      <c r="AB30" s="185"/>
      <c r="AC30" s="185"/>
      <c r="AD30" s="185"/>
    </row>
    <row r="31" spans="1:31">
      <c r="A31" s="557" t="s">
        <v>657</v>
      </c>
      <c r="B31" s="530">
        <f>F31*C$9</f>
        <v>0</v>
      </c>
      <c r="C31" s="530">
        <f>J31*C$9</f>
        <v>0</v>
      </c>
      <c r="E31" s="557" t="s">
        <v>657</v>
      </c>
      <c r="F31" s="631">
        <f>(J31+J56+J79)/(J$35+J$60+J$83)</f>
        <v>0</v>
      </c>
      <c r="G31" s="568"/>
      <c r="H31" s="631">
        <f>(L31+L56+L79)/(L$35+L$60+L$83)</f>
        <v>0</v>
      </c>
      <c r="I31" s="227"/>
      <c r="J31" s="531">
        <f>N31*(Q31+R31+S31)</f>
        <v>0</v>
      </c>
      <c r="K31" s="558"/>
      <c r="L31" s="531">
        <f>N31*(R31+S31+T31)</f>
        <v>0</v>
      </c>
      <c r="N31" s="1214"/>
      <c r="O31"/>
      <c r="P31" s="557" t="s">
        <v>657</v>
      </c>
      <c r="Q31" s="612"/>
      <c r="R31" s="528"/>
      <c r="S31" s="528"/>
      <c r="T31" s="528"/>
      <c r="U31" s="528"/>
      <c r="V31" s="528"/>
      <c r="W31" s="528"/>
      <c r="Y31" s="557" t="s">
        <v>657</v>
      </c>
      <c r="Z31" s="185"/>
      <c r="AA31" s="185"/>
      <c r="AB31" s="185"/>
      <c r="AC31" s="185"/>
      <c r="AD31" s="185"/>
    </row>
    <row r="32" spans="1:31">
      <c r="A32" s="559" t="s">
        <v>633</v>
      </c>
      <c r="B32" s="540">
        <f>F32*C$9</f>
        <v>0</v>
      </c>
      <c r="C32" s="540">
        <f>J32*C$9</f>
        <v>0</v>
      </c>
      <c r="E32" s="559" t="s">
        <v>633</v>
      </c>
      <c r="F32" s="631">
        <f>(J32+J57+J80)/(J$35+J$60+J$83)</f>
        <v>0</v>
      </c>
      <c r="G32" s="568"/>
      <c r="H32" s="631">
        <f>(L32+L57+L80)/(L$35+L$60+L$83)</f>
        <v>0</v>
      </c>
      <c r="I32" s="227"/>
      <c r="J32" s="531">
        <f>N32*(Q32+R32+S32)</f>
        <v>0</v>
      </c>
      <c r="K32" s="558"/>
      <c r="L32" s="531">
        <f>N32*(R32+S32+T32)</f>
        <v>0</v>
      </c>
      <c r="N32" s="1214"/>
      <c r="O32"/>
      <c r="P32" s="559" t="s">
        <v>633</v>
      </c>
      <c r="Q32" s="612"/>
      <c r="R32" s="528"/>
      <c r="S32" s="528"/>
      <c r="T32" s="528"/>
      <c r="U32" s="528"/>
      <c r="V32" s="528"/>
      <c r="W32" s="528"/>
      <c r="Y32" s="559" t="s">
        <v>633</v>
      </c>
      <c r="Z32" s="185"/>
      <c r="AA32" s="185"/>
      <c r="AB32" s="185"/>
      <c r="AC32" s="185"/>
      <c r="AD32" s="185"/>
    </row>
    <row r="33" spans="1:30">
      <c r="A33" s="557" t="s">
        <v>656</v>
      </c>
      <c r="B33" s="530">
        <f>F33*C$9</f>
        <v>0</v>
      </c>
      <c r="C33" s="530">
        <f>J33*C$9</f>
        <v>0</v>
      </c>
      <c r="E33" s="557" t="s">
        <v>656</v>
      </c>
      <c r="F33" s="631">
        <f>(J33+J58+J81)/(J$35+J$60+J$83)</f>
        <v>0</v>
      </c>
      <c r="G33" s="568"/>
      <c r="H33" s="631">
        <f>(L33+L58+L81)/(L$35+L$60+L$83)</f>
        <v>0</v>
      </c>
      <c r="I33" s="227"/>
      <c r="J33" s="531">
        <f>N33*(Q33+R33+S33)</f>
        <v>0</v>
      </c>
      <c r="K33" s="558"/>
      <c r="L33" s="531">
        <f>N33*(R33+S33+T33)</f>
        <v>0</v>
      </c>
      <c r="N33" s="1214"/>
      <c r="O33"/>
      <c r="P33" s="557" t="s">
        <v>656</v>
      </c>
      <c r="Q33" s="612"/>
      <c r="R33" s="528"/>
      <c r="S33" s="528"/>
      <c r="T33" s="528"/>
      <c r="U33" s="528"/>
      <c r="V33" s="528"/>
      <c r="W33" s="528"/>
      <c r="Y33" s="557" t="s">
        <v>656</v>
      </c>
      <c r="Z33" s="185"/>
      <c r="AA33" s="185"/>
      <c r="AB33" s="185"/>
      <c r="AC33" s="185"/>
      <c r="AD33" s="185"/>
    </row>
    <row r="34" spans="1:30">
      <c r="A34" s="563" t="s">
        <v>635</v>
      </c>
      <c r="B34" s="531">
        <f>F34*C$9</f>
        <v>0</v>
      </c>
      <c r="C34" s="531">
        <f>J34*C$9</f>
        <v>0</v>
      </c>
      <c r="E34" s="563" t="s">
        <v>635</v>
      </c>
      <c r="F34" s="631">
        <f>(J34+J59+J82)/(J$35+J$60+J$83)</f>
        <v>0</v>
      </c>
      <c r="G34" s="568"/>
      <c r="H34" s="631">
        <f>(L34+L59+L82)/(L$35+L$60+L$83)</f>
        <v>0</v>
      </c>
      <c r="I34" s="227"/>
      <c r="J34" s="531">
        <f>N34*(Q34+R34+S34)</f>
        <v>0</v>
      </c>
      <c r="K34" s="558"/>
      <c r="L34" s="531">
        <f>N34*(R34+S34+T34)</f>
        <v>0</v>
      </c>
      <c r="N34" s="1214"/>
      <c r="O34"/>
      <c r="P34" s="637" t="s">
        <v>635</v>
      </c>
      <c r="Q34" s="612"/>
      <c r="R34" s="528"/>
      <c r="S34" s="528"/>
      <c r="T34" s="612"/>
      <c r="U34" s="612"/>
      <c r="V34" s="612"/>
      <c r="W34" s="612"/>
      <c r="Y34" s="637" t="s">
        <v>635</v>
      </c>
      <c r="Z34" s="185"/>
      <c r="AA34" s="604"/>
      <c r="AB34" s="185"/>
      <c r="AC34" s="185"/>
      <c r="AD34" s="185"/>
    </row>
    <row r="35" spans="1:30">
      <c r="A35" s="564"/>
      <c r="B35" s="543">
        <f>SUM(B17:B34)</f>
        <v>33335394.893614445</v>
      </c>
      <c r="C35" s="543">
        <f>SUM(C17:C34)</f>
        <v>33335394.893614449</v>
      </c>
      <c r="D35" s="404"/>
      <c r="E35" s="564"/>
      <c r="F35" s="569">
        <f>SUM(F17:F34)</f>
        <v>1</v>
      </c>
      <c r="G35" s="565"/>
      <c r="H35" s="569">
        <f>SUM(H17:H34)</f>
        <v>1.0000000000000002</v>
      </c>
      <c r="I35" s="227"/>
      <c r="J35" s="543">
        <f>SUM(J17:J34)</f>
        <v>2014.7155235788466</v>
      </c>
      <c r="K35" s="565"/>
      <c r="L35" s="543">
        <f>SUM(L17:L34)</f>
        <v>2098.252489339051</v>
      </c>
      <c r="N35" s="1214"/>
      <c r="O35"/>
      <c r="P35" s="638"/>
      <c r="Q35" s="639">
        <f t="shared" ref="Q35:V35" si="5">SUM(Q17:Q34)</f>
        <v>213</v>
      </c>
      <c r="R35" s="639">
        <f t="shared" si="5"/>
        <v>196</v>
      </c>
      <c r="S35" s="639">
        <f t="shared" si="5"/>
        <v>213</v>
      </c>
      <c r="T35" s="639">
        <f t="shared" si="5"/>
        <v>221.66666666666666</v>
      </c>
      <c r="U35" s="639">
        <f t="shared" si="5"/>
        <v>212</v>
      </c>
      <c r="V35" s="639">
        <f t="shared" si="5"/>
        <v>251.33333333333334</v>
      </c>
      <c r="W35" s="639">
        <f t="shared" ref="W35" si="6">SUM(W17:W34)</f>
        <v>272</v>
      </c>
      <c r="Y35" s="620"/>
      <c r="Z35" s="185"/>
      <c r="AA35" s="185"/>
      <c r="AB35" s="185"/>
      <c r="AC35" s="185"/>
      <c r="AD35" s="185"/>
    </row>
    <row r="36" spans="1:30">
      <c r="K36"/>
      <c r="L36"/>
      <c r="N36" s="1210"/>
      <c r="O36"/>
      <c r="P36" s="66"/>
      <c r="Q36" s="66"/>
      <c r="T36" s="186"/>
      <c r="U36" s="186"/>
      <c r="V36" s="186"/>
      <c r="W36" s="186"/>
      <c r="Y36" s="185"/>
      <c r="Z36" s="185"/>
      <c r="AA36" s="185"/>
      <c r="AB36" s="185"/>
      <c r="AC36" s="185"/>
      <c r="AD36" s="185"/>
    </row>
    <row r="37" spans="1:30">
      <c r="N37" s="1210"/>
      <c r="O37"/>
      <c r="P37" s="66"/>
      <c r="Q37" s="66"/>
      <c r="T37" s="186"/>
      <c r="U37" s="186"/>
      <c r="V37" s="186"/>
      <c r="W37" s="186"/>
      <c r="Y37" s="563" t="s">
        <v>889</v>
      </c>
      <c r="Z37" s="1210">
        <v>0.73850856210006643</v>
      </c>
      <c r="AA37" s="1210">
        <v>1.1811318964529236</v>
      </c>
      <c r="AB37" s="1210">
        <v>2.3354326125608131</v>
      </c>
      <c r="AC37" s="1210">
        <v>2.9719656338531162</v>
      </c>
      <c r="AD37" s="185"/>
    </row>
    <row r="38" spans="1:30" ht="16.5" thickBot="1">
      <c r="N38" s="1210"/>
      <c r="O38"/>
      <c r="Y38" s="587" t="s">
        <v>890</v>
      </c>
      <c r="Z38" s="1213">
        <v>0.66466277461951395</v>
      </c>
      <c r="AA38" s="1213">
        <v>1.0550793979568804</v>
      </c>
      <c r="AB38" s="1213">
        <v>2.2142730991061281</v>
      </c>
      <c r="AC38" s="1213">
        <v>2.9272151237738941</v>
      </c>
      <c r="AD38" s="195"/>
    </row>
    <row r="39" spans="1:30" ht="16.5" thickTop="1">
      <c r="N39" s="1210"/>
      <c r="O39"/>
    </row>
    <row r="40" spans="1:30">
      <c r="A40" s="554" t="s">
        <v>682</v>
      </c>
      <c r="B40" s="253"/>
      <c r="C40" s="253"/>
      <c r="E40" s="552" t="s">
        <v>697</v>
      </c>
      <c r="F40" s="552"/>
      <c r="G40" s="552"/>
      <c r="H40" s="552"/>
      <c r="I40" s="644"/>
      <c r="J40" s="552" t="s">
        <v>692</v>
      </c>
      <c r="K40" s="552"/>
      <c r="L40" s="552"/>
      <c r="N40" s="1210"/>
      <c r="O40"/>
      <c r="P40" s="640" t="s">
        <v>690</v>
      </c>
      <c r="Q40" s="636"/>
      <c r="R40" s="636"/>
      <c r="S40" s="636"/>
      <c r="T40" s="641"/>
      <c r="U40" s="1275"/>
      <c r="V40" s="1275"/>
      <c r="W40" s="1275"/>
      <c r="Y40" s="557" t="s">
        <v>988</v>
      </c>
      <c r="Z40" s="1214">
        <v>0.78234378161025697</v>
      </c>
      <c r="AA40" s="1214">
        <v>1.2290874621750383</v>
      </c>
      <c r="AB40" s="1214">
        <v>2.3077760272136798</v>
      </c>
      <c r="AC40" s="1214">
        <v>3.1256203051170219</v>
      </c>
      <c r="AD40" s="185"/>
    </row>
    <row r="41" spans="1:30" ht="25.5">
      <c r="A41" s="555"/>
      <c r="B41" s="556" t="s">
        <v>1016</v>
      </c>
      <c r="C41" s="556" t="s">
        <v>1346</v>
      </c>
      <c r="E41" s="256"/>
      <c r="F41" s="556" t="s">
        <v>1018</v>
      </c>
      <c r="G41" s="556"/>
      <c r="H41" s="556" t="s">
        <v>1347</v>
      </c>
      <c r="I41" s="67"/>
      <c r="J41" s="556" t="s">
        <v>1004</v>
      </c>
      <c r="K41" s="556"/>
      <c r="L41" s="556" t="s">
        <v>1153</v>
      </c>
      <c r="N41" s="1210"/>
      <c r="O41"/>
      <c r="P41" s="530"/>
      <c r="Q41" s="529" t="s">
        <v>622</v>
      </c>
      <c r="R41" s="529" t="s">
        <v>623</v>
      </c>
      <c r="S41" s="529" t="s">
        <v>624</v>
      </c>
      <c r="T41" s="529" t="s">
        <v>645</v>
      </c>
      <c r="U41" s="529" t="s">
        <v>1065</v>
      </c>
      <c r="V41" s="529" t="s">
        <v>1074</v>
      </c>
      <c r="W41" s="529" t="s">
        <v>1309</v>
      </c>
    </row>
    <row r="42" spans="1:30">
      <c r="A42" s="557" t="s">
        <v>628</v>
      </c>
      <c r="B42" s="631">
        <f>F17*D$4+F42*D$5</f>
        <v>0.1025516493959503</v>
      </c>
      <c r="C42" s="631">
        <f>H17*D$4+H42*D$5</f>
        <v>0.10637432547578018</v>
      </c>
      <c r="E42" s="557" t="s">
        <v>628</v>
      </c>
      <c r="F42" s="631">
        <f>J88/J$106</f>
        <v>9.670859182311857E-2</v>
      </c>
      <c r="G42" s="568"/>
      <c r="H42" s="631">
        <f>L88/L$106</f>
        <v>9.0791163332326758E-2</v>
      </c>
      <c r="J42" s="531">
        <f>N42*(Q42+R42+S42)+'Interdisciplinary Graduate'!B37</f>
        <v>697.14816932836868</v>
      </c>
      <c r="K42" s="558"/>
      <c r="L42" s="531">
        <f>N42*(W42+S42+U42)+'Interdisciplinary Graduate'!D37</f>
        <v>759.9297194245022</v>
      </c>
      <c r="N42" s="1152">
        <f>IF(N$12="yes",AB17,1)</f>
        <v>2.729632612875367</v>
      </c>
      <c r="O42"/>
      <c r="P42" s="557" t="s">
        <v>628</v>
      </c>
      <c r="Q42" s="616">
        <v>64</v>
      </c>
      <c r="R42" s="617">
        <v>63</v>
      </c>
      <c r="S42" s="617">
        <v>87</v>
      </c>
      <c r="T42" s="1277">
        <v>67.137770800555415</v>
      </c>
      <c r="U42" s="616">
        <v>73</v>
      </c>
      <c r="V42" s="1277">
        <v>64.815298901449879</v>
      </c>
      <c r="W42" s="1455">
        <v>78</v>
      </c>
      <c r="Y42" s="10"/>
      <c r="Z42" s="10"/>
      <c r="AA42" s="10"/>
      <c r="AB42" s="10"/>
      <c r="AC42" s="10"/>
      <c r="AD42" s="10"/>
    </row>
    <row r="43" spans="1:30">
      <c r="A43" s="557" t="s">
        <v>6</v>
      </c>
      <c r="B43" s="631">
        <f t="shared" ref="B43:B53" si="7">F18*D$4+F43*D$5</f>
        <v>4.2600652457858844E-2</v>
      </c>
      <c r="C43" s="631">
        <f t="shared" ref="C43:C53" si="8">H18*D$4+H43*D$5</f>
        <v>4.574698296373509E-2</v>
      </c>
      <c r="E43" s="557" t="s">
        <v>6</v>
      </c>
      <c r="F43" s="631">
        <f t="shared" ref="F43:F53" si="9">J89/J$106</f>
        <v>2.9429545967119108E-2</v>
      </c>
      <c r="G43" s="568"/>
      <c r="H43" s="631">
        <f t="shared" ref="H43:H53" si="10">L89/L$106</f>
        <v>2.6693021956825349E-2</v>
      </c>
      <c r="J43" s="531">
        <f>N43*(Q43+R43+S43)+'Interdisciplinary Graduate'!B38</f>
        <v>428.4025777714823</v>
      </c>
      <c r="K43" s="558"/>
      <c r="L43" s="531">
        <f>N43*(W43+S43+U43)+'Interdisciplinary Graduate'!D38</f>
        <v>513.76894509403178</v>
      </c>
      <c r="N43" s="1152">
        <f t="shared" ref="N43:N53" si="11">IF(N$12="yes",AB18,1)</f>
        <v>1.7073273464509895</v>
      </c>
      <c r="O43"/>
      <c r="P43" s="557" t="s">
        <v>6</v>
      </c>
      <c r="Q43" s="616">
        <v>76</v>
      </c>
      <c r="R43" s="617">
        <v>85</v>
      </c>
      <c r="S43" s="617">
        <v>88</v>
      </c>
      <c r="T43" s="1277">
        <v>106.31617994625023</v>
      </c>
      <c r="U43" s="616">
        <v>99</v>
      </c>
      <c r="V43" s="1277">
        <v>99.550187261242073</v>
      </c>
      <c r="W43" s="1455">
        <v>112</v>
      </c>
    </row>
    <row r="44" spans="1:30">
      <c r="A44" s="557" t="s">
        <v>8</v>
      </c>
      <c r="B44" s="631">
        <f t="shared" si="7"/>
        <v>3.6308791570847251E-2</v>
      </c>
      <c r="C44" s="631">
        <f t="shared" si="8"/>
        <v>3.6169381717601271E-2</v>
      </c>
      <c r="E44" s="557" t="s">
        <v>8</v>
      </c>
      <c r="F44" s="631">
        <f t="shared" si="9"/>
        <v>1.1643486570096249E-2</v>
      </c>
      <c r="G44" s="568"/>
      <c r="H44" s="631">
        <f t="shared" si="10"/>
        <v>8.1349469088539111E-3</v>
      </c>
      <c r="J44" s="531">
        <f>N44*(Q44+R44+S44)+'Interdisciplinary Graduate'!B39</f>
        <v>313.73663623744386</v>
      </c>
      <c r="K44" s="558"/>
      <c r="L44" s="531">
        <f>N44*(W44+S44+U44)+'Interdisciplinary Graduate'!D39</f>
        <v>322.49533629990742</v>
      </c>
      <c r="N44" s="1152">
        <f t="shared" si="11"/>
        <v>1.4597833437439227</v>
      </c>
      <c r="O44"/>
      <c r="P44" s="557" t="s">
        <v>8</v>
      </c>
      <c r="Q44" s="616">
        <v>73</v>
      </c>
      <c r="R44" s="617">
        <v>66</v>
      </c>
      <c r="S44" s="617">
        <v>74</v>
      </c>
      <c r="T44" s="1277">
        <v>74.924389743983909</v>
      </c>
      <c r="U44" s="616">
        <v>73</v>
      </c>
      <c r="V44" s="1277">
        <v>76.006486752274157</v>
      </c>
      <c r="W44" s="1455">
        <v>72</v>
      </c>
    </row>
    <row r="45" spans="1:30" s="10" customFormat="1">
      <c r="A45" s="559" t="s">
        <v>2</v>
      </c>
      <c r="B45" s="631">
        <f t="shared" si="7"/>
        <v>3.8670968526143421E-2</v>
      </c>
      <c r="C45" s="631">
        <f t="shared" si="8"/>
        <v>4.1462899315713758E-2</v>
      </c>
      <c r="D45" s="66"/>
      <c r="E45" s="559" t="s">
        <v>2</v>
      </c>
      <c r="F45" s="631">
        <f t="shared" si="9"/>
        <v>3.029671091774078E-2</v>
      </c>
      <c r="G45" s="568"/>
      <c r="H45" s="631">
        <f t="shared" si="10"/>
        <v>2.9471086143206635E-2</v>
      </c>
      <c r="I45"/>
      <c r="J45" s="531">
        <f>N45*(Q45+R45+S45)+'Interdisciplinary Graduate'!B40</f>
        <v>329.31026475486021</v>
      </c>
      <c r="K45" s="558"/>
      <c r="L45" s="531">
        <f>N45*(W45+S45+U45)+'Interdisciplinary Graduate'!D40</f>
        <v>377.01738733649847</v>
      </c>
      <c r="M45"/>
      <c r="N45" s="1152">
        <f t="shared" si="11"/>
        <v>2.5215181068519161</v>
      </c>
      <c r="O45"/>
      <c r="P45" s="559" t="s">
        <v>2</v>
      </c>
      <c r="Q45" s="616">
        <v>28</v>
      </c>
      <c r="R45" s="617">
        <v>47</v>
      </c>
      <c r="S45" s="617">
        <v>46</v>
      </c>
      <c r="T45" s="1277">
        <v>42.433173540073938</v>
      </c>
      <c r="U45" s="616">
        <v>40</v>
      </c>
      <c r="V45" s="1277">
        <v>46.48662491120789</v>
      </c>
      <c r="W45" s="1455">
        <v>52</v>
      </c>
    </row>
    <row r="46" spans="1:30">
      <c r="A46" s="557" t="s">
        <v>10</v>
      </c>
      <c r="B46" s="631">
        <f t="shared" si="7"/>
        <v>0.11740080380959503</v>
      </c>
      <c r="C46" s="631">
        <f t="shared" si="8"/>
        <v>0.11138012290135546</v>
      </c>
      <c r="E46" s="557" t="s">
        <v>10</v>
      </c>
      <c r="F46" s="631">
        <f t="shared" si="9"/>
        <v>0.16498030470181374</v>
      </c>
      <c r="G46" s="568"/>
      <c r="H46" s="631">
        <f t="shared" si="10"/>
        <v>0.16098331006113545</v>
      </c>
      <c r="J46" s="531">
        <f>N46*(Q46+R46+S46)+'Interdisciplinary Graduate'!B41</f>
        <v>733.78500000000008</v>
      </c>
      <c r="K46" s="558"/>
      <c r="L46" s="531">
        <f>N46*(W46+S46+U46)+'Interdisciplinary Graduate'!D41</f>
        <v>706.09500000000003</v>
      </c>
      <c r="N46" s="1340">
        <f>IF(N$13="yes",2.769,AD21)</f>
        <v>2.7690000000000001</v>
      </c>
      <c r="O46"/>
      <c r="P46" s="557" t="s">
        <v>10</v>
      </c>
      <c r="Q46" s="616">
        <v>88</v>
      </c>
      <c r="R46" s="617">
        <v>94</v>
      </c>
      <c r="S46" s="617">
        <v>83</v>
      </c>
      <c r="T46" s="1277">
        <v>86.041694331651129</v>
      </c>
      <c r="U46" s="616">
        <v>95</v>
      </c>
      <c r="V46" s="1277">
        <v>88.748995323996553</v>
      </c>
      <c r="W46" s="1455">
        <v>77</v>
      </c>
    </row>
    <row r="47" spans="1:30">
      <c r="A47" s="557" t="s">
        <v>4</v>
      </c>
      <c r="B47" s="631">
        <f t="shared" si="7"/>
        <v>0.1067301757560528</v>
      </c>
      <c r="C47" s="631">
        <f t="shared" si="8"/>
        <v>0.10437851311555926</v>
      </c>
      <c r="E47" s="557" t="s">
        <v>4</v>
      </c>
      <c r="F47" s="631">
        <f t="shared" si="9"/>
        <v>0.13091327949818429</v>
      </c>
      <c r="G47" s="568"/>
      <c r="H47" s="631">
        <f t="shared" si="10"/>
        <v>0.12905966198761112</v>
      </c>
      <c r="J47" s="531">
        <f>N47*(Q47+R47+S47)+'Interdisciplinary Graduate'!B42</f>
        <v>471.64441954763805</v>
      </c>
      <c r="K47" s="558"/>
      <c r="L47" s="531">
        <f>N47*(W47+S47+U47)+'Interdisciplinary Graduate'!D42</f>
        <v>421.36658033501868</v>
      </c>
      <c r="N47" s="1152">
        <f t="shared" si="11"/>
        <v>2.5189298202715129</v>
      </c>
      <c r="O47"/>
      <c r="P47" s="557" t="s">
        <v>4</v>
      </c>
      <c r="Q47" s="616">
        <v>60</v>
      </c>
      <c r="R47" s="617">
        <v>60</v>
      </c>
      <c r="S47" s="617">
        <v>49</v>
      </c>
      <c r="T47" s="1277">
        <v>47.08179190751445</v>
      </c>
      <c r="U47" s="616">
        <v>45</v>
      </c>
      <c r="V47" s="1277">
        <v>43.267775577024132</v>
      </c>
      <c r="W47" s="1455">
        <v>56</v>
      </c>
    </row>
    <row r="48" spans="1:30" s="10" customFormat="1">
      <c r="A48" s="557" t="s">
        <v>14</v>
      </c>
      <c r="B48" s="631">
        <f t="shared" si="7"/>
        <v>5.8784384365238036E-2</v>
      </c>
      <c r="C48" s="631">
        <f t="shared" si="8"/>
        <v>1.9023035799746957E-2</v>
      </c>
      <c r="D48" s="66"/>
      <c r="E48" s="557" t="s">
        <v>14</v>
      </c>
      <c r="F48" s="631">
        <f t="shared" si="9"/>
        <v>2.8539609894474349E-2</v>
      </c>
      <c r="G48" s="568"/>
      <c r="H48" s="631">
        <f t="shared" si="10"/>
        <v>2.4427072751697886E-2</v>
      </c>
      <c r="I48"/>
      <c r="J48" s="531">
        <f>N48*(Q48+R48+S48)+'Interdisciplinary Graduate'!B43</f>
        <v>510.23037321136559</v>
      </c>
      <c r="K48" s="558"/>
      <c r="L48" s="531">
        <f>'Interdisciplinary Graduate'!D43</f>
        <v>86.775319829194288</v>
      </c>
      <c r="M48"/>
      <c r="N48" s="1152">
        <f t="shared" si="11"/>
        <v>2.6585575928061984</v>
      </c>
      <c r="O48"/>
      <c r="P48" s="557" t="s">
        <v>14</v>
      </c>
      <c r="Q48" s="616">
        <v>49</v>
      </c>
      <c r="R48" s="617">
        <v>62</v>
      </c>
      <c r="S48" s="617">
        <v>49</v>
      </c>
      <c r="T48" s="1277">
        <v>45.256321209415994</v>
      </c>
      <c r="U48" s="616">
        <v>37</v>
      </c>
      <c r="V48" s="1277">
        <v>48.017877769883121</v>
      </c>
      <c r="W48" s="1455">
        <v>46</v>
      </c>
      <c r="Y48"/>
      <c r="Z48"/>
      <c r="AA48"/>
      <c r="AB48"/>
      <c r="AC48"/>
      <c r="AD48"/>
    </row>
    <row r="49" spans="1:23">
      <c r="A49" s="559" t="s">
        <v>17</v>
      </c>
      <c r="B49" s="631">
        <f t="shared" si="7"/>
        <v>6.0405067101762272E-2</v>
      </c>
      <c r="C49" s="631">
        <f t="shared" si="8"/>
        <v>6.281619900812363E-2</v>
      </c>
      <c r="E49" s="559" t="s">
        <v>17</v>
      </c>
      <c r="F49" s="631">
        <f t="shared" si="9"/>
        <v>4.9036908965168227E-2</v>
      </c>
      <c r="G49" s="568"/>
      <c r="H49" s="631">
        <f t="shared" si="10"/>
        <v>4.9473854599360441E-2</v>
      </c>
      <c r="J49" s="531">
        <f>N49*(Q49+R49+S49)+'Interdisciplinary Graduate'!B44</f>
        <v>554.34492619825323</v>
      </c>
      <c r="K49" s="558"/>
      <c r="L49" s="531">
        <f>N49*(W49+S49+U49)+'Interdisciplinary Graduate'!D44</f>
        <v>581.10526264452972</v>
      </c>
      <c r="N49" s="1152">
        <f t="shared" si="11"/>
        <v>2.0712334710740294</v>
      </c>
      <c r="O49"/>
      <c r="P49" s="559" t="s">
        <v>17</v>
      </c>
      <c r="Q49" s="616">
        <v>62</v>
      </c>
      <c r="R49" s="617">
        <v>71</v>
      </c>
      <c r="S49" s="617">
        <v>78</v>
      </c>
      <c r="T49" s="1277">
        <v>69.59698741342072</v>
      </c>
      <c r="U49" s="616">
        <v>72</v>
      </c>
      <c r="V49" s="1277">
        <v>67.403165264020259</v>
      </c>
      <c r="W49" s="1455">
        <v>72</v>
      </c>
    </row>
    <row r="50" spans="1:23">
      <c r="A50" s="557" t="s">
        <v>376</v>
      </c>
      <c r="B50" s="631">
        <f t="shared" si="7"/>
        <v>7.9737769292783617E-2</v>
      </c>
      <c r="C50" s="631">
        <f t="shared" si="8"/>
        <v>7.536225788421716E-2</v>
      </c>
      <c r="E50" s="557" t="s">
        <v>376</v>
      </c>
      <c r="F50" s="631">
        <f t="shared" si="9"/>
        <v>0.11912617080550525</v>
      </c>
      <c r="G50" s="568"/>
      <c r="H50" s="631">
        <f t="shared" si="10"/>
        <v>0.11104408827271108</v>
      </c>
      <c r="J50" s="531">
        <f>N50*(Q50+R50+S50)+'Interdisciplinary Graduate'!B45</f>
        <v>492.88200000000001</v>
      </c>
      <c r="K50" s="558"/>
      <c r="L50" s="531">
        <f>N50*(W50+S50+U50)+'Interdisciplinary Graduate'!D45</f>
        <v>495.65100000000001</v>
      </c>
      <c r="N50" s="1340">
        <f>IF(N$13="yes",2.769,AD25)</f>
        <v>2.7690000000000001</v>
      </c>
      <c r="O50"/>
      <c r="P50" s="557" t="s">
        <v>376</v>
      </c>
      <c r="Q50" s="616">
        <v>57</v>
      </c>
      <c r="R50" s="617">
        <v>58</v>
      </c>
      <c r="S50" s="617">
        <v>63</v>
      </c>
      <c r="T50" s="1277">
        <v>58.243333710091349</v>
      </c>
      <c r="U50" s="616">
        <v>61</v>
      </c>
      <c r="V50" s="1277">
        <v>57.401621299716282</v>
      </c>
      <c r="W50" s="1455">
        <v>55</v>
      </c>
    </row>
    <row r="51" spans="1:23">
      <c r="A51" s="557" t="s">
        <v>7</v>
      </c>
      <c r="B51" s="631">
        <f t="shared" si="7"/>
        <v>0.24763042245952893</v>
      </c>
      <c r="C51" s="631">
        <f t="shared" si="8"/>
        <v>0.29000715003149896</v>
      </c>
      <c r="E51" s="557" t="s">
        <v>7</v>
      </c>
      <c r="F51" s="631">
        <f t="shared" si="9"/>
        <v>0.24574550227473277</v>
      </c>
      <c r="G51" s="568"/>
      <c r="H51" s="631">
        <f t="shared" si="10"/>
        <v>0.28279476449419855</v>
      </c>
      <c r="J51" s="531">
        <f>N51*(Q51+R51+S51)+'Interdisciplinary Graduate'!B46</f>
        <v>1716.325947922978</v>
      </c>
      <c r="K51" s="558"/>
      <c r="L51" s="531">
        <f>N51*(W51+S51+U51)+'Interdisciplinary Graduate'!D46</f>
        <v>2274.3127100412248</v>
      </c>
      <c r="N51" s="1152">
        <f t="shared" si="11"/>
        <v>2.5832720468437356</v>
      </c>
      <c r="O51"/>
      <c r="P51" s="557" t="s">
        <v>7</v>
      </c>
      <c r="Q51" s="616">
        <v>186</v>
      </c>
      <c r="R51" s="617">
        <v>231</v>
      </c>
      <c r="S51" s="617">
        <v>233</v>
      </c>
      <c r="T51" s="1277">
        <v>275.83249491542375</v>
      </c>
      <c r="U51" s="616">
        <v>291</v>
      </c>
      <c r="V51" s="1277">
        <v>309.59543197100101</v>
      </c>
      <c r="W51" s="1455">
        <v>342</v>
      </c>
    </row>
    <row r="52" spans="1:23">
      <c r="A52" s="557" t="s">
        <v>9</v>
      </c>
      <c r="B52" s="631">
        <f t="shared" si="7"/>
        <v>5.9752376655099637E-2</v>
      </c>
      <c r="C52" s="631">
        <f t="shared" si="8"/>
        <v>6.0808730223352314E-2</v>
      </c>
      <c r="E52" s="557" t="s">
        <v>9</v>
      </c>
      <c r="F52" s="631">
        <f t="shared" si="9"/>
        <v>4.5685343692911738E-2</v>
      </c>
      <c r="G52" s="568"/>
      <c r="H52" s="631">
        <f t="shared" si="10"/>
        <v>4.7448038873316167E-2</v>
      </c>
      <c r="J52" s="531">
        <f>N52*(Q52+R52+S52)+'Interdisciplinary Graduate'!B47</f>
        <v>473.08718186715197</v>
      </c>
      <c r="K52" s="558"/>
      <c r="L52" s="531">
        <f>N52*(W52+S52+U52)+'Interdisciplinary Graduate'!D47</f>
        <v>464.1576389855523</v>
      </c>
      <c r="N52" s="1152">
        <f t="shared" si="11"/>
        <v>2.2323857203999244</v>
      </c>
      <c r="O52"/>
      <c r="P52" s="557" t="s">
        <v>9</v>
      </c>
      <c r="Q52" s="616">
        <v>64</v>
      </c>
      <c r="R52" s="617">
        <v>68</v>
      </c>
      <c r="S52" s="617">
        <v>78</v>
      </c>
      <c r="T52" s="1277">
        <v>59.033115089727787</v>
      </c>
      <c r="U52" s="616">
        <v>69</v>
      </c>
      <c r="V52" s="1277">
        <v>63.807949526813886</v>
      </c>
      <c r="W52" s="1455">
        <v>59</v>
      </c>
    </row>
    <row r="53" spans="1:23">
      <c r="A53" s="559" t="s">
        <v>5</v>
      </c>
      <c r="B53" s="631">
        <f t="shared" si="7"/>
        <v>4.9426938609139812E-2</v>
      </c>
      <c r="C53" s="631">
        <f t="shared" si="8"/>
        <v>4.6470401563315986E-2</v>
      </c>
      <c r="E53" s="559" t="s">
        <v>5</v>
      </c>
      <c r="F53" s="631">
        <f t="shared" si="9"/>
        <v>4.7894544889134867E-2</v>
      </c>
      <c r="G53" s="568"/>
      <c r="H53" s="631">
        <f t="shared" si="10"/>
        <v>3.9678990618756661E-2</v>
      </c>
      <c r="J53" s="531">
        <f>N53*(Q53+R53+S53)+'Interdisciplinary Graduate'!B48</f>
        <v>242.64147734403321</v>
      </c>
      <c r="K53" s="558"/>
      <c r="L53" s="531">
        <f>N53*(W53+S53+U53)+'Interdisciplinary Graduate'!D48</f>
        <v>245.41009301432112</v>
      </c>
      <c r="N53" s="1152">
        <f t="shared" si="11"/>
        <v>2.768615670287919</v>
      </c>
      <c r="O53"/>
      <c r="P53" s="559" t="s">
        <v>5</v>
      </c>
      <c r="Q53" s="616">
        <v>26</v>
      </c>
      <c r="R53" s="617">
        <v>27</v>
      </c>
      <c r="S53" s="617">
        <v>26</v>
      </c>
      <c r="T53" s="1277">
        <v>23.392178137991603</v>
      </c>
      <c r="U53" s="616">
        <v>32</v>
      </c>
      <c r="V53" s="1277">
        <v>25.327743770949965</v>
      </c>
      <c r="W53" s="1455">
        <v>22</v>
      </c>
    </row>
    <row r="54" spans="1:23">
      <c r="A54" s="557"/>
      <c r="B54" s="631"/>
      <c r="C54" s="631"/>
      <c r="E54" s="537"/>
      <c r="F54" s="631"/>
      <c r="G54" s="633"/>
      <c r="H54" s="631"/>
      <c r="I54" s="66"/>
      <c r="J54" s="530"/>
      <c r="K54" s="558"/>
      <c r="L54" s="530"/>
      <c r="N54" s="1214"/>
      <c r="O54"/>
      <c r="P54" s="557"/>
      <c r="Q54" s="612"/>
      <c r="R54" s="528"/>
      <c r="S54" s="528"/>
      <c r="T54" s="612"/>
      <c r="U54" s="185"/>
      <c r="V54" s="612"/>
      <c r="W54" s="612"/>
    </row>
    <row r="55" spans="1:23">
      <c r="A55" s="557" t="s">
        <v>631</v>
      </c>
      <c r="B55" s="631">
        <f>F30*D$4+F55*D$5</f>
        <v>0</v>
      </c>
      <c r="C55" s="631">
        <f>H30*D$4+H55*D$5</f>
        <v>0</v>
      </c>
      <c r="E55" s="557" t="s">
        <v>631</v>
      </c>
      <c r="F55" s="631">
        <f>J101/J$106</f>
        <v>0</v>
      </c>
      <c r="G55" s="568"/>
      <c r="H55" s="631">
        <f>L101/L$106</f>
        <v>0</v>
      </c>
      <c r="J55" s="531">
        <f>N55*(Q55+R55+S55)</f>
        <v>0</v>
      </c>
      <c r="K55" s="558"/>
      <c r="L55" s="531">
        <f>N55*(W55+S55+U55)+'Interdisciplinary Graduate'!D50</f>
        <v>0</v>
      </c>
      <c r="N55" s="1214"/>
      <c r="O55"/>
      <c r="P55" s="557" t="s">
        <v>631</v>
      </c>
      <c r="Q55" s="612"/>
      <c r="R55" s="528"/>
      <c r="S55" s="528"/>
      <c r="T55" s="612"/>
      <c r="U55" s="185"/>
      <c r="V55" s="612"/>
      <c r="W55" s="612"/>
    </row>
    <row r="56" spans="1:23">
      <c r="A56" s="557" t="s">
        <v>657</v>
      </c>
      <c r="B56" s="631">
        <f>F31*D$4+F56*D$5</f>
        <v>0</v>
      </c>
      <c r="C56" s="631">
        <f>H31*D$4+H56*D$5</f>
        <v>0</v>
      </c>
      <c r="E56" s="557" t="s">
        <v>657</v>
      </c>
      <c r="F56" s="631">
        <f>J102/J$106</f>
        <v>0</v>
      </c>
      <c r="G56" s="568"/>
      <c r="H56" s="631">
        <f>L102/L$106</f>
        <v>0</v>
      </c>
      <c r="J56" s="531">
        <f>N56*(Q56+R56+S56)</f>
        <v>0</v>
      </c>
      <c r="K56" s="558"/>
      <c r="L56" s="531">
        <f>N56*(W56+S56+U56)+'Interdisciplinary Graduate'!D51</f>
        <v>0</v>
      </c>
      <c r="N56" s="1214"/>
      <c r="O56"/>
      <c r="P56" s="557" t="s">
        <v>657</v>
      </c>
      <c r="Q56" s="612"/>
      <c r="R56" s="528"/>
      <c r="S56" s="528"/>
      <c r="T56" s="612"/>
      <c r="U56" s="185"/>
      <c r="V56" s="612"/>
      <c r="W56" s="612"/>
    </row>
    <row r="57" spans="1:23">
      <c r="A57" s="559" t="s">
        <v>633</v>
      </c>
      <c r="B57" s="631">
        <f>F32*D$4+F57*D$5</f>
        <v>0</v>
      </c>
      <c r="C57" s="631">
        <f>H32*D$4+H57*D$5</f>
        <v>0</v>
      </c>
      <c r="E57" s="559" t="s">
        <v>633</v>
      </c>
      <c r="F57" s="631">
        <f>J103/J$106</f>
        <v>0</v>
      </c>
      <c r="G57" s="568"/>
      <c r="H57" s="631">
        <f>L103/L$106</f>
        <v>0</v>
      </c>
      <c r="J57" s="531">
        <f>N57*(Q57+R57+S57)</f>
        <v>0</v>
      </c>
      <c r="K57" s="558"/>
      <c r="L57" s="531">
        <f>N57*(W57+S57+U57)+'Interdisciplinary Graduate'!D52</f>
        <v>0</v>
      </c>
      <c r="N57" s="1214"/>
      <c r="O57"/>
      <c r="P57" s="559" t="s">
        <v>633</v>
      </c>
      <c r="Q57" s="612"/>
      <c r="R57" s="528"/>
      <c r="S57" s="528"/>
      <c r="T57" s="612"/>
      <c r="U57" s="612"/>
      <c r="V57" s="612"/>
      <c r="W57" s="612"/>
    </row>
    <row r="58" spans="1:23">
      <c r="A58" s="557" t="s">
        <v>656</v>
      </c>
      <c r="B58" s="631">
        <f>F33*D$4+F58*D$5</f>
        <v>0</v>
      </c>
      <c r="C58" s="631">
        <f>H33*D$4+H58*D$5</f>
        <v>0</v>
      </c>
      <c r="E58" s="557" t="s">
        <v>656</v>
      </c>
      <c r="F58" s="631">
        <f>J104/J$106</f>
        <v>0</v>
      </c>
      <c r="G58" s="568"/>
      <c r="H58" s="631">
        <f>L104/L$106</f>
        <v>0</v>
      </c>
      <c r="J58" s="531">
        <f>N58*(Q58+R58+S58)</f>
        <v>0</v>
      </c>
      <c r="K58" s="558"/>
      <c r="L58" s="531">
        <f>N58*(W58+S58+U58)+'Interdisciplinary Graduate'!D53</f>
        <v>0</v>
      </c>
      <c r="N58" s="1214"/>
      <c r="O58"/>
      <c r="P58" s="557" t="s">
        <v>656</v>
      </c>
      <c r="Q58" s="612"/>
      <c r="R58" s="528"/>
      <c r="S58" s="528"/>
      <c r="T58" s="612"/>
      <c r="U58" s="612"/>
      <c r="V58" s="612"/>
      <c r="W58" s="612"/>
    </row>
    <row r="59" spans="1:23">
      <c r="A59" s="563" t="s">
        <v>635</v>
      </c>
      <c r="B59" s="631">
        <f>F34*D$4+F59*D$5</f>
        <v>0</v>
      </c>
      <c r="C59" s="631">
        <f>H34*D$4+H59*D$5</f>
        <v>0</v>
      </c>
      <c r="E59" s="563" t="s">
        <v>635</v>
      </c>
      <c r="F59" s="631">
        <f>J105/J$106</f>
        <v>0</v>
      </c>
      <c r="G59" s="568"/>
      <c r="H59" s="631">
        <f>L105/L$106</f>
        <v>0</v>
      </c>
      <c r="J59" s="531">
        <f>N59*(Q59+R59+S59)</f>
        <v>0</v>
      </c>
      <c r="K59" s="558"/>
      <c r="L59" s="531">
        <f>N59*(W59+S59+U59)+'Interdisciplinary Graduate'!D54</f>
        <v>0</v>
      </c>
      <c r="N59" s="1214"/>
      <c r="O59"/>
      <c r="P59" s="637" t="s">
        <v>635</v>
      </c>
      <c r="Q59" s="612"/>
      <c r="R59" s="528"/>
      <c r="S59" s="528"/>
      <c r="T59" s="612"/>
      <c r="U59" s="612"/>
      <c r="V59" s="612"/>
      <c r="W59" s="612"/>
    </row>
    <row r="60" spans="1:23">
      <c r="A60" s="564"/>
      <c r="B60" s="569">
        <f>SUM(B42:B59)</f>
        <v>1</v>
      </c>
      <c r="C60" s="569">
        <f>SUM(C42:C59)</f>
        <v>0.99999999999999989</v>
      </c>
      <c r="E60" s="542"/>
      <c r="F60" s="569">
        <f>SUM(F42:F59)</f>
        <v>1</v>
      </c>
      <c r="G60" s="543"/>
      <c r="H60" s="569">
        <f>SUM(H42:H59)</f>
        <v>1</v>
      </c>
      <c r="J60" s="543">
        <f>SUM(J42:J59)</f>
        <v>6963.5389741835752</v>
      </c>
      <c r="K60" s="565"/>
      <c r="L60" s="543">
        <f>SUM(L42:L59)</f>
        <v>7248.0849930047816</v>
      </c>
      <c r="N60" s="1214"/>
      <c r="O60"/>
      <c r="P60" s="642"/>
      <c r="Q60" s="643">
        <f t="shared" ref="Q60:V60" si="12">SUM(Q42:Q59)</f>
        <v>833</v>
      </c>
      <c r="R60" s="643">
        <f t="shared" si="12"/>
        <v>932</v>
      </c>
      <c r="S60" s="643">
        <f t="shared" si="12"/>
        <v>954</v>
      </c>
      <c r="T60" s="643">
        <f t="shared" si="12"/>
        <v>955.28943074610015</v>
      </c>
      <c r="U60" s="639">
        <f t="shared" si="12"/>
        <v>987</v>
      </c>
      <c r="V60" s="639">
        <f t="shared" si="12"/>
        <v>990.42915832957931</v>
      </c>
      <c r="W60" s="639">
        <f t="shared" ref="W60" si="13">SUM(W42:W59)</f>
        <v>1043</v>
      </c>
    </row>
    <row r="61" spans="1:23">
      <c r="K61"/>
      <c r="L61"/>
      <c r="N61" s="1210"/>
      <c r="O61"/>
      <c r="P61" s="66"/>
      <c r="Q61" s="602"/>
      <c r="R61" s="602"/>
      <c r="S61" s="602"/>
      <c r="T61" s="602"/>
      <c r="U61" s="602"/>
      <c r="V61" s="602"/>
      <c r="W61" s="602"/>
    </row>
    <row r="62" spans="1:23">
      <c r="K62"/>
      <c r="L62"/>
      <c r="N62" s="1210"/>
      <c r="O62"/>
      <c r="P62" s="66"/>
      <c r="Q62" s="66"/>
      <c r="T62" s="186"/>
      <c r="U62" s="186"/>
      <c r="V62" s="186"/>
      <c r="W62" s="186"/>
    </row>
    <row r="63" spans="1:23">
      <c r="D63"/>
      <c r="J63" s="552" t="s">
        <v>693</v>
      </c>
      <c r="K63" s="552"/>
      <c r="L63" s="552"/>
      <c r="N63" s="1210"/>
      <c r="O63"/>
      <c r="P63" s="640" t="s">
        <v>686</v>
      </c>
      <c r="Q63" s="636"/>
      <c r="R63" s="636"/>
      <c r="S63" s="636"/>
      <c r="T63" s="641"/>
      <c r="U63" s="1275"/>
      <c r="V63" s="1275"/>
      <c r="W63" s="1275"/>
    </row>
    <row r="64" spans="1:23" ht="25.5">
      <c r="A64" s="554" t="s">
        <v>1326</v>
      </c>
      <c r="B64" s="253"/>
      <c r="C64" s="253"/>
      <c r="D64"/>
      <c r="J64" s="556" t="s">
        <v>1004</v>
      </c>
      <c r="K64" s="556"/>
      <c r="L64" s="556" t="s">
        <v>1153</v>
      </c>
      <c r="N64" s="1210"/>
      <c r="O64"/>
      <c r="P64" s="530"/>
      <c r="Q64" s="529" t="s">
        <v>622</v>
      </c>
      <c r="R64" s="529" t="s">
        <v>623</v>
      </c>
      <c r="S64" s="529" t="s">
        <v>624</v>
      </c>
      <c r="T64" s="529" t="s">
        <v>645</v>
      </c>
      <c r="U64" s="529" t="s">
        <v>1065</v>
      </c>
      <c r="V64" s="529" t="s">
        <v>1074</v>
      </c>
      <c r="W64" s="529" t="s">
        <v>1309</v>
      </c>
    </row>
    <row r="65" spans="1:23">
      <c r="A65" s="555"/>
      <c r="B65" s="556" t="s">
        <v>1247</v>
      </c>
      <c r="C65" s="556" t="s">
        <v>1330</v>
      </c>
      <c r="D65"/>
      <c r="E65" s="556" t="s">
        <v>1331</v>
      </c>
      <c r="F65" s="556" t="s">
        <v>1332</v>
      </c>
      <c r="G65" s="556" t="s">
        <v>1333</v>
      </c>
      <c r="J65" s="531">
        <f>N65*(Q65+R65+S65)/5</f>
        <v>26.204473083603524</v>
      </c>
      <c r="K65" s="558"/>
      <c r="L65" s="531">
        <f t="shared" ref="L65:L70" si="14">N65*(W65+S65+U65)/5</f>
        <v>34.393370922229622</v>
      </c>
      <c r="N65" s="1152">
        <f>N42</f>
        <v>2.729632612875367</v>
      </c>
      <c r="O65"/>
      <c r="P65" s="557" t="s">
        <v>628</v>
      </c>
      <c r="Q65" s="616">
        <v>13</v>
      </c>
      <c r="R65" s="617">
        <v>14</v>
      </c>
      <c r="S65" s="617">
        <v>21</v>
      </c>
      <c r="T65" s="1278">
        <v>24</v>
      </c>
      <c r="U65" s="617">
        <v>21</v>
      </c>
      <c r="V65" s="1278">
        <v>25.666666666666664</v>
      </c>
      <c r="W65" s="616">
        <v>21</v>
      </c>
    </row>
    <row r="66" spans="1:23">
      <c r="A66" s="557" t="s">
        <v>628</v>
      </c>
      <c r="B66" s="531">
        <f>C17*0.6*H17/(0.6*H17+0.4*H42)</f>
        <v>2335406.4332634998</v>
      </c>
      <c r="C66" s="531">
        <f>B66*L17/(L17+L42+L65)</f>
        <v>682257.4480709543</v>
      </c>
      <c r="D66" s="551"/>
      <c r="E66" s="531">
        <f>B66-C66</f>
        <v>1653148.9851925455</v>
      </c>
      <c r="F66" s="531">
        <f>C66/((L17/3)/N17)</f>
        <v>18209.718364883123</v>
      </c>
      <c r="G66" s="531">
        <f>E66/(((L42+L65)/3)/N42)</f>
        <v>17042.773043222118</v>
      </c>
      <c r="J66" s="531">
        <f t="shared" ref="J66:J76" si="15">N66*(Q66+R66+S66)/5</f>
        <v>3.414654692901979</v>
      </c>
      <c r="K66" s="558"/>
      <c r="L66" s="531">
        <f t="shared" si="14"/>
        <v>2.0487928157411872</v>
      </c>
      <c r="N66" s="1152">
        <f t="shared" ref="N66:N76" si="16">N43</f>
        <v>1.7073273464509895</v>
      </c>
      <c r="O66"/>
      <c r="P66" s="557" t="s">
        <v>6</v>
      </c>
      <c r="Q66" s="616">
        <v>6</v>
      </c>
      <c r="R66" s="617">
        <v>4</v>
      </c>
      <c r="S66" s="617">
        <v>0</v>
      </c>
      <c r="T66" s="1278">
        <v>3.3333333333333335</v>
      </c>
      <c r="U66" s="617">
        <v>1</v>
      </c>
      <c r="V66" s="1278">
        <v>1.6666666666666667</v>
      </c>
      <c r="W66" s="616">
        <v>5</v>
      </c>
    </row>
    <row r="67" spans="1:23">
      <c r="A67" s="557" t="s">
        <v>6</v>
      </c>
      <c r="B67" s="531">
        <f t="shared" ref="B67:B77" si="17">C18*0.6*H18/(0.6*H18+0.4*H43)</f>
        <v>1169064.7711536845</v>
      </c>
      <c r="C67" s="531">
        <f t="shared" ref="C67:C77" si="18">B67*L18/(L18+L43+L66)</f>
        <v>95542.44713609718</v>
      </c>
      <c r="D67" s="551"/>
      <c r="E67" s="531">
        <f t="shared" ref="E67:E77" si="19">B67-C67</f>
        <v>1073522.3240175874</v>
      </c>
      <c r="F67" s="531">
        <f t="shared" ref="F67:F77" si="20">C67/((L18/3)/N18)</f>
        <v>26057.031037117409</v>
      </c>
      <c r="G67" s="531">
        <f t="shared" ref="G67:G77" si="21">E67/(((L43+L66)/3)/N43)</f>
        <v>10659.893327329413</v>
      </c>
      <c r="J67" s="531">
        <f t="shared" si="15"/>
        <v>0.58391333749756913</v>
      </c>
      <c r="K67" s="558"/>
      <c r="L67" s="531">
        <f t="shared" si="14"/>
        <v>0</v>
      </c>
      <c r="N67" s="1152">
        <f t="shared" si="16"/>
        <v>1.4597833437439227</v>
      </c>
      <c r="O67"/>
      <c r="P67" s="557" t="s">
        <v>8</v>
      </c>
      <c r="Q67" s="616">
        <v>0</v>
      </c>
      <c r="R67" s="617">
        <v>2</v>
      </c>
      <c r="S67" s="617">
        <v>0</v>
      </c>
      <c r="T67" s="1278">
        <v>0.66666666666666696</v>
      </c>
      <c r="U67" s="617">
        <v>0</v>
      </c>
      <c r="V67" s="1278">
        <v>0.66666666666666663</v>
      </c>
      <c r="W67" s="616">
        <v>0</v>
      </c>
    </row>
    <row r="68" spans="1:23">
      <c r="A68" s="557" t="s">
        <v>8</v>
      </c>
      <c r="B68" s="531">
        <f t="shared" si="17"/>
        <v>1097247.9555560236</v>
      </c>
      <c r="C68" s="1023">
        <f t="shared" si="18"/>
        <v>426069.13120534102</v>
      </c>
      <c r="D68"/>
      <c r="E68" s="1023">
        <f t="shared" si="19"/>
        <v>671178.82435068255</v>
      </c>
      <c r="F68" s="531">
        <f t="shared" si="20"/>
        <v>15780.338192790408</v>
      </c>
      <c r="G68" s="531">
        <f t="shared" si="21"/>
        <v>9114.3240677713547</v>
      </c>
      <c r="J68" s="531">
        <f t="shared" si="15"/>
        <v>10.086072427407665</v>
      </c>
      <c r="K68" s="558"/>
      <c r="L68" s="531">
        <f t="shared" si="14"/>
        <v>17.146323126593028</v>
      </c>
      <c r="N68" s="1152">
        <f t="shared" si="16"/>
        <v>2.5215181068519161</v>
      </c>
      <c r="O68"/>
      <c r="P68" s="559" t="s">
        <v>2</v>
      </c>
      <c r="Q68" s="616">
        <v>7</v>
      </c>
      <c r="R68" s="617">
        <v>4</v>
      </c>
      <c r="S68" s="617">
        <v>9</v>
      </c>
      <c r="T68" s="1278">
        <v>8.6666666666666661</v>
      </c>
      <c r="U68" s="617">
        <v>8</v>
      </c>
      <c r="V68" s="1278">
        <v>11</v>
      </c>
      <c r="W68" s="616">
        <v>17</v>
      </c>
    </row>
    <row r="69" spans="1:23">
      <c r="A69" s="559" t="s">
        <v>2</v>
      </c>
      <c r="B69" s="539">
        <f t="shared" si="17"/>
        <v>989210.00431248557</v>
      </c>
      <c r="C69" s="1024">
        <f t="shared" si="18"/>
        <v>168874.61954184828</v>
      </c>
      <c r="D69"/>
      <c r="E69" s="1024">
        <f t="shared" si="19"/>
        <v>820335.38477063726</v>
      </c>
      <c r="F69" s="539">
        <f t="shared" si="20"/>
        <v>15831.995582048276</v>
      </c>
      <c r="G69" s="539">
        <f t="shared" si="21"/>
        <v>15743.386350511208</v>
      </c>
      <c r="J69" s="531">
        <f t="shared" si="15"/>
        <v>0</v>
      </c>
      <c r="K69" s="558"/>
      <c r="L69" s="531">
        <f t="shared" si="14"/>
        <v>0</v>
      </c>
      <c r="N69" s="1152">
        <f t="shared" si="16"/>
        <v>2.7690000000000001</v>
      </c>
      <c r="O69"/>
      <c r="P69" s="557" t="s">
        <v>10</v>
      </c>
      <c r="Q69" s="616">
        <v>0</v>
      </c>
      <c r="R69" s="617">
        <v>0</v>
      </c>
      <c r="S69" s="617">
        <v>0</v>
      </c>
      <c r="T69" s="1278">
        <v>0</v>
      </c>
      <c r="U69" s="617">
        <v>0</v>
      </c>
      <c r="V69" s="1278">
        <v>0</v>
      </c>
      <c r="W69" s="616">
        <v>0</v>
      </c>
    </row>
    <row r="70" spans="1:23">
      <c r="A70" s="557" t="s">
        <v>10</v>
      </c>
      <c r="B70" s="530">
        <f t="shared" si="17"/>
        <v>1566323.4953483441</v>
      </c>
      <c r="C70" s="1023">
        <f t="shared" si="18"/>
        <v>96795.230483227089</v>
      </c>
      <c r="D70"/>
      <c r="E70" s="1023">
        <f t="shared" si="19"/>
        <v>1469528.2648651169</v>
      </c>
      <c r="F70" s="531">
        <f t="shared" si="20"/>
        <v>19515.167436134492</v>
      </c>
      <c r="G70" s="531">
        <f t="shared" si="21"/>
        <v>17288.567821942554</v>
      </c>
      <c r="J70" s="531">
        <f t="shared" si="15"/>
        <v>14.609792957574774</v>
      </c>
      <c r="K70" s="558"/>
      <c r="L70" s="531">
        <f t="shared" si="14"/>
        <v>3.0227157843258157</v>
      </c>
      <c r="N70" s="1152">
        <f t="shared" si="16"/>
        <v>2.5189298202715129</v>
      </c>
      <c r="O70"/>
      <c r="P70" s="557" t="s">
        <v>4</v>
      </c>
      <c r="Q70" s="616">
        <v>18</v>
      </c>
      <c r="R70" s="617">
        <v>7</v>
      </c>
      <c r="S70" s="617">
        <v>4</v>
      </c>
      <c r="T70" s="1278">
        <v>9.6666666666666661</v>
      </c>
      <c r="U70" s="617">
        <v>1</v>
      </c>
      <c r="V70" s="1278">
        <v>4</v>
      </c>
      <c r="W70" s="616">
        <v>1</v>
      </c>
    </row>
    <row r="71" spans="1:23">
      <c r="A71" s="557" t="s">
        <v>4</v>
      </c>
      <c r="B71" s="531">
        <f t="shared" si="17"/>
        <v>1758597.0342381154</v>
      </c>
      <c r="C71" s="1023">
        <f t="shared" si="18"/>
        <v>875356.01716025989</v>
      </c>
      <c r="D71"/>
      <c r="E71" s="1023">
        <f t="shared" si="19"/>
        <v>883241.01707785553</v>
      </c>
      <c r="F71" s="531">
        <f t="shared" si="20"/>
        <v>18672.269990619876</v>
      </c>
      <c r="G71" s="531">
        <f t="shared" si="21"/>
        <v>15727.226087568653</v>
      </c>
      <c r="J71" s="531">
        <f>N71*(Q71+R71+S71)/5+'Interdisciplinary Graduate'!B66/5</f>
        <v>33.816852580494846</v>
      </c>
      <c r="K71" s="558"/>
      <c r="L71" s="531">
        <f>'Interdisciplinary Graduate'!D66/5</f>
        <v>33.816852580494846</v>
      </c>
      <c r="N71" s="1152">
        <f t="shared" si="16"/>
        <v>2.6585575928061984</v>
      </c>
      <c r="O71"/>
      <c r="P71" s="557" t="s">
        <v>14</v>
      </c>
      <c r="Q71" s="616">
        <v>0</v>
      </c>
      <c r="R71" s="617">
        <v>10</v>
      </c>
      <c r="S71" s="617">
        <v>20</v>
      </c>
      <c r="T71" s="1278">
        <v>27.333333333333329</v>
      </c>
      <c r="U71" s="617">
        <v>26</v>
      </c>
      <c r="V71" s="1278">
        <v>34</v>
      </c>
      <c r="W71" s="616">
        <v>25</v>
      </c>
    </row>
    <row r="72" spans="1:23">
      <c r="A72" s="557" t="s">
        <v>14</v>
      </c>
      <c r="B72" s="530">
        <f t="shared" si="17"/>
        <v>308425.96395077027</v>
      </c>
      <c r="C72" s="1023">
        <f t="shared" si="18"/>
        <v>57448.962445979167</v>
      </c>
      <c r="D72"/>
      <c r="E72" s="1023">
        <f t="shared" si="19"/>
        <v>250977.00150479109</v>
      </c>
      <c r="F72" s="531">
        <f t="shared" si="20"/>
        <v>17952.800764368498</v>
      </c>
      <c r="G72" s="531">
        <f t="shared" si="21"/>
        <v>16599.008036031159</v>
      </c>
      <c r="J72" s="531">
        <f t="shared" si="15"/>
        <v>31.482748760325244</v>
      </c>
      <c r="K72" s="558"/>
      <c r="L72" s="531">
        <f>N72*(W72+S72+U72)/5</f>
        <v>51.366590082635938</v>
      </c>
      <c r="N72" s="1152">
        <f t="shared" si="16"/>
        <v>2.0712334710740294</v>
      </c>
      <c r="O72"/>
      <c r="P72" s="559" t="s">
        <v>17</v>
      </c>
      <c r="Q72" s="616">
        <v>15</v>
      </c>
      <c r="R72" s="617">
        <v>18</v>
      </c>
      <c r="S72" s="617">
        <v>43</v>
      </c>
      <c r="T72" s="1278">
        <v>50.666666666666671</v>
      </c>
      <c r="U72" s="617">
        <v>45</v>
      </c>
      <c r="V72" s="1278">
        <v>61.666666666666657</v>
      </c>
      <c r="W72" s="616">
        <v>36</v>
      </c>
    </row>
    <row r="73" spans="1:23">
      <c r="A73" s="559" t="s">
        <v>17</v>
      </c>
      <c r="B73" s="539">
        <f t="shared" si="17"/>
        <v>1434310.6076600959</v>
      </c>
      <c r="C73" s="1024">
        <f t="shared" si="18"/>
        <v>118007.18628736601</v>
      </c>
      <c r="D73"/>
      <c r="E73" s="1024">
        <f t="shared" si="19"/>
        <v>1316303.4213727298</v>
      </c>
      <c r="F73" s="539">
        <f t="shared" si="20"/>
        <v>19933.646332325341</v>
      </c>
      <c r="G73" s="539">
        <f t="shared" si="21"/>
        <v>12931.982787916522</v>
      </c>
      <c r="J73" s="531">
        <f t="shared" si="15"/>
        <v>0</v>
      </c>
      <c r="K73" s="558"/>
      <c r="L73" s="531">
        <f>N73*(W73+S73+U73)/5</f>
        <v>0</v>
      </c>
      <c r="N73" s="1152">
        <f t="shared" si="16"/>
        <v>2.7690000000000001</v>
      </c>
      <c r="O73"/>
      <c r="P73" s="557" t="s">
        <v>376</v>
      </c>
      <c r="Q73" s="616">
        <v>0</v>
      </c>
      <c r="R73" s="617">
        <v>0</v>
      </c>
      <c r="S73" s="617">
        <v>0</v>
      </c>
      <c r="T73" s="1278">
        <v>0</v>
      </c>
      <c r="U73" s="617">
        <v>0</v>
      </c>
      <c r="V73" s="1278">
        <v>0</v>
      </c>
      <c r="W73" s="616">
        <v>0</v>
      </c>
    </row>
    <row r="74" spans="1:23">
      <c r="A74" s="557" t="s">
        <v>376</v>
      </c>
      <c r="B74" s="530">
        <f t="shared" si="17"/>
        <v>1031551.2133759054</v>
      </c>
      <c r="C74" s="1023"/>
      <c r="D74"/>
      <c r="E74" s="1023">
        <f t="shared" si="19"/>
        <v>1031551.2133759054</v>
      </c>
      <c r="F74" s="531"/>
      <c r="G74" s="531">
        <f t="shared" si="21"/>
        <v>17288.567821942546</v>
      </c>
      <c r="J74" s="531">
        <f t="shared" si="15"/>
        <v>0</v>
      </c>
      <c r="K74" s="558"/>
      <c r="L74" s="531">
        <f>N74*(W74+S74+U74)/5</f>
        <v>0</v>
      </c>
      <c r="N74" s="1152">
        <f t="shared" si="16"/>
        <v>2.5832720468437356</v>
      </c>
      <c r="O74"/>
      <c r="P74" s="557" t="s">
        <v>7</v>
      </c>
      <c r="Q74" s="616">
        <v>0</v>
      </c>
      <c r="R74" s="617">
        <v>0</v>
      </c>
      <c r="S74" s="617">
        <v>0</v>
      </c>
      <c r="T74" s="1278">
        <v>0</v>
      </c>
      <c r="U74" s="617">
        <v>0</v>
      </c>
      <c r="V74" s="1278">
        <v>0</v>
      </c>
      <c r="W74" s="616">
        <v>0</v>
      </c>
    </row>
    <row r="75" spans="1:23">
      <c r="A75" s="557" t="s">
        <v>7</v>
      </c>
      <c r="B75" s="531">
        <f t="shared" si="17"/>
        <v>5896672.8089673882</v>
      </c>
      <c r="C75" s="1023">
        <f t="shared" si="18"/>
        <v>1163362.4037845687</v>
      </c>
      <c r="D75"/>
      <c r="E75" s="1023">
        <f t="shared" si="19"/>
        <v>4733310.4051828198</v>
      </c>
      <c r="F75" s="531">
        <f t="shared" si="20"/>
        <v>19282.249786484561</v>
      </c>
      <c r="G75" s="531">
        <f t="shared" si="21"/>
        <v>16128.954129428057</v>
      </c>
      <c r="J75" s="531">
        <f t="shared" si="15"/>
        <v>13.840791466479534</v>
      </c>
      <c r="K75" s="558"/>
      <c r="L75" s="531">
        <f>N75*(W75+S75+U75)/5</f>
        <v>16.51965433095944</v>
      </c>
      <c r="N75" s="1152">
        <f t="shared" si="16"/>
        <v>2.2323857203999244</v>
      </c>
      <c r="O75"/>
      <c r="P75" s="557" t="s">
        <v>9</v>
      </c>
      <c r="Q75" s="616">
        <v>7</v>
      </c>
      <c r="R75" s="617">
        <v>10</v>
      </c>
      <c r="S75" s="617">
        <v>14</v>
      </c>
      <c r="T75" s="1278">
        <v>17.333333333333336</v>
      </c>
      <c r="U75" s="617">
        <v>15</v>
      </c>
      <c r="V75" s="1278">
        <v>18</v>
      </c>
      <c r="W75" s="616">
        <v>8</v>
      </c>
    </row>
    <row r="76" spans="1:23">
      <c r="A76" s="557" t="s">
        <v>9</v>
      </c>
      <c r="B76" s="531">
        <f t="shared" si="17"/>
        <v>1394403.3898668918</v>
      </c>
      <c r="C76" s="1023">
        <f t="shared" si="18"/>
        <v>394015.52590032329</v>
      </c>
      <c r="D76"/>
      <c r="E76" s="1023">
        <f t="shared" si="19"/>
        <v>1000387.8639665685</v>
      </c>
      <c r="F76" s="531">
        <f t="shared" si="20"/>
        <v>18786.499963461058</v>
      </c>
      <c r="G76" s="531">
        <f t="shared" si="21"/>
        <v>13938.15526611418</v>
      </c>
      <c r="J76" s="531">
        <f t="shared" si="15"/>
        <v>104.09994920282574</v>
      </c>
      <c r="K76" s="558"/>
      <c r="L76" s="531">
        <f>N76*(W76+S76+U76)/5</f>
        <v>105.7611186049985</v>
      </c>
      <c r="N76" s="1152">
        <f t="shared" si="16"/>
        <v>2.768615670287919</v>
      </c>
      <c r="O76"/>
      <c r="P76" s="559" t="s">
        <v>5</v>
      </c>
      <c r="Q76" s="616">
        <v>53</v>
      </c>
      <c r="R76" s="617">
        <v>81</v>
      </c>
      <c r="S76" s="617">
        <v>54</v>
      </c>
      <c r="T76" s="1278">
        <v>63.666666666666671</v>
      </c>
      <c r="U76" s="617">
        <v>71</v>
      </c>
      <c r="V76" s="1278">
        <v>68.666666666666671</v>
      </c>
      <c r="W76" s="616">
        <v>66</v>
      </c>
    </row>
    <row r="77" spans="1:23">
      <c r="A77" s="559" t="s">
        <v>5</v>
      </c>
      <c r="B77" s="539">
        <f t="shared" si="17"/>
        <v>1020023.258475466</v>
      </c>
      <c r="C77" s="1024">
        <f t="shared" si="18"/>
        <v>289164.0663249488</v>
      </c>
      <c r="D77"/>
      <c r="E77" s="1024">
        <f t="shared" si="19"/>
        <v>730859.19215051725</v>
      </c>
      <c r="F77" s="539">
        <f t="shared" si="20"/>
        <v>18488.75104379468</v>
      </c>
      <c r="G77" s="539">
        <f t="shared" si="21"/>
        <v>17286.168215480542</v>
      </c>
      <c r="J77" s="530"/>
      <c r="K77" s="558"/>
      <c r="L77" s="530"/>
      <c r="N77" s="1214"/>
      <c r="O77"/>
      <c r="P77" s="557"/>
      <c r="Q77" s="612"/>
      <c r="R77" s="528"/>
      <c r="S77" s="528"/>
      <c r="T77" s="528"/>
      <c r="U77" s="528"/>
      <c r="V77" s="528"/>
      <c r="W77" s="528"/>
    </row>
    <row r="78" spans="1:23">
      <c r="A78" s="557"/>
      <c r="B78" s="530"/>
      <c r="C78" s="1023"/>
      <c r="D78"/>
      <c r="E78" s="1023"/>
      <c r="F78" s="1023"/>
      <c r="G78" s="1023"/>
      <c r="J78" s="531">
        <f>N78*(Q78+R78+S78)/5</f>
        <v>0</v>
      </c>
      <c r="K78" s="558"/>
      <c r="L78" s="531">
        <f>N78*(R78+S78+T78)/5</f>
        <v>0</v>
      </c>
      <c r="N78" s="1214"/>
      <c r="O78"/>
      <c r="P78" s="557" t="s">
        <v>631</v>
      </c>
      <c r="Q78" s="616"/>
      <c r="R78" s="616"/>
      <c r="S78" s="616"/>
      <c r="T78" s="528"/>
      <c r="U78" s="528"/>
      <c r="V78" s="528"/>
      <c r="W78" s="528"/>
    </row>
    <row r="79" spans="1:23">
      <c r="A79" s="557" t="s">
        <v>631</v>
      </c>
      <c r="B79" s="531"/>
      <c r="C79" s="1023"/>
      <c r="D79"/>
      <c r="E79" s="1023"/>
      <c r="F79" s="1023"/>
      <c r="G79" s="1023"/>
      <c r="J79" s="531">
        <f>N79*(Q79+R79+S79)/5</f>
        <v>0</v>
      </c>
      <c r="K79" s="558"/>
      <c r="L79" s="531">
        <f>N79*(R79+S79+T79)/5</f>
        <v>0</v>
      </c>
      <c r="N79" s="1214"/>
      <c r="O79"/>
      <c r="P79" s="557" t="s">
        <v>657</v>
      </c>
      <c r="Q79" s="612"/>
      <c r="R79" s="528"/>
      <c r="S79" s="528"/>
      <c r="T79" s="528"/>
      <c r="U79" s="528"/>
      <c r="V79" s="528"/>
      <c r="W79" s="528"/>
    </row>
    <row r="80" spans="1:23">
      <c r="A80" s="557" t="s">
        <v>657</v>
      </c>
      <c r="B80" s="530"/>
      <c r="C80" s="1023"/>
      <c r="D80"/>
      <c r="E80" s="1023"/>
      <c r="F80" s="1023"/>
      <c r="G80" s="1023"/>
      <c r="J80" s="531">
        <f>N80*(Q80+R80+S80)/5</f>
        <v>0</v>
      </c>
      <c r="K80" s="558"/>
      <c r="L80" s="531">
        <f>N80*(R80+S80+T80)/5</f>
        <v>0</v>
      </c>
      <c r="N80" s="1214"/>
      <c r="O80"/>
      <c r="P80" s="559" t="s">
        <v>633</v>
      </c>
      <c r="Q80" s="612"/>
      <c r="R80" s="528"/>
      <c r="S80" s="528"/>
      <c r="T80" s="528"/>
      <c r="U80" s="528"/>
      <c r="V80" s="528"/>
      <c r="W80" s="528"/>
    </row>
    <row r="81" spans="1:23">
      <c r="A81" s="559" t="s">
        <v>633</v>
      </c>
      <c r="B81" s="539"/>
      <c r="C81" s="1024"/>
      <c r="D81"/>
      <c r="E81" s="1024"/>
      <c r="F81" s="1024"/>
      <c r="G81" s="1024"/>
      <c r="J81" s="531">
        <f>N81*(Q81+R81+S81)/5</f>
        <v>0</v>
      </c>
      <c r="K81" s="558"/>
      <c r="L81" s="531">
        <f>N81*(R81+S81+T81)/5</f>
        <v>0</v>
      </c>
      <c r="N81" s="1214"/>
      <c r="O81"/>
      <c r="P81" s="557" t="s">
        <v>656</v>
      </c>
      <c r="Q81" s="612"/>
      <c r="R81" s="528"/>
      <c r="S81" s="528"/>
      <c r="T81" s="528"/>
      <c r="U81" s="528"/>
      <c r="V81" s="528"/>
      <c r="W81" s="528"/>
    </row>
    <row r="82" spans="1:23">
      <c r="A82" s="557" t="s">
        <v>656</v>
      </c>
      <c r="B82" s="531"/>
      <c r="C82" s="1023"/>
      <c r="D82"/>
      <c r="E82" s="1023"/>
      <c r="F82" s="1023"/>
      <c r="G82" s="1023"/>
      <c r="J82" s="531">
        <f>N82*(Q82+R82+S82)/5</f>
        <v>0</v>
      </c>
      <c r="K82" s="558"/>
      <c r="L82" s="531">
        <f>N82*(R82+S82+T82)/5</f>
        <v>0</v>
      </c>
      <c r="N82" s="1214"/>
      <c r="O82"/>
      <c r="P82" s="637" t="s">
        <v>635</v>
      </c>
      <c r="Q82" s="612"/>
      <c r="R82" s="528"/>
      <c r="S82" s="528"/>
      <c r="T82" s="528"/>
      <c r="U82" s="528"/>
      <c r="V82" s="528"/>
      <c r="W82" s="528"/>
    </row>
    <row r="83" spans="1:23">
      <c r="A83" s="563" t="s">
        <v>635</v>
      </c>
      <c r="B83" s="531"/>
      <c r="C83" s="1023"/>
      <c r="D83"/>
      <c r="E83" s="1023"/>
      <c r="F83" s="1023"/>
      <c r="G83" s="1023"/>
      <c r="J83" s="543">
        <f>SUM(J65:J82)</f>
        <v>238.1392485091109</v>
      </c>
      <c r="K83" s="565"/>
      <c r="L83" s="543">
        <f>SUM(L65:L82)</f>
        <v>264.0754182479784</v>
      </c>
      <c r="N83" s="1214"/>
      <c r="O83"/>
      <c r="P83" s="620"/>
      <c r="Q83" s="643">
        <f t="shared" ref="Q83:V83" si="22">SUM(Q65:Q82)</f>
        <v>119</v>
      </c>
      <c r="R83" s="643">
        <f t="shared" si="22"/>
        <v>150</v>
      </c>
      <c r="S83" s="643">
        <f t="shared" si="22"/>
        <v>165</v>
      </c>
      <c r="T83" s="643">
        <f t="shared" si="22"/>
        <v>205.33333333333331</v>
      </c>
      <c r="U83" s="643">
        <f t="shared" si="22"/>
        <v>188</v>
      </c>
      <c r="V83" s="643">
        <f t="shared" si="22"/>
        <v>225.33333333333331</v>
      </c>
      <c r="W83" s="643">
        <f t="shared" ref="W83" si="23">SUM(W65:W82)</f>
        <v>179</v>
      </c>
    </row>
    <row r="84" spans="1:23">
      <c r="A84" s="564"/>
      <c r="B84" s="543">
        <f>SUM(B66:B83)</f>
        <v>20001236.936168671</v>
      </c>
      <c r="C84" s="543">
        <f>SUM(C66:C83)</f>
        <v>4366893.0383409131</v>
      </c>
      <c r="D84"/>
      <c r="E84" s="543">
        <f>SUM(E66:E83)</f>
        <v>15634343.897827758</v>
      </c>
      <c r="F84" s="1487"/>
      <c r="G84" s="1487"/>
      <c r="N84" s="1211"/>
      <c r="O84"/>
    </row>
    <row r="85" spans="1:23">
      <c r="D85"/>
      <c r="N85" s="1211"/>
      <c r="O85"/>
    </row>
    <row r="86" spans="1:23">
      <c r="D86"/>
      <c r="J86" s="552" t="s">
        <v>694</v>
      </c>
      <c r="K86" s="552"/>
      <c r="L86" s="552"/>
      <c r="N86" s="1211"/>
      <c r="O86"/>
      <c r="P86" s="535" t="s">
        <v>642</v>
      </c>
      <c r="Q86" s="536"/>
      <c r="R86" s="536"/>
      <c r="S86" s="536"/>
      <c r="T86" s="536"/>
      <c r="U86" s="536"/>
      <c r="V86" s="536"/>
      <c r="W86" s="536"/>
    </row>
    <row r="87" spans="1:23" ht="25.5">
      <c r="A87" s="554" t="s">
        <v>1327</v>
      </c>
      <c r="B87" s="253"/>
      <c r="C87" s="253"/>
      <c r="D87"/>
      <c r="J87" s="556" t="s">
        <v>1004</v>
      </c>
      <c r="K87" s="556"/>
      <c r="L87" s="556" t="s">
        <v>1153</v>
      </c>
      <c r="N87" s="1211"/>
      <c r="P87" s="530"/>
      <c r="Q87" s="529" t="s">
        <v>622</v>
      </c>
      <c r="R87" s="529" t="s">
        <v>623</v>
      </c>
      <c r="S87" s="529" t="s">
        <v>624</v>
      </c>
      <c r="T87" s="529" t="s">
        <v>645</v>
      </c>
      <c r="U87" s="529" t="s">
        <v>1065</v>
      </c>
      <c r="V87" s="529" t="s">
        <v>1074</v>
      </c>
      <c r="W87" s="529" t="s">
        <v>1309</v>
      </c>
    </row>
    <row r="88" spans="1:23">
      <c r="A88" s="555"/>
      <c r="B88" s="556" t="s">
        <v>1247</v>
      </c>
      <c r="C88" s="556" t="s">
        <v>1329</v>
      </c>
      <c r="D88"/>
      <c r="J88" s="531">
        <f>N88*(Q88+R88+S88)</f>
        <v>84375.673696590471</v>
      </c>
      <c r="K88" s="558"/>
      <c r="L88" s="531">
        <f>N88*(W88+S88+U88)</f>
        <v>82519.523519835217</v>
      </c>
      <c r="N88" s="1152">
        <f>N65</f>
        <v>2.729632612875367</v>
      </c>
      <c r="O88"/>
      <c r="P88" s="537" t="s">
        <v>628</v>
      </c>
      <c r="Q88" s="531">
        <v>10140</v>
      </c>
      <c r="R88" s="531">
        <v>10529</v>
      </c>
      <c r="S88" s="531">
        <v>10242</v>
      </c>
      <c r="T88" s="1279">
        <v>10344.466824389705</v>
      </c>
      <c r="U88" s="531">
        <v>10473</v>
      </c>
      <c r="V88" s="1279">
        <v>9957.5079822274984</v>
      </c>
      <c r="W88" s="1456">
        <v>9516</v>
      </c>
    </row>
    <row r="89" spans="1:23">
      <c r="A89" s="557" t="s">
        <v>628</v>
      </c>
      <c r="B89" s="531">
        <f>C17*0.4*H42/(0.4*H42+0.6*H17)</f>
        <v>1210623.7130135044</v>
      </c>
      <c r="C89" s="1023">
        <f>B89/((S88+U88+W88)/3)</f>
        <v>120.13731398367614</v>
      </c>
      <c r="D89"/>
      <c r="E89" s="551">
        <f>B66+B89</f>
        <v>3546030.1462770039</v>
      </c>
      <c r="J89" s="531">
        <f t="shared" ref="J89:J99" si="24">N89*(Q89+R89+S89)</f>
        <v>25676.495963276429</v>
      </c>
      <c r="K89" s="558"/>
      <c r="L89" s="531">
        <f t="shared" ref="L89:L99" si="25">N89*(W89+S89+U89)</f>
        <v>24261.121593068561</v>
      </c>
      <c r="N89" s="1152">
        <f t="shared" ref="N89:N99" si="26">N66</f>
        <v>1.7073273464509895</v>
      </c>
      <c r="O89"/>
      <c r="P89" s="537" t="s">
        <v>6</v>
      </c>
      <c r="Q89" s="531">
        <v>4877</v>
      </c>
      <c r="R89" s="531">
        <v>5185</v>
      </c>
      <c r="S89" s="531">
        <v>4977</v>
      </c>
      <c r="T89" s="1279">
        <v>5514.528697405688</v>
      </c>
      <c r="U89" s="531">
        <v>4925</v>
      </c>
      <c r="V89" s="1279">
        <v>4302.5617085434405</v>
      </c>
      <c r="W89" s="1456">
        <v>4308</v>
      </c>
    </row>
    <row r="90" spans="1:23">
      <c r="A90" s="557" t="s">
        <v>6</v>
      </c>
      <c r="B90" s="531">
        <f t="shared" ref="B90:B100" si="27">C18*0.4*H43/(0.4*H43+0.6*H18)</f>
        <v>355928.97113387764</v>
      </c>
      <c r="C90" s="1023">
        <f t="shared" ref="C90:C100" si="28">B90/((S89+U89+W89)/3)</f>
        <v>75.143343659509696</v>
      </c>
      <c r="D90"/>
      <c r="J90" s="531">
        <f t="shared" si="24"/>
        <v>10158.632289113959</v>
      </c>
      <c r="K90" s="558"/>
      <c r="L90" s="531">
        <f t="shared" si="25"/>
        <v>7393.8026360629683</v>
      </c>
      <c r="N90" s="1152">
        <f t="shared" si="26"/>
        <v>1.4597833437439227</v>
      </c>
      <c r="O90"/>
      <c r="P90" s="537" t="s">
        <v>8</v>
      </c>
      <c r="Q90" s="531">
        <v>2278</v>
      </c>
      <c r="R90" s="531">
        <v>2154</v>
      </c>
      <c r="S90" s="531">
        <v>2527</v>
      </c>
      <c r="T90" s="1279">
        <v>2093.7092945609229</v>
      </c>
      <c r="U90" s="531">
        <v>1334</v>
      </c>
      <c r="V90" s="1279">
        <v>997.18775696334865</v>
      </c>
      <c r="W90" s="1456">
        <v>1204</v>
      </c>
    </row>
    <row r="91" spans="1:23">
      <c r="A91" s="557" t="s">
        <v>8</v>
      </c>
      <c r="B91" s="531">
        <f t="shared" si="27"/>
        <v>108472.66705809333</v>
      </c>
      <c r="C91" s="1023">
        <f t="shared" si="28"/>
        <v>64.248371406570584</v>
      </c>
      <c r="D91"/>
      <c r="J91" s="531">
        <f t="shared" si="24"/>
        <v>26433.074314128637</v>
      </c>
      <c r="K91" s="558"/>
      <c r="L91" s="531">
        <f t="shared" si="25"/>
        <v>26786.086849087904</v>
      </c>
      <c r="N91" s="1152">
        <f t="shared" si="26"/>
        <v>2.5215181068519161</v>
      </c>
      <c r="O91"/>
      <c r="P91" s="538" t="s">
        <v>2</v>
      </c>
      <c r="Q91" s="539">
        <v>3439</v>
      </c>
      <c r="R91" s="539">
        <v>3557</v>
      </c>
      <c r="S91" s="539">
        <v>3487</v>
      </c>
      <c r="T91" s="1280">
        <v>3625.0142409058562</v>
      </c>
      <c r="U91" s="539">
        <v>3601</v>
      </c>
      <c r="V91" s="1280">
        <v>3744.4568584736589</v>
      </c>
      <c r="W91" s="1457">
        <v>3535</v>
      </c>
    </row>
    <row r="92" spans="1:23">
      <c r="A92" s="559" t="s">
        <v>2</v>
      </c>
      <c r="B92" s="539">
        <f t="shared" si="27"/>
        <v>392972.11781100882</v>
      </c>
      <c r="C92" s="1024">
        <f t="shared" si="28"/>
        <v>110.97772318864976</v>
      </c>
      <c r="D92"/>
      <c r="J92" s="531">
        <f t="shared" si="24"/>
        <v>143940.927</v>
      </c>
      <c r="K92" s="558"/>
      <c r="L92" s="531">
        <f t="shared" si="25"/>
        <v>146316.72900000002</v>
      </c>
      <c r="N92" s="1152">
        <f t="shared" si="26"/>
        <v>2.7690000000000001</v>
      </c>
      <c r="O92"/>
      <c r="P92" s="537" t="s">
        <v>10</v>
      </c>
      <c r="Q92" s="530">
        <v>17207</v>
      </c>
      <c r="R92" s="530">
        <v>17325</v>
      </c>
      <c r="S92" s="530">
        <v>17451</v>
      </c>
      <c r="T92" s="1279">
        <v>17845.995248567433</v>
      </c>
      <c r="U92" s="531">
        <v>18055</v>
      </c>
      <c r="V92" s="1279">
        <v>17853.472759230837</v>
      </c>
      <c r="W92" s="1456">
        <v>17335</v>
      </c>
    </row>
    <row r="93" spans="1:23">
      <c r="A93" s="557" t="s">
        <v>10</v>
      </c>
      <c r="B93" s="530">
        <f t="shared" si="27"/>
        <v>2146576.8848676505</v>
      </c>
      <c r="C93" s="1023">
        <f t="shared" si="28"/>
        <v>121.86996185921824</v>
      </c>
      <c r="D93"/>
      <c r="J93" s="531">
        <f t="shared" si="24"/>
        <v>114218.35377039148</v>
      </c>
      <c r="K93" s="558"/>
      <c r="L93" s="531">
        <f t="shared" si="25"/>
        <v>117301.52387040382</v>
      </c>
      <c r="N93" s="1152">
        <f t="shared" si="26"/>
        <v>2.5189298202715129</v>
      </c>
      <c r="O93"/>
      <c r="P93" s="537" t="s">
        <v>4</v>
      </c>
      <c r="Q93" s="531">
        <v>14255</v>
      </c>
      <c r="R93" s="531">
        <v>15644</v>
      </c>
      <c r="S93" s="531">
        <v>15445</v>
      </c>
      <c r="T93" s="1279">
        <v>15448.223373752335</v>
      </c>
      <c r="U93" s="531">
        <v>15453</v>
      </c>
      <c r="V93" s="1279">
        <v>15623.43872284797</v>
      </c>
      <c r="W93" s="1456">
        <v>15670</v>
      </c>
    </row>
    <row r="94" spans="1:23">
      <c r="A94" s="557" t="s">
        <v>4</v>
      </c>
      <c r="B94" s="531">
        <f t="shared" si="27"/>
        <v>1720901.9188773674</v>
      </c>
      <c r="C94" s="1023">
        <f t="shared" si="28"/>
        <v>110.86380683370774</v>
      </c>
      <c r="D94"/>
      <c r="J94" s="531">
        <f t="shared" si="24"/>
        <v>24900.050414222853</v>
      </c>
      <c r="K94" s="558"/>
      <c r="L94" s="531">
        <f t="shared" si="25"/>
        <v>22201.614457524563</v>
      </c>
      <c r="N94" s="1152">
        <f t="shared" si="26"/>
        <v>2.6585575928061984</v>
      </c>
      <c r="O94"/>
      <c r="P94" s="537" t="s">
        <v>14</v>
      </c>
      <c r="Q94" s="530">
        <v>3423</v>
      </c>
      <c r="R94" s="530">
        <v>3103</v>
      </c>
      <c r="S94" s="530">
        <v>2840</v>
      </c>
      <c r="T94" s="1279">
        <v>2673.0791819181709</v>
      </c>
      <c r="U94" s="531">
        <v>2759</v>
      </c>
      <c r="V94" s="1279">
        <v>2851.0643479076107</v>
      </c>
      <c r="W94" s="1456">
        <v>2752</v>
      </c>
    </row>
    <row r="95" spans="1:23">
      <c r="A95" s="557" t="s">
        <v>14</v>
      </c>
      <c r="B95" s="530">
        <f t="shared" si="27"/>
        <v>325714.44650915934</v>
      </c>
      <c r="C95" s="1023">
        <f t="shared" si="28"/>
        <v>117.00914136360653</v>
      </c>
      <c r="D95"/>
      <c r="J95" s="531">
        <f t="shared" si="24"/>
        <v>42783.398578505155</v>
      </c>
      <c r="K95" s="558"/>
      <c r="L95" s="531">
        <f t="shared" si="25"/>
        <v>44966.478657017178</v>
      </c>
      <c r="N95" s="1152">
        <f t="shared" si="26"/>
        <v>2.0712334710740294</v>
      </c>
      <c r="O95"/>
      <c r="P95" s="538" t="s">
        <v>17</v>
      </c>
      <c r="Q95" s="539">
        <v>6475</v>
      </c>
      <c r="R95" s="539">
        <v>6996</v>
      </c>
      <c r="S95" s="539">
        <v>7185</v>
      </c>
      <c r="T95" s="1280">
        <v>7356.4176796996189</v>
      </c>
      <c r="U95" s="539">
        <v>7256</v>
      </c>
      <c r="V95" s="1280">
        <v>7530.6869459943118</v>
      </c>
      <c r="W95" s="1457">
        <v>7269</v>
      </c>
    </row>
    <row r="96" spans="1:23">
      <c r="A96" s="559" t="s">
        <v>17</v>
      </c>
      <c r="B96" s="539">
        <f t="shared" si="27"/>
        <v>659692.19199157762</v>
      </c>
      <c r="C96" s="1024">
        <f t="shared" si="28"/>
        <v>91.159676461295845</v>
      </c>
      <c r="D96"/>
      <c r="J96" s="531">
        <f t="shared" si="24"/>
        <v>103934.41500000001</v>
      </c>
      <c r="K96" s="558"/>
      <c r="L96" s="531">
        <f t="shared" si="25"/>
        <v>100927.281</v>
      </c>
      <c r="N96" s="1152">
        <f t="shared" si="26"/>
        <v>2.7690000000000001</v>
      </c>
      <c r="O96"/>
      <c r="P96" s="537" t="s">
        <v>376</v>
      </c>
      <c r="Q96" s="530">
        <v>12462</v>
      </c>
      <c r="R96" s="530">
        <v>12570</v>
      </c>
      <c r="S96" s="530">
        <v>12503</v>
      </c>
      <c r="T96" s="1279">
        <v>12058.023910455411</v>
      </c>
      <c r="U96" s="531">
        <v>12153</v>
      </c>
      <c r="V96" s="1279">
        <v>11863.76035178995</v>
      </c>
      <c r="W96" s="1456">
        <v>11793</v>
      </c>
    </row>
    <row r="97" spans="1:23">
      <c r="A97" s="557" t="s">
        <v>376</v>
      </c>
      <c r="B97" s="530">
        <f t="shared" si="27"/>
        <v>1480679.4132688818</v>
      </c>
      <c r="C97" s="1023">
        <f t="shared" si="28"/>
        <v>121.86996185921825</v>
      </c>
      <c r="D97"/>
      <c r="J97" s="531">
        <f t="shared" si="24"/>
        <v>214406.41334393635</v>
      </c>
      <c r="K97" s="558"/>
      <c r="L97" s="531">
        <f t="shared" si="25"/>
        <v>257030.40211685799</v>
      </c>
      <c r="N97" s="1152">
        <f t="shared" si="26"/>
        <v>2.5832720468437356</v>
      </c>
      <c r="O97"/>
      <c r="P97" s="537" t="s">
        <v>7</v>
      </c>
      <c r="Q97" s="531">
        <v>25998</v>
      </c>
      <c r="R97" s="531">
        <v>26492</v>
      </c>
      <c r="S97" s="531">
        <v>30508</v>
      </c>
      <c r="T97" s="1279">
        <v>34612.534601942141</v>
      </c>
      <c r="U97" s="531">
        <v>34151</v>
      </c>
      <c r="V97" s="1279">
        <v>36510.307645246452</v>
      </c>
      <c r="W97" s="1456">
        <v>34839</v>
      </c>
    </row>
    <row r="98" spans="1:23">
      <c r="A98" s="557" t="s">
        <v>7</v>
      </c>
      <c r="B98" s="531">
        <f t="shared" si="27"/>
        <v>3770830.0593043235</v>
      </c>
      <c r="C98" s="1023">
        <f t="shared" si="28"/>
        <v>113.69565396201904</v>
      </c>
      <c r="D98"/>
      <c r="J98" s="531">
        <f t="shared" si="24"/>
        <v>39859.24703774065</v>
      </c>
      <c r="K98" s="558"/>
      <c r="L98" s="531">
        <f t="shared" si="25"/>
        <v>43125.227346685737</v>
      </c>
      <c r="N98" s="1152">
        <f t="shared" si="26"/>
        <v>2.2323857203999244</v>
      </c>
      <c r="O98"/>
      <c r="P98" s="537" t="s">
        <v>629</v>
      </c>
      <c r="Q98" s="531">
        <v>5241</v>
      </c>
      <c r="R98" s="531">
        <v>6119</v>
      </c>
      <c r="S98" s="531">
        <v>6495</v>
      </c>
      <c r="T98" s="1279">
        <v>5986.8195435853067</v>
      </c>
      <c r="U98" s="531">
        <v>6028</v>
      </c>
      <c r="V98" s="1279">
        <v>6869.5655994026465</v>
      </c>
      <c r="W98" s="1456">
        <v>6795</v>
      </c>
    </row>
    <row r="99" spans="1:23">
      <c r="A99" s="557" t="s">
        <v>9</v>
      </c>
      <c r="B99" s="531">
        <f t="shared" si="27"/>
        <v>632679.64510782552</v>
      </c>
      <c r="C99" s="1023">
        <f t="shared" si="28"/>
        <v>98.252351968292615</v>
      </c>
      <c r="D99"/>
      <c r="J99" s="531">
        <f t="shared" si="24"/>
        <v>41786.71631165556</v>
      </c>
      <c r="K99" s="558"/>
      <c r="L99" s="531">
        <f t="shared" si="25"/>
        <v>36063.98772117043</v>
      </c>
      <c r="N99" s="1152">
        <f t="shared" si="26"/>
        <v>2.768615670287919</v>
      </c>
      <c r="O99"/>
      <c r="P99" s="538" t="s">
        <v>630</v>
      </c>
      <c r="Q99" s="539">
        <v>5184</v>
      </c>
      <c r="R99" s="539">
        <v>5422</v>
      </c>
      <c r="S99" s="539">
        <v>4487</v>
      </c>
      <c r="T99" s="1280">
        <v>4581.7386609035511</v>
      </c>
      <c r="U99" s="539">
        <v>4367</v>
      </c>
      <c r="V99" s="1280">
        <v>4079.726626950323</v>
      </c>
      <c r="W99" s="1457">
        <v>4172</v>
      </c>
    </row>
    <row r="100" spans="1:23">
      <c r="A100" s="559" t="s">
        <v>5</v>
      </c>
      <c r="B100" s="539">
        <f t="shared" si="27"/>
        <v>529085.92850251053</v>
      </c>
      <c r="C100" s="1024">
        <f t="shared" si="28"/>
        <v>121.85304663807244</v>
      </c>
      <c r="D100"/>
      <c r="J100" s="530"/>
      <c r="K100" s="624"/>
      <c r="L100" s="530"/>
      <c r="N100" s="1214"/>
      <c r="O100"/>
      <c r="P100" s="537"/>
      <c r="Q100" s="530"/>
      <c r="R100" s="530"/>
      <c r="S100" s="530"/>
      <c r="T100" s="1279"/>
      <c r="U100" s="530"/>
      <c r="V100" s="1279"/>
      <c r="W100" s="1279"/>
    </row>
    <row r="101" spans="1:23">
      <c r="A101" s="557"/>
      <c r="B101" s="530"/>
      <c r="C101" s="1023"/>
      <c r="D101"/>
      <c r="J101" s="531">
        <f>N101*(Q101+R101+S101)</f>
        <v>0</v>
      </c>
      <c r="K101" s="558"/>
      <c r="L101" s="531">
        <f>N101*(R101+S101+T101)</f>
        <v>0</v>
      </c>
      <c r="N101" s="1214"/>
      <c r="O101"/>
      <c r="P101" s="537" t="s">
        <v>631</v>
      </c>
      <c r="Q101" s="530"/>
      <c r="R101" s="530"/>
      <c r="S101" s="530"/>
      <c r="T101" s="1279">
        <v>0</v>
      </c>
      <c r="U101" s="530">
        <v>0</v>
      </c>
      <c r="V101" s="1279">
        <v>0</v>
      </c>
      <c r="W101" s="1279">
        <v>0</v>
      </c>
    </row>
    <row r="102" spans="1:23">
      <c r="A102" s="557" t="s">
        <v>631</v>
      </c>
      <c r="B102" s="531">
        <v>0</v>
      </c>
      <c r="C102" s="1023">
        <v>0</v>
      </c>
      <c r="D102"/>
      <c r="J102" s="531">
        <f>N102*(Q102+R102+S102)</f>
        <v>0</v>
      </c>
      <c r="K102" s="558"/>
      <c r="L102" s="531">
        <f>N102*(R102+S102+T102)</f>
        <v>0</v>
      </c>
      <c r="N102" s="1214"/>
      <c r="O102"/>
      <c r="P102" s="537" t="s">
        <v>632</v>
      </c>
      <c r="Q102" s="530">
        <v>0</v>
      </c>
      <c r="R102" s="530">
        <v>0</v>
      </c>
      <c r="S102" s="530">
        <v>0</v>
      </c>
      <c r="T102" s="1279">
        <v>0</v>
      </c>
      <c r="U102" s="530">
        <v>0</v>
      </c>
      <c r="V102" s="1279">
        <v>0</v>
      </c>
      <c r="W102" s="1279">
        <v>0</v>
      </c>
    </row>
    <row r="103" spans="1:23">
      <c r="A103" s="557" t="s">
        <v>657</v>
      </c>
      <c r="B103" s="530">
        <v>0</v>
      </c>
      <c r="C103" s="1023">
        <v>0</v>
      </c>
      <c r="D103"/>
      <c r="J103" s="531">
        <f>N103*(Q103+R103+S103)</f>
        <v>0</v>
      </c>
      <c r="K103" s="558"/>
      <c r="L103" s="531">
        <f>N103*(R103+S103+T103)</f>
        <v>0</v>
      </c>
      <c r="N103" s="1214"/>
      <c r="O103"/>
      <c r="P103" s="538" t="s">
        <v>633</v>
      </c>
      <c r="Q103" s="540"/>
      <c r="R103" s="540"/>
      <c r="S103" s="540"/>
      <c r="T103" s="1280">
        <v>0</v>
      </c>
      <c r="U103" s="540">
        <v>0</v>
      </c>
      <c r="V103" s="1280">
        <v>0</v>
      </c>
      <c r="W103" s="1280">
        <v>0</v>
      </c>
    </row>
    <row r="104" spans="1:23">
      <c r="A104" s="559" t="s">
        <v>633</v>
      </c>
      <c r="B104" s="539">
        <v>0</v>
      </c>
      <c r="C104" s="1024">
        <v>0</v>
      </c>
      <c r="D104"/>
      <c r="J104" s="531">
        <f>N104*(Q104+R104+S104)</f>
        <v>0</v>
      </c>
      <c r="K104" s="558"/>
      <c r="L104" s="531">
        <f>N104*(R104+S104+T104)</f>
        <v>0</v>
      </c>
      <c r="N104" s="1214"/>
      <c r="O104"/>
      <c r="P104" s="537" t="s">
        <v>634</v>
      </c>
      <c r="Q104" s="530"/>
      <c r="R104" s="530"/>
      <c r="S104" s="530"/>
      <c r="T104" s="1279">
        <v>0</v>
      </c>
      <c r="U104" s="530">
        <v>0</v>
      </c>
      <c r="V104" s="1279">
        <v>0</v>
      </c>
      <c r="W104" s="1279">
        <v>0</v>
      </c>
    </row>
    <row r="105" spans="1:23">
      <c r="A105" s="557" t="s">
        <v>656</v>
      </c>
      <c r="B105" s="531">
        <v>0</v>
      </c>
      <c r="C105" s="1023">
        <v>0</v>
      </c>
      <c r="D105"/>
      <c r="J105" s="531">
        <f>N105*(Q105+R105+S105)</f>
        <v>0</v>
      </c>
      <c r="K105" s="558"/>
      <c r="L105" s="531">
        <f>N105*(R105+S105+T105)</f>
        <v>0</v>
      </c>
      <c r="N105" s="1214"/>
      <c r="O105"/>
      <c r="P105" s="541" t="s">
        <v>635</v>
      </c>
      <c r="Q105" s="530"/>
      <c r="R105" s="530"/>
      <c r="S105" s="530"/>
      <c r="T105" s="1279">
        <v>0</v>
      </c>
      <c r="U105" s="530">
        <v>0</v>
      </c>
      <c r="V105" s="1279">
        <v>0</v>
      </c>
      <c r="W105" s="1279">
        <v>0</v>
      </c>
    </row>
    <row r="106" spans="1:23">
      <c r="A106" s="563" t="s">
        <v>635</v>
      </c>
      <c r="B106" s="531">
        <v>0</v>
      </c>
      <c r="C106" s="1023">
        <v>0</v>
      </c>
      <c r="D106"/>
      <c r="J106" s="543">
        <f>SUM(J88:J105)</f>
        <v>872473.39771956159</v>
      </c>
      <c r="K106" s="543">
        <f>SUM(K88:K105)</f>
        <v>0</v>
      </c>
      <c r="L106" s="543">
        <f>SUM(L88:L105)</f>
        <v>908893.77876771439</v>
      </c>
      <c r="N106" s="1153"/>
      <c r="O106"/>
      <c r="P106" s="542" t="s">
        <v>224</v>
      </c>
      <c r="Q106" s="543">
        <f t="shared" ref="Q106:V106" si="29">SUM(Q88:Q105)</f>
        <v>110979</v>
      </c>
      <c r="R106" s="543">
        <f t="shared" si="29"/>
        <v>115096</v>
      </c>
      <c r="S106" s="543">
        <f t="shared" si="29"/>
        <v>118147</v>
      </c>
      <c r="T106" s="543">
        <f t="shared" si="29"/>
        <v>122140.55125808614</v>
      </c>
      <c r="U106" s="543">
        <f t="shared" si="29"/>
        <v>120555</v>
      </c>
      <c r="V106" s="543">
        <f t="shared" si="29"/>
        <v>122183.73730557805</v>
      </c>
      <c r="W106" s="543">
        <f t="shared" ref="W106" si="30">SUM(W88:W105)</f>
        <v>119188</v>
      </c>
    </row>
    <row r="107" spans="1:23">
      <c r="A107" s="564"/>
      <c r="B107" s="543">
        <f>SUM(B89:B106)</f>
        <v>13334157.95744578</v>
      </c>
      <c r="C107" s="1023">
        <v>0</v>
      </c>
      <c r="D107"/>
      <c r="O107"/>
    </row>
    <row r="108" spans="1:23">
      <c r="D108"/>
      <c r="O108"/>
      <c r="Q108" s="551">
        <f>Q106+R106+S106</f>
        <v>344222</v>
      </c>
    </row>
    <row r="109" spans="1:23">
      <c r="D109"/>
      <c r="O109"/>
    </row>
    <row r="110" spans="1:23">
      <c r="D110"/>
      <c r="O110"/>
    </row>
    <row r="111" spans="1:23">
      <c r="D111"/>
      <c r="O111"/>
    </row>
    <row r="112" spans="1:23">
      <c r="D112"/>
      <c r="O112"/>
    </row>
    <row r="113" spans="1:4">
      <c r="A113" s="256"/>
      <c r="B113" s="630" t="s">
        <v>891</v>
      </c>
      <c r="C113" s="630" t="s">
        <v>680</v>
      </c>
      <c r="D113"/>
    </row>
    <row r="114" spans="1:4">
      <c r="A114" s="557" t="s">
        <v>628</v>
      </c>
      <c r="B114" s="631">
        <f>H17</f>
        <v>0.11676310023808248</v>
      </c>
      <c r="C114" s="568">
        <f>H42</f>
        <v>9.0791163332326758E-2</v>
      </c>
      <c r="D114"/>
    </row>
    <row r="115" spans="1:4">
      <c r="A115" s="557" t="s">
        <v>6</v>
      </c>
      <c r="B115" s="631">
        <f t="shared" ref="B115:B125" si="31">H18</f>
        <v>5.844962363500826E-2</v>
      </c>
      <c r="C115" s="568">
        <f t="shared" ref="C115:C125" si="32">H43</f>
        <v>2.6693021956825349E-2</v>
      </c>
      <c r="D115"/>
    </row>
    <row r="116" spans="1:4">
      <c r="A116" s="557" t="s">
        <v>8</v>
      </c>
      <c r="B116" s="631">
        <f t="shared" si="31"/>
        <v>5.485900492343284E-2</v>
      </c>
      <c r="C116" s="568">
        <f t="shared" si="32"/>
        <v>8.1349469088539111E-3</v>
      </c>
      <c r="D116"/>
    </row>
    <row r="117" spans="1:4">
      <c r="A117" s="559" t="s">
        <v>2</v>
      </c>
      <c r="B117" s="631">
        <f t="shared" si="31"/>
        <v>4.9457441430718507E-2</v>
      </c>
      <c r="C117" s="568">
        <f t="shared" si="32"/>
        <v>2.9471086143206635E-2</v>
      </c>
      <c r="D117"/>
    </row>
    <row r="118" spans="1:4">
      <c r="A118" s="557" t="s">
        <v>10</v>
      </c>
      <c r="B118" s="631">
        <f t="shared" si="31"/>
        <v>7.831133146150214E-2</v>
      </c>
      <c r="C118" s="568">
        <f t="shared" si="32"/>
        <v>0.16098331006113545</v>
      </c>
      <c r="D118"/>
    </row>
    <row r="119" spans="1:4">
      <c r="A119" s="557" t="s">
        <v>4</v>
      </c>
      <c r="B119" s="631">
        <f t="shared" si="31"/>
        <v>8.7924413867524698E-2</v>
      </c>
      <c r="C119" s="568">
        <f t="shared" si="32"/>
        <v>0.12905966198761112</v>
      </c>
      <c r="D119"/>
    </row>
    <row r="120" spans="1:4">
      <c r="A120" s="557" t="s">
        <v>14</v>
      </c>
      <c r="B120" s="631">
        <f t="shared" si="31"/>
        <v>1.5420344498446342E-2</v>
      </c>
      <c r="C120" s="568">
        <f t="shared" si="32"/>
        <v>2.4427072751697886E-2</v>
      </c>
      <c r="D120"/>
    </row>
    <row r="121" spans="1:4">
      <c r="A121" s="559" t="s">
        <v>17</v>
      </c>
      <c r="B121" s="631">
        <f t="shared" si="31"/>
        <v>7.1711095280632409E-2</v>
      </c>
      <c r="C121" s="568">
        <f t="shared" si="32"/>
        <v>4.9473854599360441E-2</v>
      </c>
      <c r="D121"/>
    </row>
    <row r="122" spans="1:4">
      <c r="A122" s="557" t="s">
        <v>376</v>
      </c>
      <c r="B122" s="631">
        <f t="shared" si="31"/>
        <v>5.1574370958554529E-2</v>
      </c>
      <c r="C122" s="568">
        <f t="shared" si="32"/>
        <v>0.11104408827271108</v>
      </c>
      <c r="D122"/>
    </row>
    <row r="123" spans="1:4">
      <c r="A123" s="557" t="s">
        <v>7</v>
      </c>
      <c r="B123" s="631">
        <f t="shared" si="31"/>
        <v>0.29481540705636594</v>
      </c>
      <c r="C123" s="568">
        <f t="shared" si="32"/>
        <v>0.28279476449419855</v>
      </c>
      <c r="D123"/>
    </row>
    <row r="124" spans="1:4">
      <c r="A124" s="557" t="s">
        <v>9</v>
      </c>
      <c r="B124" s="631">
        <f t="shared" si="31"/>
        <v>6.9715857790043079E-2</v>
      </c>
      <c r="C124" s="568">
        <f t="shared" si="32"/>
        <v>4.7448038873316167E-2</v>
      </c>
      <c r="D124"/>
    </row>
    <row r="125" spans="1:4" ht="16.5" thickBot="1">
      <c r="A125" s="627" t="s">
        <v>5</v>
      </c>
      <c r="B125" s="631">
        <f t="shared" si="31"/>
        <v>5.0998008859688866E-2</v>
      </c>
      <c r="C125" s="568">
        <f t="shared" si="32"/>
        <v>3.9678990618756661E-2</v>
      </c>
      <c r="D125"/>
    </row>
    <row r="126" spans="1:4" ht="16.5" thickTop="1">
      <c r="B126" s="1490">
        <f>SUM(B114:B125)</f>
        <v>1.0000000000000002</v>
      </c>
      <c r="C126" s="1490">
        <f>SUM(C114:C125)</f>
        <v>1</v>
      </c>
      <c r="D126"/>
    </row>
    <row r="127" spans="1:4">
      <c r="D127"/>
    </row>
    <row r="128" spans="1:4">
      <c r="D128"/>
    </row>
    <row r="129" spans="1:10">
      <c r="D129"/>
    </row>
    <row r="130" spans="1:10">
      <c r="D130"/>
    </row>
    <row r="131" spans="1:10">
      <c r="D131"/>
    </row>
    <row r="132" spans="1:10">
      <c r="A132" s="256"/>
      <c r="B132" s="630" t="s">
        <v>891</v>
      </c>
      <c r="C132" s="630" t="s">
        <v>680</v>
      </c>
      <c r="D132"/>
    </row>
    <row r="133" spans="1:10">
      <c r="A133" s="557" t="s">
        <v>628</v>
      </c>
      <c r="B133" s="631">
        <f t="shared" ref="B133:C136" si="33">B114</f>
        <v>0.11676310023808248</v>
      </c>
      <c r="C133" s="631">
        <f t="shared" si="33"/>
        <v>9.0791163332326758E-2</v>
      </c>
      <c r="D133"/>
    </row>
    <row r="134" spans="1:10">
      <c r="A134" s="557" t="s">
        <v>6</v>
      </c>
      <c r="B134" s="631">
        <f t="shared" si="33"/>
        <v>5.844962363500826E-2</v>
      </c>
      <c r="C134" s="631">
        <f t="shared" si="33"/>
        <v>2.6693021956825349E-2</v>
      </c>
      <c r="D134"/>
      <c r="G134" s="66"/>
      <c r="H134" s="66"/>
      <c r="J134" s="66"/>
    </row>
    <row r="135" spans="1:10">
      <c r="A135" s="557" t="s">
        <v>8</v>
      </c>
      <c r="B135" s="631">
        <f t="shared" si="33"/>
        <v>5.485900492343284E-2</v>
      </c>
      <c r="C135" s="631">
        <f t="shared" si="33"/>
        <v>8.1349469088539111E-3</v>
      </c>
    </row>
    <row r="136" spans="1:10">
      <c r="A136" s="559" t="s">
        <v>2</v>
      </c>
      <c r="B136" s="631">
        <f t="shared" si="33"/>
        <v>4.9457441430718507E-2</v>
      </c>
      <c r="C136" s="631">
        <f t="shared" si="33"/>
        <v>2.9471086143206635E-2</v>
      </c>
    </row>
    <row r="137" spans="1:10">
      <c r="A137" s="557" t="s">
        <v>10</v>
      </c>
      <c r="B137" s="631"/>
      <c r="C137" s="568"/>
    </row>
    <row r="138" spans="1:10">
      <c r="A138" s="557" t="s">
        <v>4</v>
      </c>
      <c r="B138" s="631">
        <f t="shared" ref="B138:C140" si="34">B119</f>
        <v>8.7924413867524698E-2</v>
      </c>
      <c r="C138" s="631">
        <f t="shared" si="34"/>
        <v>0.12905966198761112</v>
      </c>
    </row>
    <row r="139" spans="1:10">
      <c r="A139" s="557" t="s">
        <v>14</v>
      </c>
      <c r="B139" s="631">
        <f t="shared" si="34"/>
        <v>1.5420344498446342E-2</v>
      </c>
      <c r="C139" s="631">
        <f t="shared" si="34"/>
        <v>2.4427072751697886E-2</v>
      </c>
    </row>
    <row r="140" spans="1:10">
      <c r="A140" s="559" t="s">
        <v>17</v>
      </c>
      <c r="B140" s="631">
        <f t="shared" si="34"/>
        <v>7.1711095280632409E-2</v>
      </c>
      <c r="C140" s="631">
        <f t="shared" si="34"/>
        <v>4.9473854599360441E-2</v>
      </c>
    </row>
    <row r="141" spans="1:10">
      <c r="A141" s="557" t="s">
        <v>376</v>
      </c>
      <c r="B141" s="631"/>
      <c r="C141" s="568"/>
    </row>
    <row r="142" spans="1:10">
      <c r="A142" s="557" t="s">
        <v>7</v>
      </c>
      <c r="B142" s="631">
        <f t="shared" ref="B142:C144" si="35">B123</f>
        <v>0.29481540705636594</v>
      </c>
      <c r="C142" s="631">
        <f t="shared" si="35"/>
        <v>0.28279476449419855</v>
      </c>
    </row>
    <row r="143" spans="1:10">
      <c r="A143" s="557" t="s">
        <v>9</v>
      </c>
      <c r="B143" s="631">
        <f t="shared" si="35"/>
        <v>6.9715857790043079E-2</v>
      </c>
      <c r="C143" s="631">
        <f t="shared" si="35"/>
        <v>4.7448038873316167E-2</v>
      </c>
    </row>
    <row r="144" spans="1:10" ht="16.5" thickBot="1">
      <c r="A144" s="627" t="s">
        <v>5</v>
      </c>
      <c r="B144" s="631">
        <f t="shared" si="35"/>
        <v>5.0998008859688866E-2</v>
      </c>
      <c r="C144" s="631">
        <f t="shared" si="35"/>
        <v>3.9678990618756661E-2</v>
      </c>
    </row>
    <row r="145" ht="16.5" thickTop="1"/>
  </sheetData>
  <pageMargins left="0.75" right="0.75" top="1" bottom="1" header="0.5" footer="0.5"/>
  <pageSetup orientation="portrait" horizontalDpi="4294967292" verticalDpi="429496729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246"/>
  <sheetViews>
    <sheetView workbookViewId="0">
      <selection activeCell="D45" sqref="D45"/>
    </sheetView>
  </sheetViews>
  <sheetFormatPr defaultColWidth="11" defaultRowHeight="15.75"/>
  <cols>
    <col min="1" max="1" width="25" customWidth="1"/>
    <col min="3" max="3" width="11.5" customWidth="1"/>
    <col min="5" max="5" width="18.875" customWidth="1"/>
    <col min="8" max="8" width="11.375" customWidth="1"/>
    <col min="12" max="12" width="22.5" customWidth="1"/>
    <col min="16" max="16" width="18.375" customWidth="1"/>
    <col min="17" max="17" width="12.875" customWidth="1"/>
    <col min="21" max="21" width="15" bestFit="1" customWidth="1"/>
    <col min="22" max="22" width="11.125" bestFit="1" customWidth="1"/>
    <col min="26" max="26" width="21" customWidth="1"/>
  </cols>
  <sheetData>
    <row r="1" spans="1:22">
      <c r="A1" s="10" t="s">
        <v>705</v>
      </c>
    </row>
    <row r="2" spans="1:22">
      <c r="A2" t="s">
        <v>1256</v>
      </c>
    </row>
    <row r="3" spans="1:22" ht="16.5" thickBot="1">
      <c r="A3" t="s">
        <v>1257</v>
      </c>
      <c r="R3" t="s">
        <v>1258</v>
      </c>
    </row>
    <row r="4" spans="1:22">
      <c r="L4" s="253" t="s">
        <v>1259</v>
      </c>
      <c r="M4" s="253"/>
      <c r="N4" s="253"/>
      <c r="O4" s="253"/>
      <c r="P4" s="253"/>
      <c r="Q4" s="253"/>
      <c r="R4" s="253"/>
      <c r="S4" s="321"/>
      <c r="T4" s="474"/>
      <c r="U4" s="474"/>
      <c r="V4" s="475"/>
    </row>
    <row r="5" spans="1:22" ht="16.5" thickBot="1">
      <c r="A5" s="554" t="s">
        <v>1105</v>
      </c>
      <c r="B5" s="253"/>
      <c r="C5" s="253"/>
      <c r="E5" s="554" t="s">
        <v>1106</v>
      </c>
      <c r="F5" s="253"/>
      <c r="G5" s="253"/>
      <c r="M5" s="91"/>
      <c r="N5" s="91"/>
      <c r="O5" s="91"/>
      <c r="P5" s="91"/>
      <c r="Q5" s="91"/>
      <c r="R5" s="91"/>
      <c r="S5" s="91">
        <v>1</v>
      </c>
      <c r="T5" s="480">
        <v>2</v>
      </c>
      <c r="U5" s="480">
        <v>3</v>
      </c>
      <c r="V5" s="481">
        <v>4</v>
      </c>
    </row>
    <row r="6" spans="1:22">
      <c r="A6" s="555"/>
      <c r="B6" s="556" t="s">
        <v>1107</v>
      </c>
      <c r="C6" s="556" t="s">
        <v>1108</v>
      </c>
      <c r="E6" s="555"/>
      <c r="F6" s="556" t="s">
        <v>1107</v>
      </c>
      <c r="G6" s="556" t="s">
        <v>1108</v>
      </c>
      <c r="L6" s="1407" t="s">
        <v>1084</v>
      </c>
      <c r="M6" s="1408" t="s">
        <v>79</v>
      </c>
      <c r="N6" s="1408" t="s">
        <v>78</v>
      </c>
      <c r="O6" s="1408" t="s">
        <v>486</v>
      </c>
      <c r="P6" s="1408" t="s">
        <v>1095</v>
      </c>
      <c r="Q6" s="1408" t="s">
        <v>1260</v>
      </c>
      <c r="R6" s="1408" t="s">
        <v>1096</v>
      </c>
      <c r="S6" s="91"/>
    </row>
    <row r="7" spans="1:22">
      <c r="A7" s="557" t="s">
        <v>628</v>
      </c>
      <c r="B7" s="531">
        <v>5520000</v>
      </c>
      <c r="C7" s="531">
        <v>6654500</v>
      </c>
      <c r="E7" s="557" t="s">
        <v>628</v>
      </c>
      <c r="F7" s="531">
        <v>410000</v>
      </c>
      <c r="G7" s="531">
        <v>550000</v>
      </c>
      <c r="L7" s="1409"/>
      <c r="M7" s="91"/>
      <c r="N7" s="91"/>
      <c r="O7" s="91"/>
      <c r="P7" s="91"/>
      <c r="Q7" s="91"/>
      <c r="R7" s="91"/>
      <c r="S7" s="91"/>
    </row>
    <row r="8" spans="1:22">
      <c r="A8" s="557" t="s">
        <v>6</v>
      </c>
      <c r="B8" s="531">
        <v>3000000</v>
      </c>
      <c r="C8" s="531">
        <v>3000000</v>
      </c>
      <c r="E8" s="557" t="s">
        <v>6</v>
      </c>
      <c r="F8" s="531">
        <v>484282</v>
      </c>
      <c r="G8" s="531">
        <v>528000</v>
      </c>
      <c r="L8" s="1410" t="s">
        <v>628</v>
      </c>
      <c r="M8" s="1411">
        <v>3717217.6</v>
      </c>
      <c r="N8" s="1411">
        <v>4191523.72</v>
      </c>
      <c r="O8" s="1411">
        <v>4828168.08</v>
      </c>
      <c r="P8" s="1411">
        <v>6008183.4602997592</v>
      </c>
      <c r="Q8" s="1411">
        <v>5937897</v>
      </c>
      <c r="R8" s="1411">
        <f t="shared" ref="R8:R19" si="0">1.04963*TREND(N8:P8,S$5:U$5,V$5)</f>
        <v>7164723.466366983</v>
      </c>
      <c r="S8" s="91"/>
    </row>
    <row r="9" spans="1:22">
      <c r="A9" s="557" t="s">
        <v>8</v>
      </c>
      <c r="B9" s="531">
        <v>1517899</v>
      </c>
      <c r="C9" s="531">
        <v>1600000</v>
      </c>
      <c r="E9" s="557" t="s">
        <v>8</v>
      </c>
      <c r="F9" s="531">
        <v>155548</v>
      </c>
      <c r="G9" s="531">
        <v>83240</v>
      </c>
      <c r="L9" s="1410" t="s">
        <v>6</v>
      </c>
      <c r="M9" s="1411">
        <v>975688</v>
      </c>
      <c r="N9" s="1411">
        <v>1216575.0399999998</v>
      </c>
      <c r="O9" s="1411">
        <v>2221976.4</v>
      </c>
      <c r="P9" s="1411">
        <v>3191122.3099742248</v>
      </c>
      <c r="Q9" s="1411">
        <v>3085635</v>
      </c>
      <c r="R9" s="1411">
        <f t="shared" si="0"/>
        <v>4392112.2037115274</v>
      </c>
      <c r="S9" s="91"/>
    </row>
    <row r="10" spans="1:22">
      <c r="A10" s="559" t="s">
        <v>2</v>
      </c>
      <c r="B10" s="531">
        <v>1050000</v>
      </c>
      <c r="C10" s="531">
        <v>1150000</v>
      </c>
      <c r="E10" s="559" t="s">
        <v>2</v>
      </c>
      <c r="F10" s="531">
        <v>100000</v>
      </c>
      <c r="G10" s="531">
        <v>100000</v>
      </c>
      <c r="L10" s="1410" t="s">
        <v>1085</v>
      </c>
      <c r="M10" s="1411">
        <v>1318094.3999999999</v>
      </c>
      <c r="N10" s="1411">
        <v>1232525</v>
      </c>
      <c r="O10" s="1411">
        <v>1316584.2</v>
      </c>
      <c r="P10" s="1411">
        <v>1331877.2661931813</v>
      </c>
      <c r="Q10" s="1411">
        <v>1306248</v>
      </c>
      <c r="R10" s="1411">
        <f t="shared" si="0"/>
        <v>1462149.7273344654</v>
      </c>
      <c r="S10" s="91"/>
    </row>
    <row r="11" spans="1:22">
      <c r="A11" s="557" t="s">
        <v>10</v>
      </c>
      <c r="B11" s="531">
        <v>30000</v>
      </c>
      <c r="C11" s="531">
        <v>0</v>
      </c>
      <c r="E11" s="557" t="s">
        <v>10</v>
      </c>
      <c r="F11" s="531">
        <v>75000</v>
      </c>
      <c r="G11" s="531">
        <v>80000</v>
      </c>
      <c r="L11" s="1410" t="s">
        <v>8</v>
      </c>
      <c r="M11" s="1411">
        <v>1440261.3</v>
      </c>
      <c r="N11" s="1411">
        <v>1483175.6400000001</v>
      </c>
      <c r="O11" s="1411">
        <v>1517899.08</v>
      </c>
      <c r="P11" s="1411">
        <v>1711859.3025004198</v>
      </c>
      <c r="Q11" s="1411">
        <v>1776225</v>
      </c>
      <c r="R11" s="1411">
        <f t="shared" si="0"/>
        <v>1888978.8786826876</v>
      </c>
      <c r="S11" s="91"/>
    </row>
    <row r="12" spans="1:22">
      <c r="A12" s="557" t="s">
        <v>4</v>
      </c>
      <c r="B12" s="531">
        <v>3900000</v>
      </c>
      <c r="C12" s="531">
        <v>4200000</v>
      </c>
      <c r="E12" s="557" t="s">
        <v>4</v>
      </c>
      <c r="F12" s="531">
        <v>2200000</v>
      </c>
      <c r="G12" s="531">
        <v>1900000</v>
      </c>
      <c r="L12" s="1410" t="s">
        <v>7</v>
      </c>
      <c r="M12" s="1411">
        <v>4706756.8</v>
      </c>
      <c r="N12" s="1411">
        <v>8420640.6799999997</v>
      </c>
      <c r="O12" s="1411">
        <v>10119518.800000001</v>
      </c>
      <c r="P12" s="1411">
        <v>12097579.157880366</v>
      </c>
      <c r="Q12" s="1411">
        <v>11795739</v>
      </c>
      <c r="R12" s="1411">
        <f t="shared" si="0"/>
        <v>14578854.803363694</v>
      </c>
      <c r="S12" s="91"/>
    </row>
    <row r="13" spans="1:22">
      <c r="A13" s="557" t="s">
        <v>14</v>
      </c>
      <c r="B13" s="531"/>
      <c r="C13" s="531">
        <v>100000</v>
      </c>
      <c r="E13" s="557" t="s">
        <v>14</v>
      </c>
      <c r="F13" s="531">
        <v>80000</v>
      </c>
      <c r="G13" s="531">
        <v>90000</v>
      </c>
      <c r="L13" s="1410" t="s">
        <v>1086</v>
      </c>
      <c r="M13" s="1411">
        <v>940072.8</v>
      </c>
      <c r="N13" s="1411">
        <v>979716.79999999993</v>
      </c>
      <c r="O13" s="1411">
        <v>1094180.32</v>
      </c>
      <c r="P13" s="1411">
        <v>1289094.4585793675</v>
      </c>
      <c r="Q13" s="1411">
        <v>1317598</v>
      </c>
      <c r="R13" s="1411">
        <f t="shared" si="0"/>
        <v>1501364.355316082</v>
      </c>
      <c r="S13" s="91"/>
    </row>
    <row r="14" spans="1:22">
      <c r="A14" s="559" t="s">
        <v>17</v>
      </c>
      <c r="B14" s="531">
        <v>9962806</v>
      </c>
      <c r="C14" s="531">
        <v>12500000</v>
      </c>
      <c r="E14" s="559" t="s">
        <v>17</v>
      </c>
      <c r="F14" s="531">
        <v>1125003</v>
      </c>
      <c r="G14" s="531">
        <v>970000</v>
      </c>
      <c r="L14" s="1410" t="s">
        <v>17</v>
      </c>
      <c r="M14" s="1411">
        <v>8601804.8000000007</v>
      </c>
      <c r="N14" s="1411">
        <v>8962806.2399999984</v>
      </c>
      <c r="O14" s="1411">
        <v>9966050.7199999988</v>
      </c>
      <c r="P14" s="1411">
        <v>11445543.938435338</v>
      </c>
      <c r="Q14" s="1411">
        <v>11377603</v>
      </c>
      <c r="R14" s="1411">
        <f t="shared" si="0"/>
        <v>13233250.108750246</v>
      </c>
      <c r="S14" s="91"/>
    </row>
    <row r="15" spans="1:22">
      <c r="A15" s="557" t="s">
        <v>376</v>
      </c>
      <c r="B15" s="531"/>
      <c r="C15" s="531">
        <v>0</v>
      </c>
      <c r="E15" s="557" t="s">
        <v>376</v>
      </c>
      <c r="F15" s="531">
        <v>0</v>
      </c>
      <c r="G15" s="531">
        <f t="shared" ref="G15" si="1">1.04*1.01*F15</f>
        <v>0</v>
      </c>
      <c r="L15" s="1410" t="s">
        <v>10</v>
      </c>
      <c r="M15" s="1411">
        <v>40710.410000000003</v>
      </c>
      <c r="N15" s="1411">
        <v>28344.400000000001</v>
      </c>
      <c r="O15" s="1411">
        <v>30887.919999999998</v>
      </c>
      <c r="P15" s="1411">
        <v>10080</v>
      </c>
      <c r="Q15" s="1411">
        <v>22464</v>
      </c>
      <c r="R15" s="1411">
        <f t="shared" si="0"/>
        <v>5079.9013085333399</v>
      </c>
      <c r="S15" s="91"/>
    </row>
    <row r="16" spans="1:22">
      <c r="A16" s="557" t="s">
        <v>7</v>
      </c>
      <c r="B16" s="531">
        <v>10000000</v>
      </c>
      <c r="C16" s="531">
        <v>12000000</v>
      </c>
      <c r="E16" s="557" t="s">
        <v>7</v>
      </c>
      <c r="F16" s="531">
        <v>1000000</v>
      </c>
      <c r="G16" s="531">
        <v>1500000</v>
      </c>
      <c r="L16" s="1410" t="s">
        <v>1087</v>
      </c>
      <c r="M16" s="1411">
        <v>2022047.4</v>
      </c>
      <c r="N16" s="1411">
        <v>2195358.3199999998</v>
      </c>
      <c r="O16" s="1411">
        <v>2500276.08</v>
      </c>
      <c r="P16" s="1411">
        <v>2794720.3185448516</v>
      </c>
      <c r="Q16" s="1411">
        <v>2855981</v>
      </c>
      <c r="R16" s="1411">
        <f t="shared" si="0"/>
        <v>3249808.675608044</v>
      </c>
      <c r="S16" s="91"/>
    </row>
    <row r="17" spans="1:19">
      <c r="A17" s="557" t="s">
        <v>9</v>
      </c>
      <c r="B17" s="531">
        <v>2500000</v>
      </c>
      <c r="C17" s="531">
        <v>3000000</v>
      </c>
      <c r="E17" s="557" t="s">
        <v>9</v>
      </c>
      <c r="F17" s="531">
        <v>707627</v>
      </c>
      <c r="G17" s="531">
        <v>650000</v>
      </c>
      <c r="L17" s="1410" t="s">
        <v>4</v>
      </c>
      <c r="M17" s="1411">
        <v>3505835.2</v>
      </c>
      <c r="N17" s="1411">
        <v>3680894.12</v>
      </c>
      <c r="O17" s="1411">
        <v>3914074</v>
      </c>
      <c r="P17" s="1411">
        <v>4366183.4490438299</v>
      </c>
      <c r="Q17" s="1411">
        <v>4448154</v>
      </c>
      <c r="R17" s="1411">
        <f t="shared" si="0"/>
        <v>4904228.0789161008</v>
      </c>
      <c r="S17" s="91"/>
    </row>
    <row r="18" spans="1:19">
      <c r="A18" s="559" t="s">
        <v>5</v>
      </c>
      <c r="B18" s="531">
        <v>1100000</v>
      </c>
      <c r="C18" s="531">
        <v>1200000</v>
      </c>
      <c r="E18" s="559" t="s">
        <v>5</v>
      </c>
      <c r="F18" s="531">
        <v>133687</v>
      </c>
      <c r="G18" s="531">
        <v>145000</v>
      </c>
      <c r="L18" s="1410" t="s">
        <v>376</v>
      </c>
      <c r="M18" s="1411">
        <v>0</v>
      </c>
      <c r="N18" s="1411">
        <v>0</v>
      </c>
      <c r="O18" s="1411">
        <v>0</v>
      </c>
      <c r="P18" s="1411">
        <v>0</v>
      </c>
      <c r="Q18" s="1411">
        <v>0</v>
      </c>
      <c r="R18" s="1411">
        <f t="shared" si="0"/>
        <v>0</v>
      </c>
      <c r="S18" s="91"/>
    </row>
    <row r="19" spans="1:19">
      <c r="A19" s="557"/>
      <c r="B19" s="530"/>
      <c r="C19" s="530"/>
      <c r="E19" s="557"/>
      <c r="F19" s="530"/>
      <c r="G19" s="530"/>
      <c r="L19" s="1412" t="s">
        <v>1088</v>
      </c>
      <c r="M19" s="1411">
        <v>53904.800000000003</v>
      </c>
      <c r="N19" s="1411">
        <v>59385.039999999994</v>
      </c>
      <c r="O19" s="1411">
        <v>83855.520000000004</v>
      </c>
      <c r="P19" s="1411">
        <v>175889.87180038384</v>
      </c>
      <c r="Q19" s="1411"/>
      <c r="R19" s="1411">
        <f t="shared" si="0"/>
        <v>233943.25831284918</v>
      </c>
      <c r="S19" s="91"/>
    </row>
    <row r="20" spans="1:19">
      <c r="A20" s="557" t="s">
        <v>631</v>
      </c>
      <c r="B20" s="531"/>
      <c r="C20" s="531">
        <v>0</v>
      </c>
      <c r="E20" s="557" t="s">
        <v>631</v>
      </c>
      <c r="F20" s="531"/>
      <c r="G20" s="531">
        <f>1.04*1.01*F20</f>
        <v>0</v>
      </c>
      <c r="L20" s="1412" t="s">
        <v>1089</v>
      </c>
      <c r="M20" s="528"/>
      <c r="N20" s="1411"/>
      <c r="O20" s="528"/>
      <c r="P20" s="1411"/>
      <c r="Q20" s="1411"/>
      <c r="R20" s="1411"/>
      <c r="S20" s="91"/>
    </row>
    <row r="21" spans="1:19">
      <c r="A21" s="557" t="s">
        <v>657</v>
      </c>
      <c r="B21" s="531"/>
      <c r="C21" s="531">
        <v>0</v>
      </c>
      <c r="E21" s="557" t="s">
        <v>657</v>
      </c>
      <c r="F21" s="531"/>
      <c r="G21" s="531">
        <f>1.04*1.01*F21</f>
        <v>0</v>
      </c>
      <c r="L21" s="1412" t="s">
        <v>1090</v>
      </c>
      <c r="M21" s="528"/>
      <c r="N21" s="528"/>
      <c r="O21" s="528"/>
      <c r="P21" s="1411"/>
      <c r="Q21" s="1411"/>
      <c r="R21" s="1411"/>
      <c r="S21" s="91"/>
    </row>
    <row r="22" spans="1:19">
      <c r="A22" s="559" t="s">
        <v>633</v>
      </c>
      <c r="B22" s="531"/>
      <c r="C22" s="531">
        <v>0</v>
      </c>
      <c r="E22" s="559" t="s">
        <v>633</v>
      </c>
      <c r="F22" s="531">
        <v>1037</v>
      </c>
      <c r="G22" s="531">
        <v>1000</v>
      </c>
      <c r="L22" s="1410" t="s">
        <v>1091</v>
      </c>
      <c r="M22" s="528"/>
      <c r="N22" s="528"/>
      <c r="O22" s="528"/>
      <c r="P22" s="1411"/>
      <c r="Q22" s="1411"/>
      <c r="R22" s="1411"/>
      <c r="S22" s="91"/>
    </row>
    <row r="23" spans="1:19">
      <c r="A23" s="557" t="s">
        <v>656</v>
      </c>
      <c r="B23" s="531"/>
      <c r="C23" s="531">
        <v>76687</v>
      </c>
      <c r="E23" s="557" t="s">
        <v>656</v>
      </c>
      <c r="F23" s="531">
        <v>47000</v>
      </c>
      <c r="G23" s="531">
        <v>51700</v>
      </c>
      <c r="L23" s="1410" t="s">
        <v>1092</v>
      </c>
      <c r="M23" s="528"/>
      <c r="N23" s="528"/>
      <c r="O23" s="528"/>
      <c r="P23" s="1411"/>
      <c r="Q23" s="1411"/>
      <c r="R23" s="1411"/>
      <c r="S23" s="91"/>
    </row>
    <row r="24" spans="1:19">
      <c r="A24" s="563" t="s">
        <v>635</v>
      </c>
      <c r="B24" s="531"/>
      <c r="C24" s="531">
        <v>0</v>
      </c>
      <c r="E24" s="563" t="s">
        <v>635</v>
      </c>
      <c r="F24" s="531"/>
      <c r="G24" s="531">
        <f>1.04*1.01*F24</f>
        <v>0</v>
      </c>
      <c r="L24" s="1410" t="s">
        <v>552</v>
      </c>
      <c r="M24" s="528">
        <v>30130</v>
      </c>
      <c r="N24" s="528">
        <v>47612</v>
      </c>
      <c r="O24" s="528">
        <v>61056</v>
      </c>
      <c r="P24" s="1411">
        <v>63337.846153846156</v>
      </c>
      <c r="Q24" s="1411"/>
      <c r="R24" s="1411">
        <f>1.04963*TREND(N24:P24,S$5:U$5,V$5)</f>
        <v>76687.15199794872</v>
      </c>
      <c r="S24" s="91"/>
    </row>
    <row r="25" spans="1:19">
      <c r="A25" s="564"/>
      <c r="B25" s="543">
        <f>SUM(B7:B24)</f>
        <v>38580705</v>
      </c>
      <c r="C25" s="543">
        <f>SUM(C7:C24)</f>
        <v>45481187</v>
      </c>
      <c r="E25" s="564"/>
      <c r="F25" s="543">
        <f>SUM(F7:F24)</f>
        <v>6519184</v>
      </c>
      <c r="G25" s="543">
        <f>SUM(G7:G24)</f>
        <v>6648940</v>
      </c>
      <c r="L25" s="1410" t="s">
        <v>1093</v>
      </c>
      <c r="M25" s="528"/>
      <c r="N25" s="528"/>
      <c r="O25" s="528"/>
      <c r="P25" s="528"/>
      <c r="Q25" s="528"/>
      <c r="R25" s="528"/>
      <c r="S25" s="91"/>
    </row>
    <row r="26" spans="1:19">
      <c r="L26" s="1410" t="s">
        <v>1094</v>
      </c>
      <c r="M26" s="528"/>
      <c r="N26" s="528"/>
      <c r="O26" s="528"/>
      <c r="P26" s="528"/>
      <c r="Q26" s="528"/>
      <c r="R26" s="528"/>
      <c r="S26" s="91"/>
    </row>
    <row r="27" spans="1:19">
      <c r="A27" t="s">
        <v>1081</v>
      </c>
      <c r="B27">
        <v>19021801</v>
      </c>
      <c r="C27" s="1320">
        <f>Q30+Q31</f>
        <v>0</v>
      </c>
      <c r="F27">
        <v>3029623</v>
      </c>
      <c r="G27" s="531">
        <f>1.04*1.01*F27</f>
        <v>3182315.9992</v>
      </c>
      <c r="L27" s="1413"/>
      <c r="M27" s="1411">
        <f>SUM(M8:M26)</f>
        <v>27352523.510000002</v>
      </c>
      <c r="N27" s="1411">
        <f>SUM(N8:N26)</f>
        <v>32498556.999999996</v>
      </c>
      <c r="O27" s="1411">
        <f>SUM(O8:O26)</f>
        <v>37654527.120000005</v>
      </c>
      <c r="P27" s="1411">
        <f>SUM(P8:P26)</f>
        <v>44485471.379405573</v>
      </c>
      <c r="Q27" s="1411"/>
      <c r="R27" s="1411">
        <f>SUM(R8:R26)</f>
        <v>52691180.609669171</v>
      </c>
      <c r="S27" s="1414"/>
    </row>
    <row r="28" spans="1:19">
      <c r="A28" t="s">
        <v>1109</v>
      </c>
      <c r="B28">
        <v>18785225</v>
      </c>
      <c r="C28" s="1320">
        <f>Q32</f>
        <v>0</v>
      </c>
      <c r="L28" s="91"/>
      <c r="M28" s="91"/>
      <c r="N28" s="1415">
        <f>N27/M27</f>
        <v>1.1881374304684764</v>
      </c>
      <c r="O28" s="1415">
        <f>O27/N27</f>
        <v>1.1586522786227096</v>
      </c>
      <c r="P28" s="1415">
        <f>P27/O27</f>
        <v>1.1814109691946535</v>
      </c>
      <c r="Q28" s="1415"/>
      <c r="R28" s="1416">
        <f>1.19*P27</f>
        <v>52937710.941492632</v>
      </c>
      <c r="S28" s="91"/>
    </row>
    <row r="29" spans="1:19">
      <c r="A29" t="s">
        <v>417</v>
      </c>
      <c r="C29" s="1320"/>
      <c r="F29">
        <v>541124</v>
      </c>
      <c r="G29" s="531">
        <f>1.04*1.01*F29</f>
        <v>568396.6496</v>
      </c>
      <c r="L29" s="91"/>
      <c r="M29" s="91"/>
      <c r="N29" s="91"/>
      <c r="O29" s="91"/>
      <c r="P29" s="91"/>
      <c r="Q29" s="91"/>
      <c r="R29" s="91"/>
      <c r="S29" s="91"/>
    </row>
    <row r="30" spans="1:19">
      <c r="A30" t="s">
        <v>1111</v>
      </c>
      <c r="C30" s="1320"/>
      <c r="F30">
        <v>63000</v>
      </c>
      <c r="G30" s="531">
        <f>1.04*1.01*F30</f>
        <v>66175.199999999997</v>
      </c>
      <c r="L30" s="91" t="s">
        <v>1097</v>
      </c>
      <c r="M30" s="91"/>
      <c r="N30" s="91"/>
      <c r="O30" s="91"/>
      <c r="P30" s="91"/>
      <c r="Q30" s="91"/>
      <c r="R30" s="1411">
        <v>7319366</v>
      </c>
      <c r="S30" s="91"/>
    </row>
    <row r="31" spans="1:19">
      <c r="A31" t="s">
        <v>1110</v>
      </c>
      <c r="B31" s="551">
        <f>SUM(B25:B30)</f>
        <v>76387731</v>
      </c>
      <c r="C31" s="551">
        <f>SUM(C25:C30)</f>
        <v>45481187</v>
      </c>
      <c r="F31" s="551">
        <f>SUM(F25:F30)</f>
        <v>10152931</v>
      </c>
      <c r="G31" s="551">
        <f>SUM(G25:G30)</f>
        <v>10465827.848799998</v>
      </c>
      <c r="L31" s="91" t="s">
        <v>1098</v>
      </c>
      <c r="M31" s="91"/>
      <c r="N31" s="91"/>
      <c r="O31" s="91"/>
      <c r="P31" s="91"/>
      <c r="Q31" s="91"/>
      <c r="R31" s="1411">
        <v>13174859</v>
      </c>
      <c r="S31" s="91"/>
    </row>
    <row r="32" spans="1:19">
      <c r="L32" s="91" t="s">
        <v>1099</v>
      </c>
      <c r="M32" s="91"/>
      <c r="N32" s="91"/>
      <c r="O32" s="91"/>
      <c r="P32" s="91"/>
      <c r="Q32" s="91"/>
      <c r="R32" s="1411">
        <v>23037101</v>
      </c>
      <c r="S32" s="91"/>
    </row>
    <row r="33" spans="1:33">
      <c r="A33" t="s">
        <v>1112</v>
      </c>
      <c r="B33">
        <f>B28/B31</f>
        <v>0.24591940032883031</v>
      </c>
      <c r="C33">
        <f>C28/C31</f>
        <v>0</v>
      </c>
      <c r="L33" s="91" t="s">
        <v>1100</v>
      </c>
      <c r="M33" s="91"/>
      <c r="N33" s="91"/>
      <c r="O33" s="91"/>
      <c r="P33" s="91"/>
      <c r="Q33" s="91"/>
      <c r="R33" s="1411">
        <f>R27+SUM(R30:R32)</f>
        <v>96222506.609669179</v>
      </c>
      <c r="S33" s="91"/>
    </row>
    <row r="34" spans="1:33">
      <c r="A34" t="s">
        <v>1113</v>
      </c>
      <c r="B34">
        <f>B27/B31</f>
        <v>0.24901644218231853</v>
      </c>
      <c r="C34">
        <f>C27/C31</f>
        <v>0</v>
      </c>
      <c r="L34" s="91"/>
      <c r="M34" s="91"/>
      <c r="N34" s="91"/>
      <c r="O34" s="91"/>
      <c r="P34" s="91"/>
      <c r="Q34" s="91"/>
      <c r="R34" s="91"/>
    </row>
    <row r="35" spans="1:33">
      <c r="L35" s="91"/>
      <c r="M35" s="91"/>
      <c r="N35" s="91"/>
      <c r="O35" s="91"/>
      <c r="P35" s="91"/>
      <c r="Q35" s="91"/>
      <c r="R35" s="91"/>
    </row>
    <row r="36" spans="1:33" ht="31.5">
      <c r="A36" s="223" t="s">
        <v>1487</v>
      </c>
      <c r="B36" s="551">
        <f>B25+F25</f>
        <v>45099889</v>
      </c>
      <c r="C36" s="551">
        <f>C25+G25</f>
        <v>52130127</v>
      </c>
      <c r="L36" s="91"/>
      <c r="M36" s="91"/>
      <c r="N36" s="91"/>
      <c r="O36" s="91"/>
      <c r="P36" s="91" t="s">
        <v>1101</v>
      </c>
      <c r="Q36" s="91" t="s">
        <v>1102</v>
      </c>
      <c r="R36" s="91"/>
    </row>
    <row r="37" spans="1:33">
      <c r="P37" t="s">
        <v>1103</v>
      </c>
      <c r="Q37" t="s">
        <v>1104</v>
      </c>
    </row>
    <row r="41" spans="1:33">
      <c r="A41" s="1631" t="s">
        <v>1488</v>
      </c>
      <c r="B41" s="1631"/>
      <c r="C41" s="1631"/>
      <c r="D41" s="1631"/>
      <c r="E41" s="1631"/>
      <c r="F41" s="1631"/>
      <c r="G41" s="1631"/>
      <c r="H41" s="1631"/>
      <c r="I41" s="1631"/>
      <c r="J41" s="1631"/>
      <c r="K41" s="1631"/>
      <c r="L41" s="1631"/>
      <c r="M41" s="1631"/>
      <c r="N41" s="1631"/>
      <c r="O41" s="1631"/>
      <c r="P41" s="1631"/>
      <c r="Q41" s="1631"/>
      <c r="R41" s="1631"/>
      <c r="S41" s="1631"/>
      <c r="T41" s="1631"/>
      <c r="U41" s="1631"/>
      <c r="V41" s="1631"/>
      <c r="W41" s="1631"/>
      <c r="X41" s="1631"/>
      <c r="Y41" s="1631"/>
      <c r="Z41" s="1631"/>
      <c r="AA41" s="1631"/>
      <c r="AB41" s="1631"/>
      <c r="AC41" s="1631"/>
      <c r="AD41" s="1631"/>
      <c r="AE41" s="1631"/>
      <c r="AF41" s="1631"/>
      <c r="AG41" s="1631"/>
    </row>
    <row r="50" spans="1:33">
      <c r="A50" s="10" t="s">
        <v>705</v>
      </c>
      <c r="D50" s="66"/>
      <c r="K50" s="66"/>
      <c r="L50" s="66"/>
      <c r="N50" s="66"/>
      <c r="O50" s="66"/>
      <c r="P50" s="1" t="s">
        <v>1006</v>
      </c>
      <c r="AA50" t="s">
        <v>1082</v>
      </c>
    </row>
    <row r="51" spans="1:33" ht="16.5" thickBot="1">
      <c r="A51" s="10"/>
      <c r="D51" s="66"/>
      <c r="O51" s="66"/>
      <c r="P51" s="1" t="s">
        <v>1007</v>
      </c>
      <c r="AA51">
        <v>1</v>
      </c>
      <c r="AB51">
        <v>2</v>
      </c>
      <c r="AC51">
        <v>3</v>
      </c>
      <c r="AD51">
        <v>4</v>
      </c>
    </row>
    <row r="52" spans="1:33">
      <c r="A52" s="656" t="s">
        <v>348</v>
      </c>
      <c r="B52" s="657" t="s">
        <v>296</v>
      </c>
      <c r="C52" s="658"/>
      <c r="D52" s="659"/>
      <c r="E52" s="185"/>
      <c r="F52" s="1156"/>
      <c r="G52" s="1157"/>
      <c r="H52" s="1157"/>
      <c r="I52" s="1158" t="s">
        <v>703</v>
      </c>
      <c r="J52" s="1159" t="s">
        <v>704</v>
      </c>
      <c r="O52" s="517"/>
      <c r="W52" s="1263"/>
      <c r="X52" s="1263"/>
      <c r="Y52" s="1263"/>
    </row>
    <row r="53" spans="1:33">
      <c r="A53" s="521" t="s">
        <v>299</v>
      </c>
      <c r="B53" s="522" t="s">
        <v>714</v>
      </c>
      <c r="C53" s="655"/>
      <c r="D53" s="660">
        <f>1-D52</f>
        <v>1</v>
      </c>
      <c r="E53" s="185"/>
      <c r="F53" s="1160" t="s">
        <v>706</v>
      </c>
      <c r="G53" s="984"/>
      <c r="H53" s="984"/>
      <c r="I53" s="1161">
        <v>200</v>
      </c>
      <c r="J53" s="1162">
        <v>441</v>
      </c>
      <c r="O53" s="186"/>
    </row>
    <row r="54" spans="1:33" ht="16.5" thickBot="1">
      <c r="A54" s="596"/>
      <c r="B54" s="597"/>
      <c r="C54" s="598"/>
      <c r="D54" s="599"/>
      <c r="E54" s="185"/>
      <c r="F54" s="1160" t="s">
        <v>707</v>
      </c>
      <c r="G54" s="984"/>
      <c r="H54" s="984"/>
      <c r="I54" s="1161">
        <f>0.9*I53</f>
        <v>180</v>
      </c>
      <c r="J54" s="1162">
        <f>0.9*J53</f>
        <v>396.90000000000003</v>
      </c>
      <c r="O54" s="185"/>
      <c r="Q54" s="551">
        <f t="shared" ref="Q54:W54" si="2">SUM(Q62,Q84,Q109,Q132,Q155,Q177,Q199)</f>
        <v>134896</v>
      </c>
      <c r="R54" s="551">
        <f t="shared" si="2"/>
        <v>157561</v>
      </c>
      <c r="S54" s="551">
        <f t="shared" si="2"/>
        <v>186287</v>
      </c>
      <c r="T54" s="551">
        <f t="shared" si="2"/>
        <v>218394</v>
      </c>
      <c r="U54" s="551">
        <f t="shared" si="2"/>
        <v>252303.36801993535</v>
      </c>
      <c r="V54" s="551">
        <f t="shared" si="2"/>
        <v>219055.51512625214</v>
      </c>
      <c r="W54" s="551">
        <f t="shared" si="2"/>
        <v>279445.66789404891</v>
      </c>
      <c r="AA54" s="551">
        <f t="shared" ref="AA54:AG54" si="3">SUM(Z62,Z84,Z109,Z132,Z155,Z177,Z199)</f>
        <v>52786</v>
      </c>
      <c r="AB54" s="551">
        <f t="shared" si="3"/>
        <v>52068</v>
      </c>
      <c r="AC54" s="551">
        <f t="shared" si="3"/>
        <v>49557</v>
      </c>
      <c r="AD54" s="551">
        <f t="shared" si="3"/>
        <v>48257</v>
      </c>
      <c r="AE54" s="551">
        <f t="shared" si="3"/>
        <v>49088</v>
      </c>
      <c r="AF54" s="551">
        <f t="shared" si="3"/>
        <v>49148.666666666672</v>
      </c>
      <c r="AG54" s="551">
        <f t="shared" si="3"/>
        <v>48185.666666666679</v>
      </c>
    </row>
    <row r="55" spans="1:33" ht="16.5" thickBot="1">
      <c r="D55" s="66"/>
      <c r="F55" s="1160"/>
      <c r="G55" s="984"/>
      <c r="H55" s="984"/>
      <c r="I55" s="984"/>
      <c r="J55" s="1163"/>
      <c r="R55" s="14">
        <f>R54/Q54-1</f>
        <v>0.16801832522832405</v>
      </c>
      <c r="S55" s="14">
        <f>S54/R54-1</f>
        <v>0.18231669004385598</v>
      </c>
      <c r="T55" s="14">
        <f>T54/S54-1</f>
        <v>0.1723523380590164</v>
      </c>
      <c r="U55" s="14">
        <f>U54/T54-1</f>
        <v>0.15526693965921856</v>
      </c>
      <c r="V55" s="14">
        <f>V54/T54-1</f>
        <v>3.028998627490509E-3</v>
      </c>
      <c r="W55" s="14">
        <f>W54/U54-1</f>
        <v>0.10757803229946949</v>
      </c>
      <c r="AB55" s="14">
        <f>AB54/AA54-1</f>
        <v>-1.360209146364566E-2</v>
      </c>
      <c r="AC55" s="14">
        <f>AC54/AB54-1</f>
        <v>-4.8225397557040806E-2</v>
      </c>
      <c r="AD55" s="14">
        <f>AD54/AC54-1</f>
        <v>-2.6232419234416882E-2</v>
      </c>
      <c r="AE55" s="14">
        <f>AE54/AD54-1</f>
        <v>1.7220299645647197E-2</v>
      </c>
      <c r="AF55" s="14"/>
      <c r="AG55" s="14">
        <f>AG54/AE54-1</f>
        <v>-1.8381953498478709E-2</v>
      </c>
    </row>
    <row r="56" spans="1:33" ht="16.5" thickBot="1">
      <c r="A56" s="653" t="s">
        <v>713</v>
      </c>
      <c r="B56" s="654"/>
      <c r="C56" s="654"/>
      <c r="D56" s="946" t="e">
        <f>'Dashboard-Academic Allocation'!#REF!</f>
        <v>#REF!</v>
      </c>
      <c r="E56" s="10"/>
      <c r="F56" s="1160"/>
      <c r="G56" s="984"/>
      <c r="H56" s="984"/>
      <c r="I56" s="984"/>
      <c r="J56" s="1164"/>
      <c r="P56" s="10"/>
    </row>
    <row r="57" spans="1:33" ht="16.5" thickBot="1">
      <c r="D57" s="66"/>
      <c r="F57" s="1160" t="s">
        <v>976</v>
      </c>
      <c r="G57" s="984"/>
      <c r="H57" s="984"/>
      <c r="I57" s="994" t="e">
        <f>F84/(F84+F109)</f>
        <v>#REF!</v>
      </c>
      <c r="J57" s="1165" t="e">
        <f>(J84+J109)/(F84+F109)</f>
        <v>#REF!</v>
      </c>
      <c r="R57" s="512">
        <f>R60/Q60-1</f>
        <v>0.16801832522832405</v>
      </c>
      <c r="S57" s="512">
        <f>S60/R60-1</f>
        <v>0.18231669004385598</v>
      </c>
      <c r="T57" s="512">
        <f>T60/S60-1</f>
        <v>0.17590339168193236</v>
      </c>
      <c r="U57" s="512"/>
      <c r="V57" s="512"/>
    </row>
    <row r="58" spans="1:33" ht="16.5" thickBot="1">
      <c r="A58" s="575" t="s">
        <v>1008</v>
      </c>
      <c r="B58" s="576"/>
      <c r="C58" s="1135">
        <f>'Dashboard-Academic Allocation'!D38</f>
        <v>44024041.549888454</v>
      </c>
      <c r="D58" s="66"/>
      <c r="F58" s="1160" t="s">
        <v>977</v>
      </c>
      <c r="G58" s="984"/>
      <c r="H58" s="984"/>
      <c r="I58" s="994" t="e">
        <f>F109/(F84+F109)</f>
        <v>#REF!</v>
      </c>
      <c r="J58" s="1164"/>
      <c r="K58" s="186"/>
      <c r="L58" s="66"/>
      <c r="P58" s="732" t="s">
        <v>785</v>
      </c>
      <c r="Q58" s="678"/>
      <c r="R58" s="1626">
        <f>AVERAGE(R60:T60)</f>
        <v>187634.50504208403</v>
      </c>
      <c r="S58" s="1626"/>
      <c r="T58" s="1627"/>
      <c r="U58" s="1248"/>
      <c r="V58" s="1248"/>
    </row>
    <row r="59" spans="1:33" ht="16.5" thickBot="1">
      <c r="D59" s="66"/>
      <c r="F59" s="1166"/>
      <c r="G59" s="1167"/>
      <c r="H59" s="1167"/>
      <c r="I59" s="1168" t="e">
        <f>I57+I58</f>
        <v>#REF!</v>
      </c>
      <c r="J59" s="1169"/>
      <c r="K59" s="186"/>
      <c r="L59" s="66"/>
      <c r="P59" s="733" t="s">
        <v>784</v>
      </c>
      <c r="Q59" s="1624">
        <f>AVERAGE(Q60:S60)</f>
        <v>159581.33333333334</v>
      </c>
      <c r="R59" s="1625"/>
      <c r="S59" s="1625"/>
      <c r="T59" s="734"/>
      <c r="U59" s="528"/>
      <c r="V59" s="528"/>
    </row>
    <row r="60" spans="1:33" ht="16.5" thickBot="1">
      <c r="A60" s="575" t="s">
        <v>875</v>
      </c>
      <c r="B60" s="576"/>
      <c r="C60" s="1135">
        <f>'Dashboard-Academic Allocation'!D39</f>
        <v>8106085.4501115456</v>
      </c>
      <c r="D60" s="66"/>
      <c r="K60" s="66"/>
      <c r="L60" s="66"/>
      <c r="P60" s="735" t="s">
        <v>783</v>
      </c>
      <c r="Q60" s="736">
        <f>Q84+Q109+Q132+Q155+Q177+Q199+Q62</f>
        <v>134896</v>
      </c>
      <c r="R60" s="736">
        <f>R84+R109+R132+R155+R177+R199+R62</f>
        <v>157561</v>
      </c>
      <c r="S60" s="736">
        <f>S84+S109+S132+S155+S177+S199+S62</f>
        <v>186287</v>
      </c>
      <c r="T60" s="737">
        <f>V84+V109+V132+V155+V177+V199+V62</f>
        <v>219055.51512625214</v>
      </c>
      <c r="U60" s="531"/>
      <c r="V60" s="531"/>
    </row>
    <row r="61" spans="1:33">
      <c r="D61" s="66"/>
      <c r="J61" s="551"/>
      <c r="K61" s="66"/>
      <c r="L61" s="66"/>
      <c r="P61" s="530"/>
      <c r="Q61" s="530"/>
      <c r="R61" s="530"/>
      <c r="S61" s="530"/>
      <c r="T61" s="530"/>
      <c r="U61" s="530"/>
      <c r="V61" s="530"/>
    </row>
    <row r="62" spans="1:33" ht="25.5">
      <c r="D62" s="66"/>
      <c r="K62" s="66"/>
      <c r="L62" s="66"/>
      <c r="P62" s="661" t="s">
        <v>715</v>
      </c>
      <c r="Q62" s="662">
        <v>82</v>
      </c>
      <c r="R62" s="662">
        <v>86</v>
      </c>
      <c r="S62" s="662">
        <v>166</v>
      </c>
      <c r="T62" s="1252">
        <v>227</v>
      </c>
      <c r="U62" s="1281">
        <v>242</v>
      </c>
      <c r="V62" s="1282">
        <v>239</v>
      </c>
      <c r="Y62" s="536" t="s">
        <v>701</v>
      </c>
      <c r="Z62" s="531">
        <v>622</v>
      </c>
      <c r="AA62" s="531">
        <v>621</v>
      </c>
      <c r="AB62" s="531">
        <v>557</v>
      </c>
      <c r="AC62" s="531">
        <v>555</v>
      </c>
      <c r="AD62" s="531">
        <v>528</v>
      </c>
      <c r="AE62" s="1253">
        <v>512</v>
      </c>
      <c r="AF62" s="1253">
        <v>518</v>
      </c>
    </row>
    <row r="63" spans="1:33">
      <c r="D63" s="66"/>
      <c r="K63" s="66"/>
      <c r="L63" s="66"/>
      <c r="N63" s="469" t="s">
        <v>702</v>
      </c>
      <c r="P63" s="185"/>
      <c r="Q63" s="603"/>
      <c r="R63" s="603"/>
      <c r="S63" s="603"/>
      <c r="T63" s="603"/>
      <c r="U63" s="603"/>
      <c r="V63" s="603"/>
    </row>
    <row r="64" spans="1:33">
      <c r="A64" s="554" t="s">
        <v>880</v>
      </c>
      <c r="B64" s="253"/>
      <c r="C64" s="253"/>
      <c r="D64" s="66"/>
      <c r="E64" s="554" t="s">
        <v>876</v>
      </c>
      <c r="F64" s="554"/>
      <c r="G64" s="554"/>
      <c r="H64" s="554"/>
      <c r="I64" s="645"/>
      <c r="J64" s="554" t="s">
        <v>1021</v>
      </c>
      <c r="K64" s="554"/>
      <c r="L64" s="554"/>
      <c r="P64" s="667" t="s">
        <v>716</v>
      </c>
      <c r="Q64" s="536"/>
      <c r="R64" s="536"/>
      <c r="S64" s="536"/>
      <c r="T64" s="663"/>
      <c r="U64" s="663"/>
      <c r="V64" s="663"/>
    </row>
    <row r="65" spans="1:24" ht="25.5">
      <c r="A65" s="555"/>
      <c r="B65" s="556" t="s">
        <v>606</v>
      </c>
      <c r="C65" s="556" t="s">
        <v>1012</v>
      </c>
      <c r="D65" s="574"/>
      <c r="E65" s="555"/>
      <c r="F65" s="556" t="s">
        <v>1004</v>
      </c>
      <c r="G65" s="556"/>
      <c r="H65" s="556" t="s">
        <v>1005</v>
      </c>
      <c r="I65" s="652"/>
      <c r="J65" s="556" t="s">
        <v>1004</v>
      </c>
      <c r="K65" s="556"/>
      <c r="L65" s="556" t="s">
        <v>1005</v>
      </c>
      <c r="N65" s="66"/>
      <c r="P65" s="668"/>
      <c r="Q65" s="669" t="s">
        <v>622</v>
      </c>
      <c r="R65" s="669" t="s">
        <v>623</v>
      </c>
      <c r="S65" s="670" t="s">
        <v>624</v>
      </c>
      <c r="T65" s="669" t="s">
        <v>1065</v>
      </c>
      <c r="U65" s="669" t="s">
        <v>1074</v>
      </c>
      <c r="V65" s="669" t="s">
        <v>645</v>
      </c>
      <c r="W65" s="669" t="s">
        <v>1083</v>
      </c>
      <c r="X65" s="1311"/>
    </row>
    <row r="66" spans="1:24">
      <c r="A66" s="557" t="s">
        <v>628</v>
      </c>
      <c r="B66" s="531" t="e">
        <f>C$58*F66/F$84</f>
        <v>#REF!</v>
      </c>
      <c r="C66" s="531" t="e">
        <f>C$58*H66/H$84</f>
        <v>#REF!</v>
      </c>
      <c r="D66" s="66"/>
      <c r="E66" s="557" t="s">
        <v>628</v>
      </c>
      <c r="F66" s="531" t="e">
        <f>IF(D$56="no",J66+J91+J114+J137,J91+J137)</f>
        <v>#REF!</v>
      </c>
      <c r="G66" s="531"/>
      <c r="H66" s="531" t="e">
        <f>IF(D$56="no",L66+L91+L114+L137,L91+L137)</f>
        <v>#REF!</v>
      </c>
      <c r="I66" s="227"/>
      <c r="J66" s="531">
        <f>N66*(Q66+R66+S66)</f>
        <v>6599</v>
      </c>
      <c r="K66" s="558"/>
      <c r="L66" s="531">
        <f t="shared" ref="L66:L77" si="4">N66*(R66+S66+V66)</f>
        <v>9577.2642483940035</v>
      </c>
      <c r="N66" s="611">
        <v>1</v>
      </c>
      <c r="P66" s="557" t="s">
        <v>628</v>
      </c>
      <c r="Q66" s="624">
        <v>1518</v>
      </c>
      <c r="R66" s="624">
        <v>2161</v>
      </c>
      <c r="S66" s="624">
        <v>2920</v>
      </c>
      <c r="T66" s="624">
        <v>4271</v>
      </c>
      <c r="U66" s="1272">
        <v>4882.9536141225763</v>
      </c>
      <c r="V66" s="1272">
        <v>4496.2642483940035</v>
      </c>
      <c r="W66" s="1272">
        <f>MIN((TREND(S66:U66,AA$51:AC$51,AD$51)),1.15*U66)</f>
        <v>5615.3966562409623</v>
      </c>
      <c r="X66" s="1272"/>
    </row>
    <row r="67" spans="1:24">
      <c r="A67" s="557" t="s">
        <v>6</v>
      </c>
      <c r="B67" s="531" t="e">
        <f t="shared" ref="B67:B83" si="5">C$58*F67/F$84</f>
        <v>#REF!</v>
      </c>
      <c r="C67" s="531" t="e">
        <f t="shared" ref="C67:C83" si="6">C$58*H67/H$84</f>
        <v>#REF!</v>
      </c>
      <c r="D67" s="66"/>
      <c r="E67" s="557" t="s">
        <v>6</v>
      </c>
      <c r="F67" s="531" t="e">
        <f t="shared" ref="F67:F77" si="7">IF(D$56="no",J67+J92+J115+J138,J92+J138)</f>
        <v>#REF!</v>
      </c>
      <c r="G67" s="531"/>
      <c r="H67" s="531" t="e">
        <f t="shared" ref="H67:H77" si="8">IF(D$56="no",L67+L92+L115+L138,L92+L138)</f>
        <v>#REF!</v>
      </c>
      <c r="I67" s="227"/>
      <c r="J67" s="531">
        <f t="shared" ref="J67:J77" si="9">N67*(Q67+R67+S67)</f>
        <v>4393</v>
      </c>
      <c r="K67" s="558"/>
      <c r="L67" s="531">
        <f t="shared" si="4"/>
        <v>5409.8325279780247</v>
      </c>
      <c r="N67" s="611">
        <v>1</v>
      </c>
      <c r="P67" s="557" t="s">
        <v>6</v>
      </c>
      <c r="Q67" s="624">
        <v>1480</v>
      </c>
      <c r="R67" s="624">
        <v>1339</v>
      </c>
      <c r="S67" s="624">
        <v>1574</v>
      </c>
      <c r="T67" s="624">
        <v>2710</v>
      </c>
      <c r="U67" s="1272">
        <v>3920.0472921989021</v>
      </c>
      <c r="V67" s="1272">
        <v>2496.8325279780247</v>
      </c>
      <c r="W67" s="1272">
        <f t="shared" ref="W67:W77" si="10">MIN((TREND(S67:U67,AA$51:AC$51,AD$51)),1.15*U67)</f>
        <v>4508.0543860287371</v>
      </c>
      <c r="X67" s="1272"/>
    </row>
    <row r="68" spans="1:24">
      <c r="A68" s="557" t="s">
        <v>8</v>
      </c>
      <c r="B68" s="531" t="e">
        <f t="shared" si="5"/>
        <v>#REF!</v>
      </c>
      <c r="C68" s="531" t="e">
        <f t="shared" si="6"/>
        <v>#REF!</v>
      </c>
      <c r="D68" s="66"/>
      <c r="E68" s="557" t="s">
        <v>8</v>
      </c>
      <c r="F68" s="531" t="e">
        <f t="shared" si="7"/>
        <v>#REF!</v>
      </c>
      <c r="G68" s="531"/>
      <c r="H68" s="531" t="e">
        <f t="shared" si="8"/>
        <v>#REF!</v>
      </c>
      <c r="I68" s="227"/>
      <c r="J68" s="531">
        <f t="shared" si="9"/>
        <v>0</v>
      </c>
      <c r="K68" s="558"/>
      <c r="L68" s="531">
        <f t="shared" si="4"/>
        <v>0</v>
      </c>
      <c r="N68" s="611">
        <v>1</v>
      </c>
      <c r="P68" s="557" t="s">
        <v>8</v>
      </c>
      <c r="Q68" s="612">
        <v>0</v>
      </c>
      <c r="R68" s="612">
        <v>0</v>
      </c>
      <c r="S68" s="612">
        <v>0</v>
      </c>
      <c r="T68" s="612">
        <v>0</v>
      </c>
      <c r="U68" s="1278">
        <v>0</v>
      </c>
      <c r="V68" s="1278">
        <v>0</v>
      </c>
      <c r="W68" s="1278">
        <f t="shared" si="10"/>
        <v>0</v>
      </c>
      <c r="X68" s="1278"/>
    </row>
    <row r="69" spans="1:24">
      <c r="A69" s="559" t="s">
        <v>2</v>
      </c>
      <c r="B69" s="531" t="e">
        <f t="shared" si="5"/>
        <v>#REF!</v>
      </c>
      <c r="C69" s="531" t="e">
        <f t="shared" si="6"/>
        <v>#REF!</v>
      </c>
      <c r="D69" s="66"/>
      <c r="E69" s="559" t="s">
        <v>2</v>
      </c>
      <c r="F69" s="531" t="e">
        <f t="shared" si="7"/>
        <v>#REF!</v>
      </c>
      <c r="G69" s="531"/>
      <c r="H69" s="531" t="e">
        <f t="shared" si="8"/>
        <v>#REF!</v>
      </c>
      <c r="I69" s="227"/>
      <c r="J69" s="531">
        <f t="shared" si="9"/>
        <v>1351</v>
      </c>
      <c r="K69" s="558"/>
      <c r="L69" s="531">
        <f t="shared" si="4"/>
        <v>1742.3333333333333</v>
      </c>
      <c r="N69" s="611">
        <v>1</v>
      </c>
      <c r="P69" s="559" t="s">
        <v>2</v>
      </c>
      <c r="Q69" s="539">
        <v>323</v>
      </c>
      <c r="R69" s="539">
        <v>441</v>
      </c>
      <c r="S69" s="539">
        <v>587</v>
      </c>
      <c r="T69" s="539">
        <v>686</v>
      </c>
      <c r="U69" s="1278">
        <v>816.33333333333348</v>
      </c>
      <c r="V69" s="1278">
        <v>714.33333333333326</v>
      </c>
      <c r="W69" s="1278">
        <f t="shared" si="10"/>
        <v>925.77777777777794</v>
      </c>
      <c r="X69" s="1278"/>
    </row>
    <row r="70" spans="1:24">
      <c r="A70" s="557" t="s">
        <v>10</v>
      </c>
      <c r="B70" s="531" t="e">
        <f t="shared" si="5"/>
        <v>#REF!</v>
      </c>
      <c r="C70" s="531" t="e">
        <f t="shared" si="6"/>
        <v>#REF!</v>
      </c>
      <c r="D70" s="66"/>
      <c r="E70" s="557" t="s">
        <v>10</v>
      </c>
      <c r="F70" s="531" t="e">
        <f t="shared" si="7"/>
        <v>#REF!</v>
      </c>
      <c r="G70" s="531"/>
      <c r="H70" s="531" t="e">
        <f t="shared" si="8"/>
        <v>#REF!</v>
      </c>
      <c r="I70" s="227"/>
      <c r="J70" s="531">
        <f t="shared" si="9"/>
        <v>678</v>
      </c>
      <c r="K70" s="558"/>
      <c r="L70" s="531">
        <f t="shared" si="4"/>
        <v>638</v>
      </c>
      <c r="N70" s="611">
        <v>1</v>
      </c>
      <c r="P70" s="557" t="s">
        <v>10</v>
      </c>
      <c r="Q70" s="624">
        <v>266</v>
      </c>
      <c r="R70" s="624">
        <v>248</v>
      </c>
      <c r="S70" s="624">
        <v>164</v>
      </c>
      <c r="T70" s="624">
        <v>184</v>
      </c>
      <c r="U70" s="1278">
        <v>198.66666666666666</v>
      </c>
      <c r="V70" s="1278">
        <v>226</v>
      </c>
      <c r="W70" s="1278">
        <f t="shared" si="10"/>
        <v>216.88888888888886</v>
      </c>
      <c r="X70" s="1278"/>
    </row>
    <row r="71" spans="1:24">
      <c r="A71" s="557" t="s">
        <v>4</v>
      </c>
      <c r="B71" s="531" t="e">
        <f t="shared" si="5"/>
        <v>#REF!</v>
      </c>
      <c r="C71" s="531" t="e">
        <f t="shared" si="6"/>
        <v>#REF!</v>
      </c>
      <c r="D71" s="66"/>
      <c r="E71" s="557" t="s">
        <v>4</v>
      </c>
      <c r="F71" s="531" t="e">
        <f t="shared" si="7"/>
        <v>#REF!</v>
      </c>
      <c r="G71" s="531"/>
      <c r="H71" s="531" t="e">
        <f t="shared" si="8"/>
        <v>#REF!</v>
      </c>
      <c r="I71" s="227"/>
      <c r="J71" s="531">
        <f t="shared" si="9"/>
        <v>13080</v>
      </c>
      <c r="K71" s="558"/>
      <c r="L71" s="531">
        <f t="shared" si="4"/>
        <v>14956.300057516073</v>
      </c>
      <c r="N71" s="611">
        <v>1</v>
      </c>
      <c r="P71" s="557" t="s">
        <v>4</v>
      </c>
      <c r="Q71" s="624">
        <v>4122</v>
      </c>
      <c r="R71" s="624">
        <v>4163</v>
      </c>
      <c r="S71" s="624">
        <v>4795</v>
      </c>
      <c r="T71" s="624">
        <v>5294</v>
      </c>
      <c r="U71" s="1272">
        <v>5939.9824354606326</v>
      </c>
      <c r="V71" s="1272">
        <v>5998.3000575160722</v>
      </c>
      <c r="W71" s="1272">
        <f t="shared" si="10"/>
        <v>6487.9765806141768</v>
      </c>
      <c r="X71" s="1272"/>
    </row>
    <row r="72" spans="1:24">
      <c r="A72" s="557" t="s">
        <v>14</v>
      </c>
      <c r="B72" s="531" t="e">
        <f t="shared" si="5"/>
        <v>#REF!</v>
      </c>
      <c r="C72" s="531" t="e">
        <f t="shared" si="6"/>
        <v>#REF!</v>
      </c>
      <c r="D72" s="66"/>
      <c r="E72" s="557" t="s">
        <v>14</v>
      </c>
      <c r="F72" s="531" t="e">
        <f t="shared" si="7"/>
        <v>#REF!</v>
      </c>
      <c r="G72" s="531"/>
      <c r="H72" s="531" t="e">
        <f t="shared" si="8"/>
        <v>#REF!</v>
      </c>
      <c r="I72" s="227"/>
      <c r="J72" s="531">
        <f t="shared" si="9"/>
        <v>0</v>
      </c>
      <c r="K72" s="558"/>
      <c r="L72" s="531">
        <f t="shared" si="4"/>
        <v>0</v>
      </c>
      <c r="N72" s="611">
        <v>1</v>
      </c>
      <c r="P72" s="557" t="s">
        <v>14</v>
      </c>
      <c r="Q72" s="548">
        <v>0</v>
      </c>
      <c r="R72" s="548">
        <v>0</v>
      </c>
      <c r="S72" s="548">
        <v>0</v>
      </c>
      <c r="T72" s="548">
        <v>0</v>
      </c>
      <c r="U72" s="1278">
        <v>0</v>
      </c>
      <c r="V72" s="1278">
        <v>0</v>
      </c>
      <c r="W72" s="1278">
        <f t="shared" si="10"/>
        <v>0</v>
      </c>
      <c r="X72" s="1278"/>
    </row>
    <row r="73" spans="1:24">
      <c r="A73" s="559" t="s">
        <v>17</v>
      </c>
      <c r="B73" s="531" t="e">
        <f t="shared" si="5"/>
        <v>#REF!</v>
      </c>
      <c r="C73" s="531" t="e">
        <f t="shared" si="6"/>
        <v>#REF!</v>
      </c>
      <c r="D73" s="66"/>
      <c r="E73" s="559" t="s">
        <v>17</v>
      </c>
      <c r="F73" s="531" t="e">
        <f t="shared" si="7"/>
        <v>#REF!</v>
      </c>
      <c r="G73" s="531"/>
      <c r="H73" s="531" t="e">
        <f t="shared" si="8"/>
        <v>#REF!</v>
      </c>
      <c r="I73" s="227"/>
      <c r="J73" s="531">
        <f t="shared" si="9"/>
        <v>43973</v>
      </c>
      <c r="K73" s="558"/>
      <c r="L73" s="531">
        <f t="shared" si="4"/>
        <v>48771.490508297546</v>
      </c>
      <c r="N73" s="611">
        <v>1</v>
      </c>
      <c r="P73" s="559" t="s">
        <v>17</v>
      </c>
      <c r="Q73" s="539">
        <v>13794</v>
      </c>
      <c r="R73" s="539">
        <v>14306</v>
      </c>
      <c r="S73" s="539">
        <v>15873</v>
      </c>
      <c r="T73" s="539">
        <v>18569</v>
      </c>
      <c r="U73" s="1272">
        <v>21534.680725172217</v>
      </c>
      <c r="V73" s="1272">
        <v>18592.490508297546</v>
      </c>
      <c r="W73" s="1272">
        <f t="shared" si="10"/>
        <v>24320.574300229622</v>
      </c>
      <c r="X73" s="1272"/>
    </row>
    <row r="74" spans="1:24">
      <c r="A74" s="557" t="s">
        <v>376</v>
      </c>
      <c r="B74" s="531" t="e">
        <f t="shared" si="5"/>
        <v>#REF!</v>
      </c>
      <c r="C74" s="531" t="e">
        <f t="shared" si="6"/>
        <v>#REF!</v>
      </c>
      <c r="D74" s="66"/>
      <c r="E74" s="557" t="s">
        <v>376</v>
      </c>
      <c r="F74" s="531" t="e">
        <f t="shared" si="7"/>
        <v>#REF!</v>
      </c>
      <c r="G74" s="531"/>
      <c r="H74" s="531" t="e">
        <f t="shared" si="8"/>
        <v>#REF!</v>
      </c>
      <c r="I74" s="227"/>
      <c r="J74" s="531">
        <f t="shared" si="9"/>
        <v>0</v>
      </c>
      <c r="K74" s="558"/>
      <c r="L74" s="531">
        <f t="shared" si="4"/>
        <v>0</v>
      </c>
      <c r="N74" s="611">
        <v>1</v>
      </c>
      <c r="P74" s="557" t="s">
        <v>376</v>
      </c>
      <c r="Q74" s="548">
        <v>0</v>
      </c>
      <c r="R74" s="548">
        <v>0</v>
      </c>
      <c r="S74" s="548">
        <v>0</v>
      </c>
      <c r="T74" s="548">
        <v>0</v>
      </c>
      <c r="U74" s="1278">
        <v>0</v>
      </c>
      <c r="V74" s="1278">
        <v>0</v>
      </c>
      <c r="W74" s="1278">
        <f t="shared" si="10"/>
        <v>0</v>
      </c>
      <c r="X74" s="1278"/>
    </row>
    <row r="75" spans="1:24">
      <c r="A75" s="557" t="s">
        <v>7</v>
      </c>
      <c r="B75" s="531" t="e">
        <f t="shared" si="5"/>
        <v>#REF!</v>
      </c>
      <c r="C75" s="531" t="e">
        <f t="shared" si="6"/>
        <v>#REF!</v>
      </c>
      <c r="D75" s="66"/>
      <c r="E75" s="557" t="s">
        <v>7</v>
      </c>
      <c r="F75" s="531" t="e">
        <f t="shared" si="7"/>
        <v>#REF!</v>
      </c>
      <c r="G75" s="531"/>
      <c r="H75" s="531" t="e">
        <f t="shared" si="8"/>
        <v>#REF!</v>
      </c>
      <c r="I75" s="227"/>
      <c r="J75" s="531">
        <f t="shared" si="9"/>
        <v>7409</v>
      </c>
      <c r="K75" s="558"/>
      <c r="L75" s="531">
        <f t="shared" si="4"/>
        <v>9207.6305583452995</v>
      </c>
      <c r="N75" s="611">
        <v>1</v>
      </c>
      <c r="P75" s="557" t="s">
        <v>7</v>
      </c>
      <c r="Q75" s="624">
        <v>1693</v>
      </c>
      <c r="R75" s="624">
        <v>2546</v>
      </c>
      <c r="S75" s="624">
        <v>3170</v>
      </c>
      <c r="T75" s="624">
        <v>3774</v>
      </c>
      <c r="U75" s="1272">
        <v>4083.0548411274085</v>
      </c>
      <c r="V75" s="1272">
        <v>3491.6305583452991</v>
      </c>
      <c r="W75" s="1272">
        <f t="shared" si="10"/>
        <v>4588.739788169878</v>
      </c>
      <c r="X75" s="1272"/>
    </row>
    <row r="76" spans="1:24">
      <c r="A76" s="557" t="s">
        <v>9</v>
      </c>
      <c r="B76" s="531" t="e">
        <f t="shared" si="5"/>
        <v>#REF!</v>
      </c>
      <c r="C76" s="531" t="e">
        <f t="shared" si="6"/>
        <v>#REF!</v>
      </c>
      <c r="D76" s="66"/>
      <c r="E76" s="557" t="s">
        <v>9</v>
      </c>
      <c r="F76" s="531" t="e">
        <f t="shared" si="7"/>
        <v>#REF!</v>
      </c>
      <c r="G76" s="531"/>
      <c r="H76" s="531" t="e">
        <f t="shared" si="8"/>
        <v>#REF!</v>
      </c>
      <c r="I76" s="227"/>
      <c r="J76" s="531">
        <f t="shared" si="9"/>
        <v>7153</v>
      </c>
      <c r="K76" s="558"/>
      <c r="L76" s="531">
        <f t="shared" si="4"/>
        <v>8695.0747798927878</v>
      </c>
      <c r="N76" s="611">
        <v>1</v>
      </c>
      <c r="P76" s="557" t="s">
        <v>9</v>
      </c>
      <c r="Q76" s="624">
        <v>1903</v>
      </c>
      <c r="R76" s="624">
        <v>2544</v>
      </c>
      <c r="S76" s="624">
        <v>2706</v>
      </c>
      <c r="T76" s="624">
        <v>3349</v>
      </c>
      <c r="U76" s="1272">
        <v>3797.6577199606245</v>
      </c>
      <c r="V76" s="1272">
        <v>3445.0747798927869</v>
      </c>
      <c r="W76" s="1272">
        <f t="shared" si="10"/>
        <v>4367.3063779547174</v>
      </c>
      <c r="X76" s="1272"/>
    </row>
    <row r="77" spans="1:24">
      <c r="A77" s="559" t="s">
        <v>5</v>
      </c>
      <c r="B77" s="531" t="e">
        <f t="shared" si="5"/>
        <v>#REF!</v>
      </c>
      <c r="C77" s="531" t="e">
        <f t="shared" si="6"/>
        <v>#REF!</v>
      </c>
      <c r="D77" s="66"/>
      <c r="E77" s="559" t="s">
        <v>5</v>
      </c>
      <c r="F77" s="531" t="e">
        <f t="shared" si="7"/>
        <v>#REF!</v>
      </c>
      <c r="G77" s="531"/>
      <c r="H77" s="531" t="e">
        <f t="shared" si="8"/>
        <v>#REF!</v>
      </c>
      <c r="I77" s="227"/>
      <c r="J77" s="531">
        <f t="shared" si="9"/>
        <v>4996</v>
      </c>
      <c r="K77" s="558"/>
      <c r="L77" s="531">
        <f t="shared" si="4"/>
        <v>5586.4828441364789</v>
      </c>
      <c r="N77" s="611">
        <v>1</v>
      </c>
      <c r="P77" s="559" t="s">
        <v>5</v>
      </c>
      <c r="Q77" s="539">
        <v>1481</v>
      </c>
      <c r="R77" s="539">
        <v>1726</v>
      </c>
      <c r="S77" s="539">
        <v>1789</v>
      </c>
      <c r="T77" s="539">
        <v>2016</v>
      </c>
      <c r="U77" s="1256">
        <v>2634.6027299853927</v>
      </c>
      <c r="V77" s="1256">
        <v>2071.4828441364784</v>
      </c>
      <c r="W77" s="1256">
        <f t="shared" si="10"/>
        <v>2992.1369733138572</v>
      </c>
      <c r="X77" s="1256"/>
    </row>
    <row r="78" spans="1:24">
      <c r="A78" s="557"/>
      <c r="B78" s="531" t="e">
        <f t="shared" si="5"/>
        <v>#REF!</v>
      </c>
      <c r="C78" s="531" t="e">
        <f t="shared" si="6"/>
        <v>#REF!</v>
      </c>
      <c r="D78" s="66"/>
      <c r="E78" s="557"/>
      <c r="F78" s="631"/>
      <c r="G78" s="568"/>
      <c r="H78" s="631"/>
      <c r="I78" s="227"/>
      <c r="J78" s="530"/>
      <c r="K78" s="558"/>
      <c r="L78" s="530"/>
      <c r="P78" s="557"/>
      <c r="Q78" s="548"/>
      <c r="R78" s="548"/>
      <c r="S78" s="548"/>
      <c r="T78" s="548"/>
      <c r="U78" s="1283"/>
      <c r="V78" s="1283"/>
      <c r="W78" s="1283"/>
      <c r="X78" s="1283"/>
    </row>
    <row r="79" spans="1:24">
      <c r="A79" s="557" t="s">
        <v>631</v>
      </c>
      <c r="B79" s="531" t="e">
        <f t="shared" si="5"/>
        <v>#REF!</v>
      </c>
      <c r="C79" s="531" t="e">
        <f t="shared" si="6"/>
        <v>#REF!</v>
      </c>
      <c r="D79" s="66"/>
      <c r="E79" s="557" t="s">
        <v>631</v>
      </c>
      <c r="F79" s="531" t="e">
        <f>IF(D$56="no",J79+J104+J127+J150,J104+J150)</f>
        <v>#REF!</v>
      </c>
      <c r="G79" s="531"/>
      <c r="H79" s="531" t="e">
        <f>IF(D$56="no",L79+L104+L127+L150,L104+L150)</f>
        <v>#REF!</v>
      </c>
      <c r="I79" s="227"/>
      <c r="J79" s="531">
        <f>N79*(Q79+R79+S79)</f>
        <v>0</v>
      </c>
      <c r="K79" s="558"/>
      <c r="L79" s="531">
        <f>N79*(R79+S79+V79)</f>
        <v>0</v>
      </c>
      <c r="N79" s="611">
        <v>1</v>
      </c>
      <c r="P79" s="557" t="s">
        <v>631</v>
      </c>
      <c r="Q79" s="548"/>
      <c r="R79" s="548"/>
      <c r="S79" s="548"/>
      <c r="T79" s="548"/>
      <c r="U79" s="1283"/>
      <c r="V79" s="1283"/>
      <c r="W79" s="1283"/>
      <c r="X79" s="1283"/>
    </row>
    <row r="80" spans="1:24">
      <c r="A80" s="557" t="s">
        <v>657</v>
      </c>
      <c r="B80" s="531" t="e">
        <f t="shared" si="5"/>
        <v>#REF!</v>
      </c>
      <c r="C80" s="531" t="e">
        <f t="shared" si="6"/>
        <v>#REF!</v>
      </c>
      <c r="D80" s="66"/>
      <c r="E80" s="557" t="s">
        <v>657</v>
      </c>
      <c r="F80" s="531" t="e">
        <f>IF(D$56="no",J80+J105+J128+J151,J105+J151)</f>
        <v>#REF!</v>
      </c>
      <c r="G80" s="531"/>
      <c r="H80" s="531" t="e">
        <f>IF(D$56="no",L80+L105+L128+L151,L105+L151)</f>
        <v>#REF!</v>
      </c>
      <c r="I80" s="227"/>
      <c r="J80" s="531">
        <f>N80*(Q80+R80+S80)</f>
        <v>42</v>
      </c>
      <c r="K80" s="558"/>
      <c r="L80" s="531">
        <f>N80*(R80+S80+V80)</f>
        <v>29</v>
      </c>
      <c r="N80" s="611">
        <v>1</v>
      </c>
      <c r="P80" s="557" t="s">
        <v>657</v>
      </c>
      <c r="Q80" s="624">
        <v>27</v>
      </c>
      <c r="R80" s="624">
        <v>15</v>
      </c>
      <c r="S80" s="624">
        <v>0</v>
      </c>
      <c r="T80" s="624">
        <v>0</v>
      </c>
      <c r="U80" s="1278">
        <v>5</v>
      </c>
      <c r="V80" s="1278">
        <v>14</v>
      </c>
      <c r="W80" s="1278">
        <f>MIN((TREND(S80:U80,AA$51:AC$51,AD$51)),1.15*U80)</f>
        <v>5.75</v>
      </c>
      <c r="X80" s="1278"/>
    </row>
    <row r="81" spans="1:32">
      <c r="A81" s="559" t="s">
        <v>633</v>
      </c>
      <c r="B81" s="531" t="e">
        <f t="shared" si="5"/>
        <v>#REF!</v>
      </c>
      <c r="C81" s="531" t="e">
        <f t="shared" si="6"/>
        <v>#REF!</v>
      </c>
      <c r="D81" s="66"/>
      <c r="E81" s="559" t="s">
        <v>633</v>
      </c>
      <c r="F81" s="531" t="e">
        <f>IF(D$56="no",J81+J106+J129+J152,J106+J152)</f>
        <v>#REF!</v>
      </c>
      <c r="G81" s="531"/>
      <c r="H81" s="531" t="e">
        <f>IF(D$56="no",L81+L106+L129+L152,L106+L152)</f>
        <v>#REF!</v>
      </c>
      <c r="I81" s="227"/>
      <c r="J81" s="531">
        <f>N81*(Q81+R81+S81)</f>
        <v>0</v>
      </c>
      <c r="K81" s="558"/>
      <c r="L81" s="531">
        <f>N81*(R81+S81+V81)</f>
        <v>0</v>
      </c>
      <c r="N81" s="611">
        <v>1</v>
      </c>
      <c r="P81" s="559" t="s">
        <v>633</v>
      </c>
      <c r="Q81" s="540"/>
      <c r="R81" s="540"/>
      <c r="S81" s="540"/>
      <c r="T81" s="540"/>
      <c r="U81" s="1284"/>
      <c r="V81" s="1284"/>
      <c r="W81" s="1284"/>
      <c r="X81" s="1284"/>
    </row>
    <row r="82" spans="1:32">
      <c r="A82" s="557" t="s">
        <v>656</v>
      </c>
      <c r="B82" s="531" t="e">
        <f t="shared" si="5"/>
        <v>#REF!</v>
      </c>
      <c r="C82" s="531" t="e">
        <f t="shared" si="6"/>
        <v>#REF!</v>
      </c>
      <c r="D82" s="66"/>
      <c r="E82" s="557" t="s">
        <v>656</v>
      </c>
      <c r="F82" s="531" t="e">
        <f>IF(D$56="no",J82+J107+J130+J153,J107+J153)</f>
        <v>#REF!</v>
      </c>
      <c r="G82" s="531"/>
      <c r="H82" s="531" t="e">
        <f>IF(D$56="no",L82+L107+L130+L153,L107+L153)</f>
        <v>#REF!</v>
      </c>
      <c r="I82" s="227"/>
      <c r="J82" s="531">
        <f>N82*(Q82+R82+S82)</f>
        <v>328</v>
      </c>
      <c r="K82" s="558"/>
      <c r="L82" s="531">
        <f>N82*(R82+S82+V82)</f>
        <v>317.33333333333331</v>
      </c>
      <c r="N82" s="611">
        <v>1</v>
      </c>
      <c r="P82" s="557" t="s">
        <v>656</v>
      </c>
      <c r="Q82" s="624">
        <v>120</v>
      </c>
      <c r="R82" s="624">
        <v>88</v>
      </c>
      <c r="S82" s="624">
        <v>120</v>
      </c>
      <c r="T82" s="624">
        <v>186</v>
      </c>
      <c r="U82" s="1278">
        <v>131.33333333333334</v>
      </c>
      <c r="V82" s="1278">
        <v>109.33333333333333</v>
      </c>
      <c r="W82" s="1278">
        <f>MIN((TREND(S82:U82,AA$51:AC$51,AD$51)),1.15*U82)</f>
        <v>151.03333333333333</v>
      </c>
      <c r="X82" s="1278"/>
    </row>
    <row r="83" spans="1:32">
      <c r="A83" s="563" t="s">
        <v>635</v>
      </c>
      <c r="B83" s="531" t="e">
        <f t="shared" si="5"/>
        <v>#REF!</v>
      </c>
      <c r="C83" s="531" t="e">
        <f t="shared" si="6"/>
        <v>#REF!</v>
      </c>
      <c r="D83" s="66"/>
      <c r="E83" s="563" t="s">
        <v>635</v>
      </c>
      <c r="F83" s="531" t="e">
        <f>IF(D$56="no",J83+J108+J131+J154,J108+J154)</f>
        <v>#REF!</v>
      </c>
      <c r="G83" s="531"/>
      <c r="H83" s="531" t="e">
        <f>IF(D$56="no",L83+L108+L131+L154,L108+L154)</f>
        <v>#REF!</v>
      </c>
      <c r="I83" s="227"/>
      <c r="J83" s="531">
        <f>N83*(Q83+R83+S83)</f>
        <v>1180</v>
      </c>
      <c r="K83" s="558"/>
      <c r="L83" s="531">
        <f>N83*(R83+S83+V83)</f>
        <v>2479</v>
      </c>
      <c r="N83" s="611">
        <v>1</v>
      </c>
      <c r="P83" s="563" t="s">
        <v>635</v>
      </c>
      <c r="Q83" s="548">
        <v>0</v>
      </c>
      <c r="R83" s="548">
        <v>301</v>
      </c>
      <c r="S83" s="548">
        <v>879</v>
      </c>
      <c r="T83" s="548">
        <v>1097</v>
      </c>
      <c r="U83" s="1278">
        <v>1561.6666666666665</v>
      </c>
      <c r="V83" s="1278">
        <v>1299</v>
      </c>
      <c r="W83" s="1278">
        <f>MIN((TREND(S83:U83,AA$51:AC$51,AD$51)),1.15*U83)</f>
        <v>1795.9166666666663</v>
      </c>
      <c r="X83" s="1278"/>
    </row>
    <row r="84" spans="1:32">
      <c r="A84" s="564"/>
      <c r="B84" s="543" t="e">
        <f>SUM(B66:B83)</f>
        <v>#REF!</v>
      </c>
      <c r="C84" s="543" t="e">
        <f>SUM(C66:C83)</f>
        <v>#REF!</v>
      </c>
      <c r="D84" s="404"/>
      <c r="E84" s="564"/>
      <c r="F84" s="543" t="e">
        <f>SUM(F66:F83)</f>
        <v>#REF!</v>
      </c>
      <c r="G84" s="543"/>
      <c r="H84" s="543" t="e">
        <f>SUM(H66:H83)</f>
        <v>#REF!</v>
      </c>
      <c r="I84" s="227"/>
      <c r="J84" s="543">
        <f>SUM(J66:J83)</f>
        <v>91182</v>
      </c>
      <c r="K84" s="565"/>
      <c r="L84" s="543">
        <f>SUM(L66:L83)</f>
        <v>107409.74219122689</v>
      </c>
      <c r="P84" s="664"/>
      <c r="Q84" s="543">
        <f t="shared" ref="Q84:W84" si="11">SUM(Q66:Q83)</f>
        <v>26727</v>
      </c>
      <c r="R84" s="543">
        <f t="shared" si="11"/>
        <v>29878</v>
      </c>
      <c r="S84" s="543">
        <f t="shared" si="11"/>
        <v>34577</v>
      </c>
      <c r="T84" s="543">
        <f t="shared" si="11"/>
        <v>42136</v>
      </c>
      <c r="U84" s="543">
        <f t="shared" si="11"/>
        <v>49505.979358027755</v>
      </c>
      <c r="V84" s="543">
        <f t="shared" si="11"/>
        <v>42954.742191226876</v>
      </c>
      <c r="W84" s="543">
        <f t="shared" si="11"/>
        <v>55975.551729218612</v>
      </c>
      <c r="X84" s="534"/>
      <c r="Y84" s="1312"/>
    </row>
    <row r="85" spans="1:32">
      <c r="D85" s="66"/>
      <c r="P85" s="665"/>
      <c r="Q85" s="666"/>
      <c r="R85" s="666"/>
      <c r="S85" s="666"/>
      <c r="T85" s="624"/>
      <c r="U85" s="624"/>
      <c r="V85" s="666"/>
    </row>
    <row r="86" spans="1:32">
      <c r="D86" s="66"/>
      <c r="K86" s="66"/>
      <c r="L86" s="939"/>
    </row>
    <row r="87" spans="1:32">
      <c r="D87" s="66"/>
      <c r="K87" s="66"/>
      <c r="L87" s="66"/>
      <c r="P87" s="530"/>
      <c r="Q87" s="530"/>
      <c r="R87" s="530"/>
      <c r="S87" s="530"/>
      <c r="T87" s="531"/>
      <c r="U87" s="531"/>
      <c r="V87" s="531"/>
    </row>
    <row r="88" spans="1:32">
      <c r="K88" s="66"/>
      <c r="L88" s="66"/>
    </row>
    <row r="89" spans="1:32">
      <c r="A89" s="554" t="s">
        <v>881</v>
      </c>
      <c r="B89" s="253"/>
      <c r="C89" s="253"/>
      <c r="E89" s="554" t="s">
        <v>877</v>
      </c>
      <c r="F89" s="554"/>
      <c r="G89" s="554"/>
      <c r="H89" s="554"/>
      <c r="J89" s="554" t="s">
        <v>1022</v>
      </c>
      <c r="K89" s="554"/>
      <c r="L89" s="554"/>
      <c r="P89" s="667" t="s">
        <v>708</v>
      </c>
      <c r="Q89" s="536"/>
      <c r="R89" s="536"/>
      <c r="S89" s="536"/>
      <c r="T89" s="663"/>
      <c r="U89" s="663"/>
      <c r="V89" s="663"/>
      <c r="Y89" s="649" t="s">
        <v>698</v>
      </c>
      <c r="Z89" s="648"/>
      <c r="AA89" s="648"/>
      <c r="AB89" s="648"/>
      <c r="AC89" s="648"/>
      <c r="AD89" s="648"/>
      <c r="AE89" s="648"/>
      <c r="AF89" s="648"/>
    </row>
    <row r="90" spans="1:32" ht="25.5">
      <c r="A90" s="555"/>
      <c r="B90" s="556" t="s">
        <v>1019</v>
      </c>
      <c r="C90" s="556" t="s">
        <v>1020</v>
      </c>
      <c r="E90" s="555"/>
      <c r="F90" s="556" t="s">
        <v>1004</v>
      </c>
      <c r="G90" s="556"/>
      <c r="H90" s="556" t="s">
        <v>1005</v>
      </c>
      <c r="I90" s="652"/>
      <c r="J90" s="556" t="s">
        <v>1004</v>
      </c>
      <c r="K90" s="556"/>
      <c r="L90" s="556" t="s">
        <v>1005</v>
      </c>
      <c r="P90" s="668"/>
      <c r="Q90" s="669" t="s">
        <v>622</v>
      </c>
      <c r="R90" s="669" t="s">
        <v>623</v>
      </c>
      <c r="S90" s="670" t="s">
        <v>624</v>
      </c>
      <c r="T90" s="669" t="s">
        <v>1065</v>
      </c>
      <c r="U90" s="669" t="s">
        <v>1074</v>
      </c>
      <c r="V90" s="669" t="s">
        <v>645</v>
      </c>
      <c r="W90" s="669" t="s">
        <v>1083</v>
      </c>
      <c r="Z90" s="600" t="s">
        <v>0</v>
      </c>
      <c r="AA90" s="600" t="s">
        <v>12</v>
      </c>
      <c r="AB90" s="600" t="s">
        <v>669</v>
      </c>
      <c r="AC90" s="669" t="s">
        <v>670</v>
      </c>
      <c r="AD90" s="669" t="s">
        <v>1072</v>
      </c>
      <c r="AE90" s="669" t="s">
        <v>1075</v>
      </c>
      <c r="AF90" s="669" t="s">
        <v>1076</v>
      </c>
    </row>
    <row r="91" spans="1:32">
      <c r="A91" s="557" t="s">
        <v>628</v>
      </c>
      <c r="B91" s="531" t="e">
        <f>F91*C$60/F$109</f>
        <v>#REF!</v>
      </c>
      <c r="C91" s="531" t="e">
        <f>H91*C$60/H$109</f>
        <v>#REF!</v>
      </c>
      <c r="E91" s="557" t="s">
        <v>628</v>
      </c>
      <c r="F91" s="531" t="e">
        <f>IF(D$56="no",J159+J181,J181)</f>
        <v>#REF!</v>
      </c>
      <c r="G91" s="531"/>
      <c r="H91" s="531" t="e">
        <f>IF(D$56="no",L159+L181,L181)</f>
        <v>#REF!</v>
      </c>
      <c r="J91" s="531">
        <f t="shared" ref="J91:J100" si="12">N91*(Q91+R91+S91+Z91+AA91+AB91)</f>
        <v>11947</v>
      </c>
      <c r="K91" s="558"/>
      <c r="L91" s="531">
        <f t="shared" ref="L91:L100" si="13">N91*(R91+S91+V91+AA91+AB91+AC91)</f>
        <v>13696.159360266225</v>
      </c>
      <c r="N91" s="611">
        <v>1</v>
      </c>
      <c r="P91" s="557" t="s">
        <v>628</v>
      </c>
      <c r="Q91" s="624">
        <v>3412</v>
      </c>
      <c r="R91" s="624">
        <v>3784</v>
      </c>
      <c r="S91" s="624">
        <v>4165</v>
      </c>
      <c r="T91" s="624">
        <v>5130</v>
      </c>
      <c r="U91" s="1272">
        <v>6475.8973071419214</v>
      </c>
      <c r="V91" s="1272">
        <v>5082.1593602662242</v>
      </c>
      <c r="W91" s="1272">
        <f>MIN((TREND(S91:U91,AA$51:AC$51,AD$51)),1.15*U91)</f>
        <v>7447.2819032132093</v>
      </c>
      <c r="Y91" s="557" t="s">
        <v>628</v>
      </c>
      <c r="Z91" s="531">
        <v>205</v>
      </c>
      <c r="AA91" s="531">
        <v>189</v>
      </c>
      <c r="AB91" s="531">
        <v>192</v>
      </c>
      <c r="AC91" s="531">
        <v>284</v>
      </c>
      <c r="AD91" s="531">
        <v>355</v>
      </c>
      <c r="AE91" s="1253">
        <v>316.66666666666663</v>
      </c>
      <c r="AF91" s="1253">
        <v>440</v>
      </c>
    </row>
    <row r="92" spans="1:32">
      <c r="A92" s="557" t="s">
        <v>6</v>
      </c>
      <c r="B92" s="531" t="e">
        <f t="shared" ref="B92:B102" si="14">F92*C$60/F$109</f>
        <v>#REF!</v>
      </c>
      <c r="C92" s="531" t="e">
        <f t="shared" ref="C92:C102" si="15">H92*C$60/H$109</f>
        <v>#REF!</v>
      </c>
      <c r="E92" s="557" t="s">
        <v>6</v>
      </c>
      <c r="F92" s="531" t="e">
        <f t="shared" ref="F92:F102" si="16">IF(D$56="no",J160+J182,J182)</f>
        <v>#REF!</v>
      </c>
      <c r="G92" s="531"/>
      <c r="H92" s="531" t="e">
        <f t="shared" ref="H92:H102" si="17">IF(D$56="no",L160+L182,L182)</f>
        <v>#REF!</v>
      </c>
      <c r="J92" s="531">
        <f t="shared" si="12"/>
        <v>5738</v>
      </c>
      <c r="K92" s="558"/>
      <c r="L92" s="531">
        <f t="shared" si="13"/>
        <v>6361.782438365417</v>
      </c>
      <c r="N92" s="611">
        <v>1</v>
      </c>
      <c r="P92" s="557" t="s">
        <v>6</v>
      </c>
      <c r="Q92" s="624">
        <v>436</v>
      </c>
      <c r="R92" s="624">
        <v>416</v>
      </c>
      <c r="S92" s="624">
        <v>542</v>
      </c>
      <c r="T92" s="624">
        <v>1466</v>
      </c>
      <c r="U92" s="1272">
        <v>1878.4093345330086</v>
      </c>
      <c r="V92" s="1272">
        <v>1169.782438365417</v>
      </c>
      <c r="W92" s="1272">
        <f t="shared" ref="W92:W102" si="18">MIN((TREND(S92:U92,AA$51:AC$51,AD$51)),1.15*U92)</f>
        <v>2160.17073471296</v>
      </c>
      <c r="Y92" s="557" t="s">
        <v>6</v>
      </c>
      <c r="Z92" s="531">
        <v>1508</v>
      </c>
      <c r="AA92" s="531">
        <v>1562</v>
      </c>
      <c r="AB92" s="531">
        <v>1274</v>
      </c>
      <c r="AC92" s="531">
        <v>1398</v>
      </c>
      <c r="AD92" s="531">
        <v>1143</v>
      </c>
      <c r="AE92" s="1253">
        <v>1247.3333333333333</v>
      </c>
      <c r="AF92" s="1253">
        <v>1140.6666666666667</v>
      </c>
    </row>
    <row r="93" spans="1:32">
      <c r="A93" s="557" t="s">
        <v>8</v>
      </c>
      <c r="B93" s="531" t="e">
        <f t="shared" si="14"/>
        <v>#REF!</v>
      </c>
      <c r="C93" s="531" t="e">
        <f t="shared" si="15"/>
        <v>#REF!</v>
      </c>
      <c r="E93" s="557" t="s">
        <v>8</v>
      </c>
      <c r="F93" s="531" t="e">
        <f t="shared" si="16"/>
        <v>#REF!</v>
      </c>
      <c r="G93" s="531"/>
      <c r="H93" s="531" t="e">
        <f t="shared" si="17"/>
        <v>#REF!</v>
      </c>
      <c r="J93" s="531">
        <f t="shared" si="12"/>
        <v>381</v>
      </c>
      <c r="K93" s="558"/>
      <c r="L93" s="531">
        <f t="shared" si="13"/>
        <v>405</v>
      </c>
      <c r="N93" s="611">
        <v>1</v>
      </c>
      <c r="P93" s="557" t="s">
        <v>8</v>
      </c>
      <c r="Q93" s="612">
        <v>0</v>
      </c>
      <c r="R93" s="612">
        <v>0</v>
      </c>
      <c r="S93" s="612">
        <v>0</v>
      </c>
      <c r="T93" s="612">
        <v>0</v>
      </c>
      <c r="U93" s="1278">
        <v>0</v>
      </c>
      <c r="V93" s="1278">
        <v>0</v>
      </c>
      <c r="W93" s="1278">
        <f t="shared" si="18"/>
        <v>0</v>
      </c>
      <c r="Y93" s="557" t="s">
        <v>8</v>
      </c>
      <c r="Z93" s="531">
        <v>135</v>
      </c>
      <c r="AA93" s="531">
        <v>102</v>
      </c>
      <c r="AB93" s="531">
        <v>144</v>
      </c>
      <c r="AC93" s="531">
        <v>159</v>
      </c>
      <c r="AD93" s="531">
        <v>156</v>
      </c>
      <c r="AE93" s="1253">
        <v>135</v>
      </c>
      <c r="AF93" s="1253">
        <v>153</v>
      </c>
    </row>
    <row r="94" spans="1:32">
      <c r="A94" s="559" t="s">
        <v>2</v>
      </c>
      <c r="B94" s="531" t="e">
        <f t="shared" si="14"/>
        <v>#REF!</v>
      </c>
      <c r="C94" s="531" t="e">
        <f t="shared" si="15"/>
        <v>#REF!</v>
      </c>
      <c r="E94" s="559" t="s">
        <v>2</v>
      </c>
      <c r="F94" s="531" t="e">
        <f t="shared" si="16"/>
        <v>#REF!</v>
      </c>
      <c r="G94" s="531"/>
      <c r="H94" s="531" t="e">
        <f t="shared" si="17"/>
        <v>#REF!</v>
      </c>
      <c r="J94" s="531">
        <f t="shared" si="12"/>
        <v>2106</v>
      </c>
      <c r="K94" s="558"/>
      <c r="L94" s="531">
        <f t="shared" si="13"/>
        <v>2556.8013504268583</v>
      </c>
      <c r="N94" s="611">
        <v>1</v>
      </c>
      <c r="P94" s="559" t="s">
        <v>2</v>
      </c>
      <c r="Q94" s="539">
        <v>620</v>
      </c>
      <c r="R94" s="539">
        <v>585</v>
      </c>
      <c r="S94" s="539">
        <v>877</v>
      </c>
      <c r="T94" s="539">
        <v>958</v>
      </c>
      <c r="U94" s="1272">
        <v>979.42899698463259</v>
      </c>
      <c r="V94" s="1272">
        <v>1070.8013504268581</v>
      </c>
      <c r="W94" s="1278">
        <f t="shared" si="18"/>
        <v>1040.5719959795101</v>
      </c>
      <c r="Y94" s="559" t="s">
        <v>2</v>
      </c>
      <c r="Z94" s="539">
        <v>0</v>
      </c>
      <c r="AA94" s="539">
        <v>24</v>
      </c>
      <c r="AB94" s="539">
        <v>0</v>
      </c>
      <c r="AC94" s="539">
        <v>0</v>
      </c>
      <c r="AD94" s="539">
        <v>0</v>
      </c>
      <c r="AE94" s="1256">
        <v>8</v>
      </c>
      <c r="AF94" s="1256">
        <v>0</v>
      </c>
    </row>
    <row r="95" spans="1:32">
      <c r="A95" s="557" t="s">
        <v>10</v>
      </c>
      <c r="B95" s="531" t="e">
        <f t="shared" si="14"/>
        <v>#REF!</v>
      </c>
      <c r="C95" s="531" t="e">
        <f t="shared" si="15"/>
        <v>#REF!</v>
      </c>
      <c r="E95" s="557" t="s">
        <v>10</v>
      </c>
      <c r="F95" s="531" t="e">
        <f t="shared" si="16"/>
        <v>#REF!</v>
      </c>
      <c r="G95" s="531"/>
      <c r="H95" s="531" t="e">
        <f t="shared" si="17"/>
        <v>#REF!</v>
      </c>
      <c r="J95" s="531">
        <f t="shared" si="12"/>
        <v>66</v>
      </c>
      <c r="K95" s="558"/>
      <c r="L95" s="531">
        <f t="shared" si="13"/>
        <v>68</v>
      </c>
      <c r="N95" s="611">
        <v>1</v>
      </c>
      <c r="P95" s="557" t="s">
        <v>10</v>
      </c>
      <c r="Q95" s="624">
        <v>20</v>
      </c>
      <c r="R95" s="624">
        <v>20</v>
      </c>
      <c r="S95" s="624">
        <v>26</v>
      </c>
      <c r="T95" s="624">
        <v>28</v>
      </c>
      <c r="U95" s="1278">
        <v>24.666666666666668</v>
      </c>
      <c r="V95" s="1278">
        <v>22</v>
      </c>
      <c r="W95" s="1278">
        <f t="shared" si="18"/>
        <v>24.888888888888893</v>
      </c>
      <c r="Y95" s="557" t="s">
        <v>10</v>
      </c>
      <c r="Z95" s="530">
        <v>0</v>
      </c>
      <c r="AA95" s="530">
        <v>0</v>
      </c>
      <c r="AB95" s="530">
        <v>0</v>
      </c>
      <c r="AC95" s="530">
        <v>0</v>
      </c>
      <c r="AD95" s="530">
        <v>0</v>
      </c>
      <c r="AE95" s="1253">
        <v>0</v>
      </c>
      <c r="AF95" s="1253">
        <v>0</v>
      </c>
    </row>
    <row r="96" spans="1:32">
      <c r="A96" s="557" t="s">
        <v>4</v>
      </c>
      <c r="B96" s="531" t="e">
        <f t="shared" si="14"/>
        <v>#REF!</v>
      </c>
      <c r="C96" s="531" t="e">
        <f t="shared" si="15"/>
        <v>#REF!</v>
      </c>
      <c r="E96" s="557" t="s">
        <v>4</v>
      </c>
      <c r="F96" s="531" t="e">
        <f t="shared" si="16"/>
        <v>#REF!</v>
      </c>
      <c r="G96" s="531"/>
      <c r="H96" s="531" t="e">
        <f t="shared" si="17"/>
        <v>#REF!</v>
      </c>
      <c r="J96" s="531">
        <f t="shared" si="12"/>
        <v>52100</v>
      </c>
      <c r="K96" s="558"/>
      <c r="L96" s="531">
        <f t="shared" si="13"/>
        <v>52691.689027498549</v>
      </c>
      <c r="N96" s="611">
        <v>1</v>
      </c>
      <c r="P96" s="557" t="s">
        <v>4</v>
      </c>
      <c r="Q96" s="624">
        <v>8138</v>
      </c>
      <c r="R96" s="624">
        <v>8652</v>
      </c>
      <c r="S96" s="624">
        <v>8622</v>
      </c>
      <c r="T96" s="624">
        <v>10151</v>
      </c>
      <c r="U96" s="1272">
        <v>11253.507790287602</v>
      </c>
      <c r="V96" s="1272">
        <v>8818.6890274985453</v>
      </c>
      <c r="W96" s="1272">
        <f t="shared" si="18"/>
        <v>12640.343720383469</v>
      </c>
      <c r="Y96" s="557" t="s">
        <v>4</v>
      </c>
      <c r="Z96" s="531">
        <v>9532</v>
      </c>
      <c r="AA96" s="531">
        <v>8472</v>
      </c>
      <c r="AB96" s="531">
        <v>8684</v>
      </c>
      <c r="AC96" s="531">
        <v>9443</v>
      </c>
      <c r="AD96" s="531">
        <v>9853</v>
      </c>
      <c r="AE96" s="1253">
        <v>9837.3333333333339</v>
      </c>
      <c r="AF96" s="1253">
        <v>10495.666666666666</v>
      </c>
    </row>
    <row r="97" spans="1:32">
      <c r="A97" s="557" t="s">
        <v>14</v>
      </c>
      <c r="B97" s="531" t="e">
        <f t="shared" si="14"/>
        <v>#REF!</v>
      </c>
      <c r="C97" s="531" t="e">
        <f t="shared" si="15"/>
        <v>#REF!</v>
      </c>
      <c r="E97" s="557" t="s">
        <v>14</v>
      </c>
      <c r="F97" s="531" t="e">
        <f t="shared" si="16"/>
        <v>#REF!</v>
      </c>
      <c r="G97" s="531"/>
      <c r="H97" s="531" t="e">
        <f t="shared" si="17"/>
        <v>#REF!</v>
      </c>
      <c r="J97" s="531">
        <f t="shared" si="12"/>
        <v>0</v>
      </c>
      <c r="K97" s="558"/>
      <c r="L97" s="531">
        <f t="shared" si="13"/>
        <v>0</v>
      </c>
      <c r="N97" s="611">
        <v>1</v>
      </c>
      <c r="P97" s="557" t="s">
        <v>14</v>
      </c>
      <c r="Q97" s="548">
        <v>0</v>
      </c>
      <c r="R97" s="548">
        <v>0</v>
      </c>
      <c r="S97" s="548">
        <v>0</v>
      </c>
      <c r="T97" s="548">
        <v>0</v>
      </c>
      <c r="U97" s="1278">
        <v>0</v>
      </c>
      <c r="V97" s="1278">
        <v>0</v>
      </c>
      <c r="W97" s="1278">
        <f t="shared" si="18"/>
        <v>0</v>
      </c>
      <c r="Y97" s="557" t="s">
        <v>14</v>
      </c>
      <c r="Z97" s="530">
        <v>0</v>
      </c>
      <c r="AA97" s="530">
        <v>0</v>
      </c>
      <c r="AB97" s="530">
        <v>0</v>
      </c>
      <c r="AC97" s="530">
        <v>0</v>
      </c>
      <c r="AD97" s="530">
        <v>0</v>
      </c>
      <c r="AE97" s="1253">
        <v>0</v>
      </c>
      <c r="AF97" s="1253">
        <v>0</v>
      </c>
    </row>
    <row r="98" spans="1:32">
      <c r="A98" s="559" t="s">
        <v>17</v>
      </c>
      <c r="B98" s="531" t="e">
        <f t="shared" si="14"/>
        <v>#REF!</v>
      </c>
      <c r="C98" s="531" t="e">
        <f t="shared" si="15"/>
        <v>#REF!</v>
      </c>
      <c r="E98" s="559" t="s">
        <v>17</v>
      </c>
      <c r="F98" s="531" t="e">
        <f t="shared" si="16"/>
        <v>#REF!</v>
      </c>
      <c r="G98" s="531"/>
      <c r="H98" s="531" t="e">
        <f t="shared" si="17"/>
        <v>#REF!</v>
      </c>
      <c r="J98" s="531">
        <f t="shared" si="12"/>
        <v>49521</v>
      </c>
      <c r="K98" s="558"/>
      <c r="L98" s="531">
        <f t="shared" si="13"/>
        <v>53717.625306589725</v>
      </c>
      <c r="N98" s="611">
        <v>1</v>
      </c>
      <c r="P98" s="559" t="s">
        <v>17</v>
      </c>
      <c r="Q98" s="539">
        <v>9061</v>
      </c>
      <c r="R98" s="539">
        <v>10202</v>
      </c>
      <c r="S98" s="539">
        <v>11878</v>
      </c>
      <c r="T98" s="539">
        <v>13647</v>
      </c>
      <c r="U98" s="1272">
        <v>14662.892806799993</v>
      </c>
      <c r="V98" s="1272">
        <v>13737.625306589724</v>
      </c>
      <c r="W98" s="1272">
        <f t="shared" si="18"/>
        <v>16180.857075733325</v>
      </c>
      <c r="Y98" s="559" t="s">
        <v>17</v>
      </c>
      <c r="Z98" s="539">
        <v>6308</v>
      </c>
      <c r="AA98" s="539">
        <v>6237</v>
      </c>
      <c r="AB98" s="539">
        <v>5835</v>
      </c>
      <c r="AC98" s="539">
        <v>5828</v>
      </c>
      <c r="AD98" s="539">
        <v>5085</v>
      </c>
      <c r="AE98" s="1256">
        <v>5557.666666666667</v>
      </c>
      <c r="AF98" s="1256">
        <v>4832.666666666667</v>
      </c>
    </row>
    <row r="99" spans="1:32">
      <c r="A99" s="557" t="s">
        <v>376</v>
      </c>
      <c r="B99" s="531" t="e">
        <f t="shared" si="14"/>
        <v>#REF!</v>
      </c>
      <c r="C99" s="531" t="e">
        <f t="shared" si="15"/>
        <v>#REF!</v>
      </c>
      <c r="E99" s="557" t="s">
        <v>376</v>
      </c>
      <c r="F99" s="531" t="e">
        <f t="shared" si="16"/>
        <v>#REF!</v>
      </c>
      <c r="G99" s="531"/>
      <c r="H99" s="531" t="e">
        <f t="shared" si="17"/>
        <v>#REF!</v>
      </c>
      <c r="J99" s="531">
        <f t="shared" si="12"/>
        <v>0</v>
      </c>
      <c r="K99" s="558"/>
      <c r="L99" s="531">
        <f t="shared" si="13"/>
        <v>0</v>
      </c>
      <c r="N99" s="611">
        <v>1</v>
      </c>
      <c r="P99" s="557" t="s">
        <v>376</v>
      </c>
      <c r="Q99" s="548">
        <v>0</v>
      </c>
      <c r="R99" s="548">
        <v>0</v>
      </c>
      <c r="S99" s="548">
        <v>0</v>
      </c>
      <c r="T99" s="548">
        <v>0</v>
      </c>
      <c r="U99" s="1278">
        <v>0</v>
      </c>
      <c r="V99" s="1278">
        <v>0</v>
      </c>
      <c r="W99" s="1278">
        <f t="shared" si="18"/>
        <v>0</v>
      </c>
      <c r="Y99" s="557" t="s">
        <v>376</v>
      </c>
      <c r="Z99" s="530">
        <v>0</v>
      </c>
      <c r="AA99" s="530">
        <v>0</v>
      </c>
      <c r="AB99" s="530">
        <v>0</v>
      </c>
      <c r="AC99" s="530">
        <v>0</v>
      </c>
      <c r="AD99" s="530">
        <v>0</v>
      </c>
      <c r="AE99" s="1253">
        <v>0</v>
      </c>
      <c r="AF99" s="1253">
        <v>0</v>
      </c>
    </row>
    <row r="100" spans="1:32">
      <c r="A100" s="557" t="s">
        <v>7</v>
      </c>
      <c r="B100" s="531" t="e">
        <f t="shared" si="14"/>
        <v>#REF!</v>
      </c>
      <c r="C100" s="531" t="e">
        <f t="shared" si="15"/>
        <v>#REF!</v>
      </c>
      <c r="E100" s="557" t="s">
        <v>7</v>
      </c>
      <c r="F100" s="531" t="e">
        <f t="shared" si="16"/>
        <v>#REF!</v>
      </c>
      <c r="G100" s="531"/>
      <c r="H100" s="531" t="e">
        <f t="shared" si="17"/>
        <v>#REF!</v>
      </c>
      <c r="J100" s="531">
        <f t="shared" si="12"/>
        <v>32214</v>
      </c>
      <c r="K100" s="558"/>
      <c r="L100" s="531">
        <f t="shared" si="13"/>
        <v>44387.804959403387</v>
      </c>
      <c r="N100" s="611">
        <v>1</v>
      </c>
      <c r="P100" s="557" t="s">
        <v>7</v>
      </c>
      <c r="Q100" s="624">
        <v>4508</v>
      </c>
      <c r="R100" s="624">
        <v>8478</v>
      </c>
      <c r="S100" s="624">
        <v>14894</v>
      </c>
      <c r="T100" s="624">
        <v>16000</v>
      </c>
      <c r="U100" s="1272">
        <v>16660.321547123742</v>
      </c>
      <c r="V100" s="1272">
        <v>16327.804959403387</v>
      </c>
      <c r="W100" s="1272">
        <f t="shared" si="18"/>
        <v>17617.762062831658</v>
      </c>
      <c r="Y100" s="557" t="s">
        <v>7</v>
      </c>
      <c r="Z100" s="531">
        <v>1425</v>
      </c>
      <c r="AA100" s="531">
        <v>1502</v>
      </c>
      <c r="AB100" s="531">
        <v>1407</v>
      </c>
      <c r="AC100" s="531">
        <v>1779</v>
      </c>
      <c r="AD100" s="531">
        <v>1898</v>
      </c>
      <c r="AE100" s="1253">
        <v>1839.6666666666665</v>
      </c>
      <c r="AF100" s="1253">
        <v>2185.666666666667</v>
      </c>
    </row>
    <row r="101" spans="1:32">
      <c r="A101" s="557" t="s">
        <v>9</v>
      </c>
      <c r="B101" s="531" t="e">
        <f t="shared" si="14"/>
        <v>#REF!</v>
      </c>
      <c r="C101" s="531" t="e">
        <f t="shared" si="15"/>
        <v>#REF!</v>
      </c>
      <c r="E101" s="557" t="s">
        <v>9</v>
      </c>
      <c r="F101" s="531" t="e">
        <f t="shared" si="16"/>
        <v>#REF!</v>
      </c>
      <c r="G101" s="531"/>
      <c r="H101" s="531" t="e">
        <f t="shared" si="17"/>
        <v>#REF!</v>
      </c>
      <c r="J101" s="531">
        <f>N101*(Q101+R101+S101+Z101+AA101+AB101+Z62+AA62+AB62)</f>
        <v>10489</v>
      </c>
      <c r="K101" s="558"/>
      <c r="L101" s="531">
        <f>N101*(R101+S101+V101+AA101+AB101+AC101+AA62+AB62+AC62)</f>
        <v>11624.214459177436</v>
      </c>
      <c r="N101" s="611">
        <v>1</v>
      </c>
      <c r="P101" s="557" t="s">
        <v>9</v>
      </c>
      <c r="Q101" s="624">
        <v>1693</v>
      </c>
      <c r="R101" s="624">
        <v>2210</v>
      </c>
      <c r="S101" s="624">
        <v>2480</v>
      </c>
      <c r="T101" s="624">
        <v>2825</v>
      </c>
      <c r="U101" s="1272">
        <v>2671.4146933101747</v>
      </c>
      <c r="V101" s="1272">
        <v>3005.2144591774359</v>
      </c>
      <c r="W101" s="1272">
        <f t="shared" si="18"/>
        <v>2850.2195910802329</v>
      </c>
      <c r="Y101" s="557" t="s">
        <v>9</v>
      </c>
      <c r="Z101" s="531">
        <v>730</v>
      </c>
      <c r="AA101" s="531">
        <v>839</v>
      </c>
      <c r="AB101" s="531">
        <v>737</v>
      </c>
      <c r="AC101" s="531">
        <v>620</v>
      </c>
      <c r="AD101" s="531">
        <v>583</v>
      </c>
      <c r="AE101" s="1253">
        <v>513</v>
      </c>
      <c r="AF101" s="1253">
        <v>492.66666666666663</v>
      </c>
    </row>
    <row r="102" spans="1:32">
      <c r="A102" s="559" t="s">
        <v>5</v>
      </c>
      <c r="B102" s="531" t="e">
        <f t="shared" si="14"/>
        <v>#REF!</v>
      </c>
      <c r="C102" s="531" t="e">
        <f t="shared" si="15"/>
        <v>#REF!</v>
      </c>
      <c r="E102" s="559" t="s">
        <v>5</v>
      </c>
      <c r="F102" s="531" t="e">
        <f t="shared" si="16"/>
        <v>#REF!</v>
      </c>
      <c r="G102" s="531"/>
      <c r="H102" s="531" t="e">
        <f t="shared" si="17"/>
        <v>#REF!</v>
      </c>
      <c r="J102" s="531">
        <f>N102*(Q102+R102+S102+Z102+AA102+AB102)</f>
        <v>5706</v>
      </c>
      <c r="K102" s="558"/>
      <c r="L102" s="531">
        <f>N102*(R102+S102+V102+AA102+AB102+AC102)</f>
        <v>5677.8945782372002</v>
      </c>
      <c r="N102" s="611">
        <v>1</v>
      </c>
      <c r="P102" s="559" t="s">
        <v>5</v>
      </c>
      <c r="Q102" s="539">
        <v>1303</v>
      </c>
      <c r="R102" s="539">
        <v>1585</v>
      </c>
      <c r="S102" s="539">
        <v>1456</v>
      </c>
      <c r="T102" s="539">
        <v>1391</v>
      </c>
      <c r="U102" s="1256">
        <v>1541.0032278966819</v>
      </c>
      <c r="V102" s="1256">
        <v>1305.8945782372002</v>
      </c>
      <c r="W102" s="1256">
        <f t="shared" si="18"/>
        <v>1547.6709705289093</v>
      </c>
      <c r="Y102" s="559" t="s">
        <v>5</v>
      </c>
      <c r="Z102" s="539">
        <v>461</v>
      </c>
      <c r="AA102" s="539">
        <v>472</v>
      </c>
      <c r="AB102" s="539">
        <v>429</v>
      </c>
      <c r="AC102" s="539">
        <v>430</v>
      </c>
      <c r="AD102" s="539">
        <v>343</v>
      </c>
      <c r="AE102" s="1256">
        <v>401.66666666666669</v>
      </c>
      <c r="AF102" s="1256">
        <v>314.66666666666669</v>
      </c>
    </row>
    <row r="103" spans="1:32">
      <c r="A103" s="557"/>
      <c r="B103" s="530"/>
      <c r="C103" s="530"/>
      <c r="E103" s="557"/>
      <c r="F103" s="631"/>
      <c r="G103" s="568"/>
      <c r="H103" s="631"/>
      <c r="J103" s="530"/>
      <c r="K103" s="558"/>
      <c r="L103" s="530"/>
      <c r="P103" s="557"/>
      <c r="Q103" s="548"/>
      <c r="R103" s="548"/>
      <c r="S103" s="548"/>
      <c r="T103" s="548"/>
      <c r="U103" s="1283"/>
      <c r="V103" s="1283"/>
      <c r="W103" s="1283"/>
      <c r="Y103" s="557"/>
      <c r="Z103" s="530"/>
      <c r="AA103" s="530"/>
      <c r="AB103" s="530"/>
      <c r="AC103" s="530"/>
      <c r="AD103" s="530"/>
      <c r="AE103" s="1253"/>
      <c r="AF103" s="1253"/>
    </row>
    <row r="104" spans="1:32">
      <c r="A104" s="557" t="s">
        <v>631</v>
      </c>
      <c r="B104" s="531" t="e">
        <f>F104*C$60/F$109</f>
        <v>#REF!</v>
      </c>
      <c r="C104" s="531" t="e">
        <f>H104*C$60/H$109</f>
        <v>#REF!</v>
      </c>
      <c r="E104" s="557" t="s">
        <v>631</v>
      </c>
      <c r="F104" s="531" t="e">
        <f>IF(D$56="no",J172+J194,J194)</f>
        <v>#REF!</v>
      </c>
      <c r="G104" s="531"/>
      <c r="H104" s="531" t="e">
        <f>IF(D$56="no",L172+L194,L194)</f>
        <v>#REF!</v>
      </c>
      <c r="J104" s="531">
        <f>N104*(Q104+R104+S104+Z104+AA104+AB104)</f>
        <v>54</v>
      </c>
      <c r="K104" s="558"/>
      <c r="L104" s="531">
        <f>N104*(R104+S104+V104+AA104+AB104+AC104)</f>
        <v>54</v>
      </c>
      <c r="N104" s="611">
        <v>1</v>
      </c>
      <c r="P104" s="557" t="s">
        <v>631</v>
      </c>
      <c r="Q104" s="548"/>
      <c r="R104" s="548"/>
      <c r="S104" s="548"/>
      <c r="T104" s="548"/>
      <c r="U104" s="1283"/>
      <c r="V104" s="1283"/>
      <c r="W104" s="1283"/>
      <c r="Y104" s="557" t="s">
        <v>631</v>
      </c>
      <c r="Z104" s="530">
        <v>0</v>
      </c>
      <c r="AA104" s="530">
        <v>24</v>
      </c>
      <c r="AB104" s="530">
        <v>30</v>
      </c>
      <c r="AC104" s="530">
        <v>0</v>
      </c>
      <c r="AD104" s="530">
        <v>0</v>
      </c>
      <c r="AE104" s="1253"/>
      <c r="AF104" s="1253"/>
    </row>
    <row r="105" spans="1:32">
      <c r="A105" s="557" t="s">
        <v>657</v>
      </c>
      <c r="B105" s="531" t="e">
        <f>F105*C$60/F$109</f>
        <v>#REF!</v>
      </c>
      <c r="C105" s="531" t="e">
        <f>H105*C$60/H$109</f>
        <v>#REF!</v>
      </c>
      <c r="E105" s="557" t="s">
        <v>657</v>
      </c>
      <c r="F105" s="531" t="e">
        <f>IF(D$56="no",J173+J195,J195)</f>
        <v>#REF!</v>
      </c>
      <c r="G105" s="531"/>
      <c r="H105" s="531" t="e">
        <f>IF(D$56="no",L173+L195,L195)</f>
        <v>#REF!</v>
      </c>
      <c r="J105" s="531">
        <f>N105*(Q105+R105+S105+Z105+AA105+AB105)</f>
        <v>249</v>
      </c>
      <c r="K105" s="558"/>
      <c r="L105" s="531">
        <f>N105*(R105+S105+V105+AA105+AB105+AC105)</f>
        <v>140</v>
      </c>
      <c r="N105" s="611">
        <v>1</v>
      </c>
      <c r="P105" s="557" t="s">
        <v>657</v>
      </c>
      <c r="Q105" s="624">
        <v>192</v>
      </c>
      <c r="R105" s="624">
        <v>57</v>
      </c>
      <c r="S105" s="624">
        <v>0</v>
      </c>
      <c r="T105" s="624">
        <v>0</v>
      </c>
      <c r="U105" s="1278">
        <v>19</v>
      </c>
      <c r="V105" s="1278">
        <v>83</v>
      </c>
      <c r="W105" s="1278">
        <f>MIN((TREND(S105:U105,AA$51:AC$51,AD$51)),1.15*U105)</f>
        <v>21.849999999999998</v>
      </c>
      <c r="Y105" s="557" t="s">
        <v>657</v>
      </c>
      <c r="Z105" s="530"/>
      <c r="AA105" s="530"/>
      <c r="AB105" s="530"/>
      <c r="AC105" s="530"/>
      <c r="AD105" s="530"/>
      <c r="AE105" s="1253"/>
      <c r="AF105" s="1253"/>
    </row>
    <row r="106" spans="1:32">
      <c r="A106" s="559" t="s">
        <v>633</v>
      </c>
      <c r="B106" s="531" t="e">
        <f>F106*C$60/F$109</f>
        <v>#REF!</v>
      </c>
      <c r="C106" s="531" t="e">
        <f>H106*C$60/H$109</f>
        <v>#REF!</v>
      </c>
      <c r="E106" s="559" t="s">
        <v>633</v>
      </c>
      <c r="F106" s="531" t="e">
        <f>IF(D$56="no",J174+J196,J196)</f>
        <v>#REF!</v>
      </c>
      <c r="G106" s="531"/>
      <c r="H106" s="531" t="e">
        <f>IF(D$56="no",L174+L196,L196)</f>
        <v>#REF!</v>
      </c>
      <c r="J106" s="531">
        <f>N106*(Q106+R106+S106+Z106+AA106+AB106)</f>
        <v>81</v>
      </c>
      <c r="K106" s="558"/>
      <c r="L106" s="531">
        <f>N106*(R106+S106+V106+AA106+AB106+AC106)</f>
        <v>28</v>
      </c>
      <c r="N106" s="611">
        <v>1</v>
      </c>
      <c r="P106" s="559" t="s">
        <v>633</v>
      </c>
      <c r="Q106" s="540"/>
      <c r="R106" s="540"/>
      <c r="S106" s="540"/>
      <c r="T106" s="540"/>
      <c r="U106" s="1256"/>
      <c r="V106" s="1256"/>
      <c r="W106" s="1284"/>
      <c r="Y106" s="559" t="s">
        <v>633</v>
      </c>
      <c r="Z106" s="540">
        <v>61</v>
      </c>
      <c r="AA106" s="540">
        <v>10</v>
      </c>
      <c r="AB106" s="540">
        <v>10</v>
      </c>
      <c r="AC106" s="540">
        <v>8</v>
      </c>
      <c r="AD106" s="540">
        <v>134</v>
      </c>
      <c r="AE106" s="1256">
        <v>9.3333333333333339</v>
      </c>
      <c r="AF106" s="1256">
        <v>50.666666666666664</v>
      </c>
    </row>
    <row r="107" spans="1:32">
      <c r="A107" s="557" t="s">
        <v>656</v>
      </c>
      <c r="B107" s="531" t="e">
        <f>F107*C$60/F$109</f>
        <v>#REF!</v>
      </c>
      <c r="C107" s="531" t="e">
        <f>H107*C$60/H$109</f>
        <v>#REF!</v>
      </c>
      <c r="E107" s="557" t="s">
        <v>656</v>
      </c>
      <c r="F107" s="531" t="e">
        <f>IF(D$56="no",J175+J197,J197)</f>
        <v>#REF!</v>
      </c>
      <c r="G107" s="531"/>
      <c r="H107" s="531" t="e">
        <f>IF(D$56="no",L175+L197,L197)</f>
        <v>#REF!</v>
      </c>
      <c r="J107" s="531">
        <f>N107*(Q107+R107+S107+Z107+AA107+AB107)</f>
        <v>3327</v>
      </c>
      <c r="K107" s="558"/>
      <c r="L107" s="531">
        <f>N107*(R107+S107+V107+AA107+AB107+AC107)</f>
        <v>3308.3333333333335</v>
      </c>
      <c r="N107" s="611">
        <v>1</v>
      </c>
      <c r="P107" s="557" t="s">
        <v>656</v>
      </c>
      <c r="Q107" s="624">
        <v>102</v>
      </c>
      <c r="R107" s="624">
        <v>110</v>
      </c>
      <c r="S107" s="624">
        <v>208</v>
      </c>
      <c r="T107" s="624">
        <v>236</v>
      </c>
      <c r="U107" s="1278">
        <v>184</v>
      </c>
      <c r="V107" s="1278">
        <v>139.33333333333334</v>
      </c>
      <c r="W107" s="1278">
        <f>MIN((TREND(S107:U107,AA$51:AC$51,AD$51)),1.15*U107)</f>
        <v>185.33333333333337</v>
      </c>
      <c r="Y107" s="557" t="s">
        <v>656</v>
      </c>
      <c r="Z107" s="530">
        <v>837</v>
      </c>
      <c r="AA107" s="530">
        <v>957</v>
      </c>
      <c r="AB107" s="530">
        <v>1113</v>
      </c>
      <c r="AC107" s="530">
        <v>781</v>
      </c>
      <c r="AD107" s="530">
        <v>948</v>
      </c>
      <c r="AE107" s="1253">
        <v>774.33333333333326</v>
      </c>
      <c r="AF107" s="1253">
        <v>782.33333333333348</v>
      </c>
    </row>
    <row r="108" spans="1:32">
      <c r="A108" s="563" t="s">
        <v>635</v>
      </c>
      <c r="B108" s="531" t="e">
        <f>F108*C$60/F$109</f>
        <v>#REF!</v>
      </c>
      <c r="C108" s="531" t="e">
        <f>H108*C$60/H$109</f>
        <v>#REF!</v>
      </c>
      <c r="E108" s="563" t="s">
        <v>635</v>
      </c>
      <c r="F108" s="531" t="e">
        <f>IF(D$56="no",J176+J198,J198)</f>
        <v>#REF!</v>
      </c>
      <c r="G108" s="531"/>
      <c r="H108" s="531" t="e">
        <f>IF(D$56="no",L176+L198,L198)</f>
        <v>#REF!</v>
      </c>
      <c r="J108" s="531">
        <f>N108*(Q108+R108+S108+Z108+AA108+AB108)</f>
        <v>459</v>
      </c>
      <c r="K108" s="558"/>
      <c r="L108" s="531">
        <f>N108*(R108+S108+V108+AA108+AB108+AC108)</f>
        <v>279.66666666666663</v>
      </c>
      <c r="N108" s="611">
        <v>1</v>
      </c>
      <c r="P108" s="563" t="s">
        <v>635</v>
      </c>
      <c r="Q108" s="548">
        <v>0</v>
      </c>
      <c r="R108" s="548">
        <v>0</v>
      </c>
      <c r="S108" s="548">
        <v>23</v>
      </c>
      <c r="T108" s="548">
        <v>12</v>
      </c>
      <c r="U108" s="1278">
        <v>11.666666666666666</v>
      </c>
      <c r="V108" s="1278">
        <v>7.666666666666667</v>
      </c>
      <c r="W108" s="1278">
        <f>MIN((TREND(S108:U108,AA$51:AC$51,AD$51)),1.15*U108)</f>
        <v>4.2222222222222214</v>
      </c>
      <c r="Y108" s="563" t="s">
        <v>635</v>
      </c>
      <c r="Z108" s="530">
        <v>187</v>
      </c>
      <c r="AA108" s="530">
        <v>189</v>
      </c>
      <c r="AB108" s="530">
        <v>60</v>
      </c>
      <c r="AC108" s="530">
        <v>0</v>
      </c>
      <c r="AD108" s="530">
        <v>23</v>
      </c>
      <c r="AE108" s="1253">
        <v>83</v>
      </c>
      <c r="AF108" s="1253">
        <v>27.666666666666668</v>
      </c>
    </row>
    <row r="109" spans="1:32">
      <c r="A109" s="564"/>
      <c r="B109" s="534" t="e">
        <f>SUM(B91:B108)</f>
        <v>#REF!</v>
      </c>
      <c r="C109" s="534" t="e">
        <f>SUM(C91:C108)</f>
        <v>#REF!</v>
      </c>
      <c r="E109" s="564"/>
      <c r="F109" s="543" t="e">
        <f>SUM(F91:F108)</f>
        <v>#REF!</v>
      </c>
      <c r="G109" s="543"/>
      <c r="H109" s="543" t="e">
        <f>SUM(H91:H108)</f>
        <v>#REF!</v>
      </c>
      <c r="J109" s="543">
        <f>SUM(J91:J108)</f>
        <v>174438</v>
      </c>
      <c r="K109" s="565"/>
      <c r="L109" s="543">
        <f>SUM(L91:L108)</f>
        <v>194996.97147996479</v>
      </c>
      <c r="P109" s="542"/>
      <c r="Q109" s="543">
        <f t="shared" ref="Q109:W109" si="19">SUM(Q91:Q108)</f>
        <v>29485</v>
      </c>
      <c r="R109" s="543">
        <f t="shared" si="19"/>
        <v>36099</v>
      </c>
      <c r="S109" s="543">
        <f t="shared" si="19"/>
        <v>45171</v>
      </c>
      <c r="T109" s="543">
        <f t="shared" si="19"/>
        <v>51844</v>
      </c>
      <c r="U109" s="543">
        <f t="shared" si="19"/>
        <v>56362.209037411085</v>
      </c>
      <c r="V109" s="543">
        <f t="shared" si="19"/>
        <v>50769.971479964792</v>
      </c>
      <c r="W109" s="543">
        <f t="shared" si="19"/>
        <v>61721.172498907719</v>
      </c>
      <c r="Y109" s="542"/>
      <c r="Z109" s="543">
        <f>SUM(Z91:Z108)</f>
        <v>21389</v>
      </c>
      <c r="AA109" s="543">
        <f t="shared" ref="AA109:AF109" si="20">SUM(AA91:AA108)</f>
        <v>20579</v>
      </c>
      <c r="AB109" s="543">
        <f t="shared" si="20"/>
        <v>19915</v>
      </c>
      <c r="AC109" s="543">
        <f t="shared" si="20"/>
        <v>20730</v>
      </c>
      <c r="AD109" s="543">
        <f t="shared" si="20"/>
        <v>20521</v>
      </c>
      <c r="AE109" s="543">
        <f t="shared" si="20"/>
        <v>20723</v>
      </c>
      <c r="AF109" s="543">
        <f t="shared" si="20"/>
        <v>20915.666666666672</v>
      </c>
    </row>
    <row r="110" spans="1:32">
      <c r="D110" s="66"/>
      <c r="P110" s="544"/>
      <c r="Q110" s="624"/>
      <c r="R110" s="624"/>
      <c r="S110" s="624"/>
      <c r="T110" s="624"/>
      <c r="U110" s="624"/>
      <c r="V110" s="624"/>
      <c r="Y110" s="578"/>
      <c r="Z110" s="549"/>
      <c r="AA110" s="549"/>
      <c r="AB110" s="549"/>
      <c r="AC110" s="549"/>
      <c r="AD110" s="549"/>
      <c r="AE110" s="549"/>
      <c r="AF110" s="549"/>
    </row>
    <row r="111" spans="1:32">
      <c r="D111" s="66"/>
      <c r="Y111" s="578"/>
      <c r="Z111" s="578"/>
      <c r="AA111" s="578"/>
      <c r="AB111" s="578"/>
      <c r="AC111" s="578"/>
      <c r="AD111" s="578"/>
      <c r="AE111" s="578"/>
      <c r="AF111" s="578"/>
    </row>
    <row r="112" spans="1:32">
      <c r="J112" s="554" t="s">
        <v>1026</v>
      </c>
      <c r="K112" s="554"/>
      <c r="L112" s="554"/>
      <c r="P112" s="667" t="s">
        <v>709</v>
      </c>
      <c r="Q112" s="536"/>
      <c r="R112" s="536"/>
      <c r="S112" s="536"/>
      <c r="T112" s="663"/>
      <c r="U112" s="663"/>
      <c r="V112" s="663"/>
      <c r="Y112" s="578"/>
      <c r="Z112" s="578"/>
      <c r="AA112" s="578"/>
      <c r="AB112" s="578"/>
      <c r="AC112" s="578"/>
      <c r="AD112" s="578"/>
      <c r="AE112" s="578"/>
      <c r="AF112" s="578"/>
    </row>
    <row r="113" spans="10:32" ht="25.5">
      <c r="J113" s="556" t="s">
        <v>1004</v>
      </c>
      <c r="K113" s="556"/>
      <c r="L113" s="556" t="s">
        <v>1005</v>
      </c>
      <c r="P113" s="668"/>
      <c r="Q113" s="669" t="s">
        <v>622</v>
      </c>
      <c r="R113" s="669" t="s">
        <v>623</v>
      </c>
      <c r="S113" s="670" t="s">
        <v>624</v>
      </c>
      <c r="T113" s="669" t="s">
        <v>1065</v>
      </c>
      <c r="U113" s="669" t="s">
        <v>1074</v>
      </c>
      <c r="V113" s="669" t="s">
        <v>645</v>
      </c>
      <c r="W113" s="669" t="s">
        <v>1083</v>
      </c>
      <c r="Y113" s="578"/>
      <c r="Z113" s="578"/>
      <c r="AA113" s="578"/>
      <c r="AB113" s="578"/>
      <c r="AC113" s="578"/>
      <c r="AD113" s="578"/>
      <c r="AE113" s="578"/>
      <c r="AF113" s="578"/>
    </row>
    <row r="114" spans="10:32">
      <c r="J114" s="531">
        <f>N114*(Q114+R114+S114)</f>
        <v>19090</v>
      </c>
      <c r="K114" s="558"/>
      <c r="L114" s="531">
        <f t="shared" ref="L114:L125" si="21">N114*(R114+S114+V114)</f>
        <v>23231.3623044702</v>
      </c>
      <c r="N114" s="611">
        <v>1</v>
      </c>
      <c r="P114" s="557" t="s">
        <v>628</v>
      </c>
      <c r="Q114" s="624">
        <v>5331</v>
      </c>
      <c r="R114" s="624">
        <v>6010</v>
      </c>
      <c r="S114" s="624">
        <v>7749</v>
      </c>
      <c r="T114" s="624">
        <v>9384</v>
      </c>
      <c r="U114" s="1283">
        <v>11226.328999176987</v>
      </c>
      <c r="V114" s="1283">
        <v>9472.3623044701999</v>
      </c>
      <c r="W114" s="1272">
        <f>MIN((TREND(S114:U114,AA$51:AC$51,AD$51)),1.15*U114)</f>
        <v>12910.278349053535</v>
      </c>
    </row>
    <row r="115" spans="10:32">
      <c r="J115" s="531">
        <f t="shared" ref="J115:J125" si="22">N115*(Q115+R115+S115)</f>
        <v>9663</v>
      </c>
      <c r="K115" s="558"/>
      <c r="L115" s="531">
        <f t="shared" si="21"/>
        <v>10075.779128825401</v>
      </c>
      <c r="N115" s="611">
        <v>1</v>
      </c>
      <c r="P115" s="557" t="s">
        <v>6</v>
      </c>
      <c r="Q115" s="624">
        <v>3242</v>
      </c>
      <c r="R115" s="624">
        <v>3276</v>
      </c>
      <c r="S115" s="624">
        <v>3145</v>
      </c>
      <c r="T115" s="624">
        <v>4929</v>
      </c>
      <c r="U115" s="1283">
        <v>5177.9022899899337</v>
      </c>
      <c r="V115" s="1283">
        <v>3654.7791288254011</v>
      </c>
      <c r="W115" s="1272">
        <f t="shared" ref="W115:W125" si="23">MIN((TREND(S115:U115,AA$51:AC$51,AD$51)),1.15*U115)</f>
        <v>5954.5876334884233</v>
      </c>
    </row>
    <row r="116" spans="10:32">
      <c r="J116" s="531">
        <f t="shared" si="22"/>
        <v>12</v>
      </c>
      <c r="K116" s="558"/>
      <c r="L116" s="531">
        <f t="shared" si="21"/>
        <v>13</v>
      </c>
      <c r="N116" s="611">
        <v>1</v>
      </c>
      <c r="P116" s="557" t="s">
        <v>8</v>
      </c>
      <c r="Q116" s="612">
        <v>3</v>
      </c>
      <c r="R116" s="612">
        <v>9</v>
      </c>
      <c r="S116" s="612">
        <v>0</v>
      </c>
      <c r="T116" s="612">
        <v>0</v>
      </c>
      <c r="U116" s="1278">
        <v>3</v>
      </c>
      <c r="V116" s="1278">
        <v>4</v>
      </c>
      <c r="W116" s="1278">
        <f t="shared" si="23"/>
        <v>3.4499999999999997</v>
      </c>
    </row>
    <row r="117" spans="10:32">
      <c r="J117" s="531">
        <f t="shared" si="22"/>
        <v>1574</v>
      </c>
      <c r="K117" s="558"/>
      <c r="L117" s="531">
        <f t="shared" si="21"/>
        <v>2240.429577464789</v>
      </c>
      <c r="N117" s="611">
        <v>1</v>
      </c>
      <c r="P117" s="559" t="s">
        <v>2</v>
      </c>
      <c r="Q117" s="539">
        <v>330</v>
      </c>
      <c r="R117" s="539">
        <v>632</v>
      </c>
      <c r="S117" s="539">
        <v>612</v>
      </c>
      <c r="T117" s="539">
        <v>947</v>
      </c>
      <c r="U117" s="1256">
        <v>1844.5686813186815</v>
      </c>
      <c r="V117" s="1256">
        <v>996.42957746478874</v>
      </c>
      <c r="W117" s="1278">
        <f t="shared" si="23"/>
        <v>2121.2539835164835</v>
      </c>
    </row>
    <row r="118" spans="10:32">
      <c r="J118" s="531">
        <f t="shared" si="22"/>
        <v>0</v>
      </c>
      <c r="K118" s="558"/>
      <c r="L118" s="531">
        <f t="shared" si="21"/>
        <v>0</v>
      </c>
      <c r="N118" s="611">
        <v>1</v>
      </c>
      <c r="P118" s="557" t="s">
        <v>10</v>
      </c>
      <c r="Q118" s="624">
        <v>0</v>
      </c>
      <c r="R118" s="624">
        <v>0</v>
      </c>
      <c r="S118" s="624">
        <v>0</v>
      </c>
      <c r="T118" s="624">
        <v>0</v>
      </c>
      <c r="U118" s="1283">
        <v>0</v>
      </c>
      <c r="V118" s="1283">
        <v>0</v>
      </c>
      <c r="W118" s="1278">
        <f t="shared" si="23"/>
        <v>0</v>
      </c>
    </row>
    <row r="119" spans="10:32">
      <c r="J119" s="531">
        <f t="shared" si="22"/>
        <v>14405</v>
      </c>
      <c r="K119" s="558"/>
      <c r="L119" s="531">
        <f t="shared" si="21"/>
        <v>16318.383178844984</v>
      </c>
      <c r="N119" s="611">
        <v>1</v>
      </c>
      <c r="P119" s="557" t="s">
        <v>4</v>
      </c>
      <c r="Q119" s="624">
        <v>4136</v>
      </c>
      <c r="R119" s="624">
        <v>4791</v>
      </c>
      <c r="S119" s="624">
        <v>5478</v>
      </c>
      <c r="T119" s="624">
        <v>5797</v>
      </c>
      <c r="U119" s="1283">
        <v>6873.5878439418611</v>
      </c>
      <c r="V119" s="1283">
        <v>6049.3831788449843</v>
      </c>
      <c r="W119" s="1272">
        <f t="shared" si="23"/>
        <v>7445.1171252558142</v>
      </c>
    </row>
    <row r="120" spans="10:32">
      <c r="J120" s="531">
        <f t="shared" si="22"/>
        <v>152</v>
      </c>
      <c r="K120" s="558"/>
      <c r="L120" s="531">
        <f t="shared" si="21"/>
        <v>169.66666666666666</v>
      </c>
      <c r="N120" s="611">
        <v>1</v>
      </c>
      <c r="P120" s="557" t="s">
        <v>14</v>
      </c>
      <c r="Q120" s="548">
        <v>33</v>
      </c>
      <c r="R120" s="548">
        <v>70</v>
      </c>
      <c r="S120" s="548">
        <v>49</v>
      </c>
      <c r="T120" s="548">
        <v>51</v>
      </c>
      <c r="U120" s="1283">
        <v>56.666666666666664</v>
      </c>
      <c r="V120" s="1283">
        <v>50.666666666666664</v>
      </c>
      <c r="W120" s="1278">
        <f t="shared" si="23"/>
        <v>59.888888888888886</v>
      </c>
    </row>
    <row r="121" spans="10:32">
      <c r="J121" s="531">
        <f t="shared" si="22"/>
        <v>48172</v>
      </c>
      <c r="K121" s="558"/>
      <c r="L121" s="531">
        <f t="shared" si="21"/>
        <v>51121.182832420236</v>
      </c>
      <c r="N121" s="611">
        <v>1</v>
      </c>
      <c r="P121" s="559" t="s">
        <v>17</v>
      </c>
      <c r="Q121" s="539">
        <v>14918</v>
      </c>
      <c r="R121" s="539">
        <v>16246</v>
      </c>
      <c r="S121" s="539">
        <v>17008</v>
      </c>
      <c r="T121" s="539">
        <v>18600</v>
      </c>
      <c r="U121" s="1256">
        <v>21431.855478136491</v>
      </c>
      <c r="V121" s="1256">
        <v>17867.182832420232</v>
      </c>
      <c r="W121" s="1272">
        <f t="shared" si="23"/>
        <v>23437.140637515324</v>
      </c>
    </row>
    <row r="122" spans="10:32">
      <c r="J122" s="531">
        <f t="shared" si="22"/>
        <v>0</v>
      </c>
      <c r="K122" s="558"/>
      <c r="L122" s="531">
        <f t="shared" si="21"/>
        <v>0</v>
      </c>
      <c r="N122" s="611">
        <v>1</v>
      </c>
      <c r="P122" s="557" t="s">
        <v>376</v>
      </c>
      <c r="Q122" s="548">
        <v>0</v>
      </c>
      <c r="R122" s="548">
        <v>0</v>
      </c>
      <c r="S122" s="548">
        <v>0</v>
      </c>
      <c r="T122" s="548">
        <v>0</v>
      </c>
      <c r="U122" s="1283">
        <v>0</v>
      </c>
      <c r="V122" s="1283">
        <v>0</v>
      </c>
      <c r="W122" s="1278">
        <f t="shared" si="23"/>
        <v>0</v>
      </c>
    </row>
    <row r="123" spans="10:32">
      <c r="J123" s="531">
        <f t="shared" si="22"/>
        <v>5222</v>
      </c>
      <c r="K123" s="558"/>
      <c r="L123" s="531">
        <f t="shared" si="21"/>
        <v>7267.8248775074626</v>
      </c>
      <c r="N123" s="611">
        <v>1</v>
      </c>
      <c r="P123" s="557" t="s">
        <v>7</v>
      </c>
      <c r="Q123" s="624">
        <v>1017</v>
      </c>
      <c r="R123" s="624">
        <v>1829</v>
      </c>
      <c r="S123" s="624">
        <v>2376</v>
      </c>
      <c r="T123" s="624">
        <v>2803</v>
      </c>
      <c r="U123" s="1283">
        <v>4159.8213205311158</v>
      </c>
      <c r="V123" s="1283">
        <v>3062.8248775074621</v>
      </c>
      <c r="W123" s="1272">
        <f t="shared" si="23"/>
        <v>4783.7945186107827</v>
      </c>
    </row>
    <row r="124" spans="10:32">
      <c r="J124" s="531">
        <f t="shared" si="22"/>
        <v>10305</v>
      </c>
      <c r="K124" s="558"/>
      <c r="L124" s="531">
        <f t="shared" si="21"/>
        <v>14129.318617984161</v>
      </c>
      <c r="N124" s="611">
        <v>1</v>
      </c>
      <c r="P124" s="557" t="s">
        <v>9</v>
      </c>
      <c r="Q124" s="624">
        <v>2453</v>
      </c>
      <c r="R124" s="624">
        <v>3187</v>
      </c>
      <c r="S124" s="624">
        <v>4665</v>
      </c>
      <c r="T124" s="624">
        <v>5690</v>
      </c>
      <c r="U124" s="1283">
        <v>8405.5796008585839</v>
      </c>
      <c r="V124" s="1283">
        <v>6277.3186179841614</v>
      </c>
      <c r="W124" s="1272">
        <f t="shared" si="23"/>
        <v>9666.4165409873713</v>
      </c>
    </row>
    <row r="125" spans="10:32">
      <c r="J125" s="531">
        <f t="shared" si="22"/>
        <v>4747</v>
      </c>
      <c r="K125" s="558"/>
      <c r="L125" s="531">
        <f t="shared" si="21"/>
        <v>5550.3781071012017</v>
      </c>
      <c r="N125" s="611">
        <v>1</v>
      </c>
      <c r="P125" s="559" t="s">
        <v>5</v>
      </c>
      <c r="Q125" s="539">
        <v>1389</v>
      </c>
      <c r="R125" s="539">
        <v>1639</v>
      </c>
      <c r="S125" s="539">
        <v>1719</v>
      </c>
      <c r="T125" s="539">
        <v>2003</v>
      </c>
      <c r="U125" s="1256">
        <v>2117.5796597998815</v>
      </c>
      <c r="V125" s="1256">
        <v>2192.3781071012017</v>
      </c>
      <c r="W125" s="1256">
        <f t="shared" si="23"/>
        <v>2345.1062130665086</v>
      </c>
    </row>
    <row r="126" spans="10:32">
      <c r="J126" s="530"/>
      <c r="K126" s="558"/>
      <c r="L126" s="530"/>
      <c r="P126" s="557"/>
      <c r="Q126" s="548"/>
      <c r="R126" s="548"/>
      <c r="S126" s="548"/>
      <c r="T126" s="548"/>
      <c r="U126" s="1283"/>
      <c r="V126" s="1283"/>
      <c r="W126" s="1283"/>
    </row>
    <row r="127" spans="10:32">
      <c r="J127" s="531">
        <f>N127*(Q127+R127+S127)</f>
        <v>0</v>
      </c>
      <c r="K127" s="558"/>
      <c r="L127" s="531">
        <f>N127*(R127+S127+V127)</f>
        <v>0</v>
      </c>
      <c r="N127" s="611">
        <v>1</v>
      </c>
      <c r="P127" s="557" t="s">
        <v>631</v>
      </c>
      <c r="Q127" s="548"/>
      <c r="R127" s="548"/>
      <c r="S127" s="548"/>
      <c r="T127" s="548"/>
      <c r="U127" s="1283"/>
      <c r="V127" s="1283"/>
      <c r="W127" s="1283"/>
    </row>
    <row r="128" spans="10:32">
      <c r="J128" s="531">
        <f>N128*(Q128+R128+S128)</f>
        <v>287</v>
      </c>
      <c r="K128" s="558"/>
      <c r="L128" s="531">
        <f>N128*(R128+S128+V128)</f>
        <v>312.66666666666669</v>
      </c>
      <c r="N128" s="611">
        <v>1</v>
      </c>
      <c r="P128" s="557" t="s">
        <v>657</v>
      </c>
      <c r="Q128" s="624">
        <v>70</v>
      </c>
      <c r="R128" s="624">
        <v>178</v>
      </c>
      <c r="S128" s="624">
        <v>39</v>
      </c>
      <c r="T128" s="624">
        <v>73</v>
      </c>
      <c r="U128" s="1283">
        <v>96.666666666666671</v>
      </c>
      <c r="V128" s="1283">
        <v>95.666666666666671</v>
      </c>
      <c r="W128" s="1278">
        <f>MIN((TREND(S128:U128,AA$51:AC$51,AD$51)),1.15*U128)</f>
        <v>111.16666666666666</v>
      </c>
    </row>
    <row r="129" spans="10:34">
      <c r="J129" s="531">
        <f>N129*(Q129+R129+S129)</f>
        <v>0</v>
      </c>
      <c r="K129" s="558"/>
      <c r="L129" s="531">
        <f>N129*(R129+S129+V129)</f>
        <v>0</v>
      </c>
      <c r="N129" s="611">
        <v>1</v>
      </c>
      <c r="P129" s="559" t="s">
        <v>633</v>
      </c>
      <c r="Q129" s="540"/>
      <c r="R129" s="540"/>
      <c r="S129" s="540"/>
      <c r="T129" s="540"/>
      <c r="U129" s="1256"/>
      <c r="V129" s="1256"/>
      <c r="W129" s="1284"/>
    </row>
    <row r="130" spans="10:34">
      <c r="J130" s="531">
        <f>N130*(Q130+R130+S130)</f>
        <v>0</v>
      </c>
      <c r="K130" s="558"/>
      <c r="L130" s="531">
        <f>N130*(R130+S130+V130)</f>
        <v>0</v>
      </c>
      <c r="N130" s="611">
        <v>1</v>
      </c>
      <c r="P130" s="557" t="s">
        <v>656</v>
      </c>
      <c r="Q130" s="624"/>
      <c r="R130" s="624"/>
      <c r="S130" s="624"/>
      <c r="T130" s="624"/>
      <c r="U130" s="1283"/>
      <c r="V130" s="1283"/>
      <c r="W130" s="1278"/>
    </row>
    <row r="131" spans="10:34">
      <c r="J131" s="531">
        <f>N131*(Q131+R131+S131)</f>
        <v>5416</v>
      </c>
      <c r="K131" s="558"/>
      <c r="L131" s="531">
        <f>N131*(R131+S131+V131)</f>
        <v>7934.7619538334711</v>
      </c>
      <c r="N131" s="611">
        <v>1</v>
      </c>
      <c r="P131" s="563" t="s">
        <v>635</v>
      </c>
      <c r="Q131" s="548">
        <v>879</v>
      </c>
      <c r="R131" s="548">
        <v>1368</v>
      </c>
      <c r="S131" s="548">
        <v>3169</v>
      </c>
      <c r="T131" s="548">
        <v>3391</v>
      </c>
      <c r="U131" s="1283">
        <v>2940.6628830874006</v>
      </c>
      <c r="V131" s="1283">
        <v>3397.7619538334711</v>
      </c>
      <c r="W131" s="1278">
        <f>MIN((TREND(S131:U131,AA$51:AC$51,AD$51)),1.15*U131)</f>
        <v>2938.5505107832005</v>
      </c>
    </row>
    <row r="132" spans="10:34">
      <c r="J132" s="543">
        <f>SUM(J114:J131)</f>
        <v>119045</v>
      </c>
      <c r="K132" s="565"/>
      <c r="L132" s="543">
        <f>SUM(L114:L131)</f>
        <v>138364.75391178526</v>
      </c>
      <c r="P132" s="664"/>
      <c r="Q132" s="543">
        <f t="shared" ref="Q132:W132" si="24">SUM(Q114:Q131)</f>
        <v>33801</v>
      </c>
      <c r="R132" s="543">
        <f t="shared" si="24"/>
        <v>39235</v>
      </c>
      <c r="S132" s="543">
        <f t="shared" si="24"/>
        <v>46009</v>
      </c>
      <c r="T132" s="543">
        <f t="shared" si="24"/>
        <v>53668</v>
      </c>
      <c r="U132" s="543">
        <f t="shared" si="24"/>
        <v>64334.220090174276</v>
      </c>
      <c r="V132" s="543">
        <f t="shared" si="24"/>
        <v>53120.753911785236</v>
      </c>
      <c r="W132" s="543">
        <f t="shared" si="24"/>
        <v>71776.751067833</v>
      </c>
    </row>
    <row r="133" spans="10:34">
      <c r="P133" s="665"/>
      <c r="Q133" s="666"/>
      <c r="R133" s="666"/>
      <c r="S133" s="666"/>
      <c r="T133" s="624"/>
      <c r="U133" s="624"/>
      <c r="V133" s="666"/>
    </row>
    <row r="135" spans="10:34">
      <c r="J135" s="554" t="s">
        <v>1025</v>
      </c>
      <c r="K135" s="554"/>
      <c r="L135" s="554"/>
      <c r="P135" s="667" t="s">
        <v>710</v>
      </c>
      <c r="Q135" s="536"/>
      <c r="R135" s="536"/>
      <c r="S135" s="536"/>
      <c r="T135" s="663"/>
      <c r="U135" s="663"/>
      <c r="V135" s="663"/>
      <c r="Y135" s="649" t="s">
        <v>699</v>
      </c>
      <c r="Z135" s="648"/>
      <c r="AA135" s="648"/>
      <c r="AB135" s="648"/>
      <c r="AC135" s="648"/>
      <c r="AD135" s="648"/>
      <c r="AE135" s="648"/>
      <c r="AF135" s="648"/>
    </row>
    <row r="136" spans="10:34" ht="25.5">
      <c r="J136" s="556" t="s">
        <v>1004</v>
      </c>
      <c r="K136" s="556"/>
      <c r="L136" s="556" t="s">
        <v>1005</v>
      </c>
      <c r="P136" s="668"/>
      <c r="Q136" s="669" t="s">
        <v>622</v>
      </c>
      <c r="R136" s="669" t="s">
        <v>623</v>
      </c>
      <c r="S136" s="670" t="s">
        <v>624</v>
      </c>
      <c r="T136" s="669" t="s">
        <v>1065</v>
      </c>
      <c r="U136" s="669" t="s">
        <v>1074</v>
      </c>
      <c r="V136" s="669" t="s">
        <v>645</v>
      </c>
      <c r="W136" s="669" t="s">
        <v>1083</v>
      </c>
      <c r="Z136" s="600" t="s">
        <v>0</v>
      </c>
      <c r="AA136" s="600" t="s">
        <v>12</v>
      </c>
      <c r="AB136" s="600" t="s">
        <v>669</v>
      </c>
      <c r="AC136" s="669" t="s">
        <v>670</v>
      </c>
      <c r="AD136" s="669" t="s">
        <v>1072</v>
      </c>
      <c r="AE136" s="669" t="s">
        <v>1075</v>
      </c>
      <c r="AF136" s="669" t="s">
        <v>1076</v>
      </c>
      <c r="AH136" s="1311" t="s">
        <v>462</v>
      </c>
    </row>
    <row r="137" spans="10:34">
      <c r="J137" s="531">
        <f t="shared" ref="J137:J148" si="25">N137*(Q137+R137+S137+Z137+AA137+AB137)</f>
        <v>33998</v>
      </c>
      <c r="K137" s="558"/>
      <c r="L137" s="531">
        <f t="shared" ref="L137:L148" si="26">N137*(R137+S137+V137+AA137+AB137+AC137)</f>
        <v>37293.153209905679</v>
      </c>
      <c r="N137" s="611">
        <v>1</v>
      </c>
      <c r="P137" s="557" t="s">
        <v>628</v>
      </c>
      <c r="Q137" s="624">
        <v>10098</v>
      </c>
      <c r="R137" s="624">
        <v>10384</v>
      </c>
      <c r="S137" s="624">
        <v>11505</v>
      </c>
      <c r="T137" s="624">
        <v>12568</v>
      </c>
      <c r="U137" s="1272">
        <v>13886.559974161846</v>
      </c>
      <c r="V137" s="1283">
        <v>12710.153209905679</v>
      </c>
      <c r="W137" s="1272">
        <f>MIN((TREND(S137:U137,AA$51:AC$51,AD$51)),1.15*U137)</f>
        <v>15034.746632215796</v>
      </c>
      <c r="Y137" s="557" t="s">
        <v>628</v>
      </c>
      <c r="Z137" s="531">
        <v>344</v>
      </c>
      <c r="AA137" s="531">
        <v>776</v>
      </c>
      <c r="AB137" s="531">
        <v>891</v>
      </c>
      <c r="AC137" s="531">
        <v>1027</v>
      </c>
      <c r="AD137" s="531">
        <v>1247</v>
      </c>
      <c r="AE137" s="1253">
        <v>1151</v>
      </c>
      <c r="AF137" s="1253">
        <v>1411</v>
      </c>
    </row>
    <row r="138" spans="10:34">
      <c r="J138" s="531">
        <f t="shared" si="25"/>
        <v>12208</v>
      </c>
      <c r="K138" s="558"/>
      <c r="L138" s="531">
        <f t="shared" si="26"/>
        <v>12974.537131917505</v>
      </c>
      <c r="N138" s="611">
        <v>1</v>
      </c>
      <c r="P138" s="557" t="s">
        <v>6</v>
      </c>
      <c r="Q138" s="624">
        <v>726</v>
      </c>
      <c r="R138" s="624">
        <v>604</v>
      </c>
      <c r="S138" s="624">
        <v>729</v>
      </c>
      <c r="T138" s="624">
        <v>1884</v>
      </c>
      <c r="U138" s="1272">
        <v>4221.0392942462686</v>
      </c>
      <c r="V138" s="1283">
        <v>1335.5371319175047</v>
      </c>
      <c r="W138" s="1272">
        <f t="shared" ref="W138:W148" si="27">MIN((TREND(S138:U138,AA$51:AC$51,AD$51)),1.15*U138)</f>
        <v>4854.1951883832089</v>
      </c>
      <c r="Y138" s="557" t="s">
        <v>6</v>
      </c>
      <c r="Z138" s="531">
        <v>3285</v>
      </c>
      <c r="AA138" s="531">
        <v>3658</v>
      </c>
      <c r="AB138" s="531">
        <v>3206</v>
      </c>
      <c r="AC138" s="531">
        <v>3442</v>
      </c>
      <c r="AD138" s="531">
        <v>2776</v>
      </c>
      <c r="AE138" s="1253">
        <v>3206</v>
      </c>
      <c r="AF138" s="1253">
        <v>2711.3333333333339</v>
      </c>
    </row>
    <row r="139" spans="10:34">
      <c r="J139" s="531">
        <f t="shared" si="25"/>
        <v>314</v>
      </c>
      <c r="K139" s="558"/>
      <c r="L139" s="531">
        <f t="shared" si="26"/>
        <v>343</v>
      </c>
      <c r="N139" s="611">
        <v>1</v>
      </c>
      <c r="P139" s="557" t="s">
        <v>8</v>
      </c>
      <c r="Q139" s="612">
        <v>30</v>
      </c>
      <c r="R139" s="612">
        <v>15</v>
      </c>
      <c r="S139" s="612">
        <v>0</v>
      </c>
      <c r="T139" s="612">
        <v>0</v>
      </c>
      <c r="U139" s="1278">
        <v>5</v>
      </c>
      <c r="V139" s="1278">
        <v>15</v>
      </c>
      <c r="W139" s="1278">
        <f t="shared" si="27"/>
        <v>5.75</v>
      </c>
      <c r="Y139" s="557" t="s">
        <v>8</v>
      </c>
      <c r="Z139" s="531">
        <v>62</v>
      </c>
      <c r="AA139" s="531">
        <v>53</v>
      </c>
      <c r="AB139" s="531">
        <v>154</v>
      </c>
      <c r="AC139" s="531">
        <v>106</v>
      </c>
      <c r="AD139" s="531">
        <v>128</v>
      </c>
      <c r="AE139" s="1253">
        <v>106.33333333333333</v>
      </c>
      <c r="AF139" s="1253">
        <v>129.33333333333334</v>
      </c>
    </row>
    <row r="140" spans="10:34">
      <c r="J140" s="531">
        <f t="shared" si="25"/>
        <v>5304</v>
      </c>
      <c r="K140" s="558"/>
      <c r="L140" s="531">
        <f t="shared" si="26"/>
        <v>6043.4093415991229</v>
      </c>
      <c r="N140" s="611">
        <v>1</v>
      </c>
      <c r="P140" s="559" t="s">
        <v>2</v>
      </c>
      <c r="Q140" s="539">
        <v>1481</v>
      </c>
      <c r="R140" s="539">
        <v>1742</v>
      </c>
      <c r="S140" s="539">
        <v>1999</v>
      </c>
      <c r="T140" s="539">
        <v>2006</v>
      </c>
      <c r="U140" s="1272">
        <v>2748.8513715063145</v>
      </c>
      <c r="V140" s="1256">
        <v>2180.4093415991233</v>
      </c>
      <c r="W140" s="1278">
        <f t="shared" si="27"/>
        <v>3001.1351620084197</v>
      </c>
      <c r="Y140" s="559" t="s">
        <v>2</v>
      </c>
      <c r="Z140" s="539">
        <v>7</v>
      </c>
      <c r="AA140" s="539">
        <v>48</v>
      </c>
      <c r="AB140" s="539">
        <v>27</v>
      </c>
      <c r="AC140" s="539">
        <v>47</v>
      </c>
      <c r="AD140" s="539">
        <v>166</v>
      </c>
      <c r="AE140" s="1256">
        <v>40.666666666666664</v>
      </c>
      <c r="AF140" s="1256">
        <v>80</v>
      </c>
    </row>
    <row r="141" spans="10:34">
      <c r="J141" s="531">
        <f t="shared" si="25"/>
        <v>20</v>
      </c>
      <c r="K141" s="558"/>
      <c r="L141" s="531">
        <f t="shared" si="26"/>
        <v>22</v>
      </c>
      <c r="N141" s="611">
        <v>1</v>
      </c>
      <c r="P141" s="557" t="s">
        <v>10</v>
      </c>
      <c r="Q141" s="624">
        <v>0</v>
      </c>
      <c r="R141" s="624">
        <v>0</v>
      </c>
      <c r="S141" s="624">
        <v>0</v>
      </c>
      <c r="T141" s="624">
        <v>0</v>
      </c>
      <c r="U141" s="1278">
        <v>0</v>
      </c>
      <c r="V141" s="1283">
        <v>0</v>
      </c>
      <c r="W141" s="1278">
        <f t="shared" si="27"/>
        <v>0</v>
      </c>
      <c r="Y141" s="557" t="s">
        <v>10</v>
      </c>
      <c r="Z141" s="530">
        <v>2</v>
      </c>
      <c r="AA141" s="530">
        <v>10</v>
      </c>
      <c r="AB141" s="530">
        <v>8</v>
      </c>
      <c r="AC141" s="530">
        <v>4</v>
      </c>
      <c r="AD141" s="530">
        <v>0</v>
      </c>
      <c r="AE141" s="1253">
        <v>1.3333333333333339</v>
      </c>
      <c r="AF141" s="1253">
        <v>0</v>
      </c>
    </row>
    <row r="142" spans="10:34">
      <c r="J142" s="531">
        <f t="shared" si="25"/>
        <v>30619</v>
      </c>
      <c r="K142" s="558"/>
      <c r="L142" s="531">
        <f t="shared" si="26"/>
        <v>31226.928649355679</v>
      </c>
      <c r="N142" s="611">
        <v>1</v>
      </c>
      <c r="P142" s="557" t="s">
        <v>4</v>
      </c>
      <c r="Q142" s="624">
        <v>3737</v>
      </c>
      <c r="R142" s="624">
        <v>4439</v>
      </c>
      <c r="S142" s="624">
        <v>5297</v>
      </c>
      <c r="T142" s="624">
        <v>5342</v>
      </c>
      <c r="U142" s="1272">
        <v>5697.3579070666383</v>
      </c>
      <c r="V142" s="1283">
        <v>5670.9286493556792</v>
      </c>
      <c r="W142" s="1272">
        <f t="shared" si="27"/>
        <v>5845.8105427555174</v>
      </c>
      <c r="Y142" s="557" t="s">
        <v>4</v>
      </c>
      <c r="Z142" s="531">
        <v>5812</v>
      </c>
      <c r="AA142" s="531">
        <v>5662</v>
      </c>
      <c r="AB142" s="531">
        <v>5672</v>
      </c>
      <c r="AC142" s="531">
        <v>4486</v>
      </c>
      <c r="AD142" s="531">
        <v>4237</v>
      </c>
      <c r="AE142" s="1253">
        <v>4097.333333333333</v>
      </c>
      <c r="AF142" s="1253">
        <v>3363.333333333333</v>
      </c>
    </row>
    <row r="143" spans="10:34">
      <c r="J143" s="531">
        <f t="shared" si="25"/>
        <v>73</v>
      </c>
      <c r="K143" s="558"/>
      <c r="L143" s="531">
        <f t="shared" si="26"/>
        <v>84.333333333333329</v>
      </c>
      <c r="N143" s="611">
        <v>1</v>
      </c>
      <c r="P143" s="557" t="s">
        <v>14</v>
      </c>
      <c r="Q143" s="548">
        <v>13</v>
      </c>
      <c r="R143" s="548">
        <v>35</v>
      </c>
      <c r="S143" s="548">
        <v>25</v>
      </c>
      <c r="T143" s="548">
        <v>21</v>
      </c>
      <c r="U143" s="1278">
        <v>27</v>
      </c>
      <c r="V143" s="1283">
        <v>24.333333333333332</v>
      </c>
      <c r="W143" s="1278">
        <f t="shared" si="27"/>
        <v>26.333333333333332</v>
      </c>
      <c r="Y143" s="557" t="s">
        <v>14</v>
      </c>
      <c r="Z143" s="530">
        <v>0</v>
      </c>
      <c r="AA143" s="530">
        <v>0</v>
      </c>
      <c r="AB143" s="530">
        <v>0</v>
      </c>
      <c r="AC143" s="530">
        <v>0</v>
      </c>
      <c r="AD143" s="530">
        <v>0</v>
      </c>
      <c r="AE143" s="1253">
        <v>0</v>
      </c>
      <c r="AF143" s="1253">
        <v>0</v>
      </c>
    </row>
    <row r="144" spans="10:34">
      <c r="J144" s="531">
        <f t="shared" si="25"/>
        <v>56627</v>
      </c>
      <c r="K144" s="558"/>
      <c r="L144" s="531">
        <f t="shared" si="26"/>
        <v>61259.784218415072</v>
      </c>
      <c r="N144" s="611">
        <v>1</v>
      </c>
      <c r="P144" s="559" t="s">
        <v>17</v>
      </c>
      <c r="Q144" s="539">
        <v>12605</v>
      </c>
      <c r="R144" s="539">
        <v>14832</v>
      </c>
      <c r="S144" s="539">
        <v>16018</v>
      </c>
      <c r="T144" s="539">
        <v>18602</v>
      </c>
      <c r="U144" s="1272">
        <v>19897.236253888794</v>
      </c>
      <c r="V144" s="1256">
        <v>18051.784218415072</v>
      </c>
      <c r="W144" s="1272">
        <f t="shared" si="27"/>
        <v>22051.648338518389</v>
      </c>
      <c r="Y144" s="559" t="s">
        <v>17</v>
      </c>
      <c r="Z144" s="539">
        <v>4708</v>
      </c>
      <c r="AA144" s="539">
        <v>4355</v>
      </c>
      <c r="AB144" s="539">
        <v>4109</v>
      </c>
      <c r="AC144" s="539">
        <v>3894</v>
      </c>
      <c r="AD144" s="539">
        <v>4032</v>
      </c>
      <c r="AE144" s="1256">
        <v>3658.333333333333</v>
      </c>
      <c r="AF144" s="1256">
        <v>3934.6666666666665</v>
      </c>
    </row>
    <row r="145" spans="10:32">
      <c r="J145" s="531">
        <f t="shared" si="25"/>
        <v>0</v>
      </c>
      <c r="K145" s="558"/>
      <c r="L145" s="531">
        <f t="shared" si="26"/>
        <v>0</v>
      </c>
      <c r="N145" s="611">
        <v>1</v>
      </c>
      <c r="P145" s="557" t="s">
        <v>376</v>
      </c>
      <c r="Q145" s="548">
        <v>0</v>
      </c>
      <c r="R145" s="548">
        <v>0</v>
      </c>
      <c r="S145" s="548">
        <v>0</v>
      </c>
      <c r="T145" s="548">
        <v>0</v>
      </c>
      <c r="U145" s="1278">
        <v>0</v>
      </c>
      <c r="V145" s="1283">
        <v>0</v>
      </c>
      <c r="W145" s="1278">
        <f t="shared" si="27"/>
        <v>0</v>
      </c>
      <c r="Y145" s="557" t="s">
        <v>376</v>
      </c>
      <c r="Z145" s="530">
        <v>0</v>
      </c>
      <c r="AA145" s="530">
        <v>0</v>
      </c>
      <c r="AB145" s="530">
        <v>0</v>
      </c>
      <c r="AC145" s="530">
        <v>0</v>
      </c>
      <c r="AD145" s="530">
        <v>0</v>
      </c>
      <c r="AE145" s="1253">
        <v>0</v>
      </c>
      <c r="AF145" s="1253">
        <v>0</v>
      </c>
    </row>
    <row r="146" spans="10:32">
      <c r="J146" s="531">
        <f t="shared" si="25"/>
        <v>19491</v>
      </c>
      <c r="K146" s="558"/>
      <c r="L146" s="531">
        <f t="shared" si="26"/>
        <v>31913.394155294911</v>
      </c>
      <c r="N146" s="611">
        <v>1</v>
      </c>
      <c r="P146" s="557" t="s">
        <v>7</v>
      </c>
      <c r="Q146" s="624">
        <v>1884</v>
      </c>
      <c r="R146" s="624">
        <v>4791</v>
      </c>
      <c r="S146" s="624">
        <v>8985</v>
      </c>
      <c r="T146" s="624">
        <v>12802</v>
      </c>
      <c r="U146" s="1272">
        <v>16762.434056699178</v>
      </c>
      <c r="V146" s="1283">
        <v>13512.394155294911</v>
      </c>
      <c r="W146" s="1272">
        <f t="shared" si="27"/>
        <v>19276.799165204055</v>
      </c>
      <c r="Y146" s="557" t="s">
        <v>7</v>
      </c>
      <c r="Z146" s="531">
        <v>1069</v>
      </c>
      <c r="AA146" s="531">
        <v>1152</v>
      </c>
      <c r="AB146" s="531">
        <v>1610</v>
      </c>
      <c r="AC146" s="531">
        <v>1863</v>
      </c>
      <c r="AD146" s="531">
        <v>2259</v>
      </c>
      <c r="AE146" s="1253">
        <v>2252.666666666667</v>
      </c>
      <c r="AF146" s="1253">
        <v>2559.666666666667</v>
      </c>
    </row>
    <row r="147" spans="10:32">
      <c r="J147" s="531">
        <f t="shared" si="25"/>
        <v>22816</v>
      </c>
      <c r="K147" s="558"/>
      <c r="L147" s="531">
        <f t="shared" si="26"/>
        <v>24214.80021689726</v>
      </c>
      <c r="N147" s="611">
        <v>1</v>
      </c>
      <c r="P147" s="557" t="s">
        <v>9</v>
      </c>
      <c r="Q147" s="624">
        <v>3478</v>
      </c>
      <c r="R147" s="624">
        <v>4117</v>
      </c>
      <c r="S147" s="624">
        <v>4107</v>
      </c>
      <c r="T147" s="624">
        <v>4408</v>
      </c>
      <c r="U147" s="1272">
        <v>4970.5879720330513</v>
      </c>
      <c r="V147" s="1283">
        <v>4960.8002168972616</v>
      </c>
      <c r="W147" s="1272">
        <f t="shared" si="27"/>
        <v>5358.7839627107351</v>
      </c>
      <c r="Y147" s="557" t="s">
        <v>9</v>
      </c>
      <c r="Z147" s="531">
        <v>3697</v>
      </c>
      <c r="AA147" s="531">
        <v>3835</v>
      </c>
      <c r="AB147" s="531">
        <v>3582</v>
      </c>
      <c r="AC147" s="531">
        <v>3613</v>
      </c>
      <c r="AD147" s="531">
        <v>3326</v>
      </c>
      <c r="AE147" s="1253">
        <v>3454.6666666666665</v>
      </c>
      <c r="AF147" s="1253">
        <v>3251</v>
      </c>
    </row>
    <row r="148" spans="10:32">
      <c r="J148" s="531">
        <f t="shared" si="25"/>
        <v>8126</v>
      </c>
      <c r="K148" s="558"/>
      <c r="L148" s="531">
        <f t="shared" si="26"/>
        <v>8655.6209208153014</v>
      </c>
      <c r="N148" s="611">
        <v>1</v>
      </c>
      <c r="P148" s="559" t="s">
        <v>5</v>
      </c>
      <c r="Q148" s="539">
        <v>2003</v>
      </c>
      <c r="R148" s="539">
        <v>2232</v>
      </c>
      <c r="S148" s="539">
        <v>1969</v>
      </c>
      <c r="T148" s="539">
        <v>2178</v>
      </c>
      <c r="U148" s="1272">
        <v>2134.2855200146678</v>
      </c>
      <c r="V148" s="1256">
        <v>2395.6209208153023</v>
      </c>
      <c r="W148" s="1256">
        <f t="shared" si="27"/>
        <v>2259.0473600195569</v>
      </c>
      <c r="Y148" s="559" t="s">
        <v>5</v>
      </c>
      <c r="Z148" s="539">
        <v>540</v>
      </c>
      <c r="AA148" s="539">
        <v>604</v>
      </c>
      <c r="AB148" s="539">
        <v>778</v>
      </c>
      <c r="AC148" s="539">
        <v>677</v>
      </c>
      <c r="AD148" s="539">
        <v>695</v>
      </c>
      <c r="AE148" s="1256">
        <v>759.33333333333348</v>
      </c>
      <c r="AF148" s="1256">
        <v>633.66666666666663</v>
      </c>
    </row>
    <row r="149" spans="10:32">
      <c r="J149" s="530"/>
      <c r="K149" s="558"/>
      <c r="L149" s="530"/>
      <c r="P149" s="557"/>
      <c r="Q149" s="548"/>
      <c r="R149" s="548"/>
      <c r="S149" s="548"/>
      <c r="T149" s="548"/>
      <c r="U149" s="1283"/>
      <c r="V149" s="1283"/>
      <c r="W149" s="1283"/>
      <c r="Y149" s="557"/>
      <c r="Z149" s="530"/>
      <c r="AA149" s="530"/>
      <c r="AB149" s="530"/>
      <c r="AC149" s="530"/>
      <c r="AD149" s="530"/>
      <c r="AE149" s="1253"/>
      <c r="AF149" s="1253"/>
    </row>
    <row r="150" spans="10:32">
      <c r="J150" s="531">
        <f>N150*(Q150+R150+S150+Z150+AA150+AB150)</f>
        <v>332</v>
      </c>
      <c r="K150" s="558"/>
      <c r="L150" s="531">
        <f>N150*(R150+S150+V150+AA150+AB150+AC150)</f>
        <v>324</v>
      </c>
      <c r="N150" s="611">
        <v>1</v>
      </c>
      <c r="P150" s="557" t="s">
        <v>631</v>
      </c>
      <c r="Q150" s="548"/>
      <c r="R150" s="548"/>
      <c r="S150" s="548"/>
      <c r="T150" s="548"/>
      <c r="U150" s="1283"/>
      <c r="V150" s="1283"/>
      <c r="W150" s="1283"/>
      <c r="Y150" s="557" t="s">
        <v>631</v>
      </c>
      <c r="Z150" s="530">
        <v>92</v>
      </c>
      <c r="AA150" s="530">
        <v>156</v>
      </c>
      <c r="AB150" s="530">
        <v>84</v>
      </c>
      <c r="AC150" s="530">
        <v>84</v>
      </c>
      <c r="AD150" s="530">
        <v>120</v>
      </c>
      <c r="AE150" s="1253">
        <v>108</v>
      </c>
      <c r="AF150" s="1253">
        <v>96</v>
      </c>
    </row>
    <row r="151" spans="10:32">
      <c r="J151" s="531">
        <f>N151*(Q151+R151+S151+Z151+AA151+AB151)</f>
        <v>1238</v>
      </c>
      <c r="K151" s="558"/>
      <c r="L151" s="531">
        <f>N151*(R151+S151+V151+AA151+AB151+AC151)</f>
        <v>1028.6666666666667</v>
      </c>
      <c r="N151" s="611">
        <v>1</v>
      </c>
      <c r="P151" s="557" t="s">
        <v>657</v>
      </c>
      <c r="Q151" s="624">
        <v>435</v>
      </c>
      <c r="R151" s="624">
        <v>379</v>
      </c>
      <c r="S151" s="624">
        <v>169</v>
      </c>
      <c r="T151" s="624">
        <v>184</v>
      </c>
      <c r="U151" s="1278">
        <v>244</v>
      </c>
      <c r="V151" s="1283">
        <v>327.66666666666669</v>
      </c>
      <c r="W151" s="1278">
        <f>MIN((TREND(S151:U151,AA$51:AC$51,AD$51)),1.15*U151)</f>
        <v>274</v>
      </c>
      <c r="Y151" s="557" t="s">
        <v>657</v>
      </c>
      <c r="Z151" s="530">
        <v>126</v>
      </c>
      <c r="AA151" s="530">
        <v>89</v>
      </c>
      <c r="AB151" s="530">
        <v>40</v>
      </c>
      <c r="AC151" s="530">
        <v>24</v>
      </c>
      <c r="AD151" s="530">
        <v>35</v>
      </c>
      <c r="AE151" s="1253">
        <v>51</v>
      </c>
      <c r="AF151" s="1253">
        <v>33</v>
      </c>
    </row>
    <row r="152" spans="10:32">
      <c r="J152" s="531">
        <f>N152*(Q152+R152+S152+Z152+AA152+AB152)</f>
        <v>0</v>
      </c>
      <c r="K152" s="558"/>
      <c r="L152" s="531">
        <f>N152*(R152+S152+V152+AA152+AB152+AC152)</f>
        <v>0</v>
      </c>
      <c r="N152" s="611">
        <v>1</v>
      </c>
      <c r="P152" s="559" t="s">
        <v>633</v>
      </c>
      <c r="Q152" s="540"/>
      <c r="R152" s="540"/>
      <c r="S152" s="540"/>
      <c r="T152" s="540"/>
      <c r="U152" s="1256"/>
      <c r="V152" s="1256"/>
      <c r="W152" s="1284"/>
      <c r="Y152" s="559" t="s">
        <v>633</v>
      </c>
      <c r="Z152" s="540"/>
      <c r="AA152" s="540"/>
      <c r="AB152" s="540"/>
      <c r="AC152" s="540"/>
      <c r="AD152" s="540"/>
      <c r="AE152" s="1256"/>
      <c r="AF152" s="1256"/>
    </row>
    <row r="153" spans="10:32">
      <c r="J153" s="531">
        <f>N153*(Q153+R153+S153+Z153+AA153+AB153)</f>
        <v>0</v>
      </c>
      <c r="K153" s="558"/>
      <c r="L153" s="531">
        <f>N153*(R153+S153+V153+AA153+AB153+AC153)</f>
        <v>0</v>
      </c>
      <c r="N153" s="611">
        <v>1</v>
      </c>
      <c r="P153" s="557" t="s">
        <v>656</v>
      </c>
      <c r="Q153" s="624"/>
      <c r="R153" s="624"/>
      <c r="S153" s="624"/>
      <c r="T153" s="624"/>
      <c r="U153" s="1283"/>
      <c r="V153" s="1283"/>
      <c r="W153" s="1278"/>
      <c r="Y153" s="557" t="s">
        <v>656</v>
      </c>
      <c r="Z153" s="530"/>
      <c r="AA153" s="530"/>
      <c r="AB153" s="530"/>
      <c r="AC153" s="530"/>
      <c r="AD153" s="530"/>
      <c r="AE153" s="1253"/>
      <c r="AF153" s="1253"/>
    </row>
    <row r="154" spans="10:32">
      <c r="J154" s="531">
        <f>N154*(Q154+R154+S154+Z154+AA154+AB154)</f>
        <v>1636</v>
      </c>
      <c r="K154" s="558"/>
      <c r="L154" s="531">
        <f>N154*(R154+S154+V154+AA154+AB154+AC154)</f>
        <v>986.33333333333337</v>
      </c>
      <c r="N154" s="611">
        <v>1</v>
      </c>
      <c r="P154" s="563" t="s">
        <v>635</v>
      </c>
      <c r="Q154" s="548">
        <v>12</v>
      </c>
      <c r="R154" s="548">
        <v>0</v>
      </c>
      <c r="S154" s="548">
        <v>38</v>
      </c>
      <c r="T154" s="548">
        <v>35</v>
      </c>
      <c r="U154" s="1278">
        <v>26</v>
      </c>
      <c r="V154" s="1283">
        <v>18.333333333333332</v>
      </c>
      <c r="W154" s="1278">
        <f>MIN((TREND(S154:U154,AA$51:AC$51,AD$51)),1.15*U154)</f>
        <v>21.000000000000004</v>
      </c>
      <c r="Y154" s="563" t="s">
        <v>635</v>
      </c>
      <c r="Z154" s="530">
        <v>687</v>
      </c>
      <c r="AA154" s="530">
        <v>649</v>
      </c>
      <c r="AB154" s="530">
        <v>250</v>
      </c>
      <c r="AC154" s="530">
        <v>31</v>
      </c>
      <c r="AD154" s="530">
        <v>12</v>
      </c>
      <c r="AE154" s="1253">
        <v>310</v>
      </c>
      <c r="AF154" s="1253">
        <v>97.666666666666671</v>
      </c>
    </row>
    <row r="155" spans="10:32">
      <c r="J155" s="543">
        <f>SUM(J137:J154)</f>
        <v>192802</v>
      </c>
      <c r="K155" s="565"/>
      <c r="L155" s="543">
        <f>SUM(L137:L154)</f>
        <v>216369.96117753387</v>
      </c>
      <c r="P155" s="664"/>
      <c r="Q155" s="543">
        <f t="shared" ref="Q155:W155" si="28">SUM(Q137:Q154)</f>
        <v>36502</v>
      </c>
      <c r="R155" s="543">
        <f t="shared" si="28"/>
        <v>43570</v>
      </c>
      <c r="S155" s="543">
        <f t="shared" si="28"/>
        <v>50841</v>
      </c>
      <c r="T155" s="543">
        <f t="shared" si="28"/>
        <v>60030</v>
      </c>
      <c r="U155" s="543">
        <f t="shared" si="28"/>
        <v>70620.352349616762</v>
      </c>
      <c r="V155" s="543">
        <f t="shared" si="28"/>
        <v>61202.961177533856</v>
      </c>
      <c r="W155" s="543">
        <f t="shared" si="28"/>
        <v>78009.249685149</v>
      </c>
      <c r="Y155" s="542"/>
      <c r="Z155" s="543">
        <f t="shared" ref="Z155:AF155" si="29">SUM(Z137:Z154)</f>
        <v>20431</v>
      </c>
      <c r="AA155" s="543">
        <f t="shared" si="29"/>
        <v>21047</v>
      </c>
      <c r="AB155" s="543">
        <f t="shared" si="29"/>
        <v>20411</v>
      </c>
      <c r="AC155" s="543">
        <f t="shared" si="29"/>
        <v>19298</v>
      </c>
      <c r="AD155" s="543">
        <f t="shared" si="29"/>
        <v>19033</v>
      </c>
      <c r="AE155" s="543">
        <f t="shared" si="29"/>
        <v>19196.666666666668</v>
      </c>
      <c r="AF155" s="543">
        <f t="shared" si="29"/>
        <v>18300.666666666668</v>
      </c>
    </row>
    <row r="157" spans="10:32">
      <c r="J157" s="554" t="s">
        <v>1024</v>
      </c>
      <c r="K157" s="554"/>
      <c r="L157" s="554"/>
      <c r="P157" s="667" t="s">
        <v>711</v>
      </c>
      <c r="Q157" s="536"/>
      <c r="R157" s="536"/>
      <c r="S157" s="536"/>
      <c r="T157" s="663"/>
      <c r="U157" s="663"/>
      <c r="V157" s="663"/>
    </row>
    <row r="158" spans="10:32" ht="25.5">
      <c r="J158" s="556" t="s">
        <v>1004</v>
      </c>
      <c r="K158" s="556"/>
      <c r="L158" s="556" t="s">
        <v>1005</v>
      </c>
      <c r="P158" s="668"/>
      <c r="Q158" s="669" t="s">
        <v>622</v>
      </c>
      <c r="R158" s="669" t="s">
        <v>623</v>
      </c>
      <c r="S158" s="670" t="s">
        <v>624</v>
      </c>
      <c r="T158" s="669" t="s">
        <v>1065</v>
      </c>
      <c r="U158" s="669" t="s">
        <v>1074</v>
      </c>
      <c r="V158" s="669" t="s">
        <v>645</v>
      </c>
      <c r="W158" s="669" t="s">
        <v>1083</v>
      </c>
      <c r="Y158" s="578"/>
      <c r="Z158" s="549"/>
      <c r="AA158" s="549"/>
      <c r="AB158" s="549"/>
      <c r="AC158" s="549"/>
      <c r="AD158" s="549"/>
      <c r="AE158" s="549"/>
      <c r="AF158" s="549"/>
    </row>
    <row r="159" spans="10:32">
      <c r="J159" s="531">
        <f>N159*(Q159+R159+S159)</f>
        <v>664</v>
      </c>
      <c r="K159" s="558"/>
      <c r="L159" s="531">
        <f t="shared" ref="L159:L170" si="30">N159*(R159+S159+V159)</f>
        <v>730.33333333333337</v>
      </c>
      <c r="N159" s="611">
        <v>1</v>
      </c>
      <c r="P159" s="557" t="s">
        <v>628</v>
      </c>
      <c r="Q159" s="624">
        <v>155</v>
      </c>
      <c r="R159" s="624">
        <v>143</v>
      </c>
      <c r="S159" s="624">
        <v>366</v>
      </c>
      <c r="T159" s="624">
        <v>203</v>
      </c>
      <c r="U159" s="1278">
        <v>237.33333333333334</v>
      </c>
      <c r="V159" s="1278">
        <v>221.33333333333334</v>
      </c>
      <c r="W159" s="1272">
        <f>MIN((TREND(S159:U159,AA$51:AC$51,AD$51)),1.15*U159)</f>
        <v>140.11111111111109</v>
      </c>
      <c r="Y159" s="578"/>
      <c r="Z159" s="549"/>
      <c r="AA159" s="549"/>
      <c r="AB159" s="549"/>
      <c r="AC159" s="549"/>
      <c r="AD159" s="549"/>
      <c r="AE159" s="549"/>
      <c r="AF159" s="549"/>
    </row>
    <row r="160" spans="10:32">
      <c r="J160" s="531">
        <f t="shared" ref="J160:J170" si="31">N160*(Q160+R160+S160)</f>
        <v>467</v>
      </c>
      <c r="K160" s="558"/>
      <c r="L160" s="531">
        <f t="shared" si="30"/>
        <v>536.66666666666663</v>
      </c>
      <c r="N160" s="611">
        <v>1</v>
      </c>
      <c r="P160" s="557" t="s">
        <v>6</v>
      </c>
      <c r="Q160" s="624">
        <v>86</v>
      </c>
      <c r="R160" s="624">
        <v>157</v>
      </c>
      <c r="S160" s="624">
        <v>224</v>
      </c>
      <c r="T160" s="624">
        <v>224</v>
      </c>
      <c r="U160" s="1278">
        <v>201.66666666666666</v>
      </c>
      <c r="V160" s="1278">
        <v>155.66666666666666</v>
      </c>
      <c r="W160" s="1272">
        <f t="shared" ref="W160:W170" si="32">MIN((TREND(S160:U160,AA$51:AC$51,AD$51)),1.15*U160)</f>
        <v>194.2222222222222</v>
      </c>
    </row>
    <row r="161" spans="10:23">
      <c r="J161" s="531">
        <f t="shared" si="31"/>
        <v>1219</v>
      </c>
      <c r="K161" s="558"/>
      <c r="L161" s="531">
        <f t="shared" si="30"/>
        <v>949.33333333333326</v>
      </c>
      <c r="N161" s="611">
        <v>1</v>
      </c>
      <c r="P161" s="557" t="s">
        <v>8</v>
      </c>
      <c r="Q161" s="612">
        <v>676</v>
      </c>
      <c r="R161" s="612">
        <v>290</v>
      </c>
      <c r="S161" s="612">
        <v>253</v>
      </c>
      <c r="T161" s="612">
        <v>200</v>
      </c>
      <c r="U161" s="1278">
        <v>247.66666666666666</v>
      </c>
      <c r="V161" s="1278">
        <v>406.33333333333331</v>
      </c>
      <c r="W161" s="1278">
        <f t="shared" si="32"/>
        <v>228.2222222222222</v>
      </c>
    </row>
    <row r="162" spans="10:23">
      <c r="J162" s="531">
        <f t="shared" si="31"/>
        <v>260</v>
      </c>
      <c r="K162" s="558"/>
      <c r="L162" s="531">
        <f t="shared" si="30"/>
        <v>288.66666666666669</v>
      </c>
      <c r="N162" s="611">
        <v>1</v>
      </c>
      <c r="P162" s="559" t="s">
        <v>2</v>
      </c>
      <c r="Q162" s="539">
        <v>58</v>
      </c>
      <c r="R162" s="539">
        <v>121</v>
      </c>
      <c r="S162" s="539">
        <v>81</v>
      </c>
      <c r="T162" s="539">
        <v>180</v>
      </c>
      <c r="U162" s="1278">
        <v>127.33333333333333</v>
      </c>
      <c r="V162" s="1278">
        <v>86.666666666666671</v>
      </c>
      <c r="W162" s="1278">
        <f t="shared" si="32"/>
        <v>146.43333333333331</v>
      </c>
    </row>
    <row r="163" spans="10:23">
      <c r="J163" s="531">
        <f t="shared" si="31"/>
        <v>0</v>
      </c>
      <c r="K163" s="558"/>
      <c r="L163" s="531">
        <f t="shared" si="30"/>
        <v>0</v>
      </c>
      <c r="N163" s="611">
        <v>1</v>
      </c>
      <c r="P163" s="557" t="s">
        <v>10</v>
      </c>
      <c r="Q163" s="624">
        <v>0</v>
      </c>
      <c r="R163" s="624">
        <v>0</v>
      </c>
      <c r="S163" s="624">
        <v>0</v>
      </c>
      <c r="T163" s="624">
        <v>0</v>
      </c>
      <c r="U163" s="1278">
        <v>0</v>
      </c>
      <c r="V163" s="1278">
        <v>0</v>
      </c>
      <c r="W163" s="1278">
        <f t="shared" si="32"/>
        <v>0</v>
      </c>
    </row>
    <row r="164" spans="10:23">
      <c r="J164" s="531">
        <f t="shared" si="31"/>
        <v>224</v>
      </c>
      <c r="K164" s="558"/>
      <c r="L164" s="531">
        <f t="shared" si="30"/>
        <v>229.66666666666669</v>
      </c>
      <c r="N164" s="611">
        <v>1</v>
      </c>
      <c r="P164" s="557" t="s">
        <v>4</v>
      </c>
      <c r="Q164" s="624">
        <v>69</v>
      </c>
      <c r="R164" s="624">
        <v>53</v>
      </c>
      <c r="S164" s="624">
        <v>102</v>
      </c>
      <c r="T164" s="624">
        <v>42</v>
      </c>
      <c r="U164" s="1278">
        <v>65.666666666666671</v>
      </c>
      <c r="V164" s="1278">
        <v>74.666666666666671</v>
      </c>
      <c r="W164" s="1272">
        <f t="shared" si="32"/>
        <v>33.555555555555557</v>
      </c>
    </row>
    <row r="165" spans="10:23">
      <c r="J165" s="531">
        <f t="shared" si="31"/>
        <v>187</v>
      </c>
      <c r="K165" s="558"/>
      <c r="L165" s="531">
        <f t="shared" si="30"/>
        <v>211.33333333333334</v>
      </c>
      <c r="N165" s="611">
        <v>1</v>
      </c>
      <c r="P165" s="557" t="s">
        <v>14</v>
      </c>
      <c r="Q165" s="548">
        <v>38</v>
      </c>
      <c r="R165" s="548">
        <v>63</v>
      </c>
      <c r="S165" s="548">
        <v>86</v>
      </c>
      <c r="T165" s="548">
        <v>140</v>
      </c>
      <c r="U165" s="1278">
        <v>96.333333333333329</v>
      </c>
      <c r="V165" s="1278">
        <v>62.333333333333336</v>
      </c>
      <c r="W165" s="1278">
        <f t="shared" si="32"/>
        <v>110.78333333333332</v>
      </c>
    </row>
    <row r="166" spans="10:23">
      <c r="J166" s="531">
        <f t="shared" si="31"/>
        <v>511</v>
      </c>
      <c r="K166" s="558"/>
      <c r="L166" s="531">
        <f t="shared" si="30"/>
        <v>499.33333333333337</v>
      </c>
      <c r="N166" s="611">
        <v>1</v>
      </c>
      <c r="P166" s="559" t="s">
        <v>17</v>
      </c>
      <c r="Q166" s="539">
        <v>182</v>
      </c>
      <c r="R166" s="539">
        <v>190</v>
      </c>
      <c r="S166" s="539">
        <v>139</v>
      </c>
      <c r="T166" s="539">
        <v>110</v>
      </c>
      <c r="U166" s="1278">
        <v>146.33333333333334</v>
      </c>
      <c r="V166" s="1278">
        <v>170.33333333333334</v>
      </c>
      <c r="W166" s="1272">
        <f t="shared" si="32"/>
        <v>139.11111111111114</v>
      </c>
    </row>
    <row r="167" spans="10:23">
      <c r="J167" s="531">
        <f t="shared" si="31"/>
        <v>0</v>
      </c>
      <c r="K167" s="558"/>
      <c r="L167" s="531">
        <f t="shared" si="30"/>
        <v>0</v>
      </c>
      <c r="N167" s="611">
        <v>1</v>
      </c>
      <c r="P167" s="557" t="s">
        <v>376</v>
      </c>
      <c r="Q167" s="548">
        <v>0</v>
      </c>
      <c r="R167" s="548">
        <v>0</v>
      </c>
      <c r="S167" s="548">
        <v>0</v>
      </c>
      <c r="T167" s="548">
        <v>0</v>
      </c>
      <c r="U167" s="1278">
        <v>0</v>
      </c>
      <c r="V167" s="1278">
        <v>0</v>
      </c>
      <c r="W167" s="1278">
        <f t="shared" si="32"/>
        <v>0</v>
      </c>
    </row>
    <row r="168" spans="10:23">
      <c r="J168" s="531">
        <f t="shared" si="31"/>
        <v>235</v>
      </c>
      <c r="K168" s="558"/>
      <c r="L168" s="531">
        <f t="shared" si="30"/>
        <v>287.33333333333331</v>
      </c>
      <c r="N168" s="611">
        <v>1</v>
      </c>
      <c r="P168" s="557" t="s">
        <v>7</v>
      </c>
      <c r="Q168" s="624">
        <v>26</v>
      </c>
      <c r="R168" s="624">
        <v>74</v>
      </c>
      <c r="S168" s="624">
        <v>135</v>
      </c>
      <c r="T168" s="624">
        <v>177</v>
      </c>
      <c r="U168" s="1278">
        <v>128.66666666666666</v>
      </c>
      <c r="V168" s="1278">
        <v>78.333333333333329</v>
      </c>
      <c r="W168" s="1272">
        <f t="shared" si="32"/>
        <v>140.55555555555557</v>
      </c>
    </row>
    <row r="169" spans="10:23">
      <c r="J169" s="531">
        <f t="shared" si="31"/>
        <v>307</v>
      </c>
      <c r="K169" s="558"/>
      <c r="L169" s="531">
        <f t="shared" si="30"/>
        <v>306.33333333333331</v>
      </c>
      <c r="N169" s="611">
        <v>1</v>
      </c>
      <c r="P169" s="557" t="s">
        <v>9</v>
      </c>
      <c r="Q169" s="624">
        <v>103</v>
      </c>
      <c r="R169" s="624">
        <v>127</v>
      </c>
      <c r="S169" s="624">
        <v>77</v>
      </c>
      <c r="T169" s="624">
        <v>88</v>
      </c>
      <c r="U169" s="1278">
        <v>97.333333333333329</v>
      </c>
      <c r="V169" s="1278">
        <v>102.33333333333333</v>
      </c>
      <c r="W169" s="1272">
        <f t="shared" si="32"/>
        <v>107.77777777777777</v>
      </c>
    </row>
    <row r="170" spans="10:23">
      <c r="J170" s="531">
        <f t="shared" si="31"/>
        <v>351</v>
      </c>
      <c r="K170" s="558"/>
      <c r="L170" s="531">
        <f t="shared" si="30"/>
        <v>336</v>
      </c>
      <c r="N170" s="611">
        <v>1</v>
      </c>
      <c r="P170" s="559" t="s">
        <v>5</v>
      </c>
      <c r="Q170" s="539">
        <v>132</v>
      </c>
      <c r="R170" s="539">
        <v>114</v>
      </c>
      <c r="S170" s="539">
        <v>105</v>
      </c>
      <c r="T170" s="539">
        <v>111</v>
      </c>
      <c r="U170" s="1278">
        <v>110</v>
      </c>
      <c r="V170" s="1278">
        <v>117</v>
      </c>
      <c r="W170" s="1256">
        <f t="shared" si="32"/>
        <v>113.66666666666667</v>
      </c>
    </row>
    <row r="171" spans="10:23">
      <c r="J171" s="530"/>
      <c r="K171" s="558"/>
      <c r="L171" s="530"/>
      <c r="P171" s="557"/>
      <c r="Q171" s="548"/>
      <c r="R171" s="548"/>
      <c r="S171" s="548"/>
      <c r="T171" s="548"/>
      <c r="U171" s="1283"/>
      <c r="V171" s="1283"/>
      <c r="W171" s="1283"/>
    </row>
    <row r="172" spans="10:23">
      <c r="J172" s="531">
        <f>N172*(Q172+R172+S172)</f>
        <v>0</v>
      </c>
      <c r="K172" s="558"/>
      <c r="L172" s="531">
        <f>N172*(R172+S172+V172)</f>
        <v>0</v>
      </c>
      <c r="N172" s="611">
        <v>1</v>
      </c>
      <c r="P172" s="557" t="s">
        <v>631</v>
      </c>
      <c r="Q172" s="548"/>
      <c r="R172" s="548"/>
      <c r="S172" s="548"/>
      <c r="T172" s="548"/>
      <c r="U172" s="1283"/>
      <c r="V172" s="1283"/>
      <c r="W172" s="1283"/>
    </row>
    <row r="173" spans="10:23">
      <c r="J173" s="531">
        <f>N173*(Q173+R173+S173)</f>
        <v>44</v>
      </c>
      <c r="K173" s="558"/>
      <c r="L173" s="531">
        <f>N173*(R173+S173+V173)</f>
        <v>38.666666666666664</v>
      </c>
      <c r="N173" s="611">
        <v>1</v>
      </c>
      <c r="P173" s="557" t="s">
        <v>657</v>
      </c>
      <c r="Q173" s="624">
        <v>20</v>
      </c>
      <c r="R173" s="624">
        <v>18</v>
      </c>
      <c r="S173" s="624">
        <v>6</v>
      </c>
      <c r="T173" s="624">
        <v>0</v>
      </c>
      <c r="U173" s="1278">
        <v>8</v>
      </c>
      <c r="V173" s="1278">
        <v>14.666666666666666</v>
      </c>
      <c r="W173" s="1278">
        <f>MIN((TREND(S173:U173,AA$51:AC$51,AD$51)),1.15*U173)</f>
        <v>6.6666666666666679</v>
      </c>
    </row>
    <row r="174" spans="10:23">
      <c r="J174" s="531">
        <f>N174*(Q174+R174+S174)</f>
        <v>0</v>
      </c>
      <c r="K174" s="558"/>
      <c r="L174" s="531">
        <f>N174*(R174+S174+V174)</f>
        <v>0</v>
      </c>
      <c r="N174" s="611">
        <v>1</v>
      </c>
      <c r="P174" s="559" t="s">
        <v>633</v>
      </c>
      <c r="Q174" s="540"/>
      <c r="R174" s="540"/>
      <c r="S174" s="540"/>
      <c r="T174" s="540"/>
      <c r="U174" s="1256"/>
      <c r="V174" s="1256"/>
      <c r="W174" s="1284"/>
    </row>
    <row r="175" spans="10:23">
      <c r="J175" s="531">
        <f>N175*(Q175+R175+S175)</f>
        <v>0</v>
      </c>
      <c r="K175" s="558"/>
      <c r="L175" s="531">
        <f>N175*(R175+S175+V175)</f>
        <v>0</v>
      </c>
      <c r="N175" s="611">
        <v>1</v>
      </c>
      <c r="P175" s="557" t="s">
        <v>656</v>
      </c>
      <c r="Q175" s="624"/>
      <c r="R175" s="624"/>
      <c r="S175" s="624"/>
      <c r="T175" s="624"/>
      <c r="U175" s="1283"/>
      <c r="V175" s="1283"/>
      <c r="W175" s="1278"/>
    </row>
    <row r="176" spans="10:23">
      <c r="J176" s="531">
        <f>N176*(Q176+R176+S176)</f>
        <v>12</v>
      </c>
      <c r="K176" s="558"/>
      <c r="L176" s="531">
        <f>N176*(R176+S176+V176)</f>
        <v>4</v>
      </c>
      <c r="N176" s="611">
        <v>1</v>
      </c>
      <c r="P176" s="563" t="s">
        <v>635</v>
      </c>
      <c r="Q176" s="548">
        <v>12</v>
      </c>
      <c r="R176" s="548">
        <v>0</v>
      </c>
      <c r="S176" s="548">
        <v>0</v>
      </c>
      <c r="T176" s="548">
        <v>27</v>
      </c>
      <c r="U176" s="1278">
        <v>9</v>
      </c>
      <c r="V176" s="1278">
        <v>4</v>
      </c>
      <c r="W176" s="1278">
        <f>MIN((TREND(S176:U176,AA$51:AC$51,AD$51)),1.15*U176)</f>
        <v>10.35</v>
      </c>
    </row>
    <row r="177" spans="10:32">
      <c r="J177" s="543">
        <f>SUM(J159:J176)</f>
        <v>4481</v>
      </c>
      <c r="K177" s="565"/>
      <c r="L177" s="543">
        <f>SUM(L159:L176)</f>
        <v>4417.666666666667</v>
      </c>
      <c r="P177" s="664"/>
      <c r="Q177" s="543">
        <f t="shared" ref="Q177:W177" si="33">SUM(Q159:Q176)</f>
        <v>1557</v>
      </c>
      <c r="R177" s="543">
        <f t="shared" si="33"/>
        <v>1350</v>
      </c>
      <c r="S177" s="543">
        <f t="shared" si="33"/>
        <v>1574</v>
      </c>
      <c r="T177" s="543">
        <f t="shared" si="33"/>
        <v>1502</v>
      </c>
      <c r="U177" s="543">
        <f t="shared" si="33"/>
        <v>1475.3333333333333</v>
      </c>
      <c r="V177" s="543">
        <f t="shared" si="33"/>
        <v>1493.6666666666665</v>
      </c>
      <c r="W177" s="543">
        <f t="shared" si="33"/>
        <v>1371.4555555555555</v>
      </c>
    </row>
    <row r="179" spans="10:32">
      <c r="J179" s="554" t="s">
        <v>1023</v>
      </c>
      <c r="K179" s="554"/>
      <c r="L179" s="554"/>
      <c r="P179" s="667" t="s">
        <v>712</v>
      </c>
      <c r="Q179" s="536"/>
      <c r="R179" s="536"/>
      <c r="S179" s="536"/>
      <c r="T179" s="663"/>
      <c r="U179" s="663"/>
      <c r="V179" s="663"/>
      <c r="Y179" s="650" t="s">
        <v>700</v>
      </c>
      <c r="Z179" s="651"/>
      <c r="AA179" s="651"/>
      <c r="AB179" s="651"/>
      <c r="AC179" s="651"/>
      <c r="AD179" s="651"/>
      <c r="AE179" s="651"/>
      <c r="AF179" s="651"/>
    </row>
    <row r="180" spans="10:32" ht="25.5">
      <c r="J180" s="556" t="s">
        <v>1004</v>
      </c>
      <c r="K180" s="556"/>
      <c r="L180" s="556" t="s">
        <v>1005</v>
      </c>
      <c r="P180" s="668"/>
      <c r="Q180" s="669" t="s">
        <v>622</v>
      </c>
      <c r="R180" s="669" t="s">
        <v>623</v>
      </c>
      <c r="S180" s="670" t="s">
        <v>624</v>
      </c>
      <c r="T180" s="669" t="s">
        <v>1065</v>
      </c>
      <c r="U180" s="669" t="s">
        <v>1074</v>
      </c>
      <c r="V180" s="669" t="s">
        <v>645</v>
      </c>
      <c r="W180" s="669" t="s">
        <v>1083</v>
      </c>
      <c r="Z180" s="600" t="s">
        <v>0</v>
      </c>
      <c r="AA180" s="600" t="s">
        <v>12</v>
      </c>
      <c r="AB180" s="600" t="s">
        <v>669</v>
      </c>
      <c r="AC180" s="669" t="s">
        <v>670</v>
      </c>
      <c r="AD180" s="669" t="s">
        <v>1072</v>
      </c>
      <c r="AE180" s="669" t="s">
        <v>1075</v>
      </c>
      <c r="AF180" s="669" t="s">
        <v>1076</v>
      </c>
    </row>
    <row r="181" spans="10:32">
      <c r="J181" s="531">
        <f t="shared" ref="J181:J192" si="34">N181*(Q181+R181+S181+Z181+AA181+AB181)</f>
        <v>5764</v>
      </c>
      <c r="K181" s="558"/>
      <c r="L181" s="531">
        <f t="shared" ref="L181:L192" si="35">N181*(R181+S181+V181+AA181+AB181+AC181)</f>
        <v>5609.3333333333339</v>
      </c>
      <c r="N181" s="611">
        <v>1</v>
      </c>
      <c r="P181" s="557" t="s">
        <v>628</v>
      </c>
      <c r="Q181" s="624">
        <v>658</v>
      </c>
      <c r="R181" s="624">
        <v>882</v>
      </c>
      <c r="S181" s="624">
        <v>798</v>
      </c>
      <c r="T181" s="624">
        <v>914</v>
      </c>
      <c r="U181" s="1278">
        <v>898.66666666666663</v>
      </c>
      <c r="V181" s="1278">
        <v>918.33333333333348</v>
      </c>
      <c r="W181" s="1272">
        <f>MIN((TREND(S181:U181,AA$51:AC$51,AD$51)),1.15*U181)</f>
        <v>970.8888888888888</v>
      </c>
      <c r="Y181" s="557" t="s">
        <v>628</v>
      </c>
      <c r="Z181" s="531">
        <v>1144</v>
      </c>
      <c r="AA181" s="531">
        <v>1181</v>
      </c>
      <c r="AB181" s="531">
        <v>1101</v>
      </c>
      <c r="AC181" s="531">
        <v>729</v>
      </c>
      <c r="AD181" s="531">
        <v>1143</v>
      </c>
      <c r="AE181" s="1253">
        <v>1003.6666666666666</v>
      </c>
      <c r="AF181" s="1253">
        <v>991</v>
      </c>
    </row>
    <row r="182" spans="10:32">
      <c r="J182" s="531">
        <f t="shared" si="34"/>
        <v>1966</v>
      </c>
      <c r="K182" s="558"/>
      <c r="L182" s="531">
        <f t="shared" si="35"/>
        <v>2052.666666666667</v>
      </c>
      <c r="N182" s="611">
        <v>1</v>
      </c>
      <c r="P182" s="557" t="s">
        <v>6</v>
      </c>
      <c r="Q182" s="624">
        <v>37</v>
      </c>
      <c r="R182" s="624">
        <v>203</v>
      </c>
      <c r="S182" s="624">
        <v>473</v>
      </c>
      <c r="T182" s="624">
        <v>726</v>
      </c>
      <c r="U182" s="1272">
        <v>990.33333333333348</v>
      </c>
      <c r="V182" s="1272">
        <v>673.66666666666674</v>
      </c>
      <c r="W182" s="1272">
        <f t="shared" ref="W182:W192" si="36">MIN((TREND(S182:U182,AA$51:AC$51,AD$51)),1.15*U182)</f>
        <v>1138.8833333333334</v>
      </c>
      <c r="Y182" s="557" t="s">
        <v>6</v>
      </c>
      <c r="Z182" s="531">
        <v>690</v>
      </c>
      <c r="AA182" s="531">
        <v>452</v>
      </c>
      <c r="AB182" s="531">
        <v>111</v>
      </c>
      <c r="AC182" s="531">
        <v>140</v>
      </c>
      <c r="AD182" s="531">
        <v>142</v>
      </c>
      <c r="AE182" s="1253">
        <v>234.33333333333334</v>
      </c>
      <c r="AF182" s="1253">
        <v>131</v>
      </c>
    </row>
    <row r="183" spans="10:32">
      <c r="J183" s="531">
        <f t="shared" si="34"/>
        <v>14070</v>
      </c>
      <c r="K183" s="558"/>
      <c r="L183" s="531">
        <f t="shared" si="35"/>
        <v>14540.089844479033</v>
      </c>
      <c r="N183" s="611">
        <v>1</v>
      </c>
      <c r="P183" s="557" t="s">
        <v>8</v>
      </c>
      <c r="Q183" s="612">
        <v>3857</v>
      </c>
      <c r="R183" s="612">
        <v>3848</v>
      </c>
      <c r="S183" s="612">
        <v>4147</v>
      </c>
      <c r="T183" s="612">
        <v>4564</v>
      </c>
      <c r="U183" s="1272">
        <v>5217.4645991080424</v>
      </c>
      <c r="V183" s="1272">
        <v>4872.0898444790337</v>
      </c>
      <c r="W183" s="1278">
        <f t="shared" si="36"/>
        <v>5713.2861321440569</v>
      </c>
      <c r="Y183" s="557" t="s">
        <v>8</v>
      </c>
      <c r="Z183" s="531">
        <v>970</v>
      </c>
      <c r="AA183" s="531">
        <v>628</v>
      </c>
      <c r="AB183" s="531">
        <v>620</v>
      </c>
      <c r="AC183" s="531">
        <v>425</v>
      </c>
      <c r="AD183" s="531">
        <v>219</v>
      </c>
      <c r="AE183" s="1253">
        <v>557.66666666666663</v>
      </c>
      <c r="AF183" s="1253">
        <v>421.33333333333331</v>
      </c>
    </row>
    <row r="184" spans="10:32">
      <c r="J184" s="531">
        <f t="shared" si="34"/>
        <v>4049</v>
      </c>
      <c r="K184" s="558"/>
      <c r="L184" s="531">
        <f t="shared" si="35"/>
        <v>3922.6666666666665</v>
      </c>
      <c r="N184" s="611">
        <v>1</v>
      </c>
      <c r="P184" s="559" t="s">
        <v>2</v>
      </c>
      <c r="Q184" s="539">
        <v>640</v>
      </c>
      <c r="R184" s="539">
        <v>715</v>
      </c>
      <c r="S184" s="539">
        <v>771</v>
      </c>
      <c r="T184" s="539">
        <v>914</v>
      </c>
      <c r="U184" s="1278">
        <v>995</v>
      </c>
      <c r="V184" s="1278">
        <v>841.66666666666663</v>
      </c>
      <c r="W184" s="1278">
        <f t="shared" si="36"/>
        <v>1117.3333333333335</v>
      </c>
      <c r="Y184" s="559" t="s">
        <v>2</v>
      </c>
      <c r="Z184" s="539">
        <v>642</v>
      </c>
      <c r="AA184" s="539">
        <v>724</v>
      </c>
      <c r="AB184" s="539">
        <v>557</v>
      </c>
      <c r="AC184" s="539">
        <v>314</v>
      </c>
      <c r="AD184" s="539">
        <v>299</v>
      </c>
      <c r="AE184" s="1256">
        <v>531.66666666666663</v>
      </c>
      <c r="AF184" s="1256">
        <v>390</v>
      </c>
    </row>
    <row r="185" spans="10:32">
      <c r="J185" s="531">
        <f t="shared" si="34"/>
        <v>4282</v>
      </c>
      <c r="K185" s="558"/>
      <c r="L185" s="531">
        <f t="shared" si="35"/>
        <v>4358</v>
      </c>
      <c r="N185" s="611">
        <v>1</v>
      </c>
      <c r="P185" s="557" t="s">
        <v>10</v>
      </c>
      <c r="Q185" s="624">
        <v>0</v>
      </c>
      <c r="R185" s="624">
        <v>0</v>
      </c>
      <c r="S185" s="624">
        <v>0</v>
      </c>
      <c r="T185" s="624">
        <v>0</v>
      </c>
      <c r="U185" s="1283">
        <v>0</v>
      </c>
      <c r="V185" s="1283">
        <v>0</v>
      </c>
      <c r="W185" s="1278">
        <f t="shared" si="36"/>
        <v>0</v>
      </c>
      <c r="Y185" s="557" t="s">
        <v>10</v>
      </c>
      <c r="Z185" s="530">
        <v>1393</v>
      </c>
      <c r="AA185" s="530">
        <v>1550</v>
      </c>
      <c r="AB185" s="530">
        <v>1339</v>
      </c>
      <c r="AC185" s="530">
        <v>1469</v>
      </c>
      <c r="AD185" s="530">
        <v>1413</v>
      </c>
      <c r="AE185" s="1253">
        <v>1446.6666666666667</v>
      </c>
      <c r="AF185" s="1253">
        <v>1407</v>
      </c>
    </row>
    <row r="186" spans="10:32">
      <c r="J186" s="531">
        <f t="shared" si="34"/>
        <v>6191</v>
      </c>
      <c r="K186" s="558"/>
      <c r="L186" s="531">
        <f t="shared" si="35"/>
        <v>5911.3333333333339</v>
      </c>
      <c r="N186" s="611">
        <v>1</v>
      </c>
      <c r="P186" s="557" t="s">
        <v>4</v>
      </c>
      <c r="Q186" s="624">
        <v>74</v>
      </c>
      <c r="R186" s="624">
        <v>65</v>
      </c>
      <c r="S186" s="624">
        <v>147</v>
      </c>
      <c r="T186" s="624">
        <v>57</v>
      </c>
      <c r="U186" s="1278">
        <v>89.666666666666671</v>
      </c>
      <c r="V186" s="1278">
        <v>95.333333333333329</v>
      </c>
      <c r="W186" s="1272">
        <f t="shared" si="36"/>
        <v>40.555555555555586</v>
      </c>
      <c r="Y186" s="557" t="s">
        <v>4</v>
      </c>
      <c r="Z186" s="531">
        <v>2000</v>
      </c>
      <c r="AA186" s="531">
        <v>1986</v>
      </c>
      <c r="AB186" s="531">
        <v>1919</v>
      </c>
      <c r="AC186" s="531">
        <v>1699</v>
      </c>
      <c r="AD186" s="531">
        <v>1871</v>
      </c>
      <c r="AE186" s="1253">
        <v>1868</v>
      </c>
      <c r="AF186" s="1253">
        <v>1829.6666666666667</v>
      </c>
    </row>
    <row r="187" spans="10:32">
      <c r="J187" s="531">
        <f t="shared" si="34"/>
        <v>1054</v>
      </c>
      <c r="K187" s="558"/>
      <c r="L187" s="531">
        <f t="shared" si="35"/>
        <v>1028</v>
      </c>
      <c r="N187" s="611">
        <v>1</v>
      </c>
      <c r="P187" s="557" t="s">
        <v>14</v>
      </c>
      <c r="Q187" s="548">
        <v>29</v>
      </c>
      <c r="R187" s="548">
        <v>56</v>
      </c>
      <c r="S187" s="548">
        <v>74</v>
      </c>
      <c r="T187" s="548">
        <v>100</v>
      </c>
      <c r="U187" s="1278">
        <v>75.666666666666671</v>
      </c>
      <c r="V187" s="1278">
        <v>52</v>
      </c>
      <c r="W187" s="1278">
        <f t="shared" si="36"/>
        <v>84.888888888888914</v>
      </c>
      <c r="Y187" s="557" t="s">
        <v>14</v>
      </c>
      <c r="Z187" s="530">
        <v>312</v>
      </c>
      <c r="AA187" s="530">
        <v>316</v>
      </c>
      <c r="AB187" s="530">
        <v>267</v>
      </c>
      <c r="AC187" s="530">
        <v>263</v>
      </c>
      <c r="AD187" s="530">
        <v>367</v>
      </c>
      <c r="AE187" s="1253">
        <v>282</v>
      </c>
      <c r="AF187" s="1253">
        <v>299</v>
      </c>
    </row>
    <row r="188" spans="10:32">
      <c r="J188" s="531">
        <f t="shared" si="34"/>
        <v>1940</v>
      </c>
      <c r="K188" s="558"/>
      <c r="L188" s="531">
        <f t="shared" si="35"/>
        <v>1887.0281390914092</v>
      </c>
      <c r="N188" s="611">
        <v>1</v>
      </c>
      <c r="P188" s="559" t="s">
        <v>17</v>
      </c>
      <c r="Q188" s="539">
        <v>258</v>
      </c>
      <c r="R188" s="539">
        <v>316</v>
      </c>
      <c r="S188" s="539">
        <v>294</v>
      </c>
      <c r="T188" s="539">
        <v>287</v>
      </c>
      <c r="U188" s="1278">
        <v>234.39438742375225</v>
      </c>
      <c r="V188" s="1278">
        <v>293.02813909140934</v>
      </c>
      <c r="W188" s="1272">
        <f t="shared" si="36"/>
        <v>212.19251656500302</v>
      </c>
      <c r="Y188" s="559" t="s">
        <v>17</v>
      </c>
      <c r="Z188" s="539">
        <v>369</v>
      </c>
      <c r="AA188" s="539">
        <v>407</v>
      </c>
      <c r="AB188" s="539">
        <v>296</v>
      </c>
      <c r="AC188" s="539">
        <v>281</v>
      </c>
      <c r="AD188" s="539">
        <v>328</v>
      </c>
      <c r="AE188" s="1256">
        <v>328</v>
      </c>
      <c r="AF188" s="1256">
        <v>301.66666666666669</v>
      </c>
    </row>
    <row r="189" spans="10:32">
      <c r="J189" s="531">
        <f t="shared" si="34"/>
        <v>2656</v>
      </c>
      <c r="K189" s="558"/>
      <c r="L189" s="531">
        <f t="shared" si="35"/>
        <v>2712</v>
      </c>
      <c r="N189" s="611">
        <v>1</v>
      </c>
      <c r="P189" s="557" t="s">
        <v>376</v>
      </c>
      <c r="Q189" s="548">
        <v>0</v>
      </c>
      <c r="R189" s="548">
        <v>0</v>
      </c>
      <c r="S189" s="548">
        <v>0</v>
      </c>
      <c r="T189" s="548">
        <v>0</v>
      </c>
      <c r="U189" s="1278">
        <v>0</v>
      </c>
      <c r="V189" s="1278">
        <v>0</v>
      </c>
      <c r="W189" s="1278">
        <f t="shared" si="36"/>
        <v>0</v>
      </c>
      <c r="Y189" s="557" t="s">
        <v>376</v>
      </c>
      <c r="Z189" s="530">
        <v>879</v>
      </c>
      <c r="AA189" s="530">
        <v>795</v>
      </c>
      <c r="AB189" s="530">
        <v>982</v>
      </c>
      <c r="AC189" s="530">
        <v>935</v>
      </c>
      <c r="AD189" s="530">
        <v>794</v>
      </c>
      <c r="AE189" s="1253">
        <v>904</v>
      </c>
      <c r="AF189" s="1253">
        <v>903.66666666666663</v>
      </c>
    </row>
    <row r="190" spans="10:32">
      <c r="J190" s="531">
        <f t="shared" si="34"/>
        <v>4212</v>
      </c>
      <c r="K190" s="558"/>
      <c r="L190" s="531">
        <f t="shared" si="35"/>
        <v>3967</v>
      </c>
      <c r="N190" s="611">
        <v>1</v>
      </c>
      <c r="P190" s="557" t="s">
        <v>7</v>
      </c>
      <c r="Q190" s="624">
        <v>428</v>
      </c>
      <c r="R190" s="624">
        <v>445</v>
      </c>
      <c r="S190" s="624">
        <v>501</v>
      </c>
      <c r="T190" s="624">
        <v>644</v>
      </c>
      <c r="U190" s="1272">
        <v>729</v>
      </c>
      <c r="V190" s="1272">
        <v>531</v>
      </c>
      <c r="W190" s="1272">
        <f t="shared" si="36"/>
        <v>838.34999999999991</v>
      </c>
      <c r="Y190" s="557" t="s">
        <v>7</v>
      </c>
      <c r="Z190" s="531">
        <v>1149</v>
      </c>
      <c r="AA190" s="531">
        <v>896</v>
      </c>
      <c r="AB190" s="531">
        <v>793</v>
      </c>
      <c r="AC190" s="531">
        <v>801</v>
      </c>
      <c r="AD190" s="531">
        <v>1870</v>
      </c>
      <c r="AE190" s="1253">
        <v>830</v>
      </c>
      <c r="AF190" s="1253">
        <v>1154.6666666666667</v>
      </c>
    </row>
    <row r="191" spans="10:32">
      <c r="J191" s="531">
        <f t="shared" si="34"/>
        <v>2459</v>
      </c>
      <c r="K191" s="558"/>
      <c r="L191" s="531">
        <f t="shared" si="35"/>
        <v>2628.666666666667</v>
      </c>
      <c r="N191" s="611">
        <v>1</v>
      </c>
      <c r="P191" s="557" t="s">
        <v>9</v>
      </c>
      <c r="Q191" s="624">
        <v>140</v>
      </c>
      <c r="R191" s="624">
        <v>347</v>
      </c>
      <c r="S191" s="624">
        <v>304</v>
      </c>
      <c r="T191" s="624">
        <v>299</v>
      </c>
      <c r="U191" s="1278">
        <v>268.66666666666674</v>
      </c>
      <c r="V191" s="1278">
        <v>427.66666666666674</v>
      </c>
      <c r="W191" s="1272">
        <f t="shared" si="36"/>
        <v>255.22222222222234</v>
      </c>
      <c r="Y191" s="557" t="s">
        <v>9</v>
      </c>
      <c r="Z191" s="531">
        <v>570</v>
      </c>
      <c r="AA191" s="531">
        <v>621</v>
      </c>
      <c r="AB191" s="531">
        <v>477</v>
      </c>
      <c r="AC191" s="531">
        <v>452</v>
      </c>
      <c r="AD191" s="531">
        <v>326</v>
      </c>
      <c r="AE191" s="1253">
        <v>516.66666666666663</v>
      </c>
      <c r="AF191" s="1253">
        <v>418.33333333333331</v>
      </c>
    </row>
    <row r="192" spans="10:32">
      <c r="J192" s="531">
        <f t="shared" si="34"/>
        <v>2136</v>
      </c>
      <c r="K192" s="558"/>
      <c r="L192" s="531">
        <f t="shared" si="35"/>
        <v>2045.6350488376079</v>
      </c>
      <c r="N192" s="611">
        <v>1</v>
      </c>
      <c r="P192" s="559" t="s">
        <v>5</v>
      </c>
      <c r="Q192" s="539">
        <v>585</v>
      </c>
      <c r="R192" s="539">
        <v>444</v>
      </c>
      <c r="S192" s="539">
        <v>426</v>
      </c>
      <c r="T192" s="539">
        <v>482</v>
      </c>
      <c r="U192" s="1278">
        <v>252.41486484033189</v>
      </c>
      <c r="V192" s="1278">
        <v>545.63504883760777</v>
      </c>
      <c r="W192" s="1256">
        <f t="shared" si="36"/>
        <v>213.2198197871092</v>
      </c>
      <c r="Y192" s="559" t="s">
        <v>5</v>
      </c>
      <c r="Z192" s="539">
        <v>217</v>
      </c>
      <c r="AA192" s="539">
        <v>265</v>
      </c>
      <c r="AB192" s="539">
        <v>199</v>
      </c>
      <c r="AC192" s="539">
        <v>166</v>
      </c>
      <c r="AD192" s="539">
        <v>234</v>
      </c>
      <c r="AE192" s="1256">
        <v>210</v>
      </c>
      <c r="AF192" s="1256">
        <v>199.66666666666666</v>
      </c>
    </row>
    <row r="193" spans="10:32">
      <c r="J193" s="530"/>
      <c r="K193" s="558"/>
      <c r="L193" s="530"/>
      <c r="P193" s="557"/>
      <c r="Q193" s="548"/>
      <c r="R193" s="548"/>
      <c r="S193" s="548"/>
      <c r="T193" s="548"/>
      <c r="U193" s="1283"/>
      <c r="V193" s="1283"/>
      <c r="W193" s="1283"/>
      <c r="Y193" s="557"/>
      <c r="Z193" s="530"/>
      <c r="AA193" s="530"/>
      <c r="AB193" s="530"/>
      <c r="AC193" s="530"/>
      <c r="AD193" s="530"/>
      <c r="AE193" s="1253"/>
      <c r="AF193" s="1253"/>
    </row>
    <row r="194" spans="10:32">
      <c r="J194" s="531">
        <f>N194*(Q194+R194+S194+Z194+AA194+AB194)</f>
        <v>0</v>
      </c>
      <c r="K194" s="558"/>
      <c r="L194" s="531">
        <f>N194*(R194+S194+V194+AA194+AB194+AC194)</f>
        <v>0</v>
      </c>
      <c r="N194" s="611">
        <v>1</v>
      </c>
      <c r="P194" s="557" t="s">
        <v>631</v>
      </c>
      <c r="Q194" s="548"/>
      <c r="R194" s="548"/>
      <c r="S194" s="548"/>
      <c r="T194" s="548"/>
      <c r="U194" s="1283"/>
      <c r="V194" s="1283"/>
      <c r="W194" s="1283"/>
      <c r="Y194" s="557" t="s">
        <v>631</v>
      </c>
      <c r="Z194" s="530"/>
      <c r="AA194" s="530"/>
      <c r="AB194" s="530"/>
      <c r="AC194" s="530"/>
      <c r="AD194" s="530"/>
      <c r="AE194" s="1253"/>
      <c r="AF194" s="1253"/>
    </row>
    <row r="195" spans="10:32">
      <c r="J195" s="531">
        <f>N195*(Q195+R195+S195+Z195+AA195+AB195)</f>
        <v>72</v>
      </c>
      <c r="K195" s="558"/>
      <c r="L195" s="531">
        <f>N195*(R195+S195+V195+AA195+AB195+AC195)</f>
        <v>60</v>
      </c>
      <c r="N195" s="611">
        <v>1</v>
      </c>
      <c r="P195" s="557" t="s">
        <v>657</v>
      </c>
      <c r="Q195" s="624">
        <v>36</v>
      </c>
      <c r="R195" s="624">
        <v>22</v>
      </c>
      <c r="S195" s="624">
        <v>14</v>
      </c>
      <c r="T195" s="624">
        <v>0</v>
      </c>
      <c r="U195" s="1278">
        <v>12</v>
      </c>
      <c r="V195" s="1278">
        <v>24</v>
      </c>
      <c r="W195" s="1278">
        <f>MIN((TREND(S195:U195,AA$51:AC$51,AD$51)),1.15*U195)</f>
        <v>6.6666666666666599</v>
      </c>
      <c r="Y195" s="557" t="s">
        <v>657</v>
      </c>
      <c r="Z195" s="530"/>
      <c r="AA195" s="530"/>
      <c r="AB195" s="530"/>
      <c r="AC195" s="530"/>
      <c r="AD195" s="530"/>
      <c r="AE195" s="1253"/>
      <c r="AF195" s="1253"/>
    </row>
    <row r="196" spans="10:32">
      <c r="J196" s="531">
        <f>N196*(Q196+R196+S196+Z196+AA196+AB196)</f>
        <v>0</v>
      </c>
      <c r="K196" s="558"/>
      <c r="L196" s="531">
        <f>N196*(R196+S196+V196+AA196+AB196+AC196)</f>
        <v>0</v>
      </c>
      <c r="N196" s="611">
        <v>1</v>
      </c>
      <c r="P196" s="559" t="s">
        <v>633</v>
      </c>
      <c r="Q196" s="540"/>
      <c r="R196" s="540"/>
      <c r="S196" s="540"/>
      <c r="T196" s="540"/>
      <c r="U196" s="539"/>
      <c r="V196" s="539"/>
      <c r="W196" s="1284"/>
      <c r="Y196" s="559" t="s">
        <v>633</v>
      </c>
      <c r="Z196" s="540"/>
      <c r="AA196" s="540"/>
      <c r="AB196" s="540"/>
      <c r="AC196" s="540"/>
      <c r="AD196" s="540"/>
      <c r="AE196" s="1256"/>
      <c r="AF196" s="1256"/>
    </row>
    <row r="197" spans="10:32">
      <c r="J197" s="531">
        <f>N197*(Q197+R197+S197+Z197+AA197+AB197)</f>
        <v>0</v>
      </c>
      <c r="K197" s="558"/>
      <c r="L197" s="531">
        <f>N197*(R197+S197+V197+AA197+AB197+AC197)</f>
        <v>0</v>
      </c>
      <c r="N197" s="611">
        <v>1</v>
      </c>
      <c r="P197" s="557" t="s">
        <v>656</v>
      </c>
      <c r="Q197" s="624"/>
      <c r="R197" s="624"/>
      <c r="S197" s="624"/>
      <c r="T197" s="624"/>
      <c r="U197" s="624"/>
      <c r="V197" s="624"/>
      <c r="W197" s="1278"/>
      <c r="Y197" s="557" t="s">
        <v>656</v>
      </c>
      <c r="Z197" s="530"/>
      <c r="AA197" s="530"/>
      <c r="AB197" s="530"/>
      <c r="AC197" s="530"/>
      <c r="AD197" s="530"/>
      <c r="AE197" s="1253"/>
      <c r="AF197" s="1253"/>
    </row>
    <row r="198" spans="10:32">
      <c r="J198" s="531">
        <f>N198*(Q198+R198+S198+Z198+AA198+AB198)</f>
        <v>22</v>
      </c>
      <c r="K198" s="558"/>
      <c r="L198" s="531">
        <f>N198*(R198+S198+V198+AA198+AB198+AC198)</f>
        <v>13</v>
      </c>
      <c r="N198" s="611">
        <v>1</v>
      </c>
      <c r="P198" s="563" t="s">
        <v>635</v>
      </c>
      <c r="Q198" s="548"/>
      <c r="R198" s="548"/>
      <c r="S198" s="548"/>
      <c r="T198" s="624"/>
      <c r="U198" s="624"/>
      <c r="V198" s="624"/>
      <c r="W198" s="1278"/>
      <c r="Y198" s="563" t="s">
        <v>635</v>
      </c>
      <c r="Z198" s="530">
        <v>9</v>
      </c>
      <c r="AA198" s="530">
        <v>0</v>
      </c>
      <c r="AB198" s="530">
        <v>13</v>
      </c>
      <c r="AC198" s="530">
        <v>0</v>
      </c>
      <c r="AD198" s="530">
        <v>0</v>
      </c>
      <c r="AE198" s="1253">
        <v>4.333333333333333</v>
      </c>
      <c r="AF198" s="1253">
        <v>4.333333333333333</v>
      </c>
    </row>
    <row r="199" spans="10:32">
      <c r="J199" s="543">
        <f>SUM(J181:J198)</f>
        <v>50873</v>
      </c>
      <c r="K199" s="565"/>
      <c r="L199" s="543">
        <f>SUM(L181:L198)</f>
        <v>50735.419699074715</v>
      </c>
      <c r="P199" s="664"/>
      <c r="Q199" s="543">
        <f t="shared" ref="Q199:W199" si="37">SUM(Q181:Q198)</f>
        <v>6742</v>
      </c>
      <c r="R199" s="543">
        <f t="shared" si="37"/>
        <v>7343</v>
      </c>
      <c r="S199" s="543">
        <f t="shared" si="37"/>
        <v>7949</v>
      </c>
      <c r="T199" s="543">
        <f t="shared" si="37"/>
        <v>8987</v>
      </c>
      <c r="U199" s="543">
        <f t="shared" si="37"/>
        <v>9763.2738513721251</v>
      </c>
      <c r="V199" s="543">
        <f t="shared" si="37"/>
        <v>9274.4196990747168</v>
      </c>
      <c r="W199" s="543">
        <f t="shared" si="37"/>
        <v>10591.487357385058</v>
      </c>
      <c r="Y199" s="542"/>
      <c r="Z199" s="543">
        <f t="shared" ref="Z199:AF199" si="38">SUM(Z181:Z198)</f>
        <v>10344</v>
      </c>
      <c r="AA199" s="543">
        <f t="shared" si="38"/>
        <v>9821</v>
      </c>
      <c r="AB199" s="543">
        <f t="shared" si="38"/>
        <v>8674</v>
      </c>
      <c r="AC199" s="543">
        <f t="shared" si="38"/>
        <v>7674</v>
      </c>
      <c r="AD199" s="543">
        <f t="shared" si="38"/>
        <v>9006</v>
      </c>
      <c r="AE199" s="543">
        <f t="shared" si="38"/>
        <v>8717</v>
      </c>
      <c r="AF199" s="543">
        <f t="shared" si="38"/>
        <v>8451.3333333333339</v>
      </c>
    </row>
    <row r="200" spans="10:32">
      <c r="P200" s="665"/>
      <c r="Q200" s="666">
        <v>6742</v>
      </c>
      <c r="R200" s="666">
        <v>7343</v>
      </c>
      <c r="S200" s="666">
        <v>7949</v>
      </c>
      <c r="T200" s="624"/>
      <c r="U200" s="624"/>
      <c r="V200" s="666"/>
    </row>
    <row r="202" spans="10:32">
      <c r="L202" s="551">
        <f>SUM(L199,L177,L155,L132,L109,L84)</f>
        <v>712294.5151262522</v>
      </c>
    </row>
    <row r="214" spans="1:21">
      <c r="A214" s="554" t="s">
        <v>1105</v>
      </c>
      <c r="B214" s="253"/>
      <c r="C214" s="253"/>
      <c r="E214" s="554" t="s">
        <v>1106</v>
      </c>
      <c r="F214" s="253"/>
      <c r="G214" s="253"/>
      <c r="K214" s="712"/>
      <c r="L214" s="1628" t="s">
        <v>1084</v>
      </c>
      <c r="M214" s="1318"/>
      <c r="N214" s="15"/>
      <c r="O214" s="15"/>
      <c r="P214" s="15"/>
      <c r="Q214" s="15"/>
      <c r="R214">
        <v>1</v>
      </c>
      <c r="S214">
        <v>2</v>
      </c>
      <c r="T214">
        <v>3</v>
      </c>
      <c r="U214">
        <v>4</v>
      </c>
    </row>
    <row r="215" spans="1:21">
      <c r="A215" s="555"/>
      <c r="B215" s="556" t="s">
        <v>1107</v>
      </c>
      <c r="C215" s="556" t="s">
        <v>1108</v>
      </c>
      <c r="E215" s="555"/>
      <c r="F215" s="556" t="s">
        <v>1107</v>
      </c>
      <c r="G215" s="556" t="s">
        <v>1108</v>
      </c>
      <c r="K215" s="410" t="s">
        <v>1044</v>
      </c>
      <c r="L215" s="1629"/>
      <c r="M215" s="323" t="s">
        <v>79</v>
      </c>
      <c r="N215" s="91" t="s">
        <v>78</v>
      </c>
      <c r="O215" s="91" t="s">
        <v>486</v>
      </c>
      <c r="P215" s="91" t="s">
        <v>1095</v>
      </c>
      <c r="Q215" s="91" t="s">
        <v>1096</v>
      </c>
    </row>
    <row r="216" spans="1:21">
      <c r="A216" s="557" t="s">
        <v>628</v>
      </c>
      <c r="B216" s="531">
        <v>5520000</v>
      </c>
      <c r="C216" s="531">
        <v>7164723</v>
      </c>
      <c r="E216" s="557" t="s">
        <v>628</v>
      </c>
      <c r="F216" s="531">
        <v>410000</v>
      </c>
      <c r="G216" s="531">
        <f>1.04*1.01*F216</f>
        <v>430664</v>
      </c>
      <c r="K216" s="412" t="s">
        <v>89</v>
      </c>
      <c r="L216" s="1630"/>
      <c r="M216" s="1319"/>
      <c r="N216" s="16"/>
      <c r="O216" s="16"/>
      <c r="P216" s="16"/>
      <c r="Q216" s="16"/>
    </row>
    <row r="217" spans="1:21">
      <c r="A217" s="557" t="s">
        <v>6</v>
      </c>
      <c r="B217" s="531">
        <v>3000000</v>
      </c>
      <c r="C217" s="531">
        <v>4392112</v>
      </c>
      <c r="E217" s="557" t="s">
        <v>6</v>
      </c>
      <c r="F217" s="531">
        <v>484282</v>
      </c>
      <c r="G217" s="531">
        <f t="shared" ref="G217:G227" si="39">1.04*1.01*F217</f>
        <v>508689.81280000001</v>
      </c>
      <c r="L217" s="1313" t="s">
        <v>628</v>
      </c>
      <c r="M217" s="1320">
        <v>3717217.6</v>
      </c>
      <c r="N217" s="1320">
        <v>4191523.72</v>
      </c>
      <c r="O217" s="1320">
        <v>4828168.08</v>
      </c>
      <c r="P217" s="1320">
        <v>6008183.4602997592</v>
      </c>
      <c r="Q217" s="1320">
        <f>1.04963*TREND(N217:P217,R$214:T$214,U$214)</f>
        <v>7164723.466366983</v>
      </c>
    </row>
    <row r="218" spans="1:21">
      <c r="A218" s="557" t="s">
        <v>8</v>
      </c>
      <c r="B218" s="531">
        <v>1517899</v>
      </c>
      <c r="C218" s="531">
        <v>1888979</v>
      </c>
      <c r="E218" s="557" t="s">
        <v>8</v>
      </c>
      <c r="F218" s="531">
        <v>155548</v>
      </c>
      <c r="G218" s="531">
        <f t="shared" si="39"/>
        <v>163387.61919999999</v>
      </c>
      <c r="L218" s="1313" t="s">
        <v>6</v>
      </c>
      <c r="M218" s="1320">
        <v>975688</v>
      </c>
      <c r="N218" s="1320">
        <v>1216575.0399999998</v>
      </c>
      <c r="O218" s="1320">
        <v>2221976.4</v>
      </c>
      <c r="P218" s="1320">
        <v>3191122.3099742248</v>
      </c>
      <c r="Q218" s="1320">
        <f t="shared" ref="Q218:Q228" si="40">1.04963*TREND(N218:P218,R$214:T$214,U$214)</f>
        <v>4392112.2037115274</v>
      </c>
    </row>
    <row r="219" spans="1:21">
      <c r="A219" s="559" t="s">
        <v>2</v>
      </c>
      <c r="B219" s="531">
        <v>1050000</v>
      </c>
      <c r="C219" s="531">
        <v>1501364</v>
      </c>
      <c r="E219" s="559" t="s">
        <v>2</v>
      </c>
      <c r="F219" s="531">
        <v>100000</v>
      </c>
      <c r="G219" s="531">
        <f t="shared" si="39"/>
        <v>105040</v>
      </c>
      <c r="L219" s="1313" t="s">
        <v>1085</v>
      </c>
      <c r="M219" s="1320">
        <v>1318094.3999999999</v>
      </c>
      <c r="N219" s="1320">
        <v>1232525</v>
      </c>
      <c r="O219" s="1320">
        <v>1316584.2</v>
      </c>
      <c r="P219" s="1320">
        <v>1331877.2661931813</v>
      </c>
      <c r="Q219" s="1320">
        <f t="shared" si="40"/>
        <v>1462149.7273344654</v>
      </c>
    </row>
    <row r="220" spans="1:21">
      <c r="A220" s="557" t="s">
        <v>10</v>
      </c>
      <c r="B220" s="531">
        <v>30000</v>
      </c>
      <c r="C220" s="531">
        <v>5080</v>
      </c>
      <c r="E220" s="557" t="s">
        <v>10</v>
      </c>
      <c r="F220" s="531">
        <v>75000</v>
      </c>
      <c r="G220" s="531">
        <f t="shared" si="39"/>
        <v>78780</v>
      </c>
      <c r="L220" s="1313" t="s">
        <v>8</v>
      </c>
      <c r="M220" s="1320">
        <v>1440261.3</v>
      </c>
      <c r="N220" s="1320">
        <v>1483175.6400000001</v>
      </c>
      <c r="O220" s="1320">
        <v>1517899.08</v>
      </c>
      <c r="P220" s="1320">
        <v>1711859.3025004198</v>
      </c>
      <c r="Q220" s="1320">
        <f t="shared" si="40"/>
        <v>1888978.8786826876</v>
      </c>
    </row>
    <row r="221" spans="1:21">
      <c r="A221" s="557" t="s">
        <v>4</v>
      </c>
      <c r="B221" s="531">
        <v>3900000</v>
      </c>
      <c r="C221" s="531">
        <v>4904228</v>
      </c>
      <c r="E221" s="557" t="s">
        <v>4</v>
      </c>
      <c r="F221" s="531">
        <v>2200000</v>
      </c>
      <c r="G221" s="531">
        <f t="shared" si="39"/>
        <v>2310880</v>
      </c>
      <c r="L221" s="1313" t="s">
        <v>7</v>
      </c>
      <c r="M221" s="1320">
        <v>4706756.8</v>
      </c>
      <c r="N221" s="1320">
        <v>8420640.6799999997</v>
      </c>
      <c r="O221" s="1320">
        <v>10119518.800000001</v>
      </c>
      <c r="P221" s="1320">
        <v>12097579.157880366</v>
      </c>
      <c r="Q221" s="1320">
        <f t="shared" si="40"/>
        <v>14578854.803363694</v>
      </c>
    </row>
    <row r="222" spans="1:21">
      <c r="A222" s="557" t="s">
        <v>14</v>
      </c>
      <c r="B222" s="531"/>
      <c r="C222" s="531">
        <v>233943</v>
      </c>
      <c r="E222" s="557" t="s">
        <v>14</v>
      </c>
      <c r="F222" s="531">
        <v>80000</v>
      </c>
      <c r="G222" s="531">
        <f t="shared" si="39"/>
        <v>84032</v>
      </c>
      <c r="L222" s="1313" t="s">
        <v>1086</v>
      </c>
      <c r="M222" s="1320">
        <v>940072.8</v>
      </c>
      <c r="N222" s="1320">
        <v>979716.79999999993</v>
      </c>
      <c r="O222" s="1320">
        <v>1094180.32</v>
      </c>
      <c r="P222" s="1320">
        <v>1289094.4585793675</v>
      </c>
      <c r="Q222" s="1320">
        <f t="shared" si="40"/>
        <v>1501364.355316082</v>
      </c>
    </row>
    <row r="223" spans="1:21">
      <c r="A223" s="559" t="s">
        <v>17</v>
      </c>
      <c r="B223" s="531">
        <v>9962806</v>
      </c>
      <c r="C223" s="531">
        <v>13233250</v>
      </c>
      <c r="E223" s="559" t="s">
        <v>17</v>
      </c>
      <c r="F223" s="531">
        <v>1125003</v>
      </c>
      <c r="G223" s="531">
        <f t="shared" si="39"/>
        <v>1181703.1512</v>
      </c>
      <c r="L223" s="1313" t="s">
        <v>17</v>
      </c>
      <c r="M223" s="1320">
        <v>8601804.8000000007</v>
      </c>
      <c r="N223" s="1320">
        <v>8962806.2399999984</v>
      </c>
      <c r="O223" s="1320">
        <v>9966050.7199999988</v>
      </c>
      <c r="P223" s="1320">
        <v>11445543.938435338</v>
      </c>
      <c r="Q223" s="1320">
        <f t="shared" si="40"/>
        <v>13233250.108750246</v>
      </c>
    </row>
    <row r="224" spans="1:21">
      <c r="A224" s="557" t="s">
        <v>376</v>
      </c>
      <c r="B224" s="531"/>
      <c r="C224" s="531" t="e">
        <f>H123*C$60/H$109</f>
        <v>#REF!</v>
      </c>
      <c r="E224" s="557" t="s">
        <v>376</v>
      </c>
      <c r="F224" s="531">
        <v>0</v>
      </c>
      <c r="G224" s="531">
        <f t="shared" si="39"/>
        <v>0</v>
      </c>
      <c r="L224" s="1313" t="s">
        <v>10</v>
      </c>
      <c r="M224" s="1320">
        <v>40710.410000000003</v>
      </c>
      <c r="N224" s="1320">
        <v>28344.400000000001</v>
      </c>
      <c r="O224" s="1320">
        <v>30887.919999999998</v>
      </c>
      <c r="P224" s="1320">
        <v>10080</v>
      </c>
      <c r="Q224" s="1320">
        <f t="shared" si="40"/>
        <v>5079.9013085333399</v>
      </c>
    </row>
    <row r="225" spans="1:18">
      <c r="A225" s="557" t="s">
        <v>7</v>
      </c>
      <c r="B225" s="531">
        <v>10000000</v>
      </c>
      <c r="C225" s="531">
        <v>14578855</v>
      </c>
      <c r="E225" s="557" t="s">
        <v>7</v>
      </c>
      <c r="F225" s="531">
        <v>1000000</v>
      </c>
      <c r="G225" s="531">
        <f t="shared" si="39"/>
        <v>1050400</v>
      </c>
      <c r="L225" s="1313" t="s">
        <v>1087</v>
      </c>
      <c r="M225" s="1320">
        <v>2022047.4</v>
      </c>
      <c r="N225" s="1320">
        <v>2195358.3199999998</v>
      </c>
      <c r="O225" s="1320">
        <v>2500276.08</v>
      </c>
      <c r="P225" s="1320">
        <v>2794720.3185448516</v>
      </c>
      <c r="Q225" s="1320">
        <f t="shared" si="40"/>
        <v>3249808.675608044</v>
      </c>
    </row>
    <row r="226" spans="1:18">
      <c r="A226" s="557" t="s">
        <v>9</v>
      </c>
      <c r="B226" s="531">
        <v>2500000</v>
      </c>
      <c r="C226" s="531">
        <v>3249809</v>
      </c>
      <c r="E226" s="557" t="s">
        <v>9</v>
      </c>
      <c r="F226" s="531">
        <v>707627</v>
      </c>
      <c r="G226" s="531">
        <f t="shared" si="39"/>
        <v>743291.40079999994</v>
      </c>
      <c r="L226" s="1313" t="s">
        <v>4</v>
      </c>
      <c r="M226" s="1320">
        <v>3505835.2</v>
      </c>
      <c r="N226" s="1320">
        <v>3680894.12</v>
      </c>
      <c r="O226" s="1320">
        <v>3914074</v>
      </c>
      <c r="P226" s="1320">
        <v>4366183.4490438299</v>
      </c>
      <c r="Q226" s="1320">
        <f t="shared" si="40"/>
        <v>4904228.0789161008</v>
      </c>
    </row>
    <row r="227" spans="1:18">
      <c r="A227" s="559" t="s">
        <v>5</v>
      </c>
      <c r="B227" s="531">
        <v>1100000</v>
      </c>
      <c r="C227" s="531">
        <v>1462150</v>
      </c>
      <c r="E227" s="559" t="s">
        <v>5</v>
      </c>
      <c r="F227" s="531">
        <v>133687</v>
      </c>
      <c r="G227" s="531">
        <f t="shared" si="39"/>
        <v>140424.8248</v>
      </c>
      <c r="L227" s="1313" t="s">
        <v>376</v>
      </c>
      <c r="M227" s="1320">
        <v>0</v>
      </c>
      <c r="N227" s="1320">
        <v>0</v>
      </c>
      <c r="O227" s="1320">
        <v>0</v>
      </c>
      <c r="P227" s="1320">
        <v>0</v>
      </c>
      <c r="Q227" s="1320">
        <f t="shared" si="40"/>
        <v>0</v>
      </c>
    </row>
    <row r="228" spans="1:18">
      <c r="A228" s="557"/>
      <c r="B228" s="530"/>
      <c r="C228" s="530"/>
      <c r="E228" s="557"/>
      <c r="F228" s="530"/>
      <c r="G228" s="530"/>
      <c r="L228" s="1314" t="s">
        <v>1088</v>
      </c>
      <c r="M228" s="1320">
        <v>53904.800000000003</v>
      </c>
      <c r="N228" s="1320">
        <v>59385.039999999994</v>
      </c>
      <c r="O228" s="1320">
        <v>83855.520000000004</v>
      </c>
      <c r="P228" s="1320">
        <v>175889.87180038384</v>
      </c>
      <c r="Q228" s="1320">
        <f t="shared" si="40"/>
        <v>233943.25831284918</v>
      </c>
    </row>
    <row r="229" spans="1:18">
      <c r="A229" s="557" t="s">
        <v>631</v>
      </c>
      <c r="B229" s="531"/>
      <c r="C229" s="531" t="e">
        <f>H128*C$60/H$109</f>
        <v>#REF!</v>
      </c>
      <c r="E229" s="557" t="s">
        <v>631</v>
      </c>
      <c r="F229" s="531"/>
      <c r="G229" s="531">
        <f>1.04*1.01*F229</f>
        <v>0</v>
      </c>
      <c r="L229" s="1315" t="s">
        <v>1089</v>
      </c>
      <c r="M229" s="185"/>
      <c r="N229" s="1320"/>
      <c r="O229" s="185"/>
      <c r="P229" s="1320"/>
      <c r="Q229" s="1320"/>
    </row>
    <row r="230" spans="1:18">
      <c r="A230" s="557" t="s">
        <v>657</v>
      </c>
      <c r="B230" s="531"/>
      <c r="C230" s="531" t="e">
        <f>H129*C$60/H$109</f>
        <v>#REF!</v>
      </c>
      <c r="E230" s="557" t="s">
        <v>657</v>
      </c>
      <c r="F230" s="531"/>
      <c r="G230" s="531">
        <f>1.04*1.01*F230</f>
        <v>0</v>
      </c>
      <c r="L230" s="1315" t="s">
        <v>1090</v>
      </c>
      <c r="M230" s="185"/>
      <c r="N230" s="185"/>
      <c r="O230" s="185"/>
      <c r="P230" s="1320"/>
      <c r="Q230" s="1320"/>
    </row>
    <row r="231" spans="1:18">
      <c r="A231" s="559" t="s">
        <v>633</v>
      </c>
      <c r="B231" s="531"/>
      <c r="C231" s="531" t="e">
        <f>H130*C$60/H$109</f>
        <v>#REF!</v>
      </c>
      <c r="E231" s="559" t="s">
        <v>633</v>
      </c>
      <c r="F231" s="531">
        <v>1037</v>
      </c>
      <c r="G231" s="531">
        <f>1.04*1.01*F231</f>
        <v>1089.2647999999999</v>
      </c>
      <c r="L231" s="1316" t="s">
        <v>1091</v>
      </c>
      <c r="M231" s="185"/>
      <c r="N231" s="185"/>
      <c r="O231" s="185"/>
      <c r="P231" s="1320"/>
      <c r="Q231" s="1320"/>
    </row>
    <row r="232" spans="1:18">
      <c r="A232" s="557" t="s">
        <v>656</v>
      </c>
      <c r="B232" s="531"/>
      <c r="C232" s="531">
        <v>76687</v>
      </c>
      <c r="E232" s="557" t="s">
        <v>656</v>
      </c>
      <c r="F232" s="531">
        <v>47000</v>
      </c>
      <c r="G232" s="531">
        <f>1.04*1.01*F232</f>
        <v>49368.800000000003</v>
      </c>
      <c r="L232" s="1316" t="s">
        <v>1092</v>
      </c>
      <c r="M232" s="185"/>
      <c r="N232" s="185"/>
      <c r="O232" s="185"/>
      <c r="P232" s="1320"/>
      <c r="Q232" s="1320"/>
    </row>
    <row r="233" spans="1:18">
      <c r="A233" s="563" t="s">
        <v>635</v>
      </c>
      <c r="B233" s="531"/>
      <c r="C233" s="531" t="e">
        <f>H132*C$60/H$109</f>
        <v>#REF!</v>
      </c>
      <c r="E233" s="563" t="s">
        <v>635</v>
      </c>
      <c r="F233" s="531"/>
      <c r="G233" s="531">
        <f>1.04*1.01*F233</f>
        <v>0</v>
      </c>
      <c r="L233" s="1313" t="s">
        <v>552</v>
      </c>
      <c r="M233" s="185">
        <v>30130</v>
      </c>
      <c r="N233" s="185">
        <v>47612</v>
      </c>
      <c r="O233" s="185">
        <v>61056</v>
      </c>
      <c r="P233" s="1320">
        <v>63337.846153846156</v>
      </c>
      <c r="Q233" s="1320">
        <f>1.04963*TREND(N233:P233,R$214:T$214,U$214)</f>
        <v>76687.15199794872</v>
      </c>
    </row>
    <row r="234" spans="1:18">
      <c r="A234" s="564"/>
      <c r="B234" s="534">
        <f>SUM(B216:B233)</f>
        <v>38580705</v>
      </c>
      <c r="C234" s="534" t="e">
        <f>SUM(C216:C233)</f>
        <v>#REF!</v>
      </c>
      <c r="E234" s="564"/>
      <c r="F234" s="534">
        <f>SUM(F216:F233)</f>
        <v>6519184</v>
      </c>
      <c r="G234" s="534">
        <f>SUM(G216:G233)</f>
        <v>6847750.8735999996</v>
      </c>
      <c r="L234" s="1316" t="s">
        <v>1093</v>
      </c>
      <c r="M234" s="185"/>
      <c r="N234" s="185"/>
      <c r="O234" s="185"/>
      <c r="P234" s="185"/>
      <c r="Q234" s="185"/>
    </row>
    <row r="235" spans="1:18">
      <c r="L235" s="1316" t="s">
        <v>1094</v>
      </c>
      <c r="M235" s="185"/>
      <c r="N235" s="185"/>
      <c r="O235" s="185"/>
      <c r="P235" s="185"/>
      <c r="Q235" s="185"/>
    </row>
    <row r="236" spans="1:18" ht="16.5" thickBot="1">
      <c r="A236" t="s">
        <v>1081</v>
      </c>
      <c r="B236">
        <v>19021801</v>
      </c>
      <c r="C236" s="1320">
        <f>Q239+Q240</f>
        <v>20494225</v>
      </c>
      <c r="F236">
        <v>3029623</v>
      </c>
      <c r="G236" s="531">
        <f>1.04*1.01*F236</f>
        <v>3182315.9992</v>
      </c>
      <c r="L236" s="1317"/>
      <c r="M236" s="1320">
        <f>SUM(M217:M235)</f>
        <v>27352523.510000002</v>
      </c>
      <c r="N236" s="1320">
        <f>SUM(N217:N235)</f>
        <v>32498556.999999996</v>
      </c>
      <c r="O236" s="1320">
        <f>SUM(O217:O235)</f>
        <v>37654527.120000005</v>
      </c>
      <c r="P236" s="1320">
        <f>SUM(P217:P235)</f>
        <v>44485471.379405573</v>
      </c>
      <c r="Q236" s="1320">
        <f>SUM(Q217:Q235)</f>
        <v>52691180.609669171</v>
      </c>
      <c r="R236" s="1321"/>
    </row>
    <row r="237" spans="1:18" ht="16.5" thickTop="1">
      <c r="A237" t="s">
        <v>1109</v>
      </c>
      <c r="B237">
        <v>18785225</v>
      </c>
      <c r="C237" s="1320">
        <f>Q241</f>
        <v>23037101</v>
      </c>
      <c r="N237" s="14">
        <f>N236/M236</f>
        <v>1.1881374304684764</v>
      </c>
      <c r="O237" s="14">
        <f>O236/N236</f>
        <v>1.1586522786227096</v>
      </c>
      <c r="P237" s="14">
        <f>P236/O236</f>
        <v>1.1814109691946535</v>
      </c>
      <c r="Q237" s="226">
        <f>1.19*P236</f>
        <v>52937710.941492632</v>
      </c>
    </row>
    <row r="238" spans="1:18">
      <c r="A238" t="s">
        <v>417</v>
      </c>
      <c r="C238" s="1320"/>
      <c r="F238">
        <v>541124</v>
      </c>
      <c r="G238" s="531">
        <f>1.04*1.01*F238</f>
        <v>568396.6496</v>
      </c>
    </row>
    <row r="239" spans="1:18">
      <c r="A239" t="s">
        <v>1111</v>
      </c>
      <c r="C239" s="1320"/>
      <c r="F239">
        <v>63000</v>
      </c>
      <c r="G239" s="531">
        <f>1.04*1.01*F239</f>
        <v>66175.199999999997</v>
      </c>
      <c r="L239" t="s">
        <v>1097</v>
      </c>
      <c r="Q239" s="1320">
        <v>7319366</v>
      </c>
    </row>
    <row r="240" spans="1:18">
      <c r="A240" t="s">
        <v>1110</v>
      </c>
      <c r="B240" s="551">
        <f>SUM(B234:B239)</f>
        <v>76387731</v>
      </c>
      <c r="C240" s="551" t="e">
        <f>SUM(C234:C239)</f>
        <v>#REF!</v>
      </c>
      <c r="F240" s="551">
        <f>SUM(F234:F239)</f>
        <v>10152931</v>
      </c>
      <c r="G240" s="551">
        <f>SUM(G234:G239)</f>
        <v>10664638.722399998</v>
      </c>
      <c r="L240" t="s">
        <v>1098</v>
      </c>
      <c r="Q240" s="1320">
        <v>13174859</v>
      </c>
    </row>
    <row r="241" spans="1:17">
      <c r="L241" t="s">
        <v>1099</v>
      </c>
      <c r="Q241" s="1320">
        <v>23037101</v>
      </c>
    </row>
    <row r="242" spans="1:17">
      <c r="A242" t="s">
        <v>1112</v>
      </c>
      <c r="B242">
        <f>B237/B240</f>
        <v>0.24591940032883031</v>
      </c>
      <c r="C242" t="e">
        <f>C237/C240</f>
        <v>#REF!</v>
      </c>
      <c r="L242" t="s">
        <v>1100</v>
      </c>
      <c r="Q242" s="1320">
        <f>Q236+SUM(Q239:Q241)</f>
        <v>96222506.609669179</v>
      </c>
    </row>
    <row r="243" spans="1:17">
      <c r="A243" t="s">
        <v>1113</v>
      </c>
      <c r="B243">
        <f>B236/B240</f>
        <v>0.24901644218231853</v>
      </c>
      <c r="C243" t="e">
        <f>C236/C240</f>
        <v>#REF!</v>
      </c>
    </row>
    <row r="245" spans="1:17" ht="31.5">
      <c r="A245" s="223" t="s">
        <v>1114</v>
      </c>
      <c r="B245" s="551">
        <f>B234+F234</f>
        <v>45099889</v>
      </c>
      <c r="C245" s="551" t="e">
        <f>C234+G234</f>
        <v>#REF!</v>
      </c>
      <c r="P245" t="s">
        <v>1101</v>
      </c>
      <c r="Q245" t="s">
        <v>1102</v>
      </c>
    </row>
    <row r="246" spans="1:17">
      <c r="P246" t="s">
        <v>1103</v>
      </c>
      <c r="Q246" t="s">
        <v>1104</v>
      </c>
    </row>
  </sheetData>
  <mergeCells count="4">
    <mergeCell ref="Q59:S59"/>
    <mergeCell ref="R58:T58"/>
    <mergeCell ref="L214:L216"/>
    <mergeCell ref="A41:AG41"/>
  </mergeCells>
  <pageMargins left="0.75" right="0.75" top="1" bottom="1" header="0.5" footer="0.5"/>
  <pageSetup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131"/>
  <sheetViews>
    <sheetView workbookViewId="0">
      <selection activeCell="C13" sqref="C13"/>
    </sheetView>
  </sheetViews>
  <sheetFormatPr defaultColWidth="11" defaultRowHeight="15.75"/>
  <cols>
    <col min="1" max="1" width="25" customWidth="1"/>
    <col min="5" max="5" width="18.875" customWidth="1"/>
    <col min="16" max="16" width="18.375" customWidth="1"/>
    <col min="25" max="25" width="19" customWidth="1"/>
  </cols>
  <sheetData>
    <row r="1" spans="1:25">
      <c r="A1" s="10" t="s">
        <v>717</v>
      </c>
      <c r="D1" s="66"/>
      <c r="J1" s="1174" t="s">
        <v>975</v>
      </c>
      <c r="K1" s="66"/>
      <c r="L1" s="66"/>
      <c r="N1" s="66"/>
      <c r="O1" s="66"/>
    </row>
    <row r="2" spans="1:25" ht="16.5" thickBot="1">
      <c r="A2" s="10"/>
      <c r="D2" s="66"/>
      <c r="I2" s="384"/>
      <c r="J2" t="s">
        <v>1036</v>
      </c>
      <c r="O2" s="66"/>
    </row>
    <row r="3" spans="1:25">
      <c r="A3" s="656" t="s">
        <v>348</v>
      </c>
      <c r="B3" s="657"/>
      <c r="C3" s="658"/>
      <c r="D3" s="659"/>
      <c r="E3" s="185"/>
      <c r="F3" s="714" t="s">
        <v>761</v>
      </c>
      <c r="G3" s="474"/>
      <c r="H3" s="474"/>
      <c r="I3" s="1175"/>
      <c r="J3" s="1178"/>
      <c r="K3" s="474"/>
      <c r="L3" s="474"/>
      <c r="M3" s="475"/>
      <c r="P3" t="s">
        <v>955</v>
      </c>
      <c r="S3" s="1009">
        <f>(0.58*J35+0.83*J60+J83+J106)/(J128+J106+J83+J60+J35)</f>
        <v>0.8161290820659306</v>
      </c>
    </row>
    <row r="4" spans="1:25">
      <c r="A4" s="521" t="s">
        <v>1027</v>
      </c>
      <c r="B4" s="672" t="s">
        <v>718</v>
      </c>
      <c r="C4" s="655"/>
      <c r="D4" s="660">
        <f>1-D3</f>
        <v>1</v>
      </c>
      <c r="E4" s="185"/>
      <c r="F4" s="715" t="s">
        <v>721</v>
      </c>
      <c r="G4" s="91"/>
      <c r="H4" s="91"/>
      <c r="I4" s="1176">
        <f>'Dashboard-Academic Allocation'!B46</f>
        <v>0.3</v>
      </c>
      <c r="J4" s="1179">
        <f>J83</f>
        <v>1839.6</v>
      </c>
      <c r="K4" s="1036">
        <f>J4/J$9</f>
        <v>0.35505288350189146</v>
      </c>
      <c r="L4" s="531">
        <f>K4*C$9</f>
        <v>2367165.6159304078</v>
      </c>
      <c r="M4" s="1180">
        <f>L4/((Q83+R83+S83)/3)</f>
        <v>1158.1045087722152</v>
      </c>
      <c r="N4" s="17"/>
      <c r="P4" t="s">
        <v>956</v>
      </c>
      <c r="S4" s="754">
        <f>1-S3</f>
        <v>0.1838709179340694</v>
      </c>
    </row>
    <row r="5" spans="1:25" ht="16.5" thickBot="1">
      <c r="A5" s="596"/>
      <c r="B5" s="597"/>
      <c r="C5" s="598"/>
      <c r="D5" s="599"/>
      <c r="E5" s="185"/>
      <c r="F5" s="715" t="s">
        <v>344</v>
      </c>
      <c r="G5" s="91"/>
      <c r="H5" s="91"/>
      <c r="I5" s="1176">
        <f>'Dashboard-Academic Allocation'!B44</f>
        <v>1.4</v>
      </c>
      <c r="J5" s="1179">
        <f>J60</f>
        <v>1803.1999999999998</v>
      </c>
      <c r="K5" s="1036">
        <f>J5/J$9</f>
        <v>0.348027483980545</v>
      </c>
      <c r="L5" s="531">
        <f>K5*C$9</f>
        <v>2320326.7224645088</v>
      </c>
      <c r="M5" s="1180">
        <f>L5/((Q60+R60+S60)/3)</f>
        <v>5404.4877076036701</v>
      </c>
      <c r="N5" s="1037"/>
      <c r="O5" s="185"/>
    </row>
    <row r="6" spans="1:25">
      <c r="D6" s="66"/>
      <c r="F6" s="715" t="s">
        <v>719</v>
      </c>
      <c r="G6" s="91"/>
      <c r="H6" s="91"/>
      <c r="I6" s="1176">
        <f>'Dashboard-Academic Allocation'!B45</f>
        <v>1.2</v>
      </c>
      <c r="J6" s="1179">
        <f>J35</f>
        <v>1538.3999999999999</v>
      </c>
      <c r="K6" s="1036">
        <f>J6/J$9</f>
        <v>0.29691963251756348</v>
      </c>
      <c r="L6" s="531">
        <f>K6*C$9</f>
        <v>1979586.6403279728</v>
      </c>
      <c r="M6" s="1180">
        <f>L6/((Q35+R35+S35)/3)</f>
        <v>4632.4180350888601</v>
      </c>
      <c r="R6" s="1263"/>
    </row>
    <row r="7" spans="1:25">
      <c r="F7" s="715" t="s">
        <v>187</v>
      </c>
      <c r="G7" s="91"/>
      <c r="H7" s="91"/>
      <c r="I7" s="1176">
        <f>'Dashboard-Academic Allocation'!B48</f>
        <v>0</v>
      </c>
      <c r="J7" s="1179">
        <f>J128</f>
        <v>0</v>
      </c>
      <c r="K7" s="1036">
        <f>J7/J$9</f>
        <v>0</v>
      </c>
      <c r="L7" s="531">
        <f>K7*C$9</f>
        <v>0</v>
      </c>
      <c r="M7" s="1180">
        <f>L7/((Q128+R128+S128)/3)</f>
        <v>0</v>
      </c>
      <c r="P7" s="10"/>
    </row>
    <row r="8" spans="1:25" ht="16.5" thickBot="1">
      <c r="D8" s="66"/>
      <c r="F8" s="716" t="s">
        <v>762</v>
      </c>
      <c r="G8" s="480"/>
      <c r="H8" s="480"/>
      <c r="I8" s="1177">
        <f>'Dashboard-Academic Allocation'!B48</f>
        <v>0</v>
      </c>
      <c r="J8" s="1179">
        <f>J106</f>
        <v>0</v>
      </c>
      <c r="K8" s="1036">
        <f>J8/J$9</f>
        <v>0</v>
      </c>
      <c r="L8" s="531">
        <f>K8*C$9</f>
        <v>0</v>
      </c>
      <c r="M8" s="1180">
        <f>L8/((Q106+R106+S106)/3)</f>
        <v>0</v>
      </c>
      <c r="T8" s="550"/>
      <c r="U8" s="550"/>
      <c r="V8" s="550"/>
      <c r="W8" s="550"/>
    </row>
    <row r="9" spans="1:25" ht="16.5" thickBot="1">
      <c r="A9" s="575" t="s">
        <v>760</v>
      </c>
      <c r="B9" s="576"/>
      <c r="C9" s="1135">
        <f>'Dashboard-Academic Allocation'!D43</f>
        <v>6667078.9787228899</v>
      </c>
      <c r="D9" s="66"/>
      <c r="J9" s="1181">
        <f>J3+J4+J5+J6+J7+J8</f>
        <v>5181.2</v>
      </c>
      <c r="K9" s="1182">
        <f>K3+K4+K5+K6+K7+K8</f>
        <v>0.99999999999999989</v>
      </c>
      <c r="L9" s="1183">
        <f>L3+L4+L5+L6+L7+L8</f>
        <v>6667078.978722889</v>
      </c>
      <c r="M9" s="1184"/>
      <c r="N9" s="17"/>
      <c r="P9" s="528"/>
      <c r="Q9" s="551"/>
      <c r="R9" s="551"/>
    </row>
    <row r="10" spans="1:25">
      <c r="D10" s="66"/>
      <c r="K10" s="66"/>
      <c r="L10" s="66"/>
      <c r="P10" s="530"/>
      <c r="Q10" s="185"/>
      <c r="R10" s="185"/>
      <c r="S10" s="185"/>
      <c r="T10" s="185"/>
      <c r="U10" s="185"/>
      <c r="V10" s="185"/>
      <c r="W10" s="185"/>
    </row>
    <row r="11" spans="1:25">
      <c r="D11" s="66"/>
      <c r="K11" s="66"/>
      <c r="L11" s="66"/>
      <c r="P11" s="530"/>
      <c r="Q11" s="531"/>
      <c r="R11" s="531"/>
      <c r="S11" s="531"/>
      <c r="T11" s="531"/>
      <c r="U11" s="531"/>
      <c r="V11" s="531"/>
      <c r="W11" s="531"/>
    </row>
    <row r="12" spans="1:25">
      <c r="D12" s="66"/>
      <c r="K12" s="66"/>
      <c r="L12" s="66"/>
      <c r="P12" s="530"/>
      <c r="Q12" s="530"/>
      <c r="R12" s="530"/>
      <c r="S12" s="530"/>
      <c r="T12" s="530"/>
      <c r="U12" s="530"/>
      <c r="V12" s="530"/>
      <c r="W12" s="530"/>
    </row>
    <row r="13" spans="1:25">
      <c r="D13" s="66"/>
      <c r="K13" s="66"/>
      <c r="L13" s="66"/>
    </row>
    <row r="14" spans="1:25">
      <c r="D14" s="66"/>
      <c r="K14" s="66"/>
      <c r="L14" s="66"/>
      <c r="N14" s="469" t="s">
        <v>702</v>
      </c>
      <c r="P14" s="185"/>
      <c r="Q14" s="603"/>
      <c r="R14" s="603"/>
      <c r="S14" s="603"/>
      <c r="T14" s="603"/>
      <c r="U14" s="603"/>
      <c r="V14" s="603"/>
      <c r="W14" s="603"/>
    </row>
    <row r="15" spans="1:25">
      <c r="A15" s="554" t="s">
        <v>681</v>
      </c>
      <c r="B15" s="253"/>
      <c r="C15" s="253"/>
      <c r="D15" s="66"/>
      <c r="E15" s="554" t="s">
        <v>764</v>
      </c>
      <c r="F15" s="554"/>
      <c r="G15" s="554"/>
      <c r="H15" s="554"/>
      <c r="I15" s="645"/>
      <c r="J15" s="554" t="s">
        <v>1035</v>
      </c>
      <c r="K15" s="554"/>
      <c r="L15" s="554"/>
      <c r="P15" s="667" t="s">
        <v>719</v>
      </c>
      <c r="Q15" s="536"/>
      <c r="R15" s="536"/>
      <c r="S15" s="536"/>
      <c r="T15" s="663"/>
      <c r="U15" s="663"/>
      <c r="V15" s="663"/>
      <c r="W15" s="663"/>
    </row>
    <row r="16" spans="1:25" ht="25.5">
      <c r="A16" s="555"/>
      <c r="B16" s="556" t="s">
        <v>606</v>
      </c>
      <c r="C16" s="556" t="s">
        <v>1151</v>
      </c>
      <c r="D16" s="574"/>
      <c r="E16" s="555"/>
      <c r="F16" s="556" t="s">
        <v>1004</v>
      </c>
      <c r="G16" s="556"/>
      <c r="H16" s="556" t="s">
        <v>1153</v>
      </c>
      <c r="I16" s="652"/>
      <c r="J16" s="556" t="s">
        <v>1029</v>
      </c>
      <c r="K16" s="556"/>
      <c r="L16" s="556" t="s">
        <v>1152</v>
      </c>
      <c r="N16" s="66"/>
      <c r="P16" s="668"/>
      <c r="Q16" s="669" t="s">
        <v>622</v>
      </c>
      <c r="R16" s="669" t="s">
        <v>623</v>
      </c>
      <c r="S16" s="670" t="s">
        <v>624</v>
      </c>
      <c r="T16" s="669" t="s">
        <v>645</v>
      </c>
      <c r="U16" s="669" t="s">
        <v>1065</v>
      </c>
      <c r="V16" s="669" t="s">
        <v>1074</v>
      </c>
      <c r="W16" s="669" t="s">
        <v>1308</v>
      </c>
      <c r="Y16" t="s">
        <v>763</v>
      </c>
    </row>
    <row r="17" spans="1:29">
      <c r="A17" s="557" t="s">
        <v>628</v>
      </c>
      <c r="B17" s="531">
        <f>B42*C$9</f>
        <v>596037.78718143341</v>
      </c>
      <c r="C17" s="531">
        <f>C42*C$9</f>
        <v>521060.99654320366</v>
      </c>
      <c r="D17" s="66"/>
      <c r="E17" s="557" t="s">
        <v>628</v>
      </c>
      <c r="F17" s="531">
        <f>J17+J42+J65+J88+J110</f>
        <v>463.2</v>
      </c>
      <c r="G17" s="531"/>
      <c r="H17" s="531">
        <f>L17+L42+L65+L88+L110</f>
        <v>487.36666666666667</v>
      </c>
      <c r="I17" s="227"/>
      <c r="J17" s="531">
        <f>N17*(Q17+R17+S17)</f>
        <v>85.2</v>
      </c>
      <c r="K17" s="558"/>
      <c r="L17" s="531">
        <f>N17*(V17+S17+U17)</f>
        <v>82.8</v>
      </c>
      <c r="N17" s="611">
        <v>1.2</v>
      </c>
      <c r="P17" s="557" t="s">
        <v>628</v>
      </c>
      <c r="Q17" s="624">
        <v>25</v>
      </c>
      <c r="R17" s="624">
        <v>24</v>
      </c>
      <c r="S17" s="624">
        <v>22</v>
      </c>
      <c r="T17" s="1283">
        <v>23.333333333333332</v>
      </c>
      <c r="U17" s="624">
        <v>24</v>
      </c>
      <c r="V17" s="1283">
        <v>23</v>
      </c>
      <c r="W17" s="1283"/>
      <c r="Y17" s="711">
        <v>1</v>
      </c>
      <c r="Z17" s="678">
        <v>2</v>
      </c>
      <c r="AA17" s="678">
        <v>3</v>
      </c>
      <c r="AB17" s="678">
        <v>4</v>
      </c>
      <c r="AC17" s="712"/>
    </row>
    <row r="18" spans="1:29">
      <c r="A18" s="557" t="s">
        <v>6</v>
      </c>
      <c r="B18" s="531">
        <f t="shared" ref="B18:B28" si="0">B43*C$9</f>
        <v>1129666.6091679197</v>
      </c>
      <c r="C18" s="531">
        <f t="shared" ref="C18:C28" si="1">C43*C$9</f>
        <v>1111651.4373279633</v>
      </c>
      <c r="D18" s="66"/>
      <c r="E18" s="557" t="s">
        <v>6</v>
      </c>
      <c r="F18" s="531">
        <f t="shared" ref="F18:F28" si="2">J18+J43+J66+J89+J111</f>
        <v>877.9</v>
      </c>
      <c r="G18" s="531"/>
      <c r="H18" s="531">
        <f t="shared" ref="H18:H28" si="3">L18+L43+L66+L89+L111</f>
        <v>1039.7666666666667</v>
      </c>
      <c r="I18" s="227"/>
      <c r="J18" s="531">
        <f t="shared" ref="J18:J28" si="4">N18*(Q18+R18+S18)</f>
        <v>400.8</v>
      </c>
      <c r="K18" s="558"/>
      <c r="L18" s="531">
        <f t="shared" ref="L18:L28" si="5">N18*(V18+S18+U18)</f>
        <v>582.79999999999995</v>
      </c>
      <c r="N18" s="611">
        <f>N$17</f>
        <v>1.2</v>
      </c>
      <c r="P18" s="557" t="s">
        <v>6</v>
      </c>
      <c r="Q18" s="624">
        <v>64</v>
      </c>
      <c r="R18" s="624">
        <v>125</v>
      </c>
      <c r="S18" s="624">
        <v>145</v>
      </c>
      <c r="T18" s="1283">
        <v>165</v>
      </c>
      <c r="U18" s="624">
        <v>161</v>
      </c>
      <c r="V18" s="1283">
        <v>179.66666666666663</v>
      </c>
      <c r="W18" s="1283"/>
      <c r="Y18" s="713"/>
      <c r="Z18" s="16"/>
      <c r="AA18" s="16"/>
      <c r="AB18" s="16"/>
      <c r="AC18" s="412"/>
    </row>
    <row r="19" spans="1:29">
      <c r="A19" s="557" t="s">
        <v>8</v>
      </c>
      <c r="B19" s="531">
        <f t="shared" si="0"/>
        <v>127262.81768619118</v>
      </c>
      <c r="C19" s="531">
        <f t="shared" si="1"/>
        <v>101318.40593477381</v>
      </c>
      <c r="D19" s="66"/>
      <c r="E19" s="557" t="s">
        <v>8</v>
      </c>
      <c r="F19" s="531">
        <f t="shared" si="2"/>
        <v>98.899999999999977</v>
      </c>
      <c r="G19" s="531"/>
      <c r="H19" s="531">
        <f t="shared" si="3"/>
        <v>94.766666666666666</v>
      </c>
      <c r="I19" s="227"/>
      <c r="J19" s="531">
        <f t="shared" si="4"/>
        <v>6</v>
      </c>
      <c r="K19" s="558"/>
      <c r="L19" s="531">
        <f t="shared" si="5"/>
        <v>3.9999999999999996</v>
      </c>
      <c r="N19" s="611">
        <f t="shared" ref="N19:N28" si="6">N$17</f>
        <v>1.2</v>
      </c>
      <c r="P19" s="557" t="s">
        <v>8</v>
      </c>
      <c r="Q19" s="612">
        <v>2</v>
      </c>
      <c r="R19" s="612">
        <v>2</v>
      </c>
      <c r="S19" s="612">
        <v>1</v>
      </c>
      <c r="T19" s="1278">
        <v>1.6666666666666667</v>
      </c>
      <c r="U19" s="616">
        <v>1</v>
      </c>
      <c r="V19" s="1278">
        <v>1.3333333333333333</v>
      </c>
      <c r="W19" s="1278"/>
    </row>
    <row r="20" spans="1:29">
      <c r="A20" s="559" t="s">
        <v>2</v>
      </c>
      <c r="B20" s="531">
        <f t="shared" si="0"/>
        <v>170627.39762577304</v>
      </c>
      <c r="C20" s="531">
        <f t="shared" si="1"/>
        <v>159051.72201438464</v>
      </c>
      <c r="D20" s="66"/>
      <c r="E20" s="559" t="s">
        <v>2</v>
      </c>
      <c r="F20" s="531">
        <f t="shared" si="2"/>
        <v>132.6</v>
      </c>
      <c r="G20" s="531"/>
      <c r="H20" s="531">
        <f t="shared" si="3"/>
        <v>148.76666666666665</v>
      </c>
      <c r="I20" s="227"/>
      <c r="J20" s="531">
        <f t="shared" si="4"/>
        <v>18</v>
      </c>
      <c r="K20" s="558"/>
      <c r="L20" s="531">
        <f t="shared" si="5"/>
        <v>26</v>
      </c>
      <c r="N20" s="611">
        <f t="shared" si="6"/>
        <v>1.2</v>
      </c>
      <c r="P20" s="559" t="s">
        <v>2</v>
      </c>
      <c r="Q20" s="539">
        <v>5</v>
      </c>
      <c r="R20" s="539">
        <v>5</v>
      </c>
      <c r="S20" s="539">
        <v>5</v>
      </c>
      <c r="T20" s="1256">
        <v>5</v>
      </c>
      <c r="U20" s="539">
        <v>10</v>
      </c>
      <c r="V20" s="1256">
        <v>6.666666666666667</v>
      </c>
      <c r="W20" s="1256"/>
    </row>
    <row r="21" spans="1:29">
      <c r="A21" s="557" t="s">
        <v>10</v>
      </c>
      <c r="B21" s="531">
        <f t="shared" si="0"/>
        <v>89302.725454213025</v>
      </c>
      <c r="C21" s="531">
        <f t="shared" si="1"/>
        <v>67391.173275644498</v>
      </c>
      <c r="D21" s="66"/>
      <c r="E21" s="557" t="s">
        <v>10</v>
      </c>
      <c r="F21" s="531">
        <f t="shared" si="2"/>
        <v>69.399999999999991</v>
      </c>
      <c r="G21" s="531"/>
      <c r="H21" s="531">
        <f t="shared" si="3"/>
        <v>63.033333333333339</v>
      </c>
      <c r="I21" s="227"/>
      <c r="J21" s="531">
        <f t="shared" si="4"/>
        <v>28.799999999999997</v>
      </c>
      <c r="K21" s="558"/>
      <c r="L21" s="531">
        <f t="shared" si="5"/>
        <v>24.8</v>
      </c>
      <c r="N21" s="611">
        <f t="shared" si="6"/>
        <v>1.2</v>
      </c>
      <c r="P21" s="557" t="s">
        <v>10</v>
      </c>
      <c r="Q21" s="624">
        <v>10</v>
      </c>
      <c r="R21" s="624">
        <v>6</v>
      </c>
      <c r="S21" s="624">
        <v>8</v>
      </c>
      <c r="T21" s="1283">
        <v>8</v>
      </c>
      <c r="U21" s="624">
        <v>6</v>
      </c>
      <c r="V21" s="1283">
        <v>6.666666666666667</v>
      </c>
      <c r="W21" s="1283"/>
    </row>
    <row r="22" spans="1:29">
      <c r="A22" s="557" t="s">
        <v>4</v>
      </c>
      <c r="B22" s="531">
        <f t="shared" si="0"/>
        <v>648023.81179743062</v>
      </c>
      <c r="C22" s="531">
        <f t="shared" si="1"/>
        <v>661937.4153473404</v>
      </c>
      <c r="D22" s="66"/>
      <c r="E22" s="557" t="s">
        <v>4</v>
      </c>
      <c r="F22" s="531">
        <f t="shared" si="2"/>
        <v>503.6</v>
      </c>
      <c r="G22" s="531"/>
      <c r="H22" s="531">
        <f t="shared" si="3"/>
        <v>619.13333333333333</v>
      </c>
      <c r="I22" s="227"/>
      <c r="J22" s="531">
        <f t="shared" si="4"/>
        <v>133.19999999999999</v>
      </c>
      <c r="K22" s="558"/>
      <c r="L22" s="531">
        <f t="shared" si="5"/>
        <v>151.19999999999999</v>
      </c>
      <c r="N22" s="611">
        <f t="shared" si="6"/>
        <v>1.2</v>
      </c>
      <c r="P22" s="557" t="s">
        <v>4</v>
      </c>
      <c r="Q22" s="624">
        <v>36</v>
      </c>
      <c r="R22" s="624">
        <v>36</v>
      </c>
      <c r="S22" s="624">
        <v>39</v>
      </c>
      <c r="T22" s="1283">
        <v>40</v>
      </c>
      <c r="U22" s="624">
        <v>42</v>
      </c>
      <c r="V22" s="1283">
        <v>45</v>
      </c>
      <c r="W22" s="1283"/>
    </row>
    <row r="23" spans="1:29">
      <c r="A23" s="557" t="s">
        <v>14</v>
      </c>
      <c r="B23" s="531">
        <f t="shared" si="0"/>
        <v>70000.983641342784</v>
      </c>
      <c r="C23" s="531">
        <f t="shared" si="1"/>
        <v>57305.661886428526</v>
      </c>
      <c r="D23" s="66"/>
      <c r="E23" s="557" t="s">
        <v>14</v>
      </c>
      <c r="F23" s="531">
        <f t="shared" si="2"/>
        <v>54.4</v>
      </c>
      <c r="G23" s="531"/>
      <c r="H23" s="531">
        <f t="shared" si="3"/>
        <v>53.6</v>
      </c>
      <c r="I23" s="227"/>
      <c r="J23" s="531">
        <f t="shared" si="4"/>
        <v>32.4</v>
      </c>
      <c r="K23" s="558"/>
      <c r="L23" s="531">
        <f t="shared" si="5"/>
        <v>22.400000000000002</v>
      </c>
      <c r="N23" s="611">
        <f t="shared" si="6"/>
        <v>1.2</v>
      </c>
      <c r="P23" s="557" t="s">
        <v>14</v>
      </c>
      <c r="Q23" s="548">
        <v>10</v>
      </c>
      <c r="R23" s="548">
        <v>12</v>
      </c>
      <c r="S23" s="548">
        <v>5</v>
      </c>
      <c r="T23" s="1283">
        <v>9</v>
      </c>
      <c r="U23" s="624">
        <v>6</v>
      </c>
      <c r="V23" s="1283">
        <v>7.666666666666667</v>
      </c>
      <c r="W23" s="1283"/>
    </row>
    <row r="24" spans="1:29">
      <c r="A24" s="559" t="s">
        <v>17</v>
      </c>
      <c r="B24" s="531">
        <f t="shared" si="0"/>
        <v>1226818.709626033</v>
      </c>
      <c r="C24" s="531">
        <f t="shared" si="1"/>
        <v>1153440.3795717605</v>
      </c>
      <c r="D24" s="66"/>
      <c r="E24" s="559" t="s">
        <v>17</v>
      </c>
      <c r="F24" s="531">
        <f t="shared" si="2"/>
        <v>953.39999999999986</v>
      </c>
      <c r="G24" s="531"/>
      <c r="H24" s="531">
        <f t="shared" si="3"/>
        <v>1078.8533333333332</v>
      </c>
      <c r="I24" s="227"/>
      <c r="J24" s="531">
        <f t="shared" si="4"/>
        <v>103.2</v>
      </c>
      <c r="K24" s="558"/>
      <c r="L24" s="531">
        <f t="shared" si="5"/>
        <v>175.12</v>
      </c>
      <c r="N24" s="611">
        <f t="shared" si="6"/>
        <v>1.2</v>
      </c>
      <c r="P24" s="559" t="s">
        <v>17</v>
      </c>
      <c r="Q24" s="539">
        <v>15</v>
      </c>
      <c r="R24" s="539">
        <v>25</v>
      </c>
      <c r="S24" s="539">
        <v>46</v>
      </c>
      <c r="T24" s="1256">
        <v>59.666666666666664</v>
      </c>
      <c r="U24" s="539">
        <v>43.400000000000006</v>
      </c>
      <c r="V24" s="1256">
        <v>56.533333333333331</v>
      </c>
      <c r="W24" s="1256"/>
    </row>
    <row r="25" spans="1:29">
      <c r="A25" s="557" t="s">
        <v>376</v>
      </c>
      <c r="B25" s="531">
        <f t="shared" si="0"/>
        <v>47482.284859660816</v>
      </c>
      <c r="C25" s="531">
        <f t="shared" si="1"/>
        <v>34212.335454584194</v>
      </c>
      <c r="D25" s="66"/>
      <c r="E25" s="557" t="s">
        <v>376</v>
      </c>
      <c r="F25" s="531">
        <f t="shared" si="2"/>
        <v>36.9</v>
      </c>
      <c r="G25" s="531"/>
      <c r="H25" s="531">
        <f t="shared" si="3"/>
        <v>31.999999999999996</v>
      </c>
      <c r="I25" s="227"/>
      <c r="J25" s="531">
        <f t="shared" si="4"/>
        <v>13.2</v>
      </c>
      <c r="K25" s="558"/>
      <c r="L25" s="531">
        <f t="shared" si="5"/>
        <v>13.6</v>
      </c>
      <c r="N25" s="611">
        <f t="shared" si="6"/>
        <v>1.2</v>
      </c>
      <c r="P25" s="557" t="s">
        <v>376</v>
      </c>
      <c r="Q25" s="548">
        <v>1</v>
      </c>
      <c r="R25" s="548">
        <v>2</v>
      </c>
      <c r="S25" s="548">
        <v>8</v>
      </c>
      <c r="T25" s="1283">
        <v>3.6666666666666665</v>
      </c>
      <c r="U25" s="624">
        <v>0</v>
      </c>
      <c r="V25" s="1283">
        <v>3.3333333333333335</v>
      </c>
      <c r="W25" s="1283"/>
    </row>
    <row r="26" spans="1:29">
      <c r="A26" s="557" t="s">
        <v>7</v>
      </c>
      <c r="B26" s="531">
        <f t="shared" si="0"/>
        <v>1471307.4392557233</v>
      </c>
      <c r="C26" s="531">
        <f t="shared" si="1"/>
        <v>1758906.0587093779</v>
      </c>
      <c r="D26" s="66"/>
      <c r="E26" s="557" t="s">
        <v>7</v>
      </c>
      <c r="F26" s="531">
        <f t="shared" si="2"/>
        <v>1143.4000000000001</v>
      </c>
      <c r="G26" s="531"/>
      <c r="H26" s="531">
        <f t="shared" si="3"/>
        <v>1645.1666666666665</v>
      </c>
      <c r="I26" s="227"/>
      <c r="J26" s="531">
        <f t="shared" si="4"/>
        <v>640.79999999999995</v>
      </c>
      <c r="K26" s="558"/>
      <c r="L26" s="531">
        <f>N26*(V26+S26+U26)</f>
        <v>1054.3999999999999</v>
      </c>
      <c r="N26" s="611">
        <f t="shared" si="6"/>
        <v>1.2</v>
      </c>
      <c r="P26" s="557" t="s">
        <v>7</v>
      </c>
      <c r="Q26" s="624">
        <v>116</v>
      </c>
      <c r="R26" s="624">
        <v>187</v>
      </c>
      <c r="S26" s="624">
        <v>231</v>
      </c>
      <c r="T26" s="1283">
        <v>293</v>
      </c>
      <c r="U26" s="624">
        <v>298</v>
      </c>
      <c r="V26" s="1283">
        <v>349.66666666666663</v>
      </c>
      <c r="W26" s="1283"/>
    </row>
    <row r="27" spans="1:29">
      <c r="A27" s="557" t="s">
        <v>9</v>
      </c>
      <c r="B27" s="531">
        <f t="shared" si="0"/>
        <v>908211.29143492156</v>
      </c>
      <c r="C27" s="531">
        <f t="shared" si="1"/>
        <v>874089.53301519423</v>
      </c>
      <c r="D27" s="66"/>
      <c r="E27" s="557" t="s">
        <v>9</v>
      </c>
      <c r="F27" s="531">
        <f t="shared" si="2"/>
        <v>705.8</v>
      </c>
      <c r="G27" s="531"/>
      <c r="H27" s="531">
        <f t="shared" si="3"/>
        <v>817.56666666666661</v>
      </c>
      <c r="I27" s="227"/>
      <c r="J27" s="531">
        <f>N27*(Q27+R27+S27+Q13+R13+S13)</f>
        <v>60</v>
      </c>
      <c r="K27" s="558"/>
      <c r="L27" s="531">
        <f t="shared" si="5"/>
        <v>67.2</v>
      </c>
      <c r="N27" s="611">
        <f t="shared" si="6"/>
        <v>1.2</v>
      </c>
      <c r="P27" s="557" t="s">
        <v>9</v>
      </c>
      <c r="Q27" s="624">
        <v>14</v>
      </c>
      <c r="R27" s="624">
        <v>16</v>
      </c>
      <c r="S27" s="624">
        <v>20</v>
      </c>
      <c r="T27" s="1283">
        <v>16.666666666666668</v>
      </c>
      <c r="U27" s="624">
        <v>18</v>
      </c>
      <c r="V27" s="1283">
        <v>18</v>
      </c>
      <c r="W27" s="1283"/>
    </row>
    <row r="28" spans="1:29">
      <c r="A28" s="559" t="s">
        <v>5</v>
      </c>
      <c r="B28" s="531">
        <f t="shared" si="0"/>
        <v>182337.12099224763</v>
      </c>
      <c r="C28" s="531">
        <f t="shared" si="1"/>
        <v>166713.85964223425</v>
      </c>
      <c r="D28" s="66"/>
      <c r="E28" s="559" t="s">
        <v>5</v>
      </c>
      <c r="F28" s="531">
        <f t="shared" si="2"/>
        <v>141.69999999999999</v>
      </c>
      <c r="G28" s="531"/>
      <c r="H28" s="531">
        <f t="shared" si="3"/>
        <v>155.93333333333334</v>
      </c>
      <c r="I28" s="227"/>
      <c r="J28" s="531">
        <f t="shared" si="4"/>
        <v>16.8</v>
      </c>
      <c r="K28" s="558"/>
      <c r="L28" s="531">
        <f t="shared" si="5"/>
        <v>36.799999999999997</v>
      </c>
      <c r="N28" s="611">
        <f t="shared" si="6"/>
        <v>1.2</v>
      </c>
      <c r="P28" s="559" t="s">
        <v>5</v>
      </c>
      <c r="Q28" s="539">
        <v>3</v>
      </c>
      <c r="R28" s="539">
        <v>4</v>
      </c>
      <c r="S28" s="539">
        <v>7</v>
      </c>
      <c r="T28" s="1256">
        <v>4.666666666666667</v>
      </c>
      <c r="U28" s="539">
        <v>15</v>
      </c>
      <c r="V28" s="1256">
        <v>8.6666666666666661</v>
      </c>
      <c r="W28" s="1256"/>
    </row>
    <row r="29" spans="1:29">
      <c r="A29" s="557"/>
      <c r="B29" s="530"/>
      <c r="C29" s="530"/>
      <c r="D29" s="66"/>
      <c r="E29" s="557"/>
      <c r="F29" s="631"/>
      <c r="G29" s="568"/>
      <c r="H29" s="631"/>
      <c r="I29" s="227"/>
      <c r="J29" s="530"/>
      <c r="K29" s="558"/>
      <c r="L29" s="531">
        <f t="shared" ref="L29:L34" si="7">N29*(R29+S29+U29)</f>
        <v>0</v>
      </c>
      <c r="P29" s="557"/>
      <c r="Q29" s="548"/>
      <c r="R29" s="548"/>
      <c r="S29" s="548"/>
      <c r="T29" s="624"/>
      <c r="U29" s="624"/>
      <c r="V29" s="624"/>
      <c r="W29" s="624"/>
    </row>
    <row r="30" spans="1:29">
      <c r="A30" s="557" t="s">
        <v>631</v>
      </c>
      <c r="B30" s="531">
        <f>B55*C$9</f>
        <v>0</v>
      </c>
      <c r="C30" s="531">
        <f>C55*C$9</f>
        <v>0</v>
      </c>
      <c r="D30" s="66"/>
      <c r="E30" s="557" t="s">
        <v>631</v>
      </c>
      <c r="F30" s="531">
        <f>J30+J55+J78+J101+J123</f>
        <v>0</v>
      </c>
      <c r="G30" s="531"/>
      <c r="H30" s="531">
        <f>L30+L55+L78+L101+L123</f>
        <v>0</v>
      </c>
      <c r="I30" s="227"/>
      <c r="J30" s="531">
        <f>N30*(Q30+R30+S30)</f>
        <v>0</v>
      </c>
      <c r="K30" s="558"/>
      <c r="L30" s="531">
        <f t="shared" si="7"/>
        <v>0</v>
      </c>
      <c r="N30" s="611">
        <f>N$17</f>
        <v>1.2</v>
      </c>
      <c r="P30" s="557" t="s">
        <v>631</v>
      </c>
      <c r="Q30" s="548"/>
      <c r="R30" s="548"/>
      <c r="S30" s="548"/>
      <c r="T30" s="624"/>
      <c r="U30" s="624"/>
      <c r="V30" s="624"/>
      <c r="W30" s="624"/>
    </row>
    <row r="31" spans="1:29">
      <c r="A31" s="557" t="s">
        <v>657</v>
      </c>
      <c r="B31" s="531">
        <f>B56*C$9</f>
        <v>0</v>
      </c>
      <c r="C31" s="531">
        <f>C56*C$9</f>
        <v>0</v>
      </c>
      <c r="D31" s="66"/>
      <c r="E31" s="557" t="s">
        <v>657</v>
      </c>
      <c r="F31" s="531">
        <f>J31+J56+J79+J102+J124</f>
        <v>0</v>
      </c>
      <c r="G31" s="531"/>
      <c r="H31" s="531">
        <f>L31+L56+L79+L102+L124</f>
        <v>0</v>
      </c>
      <c r="I31" s="227"/>
      <c r="J31" s="531">
        <f>N31*(Q31+R31+S31)</f>
        <v>0</v>
      </c>
      <c r="K31" s="558"/>
      <c r="L31" s="531">
        <f t="shared" si="7"/>
        <v>0</v>
      </c>
      <c r="N31" s="611">
        <f>N$17</f>
        <v>1.2</v>
      </c>
      <c r="P31" s="557" t="s">
        <v>657</v>
      </c>
      <c r="Q31" s="624"/>
      <c r="R31" s="624"/>
      <c r="S31" s="624"/>
      <c r="T31" s="616"/>
      <c r="U31" s="616"/>
      <c r="V31" s="616"/>
      <c r="W31" s="616"/>
    </row>
    <row r="32" spans="1:29">
      <c r="A32" s="559" t="s">
        <v>633</v>
      </c>
      <c r="B32" s="531">
        <f>B57*C$9</f>
        <v>0</v>
      </c>
      <c r="C32" s="531">
        <f>C57*C$9</f>
        <v>0</v>
      </c>
      <c r="D32" s="66"/>
      <c r="E32" s="559" t="s">
        <v>633</v>
      </c>
      <c r="F32" s="531">
        <f>J32+J57+J80+J103+J125</f>
        <v>0</v>
      </c>
      <c r="G32" s="531"/>
      <c r="H32" s="531">
        <f>L32+L57+L80+L103+L125</f>
        <v>0</v>
      </c>
      <c r="I32" s="227"/>
      <c r="J32" s="531">
        <f>N32*(Q32+R32+S32)</f>
        <v>0</v>
      </c>
      <c r="K32" s="558"/>
      <c r="L32" s="531">
        <f t="shared" si="7"/>
        <v>0</v>
      </c>
      <c r="N32" s="611">
        <f>N$17</f>
        <v>1.2</v>
      </c>
      <c r="P32" s="559" t="s">
        <v>633</v>
      </c>
      <c r="Q32" s="540"/>
      <c r="R32" s="540"/>
      <c r="S32" s="540"/>
      <c r="T32" s="697"/>
      <c r="U32" s="697"/>
      <c r="V32" s="697"/>
      <c r="W32" s="697"/>
    </row>
    <row r="33" spans="1:29">
      <c r="A33" s="557" t="s">
        <v>656</v>
      </c>
      <c r="B33" s="531">
        <f>B58*C$9</f>
        <v>0</v>
      </c>
      <c r="C33" s="531">
        <f>C58*C$9</f>
        <v>0</v>
      </c>
      <c r="D33" s="66"/>
      <c r="E33" s="557" t="s">
        <v>656</v>
      </c>
      <c r="F33" s="531">
        <f>J33+J58+J81+J104+J126</f>
        <v>0</v>
      </c>
      <c r="G33" s="531"/>
      <c r="H33" s="531">
        <f>L33+L58+L81+L104+L126</f>
        <v>0</v>
      </c>
      <c r="I33" s="227"/>
      <c r="J33" s="531">
        <f>N33*(Q33+R33+S33)</f>
        <v>0</v>
      </c>
      <c r="K33" s="558"/>
      <c r="L33" s="531">
        <f t="shared" si="7"/>
        <v>0</v>
      </c>
      <c r="N33" s="611">
        <f>N$17</f>
        <v>1.2</v>
      </c>
      <c r="P33" s="557" t="s">
        <v>656</v>
      </c>
      <c r="Q33" s="624"/>
      <c r="R33" s="624"/>
      <c r="S33" s="624"/>
      <c r="T33" s="616"/>
      <c r="U33" s="616"/>
      <c r="V33" s="616"/>
      <c r="W33" s="616"/>
    </row>
    <row r="34" spans="1:29">
      <c r="A34" s="563" t="s">
        <v>635</v>
      </c>
      <c r="B34" s="531">
        <f>B59*C$9</f>
        <v>0</v>
      </c>
      <c r="C34" s="531">
        <f>C59*C$9</f>
        <v>0</v>
      </c>
      <c r="D34" s="66"/>
      <c r="E34" s="563" t="s">
        <v>635</v>
      </c>
      <c r="F34" s="531">
        <f>J34+J59+J82+J105+J127</f>
        <v>0</v>
      </c>
      <c r="G34" s="531"/>
      <c r="H34" s="531">
        <f>L34+L59+L82+L105+L127</f>
        <v>0</v>
      </c>
      <c r="I34" s="227"/>
      <c r="J34" s="531">
        <f>N34*(Q34+R34+S34)</f>
        <v>0</v>
      </c>
      <c r="K34" s="558"/>
      <c r="L34" s="531">
        <f t="shared" si="7"/>
        <v>0</v>
      </c>
      <c r="N34" s="611">
        <f>N$17</f>
        <v>1.2</v>
      </c>
      <c r="P34" s="563" t="s">
        <v>635</v>
      </c>
      <c r="Q34" s="548"/>
      <c r="R34" s="548"/>
      <c r="S34" s="548"/>
      <c r="T34" s="616"/>
      <c r="U34" s="616"/>
      <c r="V34" s="616"/>
      <c r="W34" s="616"/>
    </row>
    <row r="35" spans="1:29">
      <c r="A35" s="564"/>
      <c r="B35" s="543">
        <f>SUM(B17:B34)</f>
        <v>6667078.9787228899</v>
      </c>
      <c r="C35" s="543">
        <f>SUM(C17:C34)</f>
        <v>6667078.9787228908</v>
      </c>
      <c r="D35" s="404"/>
      <c r="E35" s="564"/>
      <c r="F35" s="543">
        <f>SUM(F17:F34)</f>
        <v>5181.2</v>
      </c>
      <c r="G35" s="565"/>
      <c r="H35" s="543">
        <f>SUM(H17:H34)</f>
        <v>6235.9533333333329</v>
      </c>
      <c r="I35" s="227"/>
      <c r="J35" s="543">
        <f>SUM(J17:J34)</f>
        <v>1538.3999999999999</v>
      </c>
      <c r="K35" s="565"/>
      <c r="L35" s="543">
        <f>SUM(L17:L34)</f>
        <v>2241.12</v>
      </c>
      <c r="P35" s="542"/>
      <c r="Q35" s="671">
        <f t="shared" ref="Q35:W35" si="8">SUM(Q17:Q34)</f>
        <v>301</v>
      </c>
      <c r="R35" s="671">
        <f t="shared" si="8"/>
        <v>444</v>
      </c>
      <c r="S35" s="671">
        <f t="shared" si="8"/>
        <v>537</v>
      </c>
      <c r="T35" s="671">
        <f t="shared" si="8"/>
        <v>629.66666666666663</v>
      </c>
      <c r="U35" s="671">
        <f t="shared" si="8"/>
        <v>624.4</v>
      </c>
      <c r="V35" s="671">
        <f t="shared" si="8"/>
        <v>706.19999999999993</v>
      </c>
      <c r="W35" s="671">
        <f t="shared" si="8"/>
        <v>0</v>
      </c>
    </row>
    <row r="36" spans="1:29">
      <c r="D36" s="66"/>
    </row>
    <row r="37" spans="1:29">
      <c r="D37" s="66"/>
      <c r="K37" s="66"/>
      <c r="L37" s="66"/>
    </row>
    <row r="38" spans="1:29">
      <c r="D38" s="66"/>
      <c r="K38" s="66"/>
      <c r="L38" s="66"/>
      <c r="P38" s="530"/>
      <c r="Q38" s="530"/>
      <c r="R38" s="530"/>
      <c r="S38" s="530"/>
      <c r="T38" s="531"/>
      <c r="U38" s="531"/>
      <c r="V38" s="531"/>
      <c r="W38" s="531"/>
    </row>
    <row r="39" spans="1:29">
      <c r="K39" s="66"/>
      <c r="L39" s="66"/>
    </row>
    <row r="40" spans="1:29">
      <c r="A40" s="554" t="s">
        <v>765</v>
      </c>
      <c r="B40" s="253"/>
      <c r="C40" s="253"/>
      <c r="J40" s="554" t="s">
        <v>1034</v>
      </c>
      <c r="K40" s="554"/>
      <c r="L40" s="554"/>
      <c r="P40" s="667" t="s">
        <v>720</v>
      </c>
      <c r="Q40" s="253"/>
      <c r="R40" s="253"/>
      <c r="S40" s="253"/>
      <c r="T40" s="253"/>
      <c r="U40" s="253"/>
      <c r="V40" s="253"/>
      <c r="W40" s="253"/>
    </row>
    <row r="41" spans="1:29" ht="25.5">
      <c r="A41" s="555"/>
      <c r="B41" s="556" t="s">
        <v>1019</v>
      </c>
      <c r="C41" s="556" t="s">
        <v>1150</v>
      </c>
      <c r="J41" s="556" t="s">
        <v>1029</v>
      </c>
      <c r="K41" s="556"/>
      <c r="L41" s="556" t="s">
        <v>1152</v>
      </c>
      <c r="P41" s="668"/>
      <c r="Q41" s="669" t="s">
        <v>622</v>
      </c>
      <c r="R41" s="669" t="s">
        <v>623</v>
      </c>
      <c r="S41" s="670" t="s">
        <v>624</v>
      </c>
      <c r="T41" s="669" t="s">
        <v>645</v>
      </c>
      <c r="U41" s="669" t="s">
        <v>1065</v>
      </c>
      <c r="V41" s="669" t="s">
        <v>1074</v>
      </c>
      <c r="W41" s="669" t="s">
        <v>1308</v>
      </c>
      <c r="Y41" s="668"/>
      <c r="Z41" s="1311" t="s">
        <v>1323</v>
      </c>
      <c r="AA41" s="1311" t="s">
        <v>1324</v>
      </c>
      <c r="AB41" s="1311" t="s">
        <v>1325</v>
      </c>
    </row>
    <row r="42" spans="1:29">
      <c r="A42" s="557" t="s">
        <v>628</v>
      </c>
      <c r="B42" s="631">
        <f>F17/F$35</f>
        <v>8.9400138963946579E-2</v>
      </c>
      <c r="C42" s="631">
        <f>H17/H$35</f>
        <v>7.8154315886477671E-2</v>
      </c>
      <c r="H42" s="551">
        <f>L42+L65+L17</f>
        <v>487.36666666666662</v>
      </c>
      <c r="J42" s="531">
        <f>N42*(Q42+R42+S42)</f>
        <v>184.79999999999998</v>
      </c>
      <c r="K42" s="558"/>
      <c r="L42" s="531">
        <f>N42*(V42+S42+U42)</f>
        <v>188.06666666666666</v>
      </c>
      <c r="N42" s="611">
        <f>I5</f>
        <v>1.4</v>
      </c>
      <c r="P42" s="557" t="s">
        <v>628</v>
      </c>
      <c r="Q42" s="624">
        <v>36</v>
      </c>
      <c r="R42" s="624">
        <v>43</v>
      </c>
      <c r="S42" s="624">
        <v>53</v>
      </c>
      <c r="T42" s="1272">
        <v>44</v>
      </c>
      <c r="U42" s="603">
        <v>37</v>
      </c>
      <c r="V42" s="1272">
        <v>44.333333333333336</v>
      </c>
      <c r="W42" s="1272"/>
      <c r="Y42" s="557" t="s">
        <v>628</v>
      </c>
      <c r="Z42" s="1486">
        <f>C17*(L17/H17)/(L17/N17/3)</f>
        <v>3848.8877386407221</v>
      </c>
      <c r="AA42" s="1486">
        <f>C17*L42/H17/(L42/N42/3)</f>
        <v>4490.3690284141758</v>
      </c>
      <c r="AB42" s="1486">
        <f>C17*L65/H17/(L65/N65/3)</f>
        <v>962.2219346601803</v>
      </c>
      <c r="AC42">
        <f>SUM(Z42:AB42)</f>
        <v>9301.4787017150775</v>
      </c>
    </row>
    <row r="43" spans="1:29">
      <c r="A43" s="557" t="s">
        <v>6</v>
      </c>
      <c r="B43" s="631">
        <f t="shared" ref="B43:B53" si="9">F18/F$35</f>
        <v>0.16943951208214314</v>
      </c>
      <c r="C43" s="631">
        <f t="shared" ref="C43:C53" si="10">H18/H$35</f>
        <v>0.1667374034229463</v>
      </c>
      <c r="J43" s="531">
        <f t="shared" ref="J43:J51" si="11">N43*(Q43+R43+S43)</f>
        <v>254.79999999999998</v>
      </c>
      <c r="K43" s="558"/>
      <c r="L43" s="531">
        <f t="shared" ref="L43:L53" si="12">N43*(V43+S43+U43)</f>
        <v>231.46666666666667</v>
      </c>
      <c r="N43" s="611">
        <f>N$42</f>
        <v>1.4</v>
      </c>
      <c r="P43" s="557" t="s">
        <v>6</v>
      </c>
      <c r="Q43" s="624">
        <v>69</v>
      </c>
      <c r="R43" s="624">
        <v>68</v>
      </c>
      <c r="S43" s="624">
        <v>45</v>
      </c>
      <c r="T43" s="1272">
        <v>60.666666666666664</v>
      </c>
      <c r="U43" s="603">
        <v>62</v>
      </c>
      <c r="V43" s="1272">
        <v>58.333333333333336</v>
      </c>
      <c r="W43" s="1272"/>
      <c r="Y43" s="557" t="s">
        <v>6</v>
      </c>
      <c r="Z43" s="1486">
        <f t="shared" ref="Z43:Z53" si="13">C18*(L18/H18)/(L18/N18/3)</f>
        <v>3848.8877386407216</v>
      </c>
      <c r="AA43" s="1486">
        <f t="shared" ref="AA43:AA53" si="14">C18*L43/H18/(L43/N43/3)</f>
        <v>4490.3690284141758</v>
      </c>
      <c r="AB43" s="1486">
        <f t="shared" ref="AB43:AB53" si="15">C18*L66/H18/(L66/N66/3)</f>
        <v>962.2219346601803</v>
      </c>
    </row>
    <row r="44" spans="1:29">
      <c r="A44" s="557" t="s">
        <v>8</v>
      </c>
      <c r="B44" s="631">
        <f t="shared" si="9"/>
        <v>1.908824210607581E-2</v>
      </c>
      <c r="C44" s="631">
        <f t="shared" si="10"/>
        <v>1.5196821015337938E-2</v>
      </c>
      <c r="J44" s="531">
        <f t="shared" si="11"/>
        <v>60.199999999999996</v>
      </c>
      <c r="K44" s="558"/>
      <c r="L44" s="531">
        <f t="shared" si="12"/>
        <v>59.266666666666666</v>
      </c>
      <c r="N44" s="611">
        <f t="shared" ref="N44:N53" si="16">N$42</f>
        <v>1.4</v>
      </c>
      <c r="P44" s="557" t="s">
        <v>8</v>
      </c>
      <c r="Q44" s="612">
        <v>13</v>
      </c>
      <c r="R44" s="612">
        <v>15</v>
      </c>
      <c r="S44" s="612">
        <v>15</v>
      </c>
      <c r="T44" s="1278">
        <v>14.333333333333334</v>
      </c>
      <c r="U44" s="616">
        <v>13</v>
      </c>
      <c r="V44" s="1278">
        <v>14.333333333333334</v>
      </c>
      <c r="W44" s="1278"/>
      <c r="Y44" s="557" t="s">
        <v>8</v>
      </c>
      <c r="Z44" s="1486">
        <f t="shared" si="13"/>
        <v>3848.8877386407216</v>
      </c>
      <c r="AA44" s="1486">
        <f t="shared" si="14"/>
        <v>4490.3690284141749</v>
      </c>
      <c r="AB44" s="1486">
        <f t="shared" si="15"/>
        <v>962.22193466018052</v>
      </c>
    </row>
    <row r="45" spans="1:29">
      <c r="A45" s="559" t="s">
        <v>2</v>
      </c>
      <c r="B45" s="631">
        <f t="shared" si="9"/>
        <v>2.5592526827761908E-2</v>
      </c>
      <c r="C45" s="631">
        <f t="shared" si="10"/>
        <v>2.3856282867201272E-2</v>
      </c>
      <c r="J45" s="531">
        <f t="shared" si="11"/>
        <v>42</v>
      </c>
      <c r="K45" s="558"/>
      <c r="L45" s="531">
        <f t="shared" si="12"/>
        <v>45.266666666666666</v>
      </c>
      <c r="N45" s="611">
        <f t="shared" si="16"/>
        <v>1.4</v>
      </c>
      <c r="P45" s="559" t="s">
        <v>2</v>
      </c>
      <c r="Q45" s="539">
        <v>8</v>
      </c>
      <c r="R45" s="539">
        <v>13</v>
      </c>
      <c r="S45" s="539">
        <v>9</v>
      </c>
      <c r="T45" s="1284">
        <v>10</v>
      </c>
      <c r="U45" s="697">
        <v>12</v>
      </c>
      <c r="V45" s="1284">
        <v>11.333333333333334</v>
      </c>
      <c r="W45" s="1284"/>
      <c r="Y45" s="559" t="s">
        <v>2</v>
      </c>
      <c r="Z45" s="1486">
        <f t="shared" si="13"/>
        <v>3848.8877386407221</v>
      </c>
      <c r="AA45" s="1486">
        <f t="shared" si="14"/>
        <v>4490.3690284141758</v>
      </c>
      <c r="AB45" s="1486">
        <f t="shared" si="15"/>
        <v>962.22193466018041</v>
      </c>
    </row>
    <row r="46" spans="1:29">
      <c r="A46" s="557" t="s">
        <v>10</v>
      </c>
      <c r="B46" s="631">
        <f t="shared" si="9"/>
        <v>1.3394580406083531E-2</v>
      </c>
      <c r="C46" s="631">
        <f t="shared" si="10"/>
        <v>1.0108050840662696E-2</v>
      </c>
      <c r="J46" s="531">
        <f t="shared" si="11"/>
        <v>23.799999999999997</v>
      </c>
      <c r="K46" s="558"/>
      <c r="L46" s="531">
        <f t="shared" si="12"/>
        <v>16.333333333333336</v>
      </c>
      <c r="N46" s="611">
        <f t="shared" si="16"/>
        <v>1.4</v>
      </c>
      <c r="P46" s="557" t="s">
        <v>10</v>
      </c>
      <c r="Q46" s="624">
        <v>5</v>
      </c>
      <c r="R46" s="624">
        <v>7</v>
      </c>
      <c r="S46" s="624">
        <v>5</v>
      </c>
      <c r="T46" s="1278">
        <v>5.666666666666667</v>
      </c>
      <c r="U46" s="616">
        <v>2</v>
      </c>
      <c r="V46" s="1278">
        <v>4.666666666666667</v>
      </c>
      <c r="W46" s="1278"/>
      <c r="Y46" s="557" t="s">
        <v>10</v>
      </c>
      <c r="Z46" s="1486">
        <f t="shared" si="13"/>
        <v>3848.8877386407221</v>
      </c>
      <c r="AA46" s="1486">
        <f t="shared" si="14"/>
        <v>4490.3690284141758</v>
      </c>
      <c r="AB46" s="1486">
        <f t="shared" si="15"/>
        <v>962.22193466018041</v>
      </c>
    </row>
    <row r="47" spans="1:29">
      <c r="A47" s="557" t="s">
        <v>4</v>
      </c>
      <c r="B47" s="631">
        <f t="shared" si="9"/>
        <v>9.7197560410715672E-2</v>
      </c>
      <c r="C47" s="631">
        <f t="shared" si="10"/>
        <v>9.928447187438863E-2</v>
      </c>
      <c r="J47" s="531">
        <f t="shared" si="11"/>
        <v>161</v>
      </c>
      <c r="K47" s="558"/>
      <c r="L47" s="531">
        <f t="shared" si="12"/>
        <v>233.33333333333334</v>
      </c>
      <c r="N47" s="611">
        <f t="shared" si="16"/>
        <v>1.4</v>
      </c>
      <c r="P47" s="557" t="s">
        <v>4</v>
      </c>
      <c r="Q47" s="624">
        <v>41</v>
      </c>
      <c r="R47" s="624">
        <v>29</v>
      </c>
      <c r="S47" s="624">
        <v>45</v>
      </c>
      <c r="T47" s="1272">
        <v>42.333333333333336</v>
      </c>
      <c r="U47" s="603">
        <v>54</v>
      </c>
      <c r="V47" s="1272">
        <v>67.666666666666671</v>
      </c>
      <c r="W47" s="1272"/>
      <c r="Y47" s="557" t="s">
        <v>4</v>
      </c>
      <c r="Z47" s="1486">
        <f t="shared" si="13"/>
        <v>3848.8877386407216</v>
      </c>
      <c r="AA47" s="1486">
        <f t="shared" si="14"/>
        <v>4490.3690284141749</v>
      </c>
      <c r="AB47" s="1486">
        <f t="shared" si="15"/>
        <v>962.22193466018041</v>
      </c>
    </row>
    <row r="48" spans="1:29">
      <c r="A48" s="557" t="s">
        <v>14</v>
      </c>
      <c r="B48" s="631">
        <f t="shared" si="9"/>
        <v>1.0499498185748475E-2</v>
      </c>
      <c r="C48" s="631">
        <f t="shared" si="10"/>
        <v>8.5953176899976804E-3</v>
      </c>
      <c r="J48" s="531">
        <f t="shared" si="11"/>
        <v>15.399999999999999</v>
      </c>
      <c r="K48" s="558"/>
      <c r="L48" s="531">
        <f t="shared" si="12"/>
        <v>23.799999999999997</v>
      </c>
      <c r="N48" s="611">
        <f t="shared" si="16"/>
        <v>1.4</v>
      </c>
      <c r="P48" s="557" t="s">
        <v>14</v>
      </c>
      <c r="Q48" s="548">
        <v>3</v>
      </c>
      <c r="R48" s="548">
        <v>3</v>
      </c>
      <c r="S48" s="548">
        <v>5</v>
      </c>
      <c r="T48" s="1278">
        <v>3.6666666666666665</v>
      </c>
      <c r="U48" s="616">
        <v>7</v>
      </c>
      <c r="V48" s="1278">
        <v>5</v>
      </c>
      <c r="W48" s="1278"/>
      <c r="Y48" s="557" t="s">
        <v>14</v>
      </c>
      <c r="Z48" s="1486">
        <f t="shared" si="13"/>
        <v>3848.8877386407221</v>
      </c>
      <c r="AA48" s="1486">
        <f t="shared" si="14"/>
        <v>4490.3690284141749</v>
      </c>
      <c r="AB48" s="1486">
        <f t="shared" si="15"/>
        <v>962.2219346601803</v>
      </c>
    </row>
    <row r="49" spans="1:28">
      <c r="A49" s="559" t="s">
        <v>17</v>
      </c>
      <c r="B49" s="631">
        <f t="shared" si="9"/>
        <v>0.18401142592449624</v>
      </c>
      <c r="C49" s="631">
        <f t="shared" si="10"/>
        <v>0.17300535710658516</v>
      </c>
      <c r="J49" s="531">
        <f t="shared" si="11"/>
        <v>453.59999999999997</v>
      </c>
      <c r="K49" s="558"/>
      <c r="L49" s="531">
        <f t="shared" si="12"/>
        <v>488.13333333333333</v>
      </c>
      <c r="N49" s="611">
        <f t="shared" si="16"/>
        <v>1.4</v>
      </c>
      <c r="P49" s="559" t="s">
        <v>17</v>
      </c>
      <c r="Q49" s="539">
        <v>94</v>
      </c>
      <c r="R49" s="539">
        <v>119</v>
      </c>
      <c r="S49" s="539">
        <v>111</v>
      </c>
      <c r="T49" s="1310">
        <v>125.00000000000001</v>
      </c>
      <c r="U49" s="693">
        <v>120</v>
      </c>
      <c r="V49" s="1310">
        <v>117.66666666666667</v>
      </c>
      <c r="W49" s="1310"/>
      <c r="Y49" s="559" t="s">
        <v>17</v>
      </c>
      <c r="Z49" s="1486">
        <f t="shared" si="13"/>
        <v>3848.8877386407221</v>
      </c>
      <c r="AA49" s="1486">
        <f t="shared" si="14"/>
        <v>4490.3690284141758</v>
      </c>
      <c r="AB49" s="1486">
        <f t="shared" si="15"/>
        <v>962.22193466018041</v>
      </c>
    </row>
    <row r="50" spans="1:28">
      <c r="A50" s="557" t="s">
        <v>376</v>
      </c>
      <c r="B50" s="631">
        <f t="shared" si="9"/>
        <v>7.1219022620242411E-3</v>
      </c>
      <c r="C50" s="631">
        <f t="shared" si="10"/>
        <v>5.1315329492523463E-3</v>
      </c>
      <c r="J50" s="531">
        <f t="shared" si="11"/>
        <v>16.799999999999997</v>
      </c>
      <c r="K50" s="558"/>
      <c r="L50" s="531">
        <f t="shared" si="12"/>
        <v>11.2</v>
      </c>
      <c r="N50" s="611">
        <f t="shared" si="16"/>
        <v>1.4</v>
      </c>
      <c r="P50" s="557" t="s">
        <v>376</v>
      </c>
      <c r="Q50" s="548">
        <v>3</v>
      </c>
      <c r="R50" s="548">
        <v>4</v>
      </c>
      <c r="S50" s="548">
        <v>5</v>
      </c>
      <c r="T50" s="1278">
        <v>4</v>
      </c>
      <c r="U50" s="616">
        <v>0</v>
      </c>
      <c r="V50" s="1278">
        <v>3</v>
      </c>
      <c r="W50" s="1278"/>
      <c r="Y50" s="557" t="s">
        <v>376</v>
      </c>
      <c r="Z50" s="1486">
        <f t="shared" si="13"/>
        <v>3848.8877386407221</v>
      </c>
      <c r="AA50" s="1486">
        <f t="shared" si="14"/>
        <v>4490.3690284141767</v>
      </c>
      <c r="AB50" s="1486">
        <f t="shared" si="15"/>
        <v>962.22193466018052</v>
      </c>
    </row>
    <row r="51" spans="1:28">
      <c r="A51" s="557" t="s">
        <v>7</v>
      </c>
      <c r="B51" s="631">
        <f t="shared" si="9"/>
        <v>0.22068246738207367</v>
      </c>
      <c r="C51" s="631">
        <f t="shared" si="10"/>
        <v>0.26381959240661412</v>
      </c>
      <c r="J51" s="531">
        <f t="shared" si="11"/>
        <v>208.6</v>
      </c>
      <c r="K51" s="558"/>
      <c r="L51" s="531">
        <f t="shared" si="12"/>
        <v>284.66666666666669</v>
      </c>
      <c r="N51" s="611">
        <f t="shared" si="16"/>
        <v>1.4</v>
      </c>
      <c r="P51" s="557" t="s">
        <v>7</v>
      </c>
      <c r="Q51" s="624">
        <v>45</v>
      </c>
      <c r="R51" s="624">
        <v>47</v>
      </c>
      <c r="S51" s="624">
        <v>57</v>
      </c>
      <c r="T51" s="1272">
        <v>61.666666666666664</v>
      </c>
      <c r="U51" s="603">
        <v>68</v>
      </c>
      <c r="V51" s="1272">
        <v>78.333333333333343</v>
      </c>
      <c r="W51" s="1272"/>
      <c r="Y51" s="557" t="s">
        <v>7</v>
      </c>
      <c r="Z51" s="1486">
        <f t="shared" si="13"/>
        <v>3848.8877386407221</v>
      </c>
      <c r="AA51" s="1486">
        <f t="shared" si="14"/>
        <v>4490.3690284141749</v>
      </c>
      <c r="AB51" s="1486">
        <f t="shared" si="15"/>
        <v>962.22193466018041</v>
      </c>
    </row>
    <row r="52" spans="1:28">
      <c r="A52" s="557" t="s">
        <v>9</v>
      </c>
      <c r="B52" s="631">
        <f t="shared" si="9"/>
        <v>0.13622326874083224</v>
      </c>
      <c r="C52" s="631">
        <f t="shared" si="10"/>
        <v>0.13110532150657531</v>
      </c>
      <c r="J52" s="531">
        <f>N52*(Q52+R52+S52)</f>
        <v>324.79999999999995</v>
      </c>
      <c r="K52" s="558"/>
      <c r="L52" s="531">
        <f t="shared" si="12"/>
        <v>391.06666666666661</v>
      </c>
      <c r="N52" s="611">
        <f t="shared" si="16"/>
        <v>1.4</v>
      </c>
      <c r="P52" s="557" t="s">
        <v>9</v>
      </c>
      <c r="Q52" s="624">
        <v>73</v>
      </c>
      <c r="R52" s="624">
        <v>83</v>
      </c>
      <c r="S52" s="624">
        <v>76</v>
      </c>
      <c r="T52" s="1272">
        <v>80.333333333333329</v>
      </c>
      <c r="U52" s="603">
        <v>100</v>
      </c>
      <c r="V52" s="1272">
        <v>103.33333333333331</v>
      </c>
      <c r="W52" s="1272"/>
      <c r="Y52" s="557" t="s">
        <v>9</v>
      </c>
      <c r="Z52" s="1486">
        <f t="shared" si="13"/>
        <v>3848.8877386407216</v>
      </c>
      <c r="AA52" s="1486">
        <f t="shared" si="14"/>
        <v>4490.3690284141749</v>
      </c>
      <c r="AB52" s="1486">
        <f t="shared" si="15"/>
        <v>962.22193466018052</v>
      </c>
    </row>
    <row r="53" spans="1:28">
      <c r="A53" s="559" t="s">
        <v>5</v>
      </c>
      <c r="B53" s="631">
        <f t="shared" si="9"/>
        <v>2.7348876708098508E-2</v>
      </c>
      <c r="C53" s="631">
        <f t="shared" si="10"/>
        <v>2.5005532433960916E-2</v>
      </c>
      <c r="J53" s="531">
        <f>N53*(Q53+R53+S53)</f>
        <v>57.4</v>
      </c>
      <c r="K53" s="558"/>
      <c r="L53" s="531">
        <f t="shared" si="12"/>
        <v>52.733333333333327</v>
      </c>
      <c r="N53" s="611">
        <f t="shared" si="16"/>
        <v>1.4</v>
      </c>
      <c r="P53" s="559" t="s">
        <v>5</v>
      </c>
      <c r="Q53" s="539">
        <v>16</v>
      </c>
      <c r="R53" s="539">
        <v>17</v>
      </c>
      <c r="S53" s="539">
        <v>8</v>
      </c>
      <c r="T53" s="1256">
        <v>13.666666666666666</v>
      </c>
      <c r="U53" s="539">
        <v>16</v>
      </c>
      <c r="V53" s="1256">
        <v>13.666666666666666</v>
      </c>
      <c r="W53" s="1256"/>
      <c r="Y53" s="559" t="s">
        <v>5</v>
      </c>
      <c r="Z53" s="1486">
        <f t="shared" si="13"/>
        <v>3848.8877386407221</v>
      </c>
      <c r="AA53" s="1486">
        <f t="shared" si="14"/>
        <v>4490.3690284141767</v>
      </c>
      <c r="AB53" s="1486">
        <f t="shared" si="15"/>
        <v>962.22193466018041</v>
      </c>
    </row>
    <row r="54" spans="1:28">
      <c r="A54" s="557"/>
      <c r="B54" s="530"/>
      <c r="C54" s="530"/>
      <c r="J54" s="530"/>
      <c r="K54" s="558"/>
      <c r="L54" s="531">
        <f t="shared" ref="L54:L59" si="17">N54*(R54+S54+U54)</f>
        <v>0</v>
      </c>
      <c r="P54" s="557"/>
      <c r="Q54" s="548"/>
      <c r="R54" s="548"/>
      <c r="S54" s="548"/>
      <c r="T54" s="624"/>
      <c r="U54" s="624"/>
      <c r="V54" s="624"/>
      <c r="W54" s="624"/>
      <c r="Y54" s="557"/>
    </row>
    <row r="55" spans="1:28">
      <c r="A55" s="557" t="s">
        <v>631</v>
      </c>
      <c r="B55" s="631">
        <f>F30/F$35</f>
        <v>0</v>
      </c>
      <c r="C55" s="631">
        <f>H30/H$35</f>
        <v>0</v>
      </c>
      <c r="J55" s="531">
        <f>N55*(Q55+R55+S55)</f>
        <v>0</v>
      </c>
      <c r="K55" s="558"/>
      <c r="L55" s="531">
        <f t="shared" si="17"/>
        <v>0</v>
      </c>
      <c r="N55" s="611">
        <f>N$42</f>
        <v>1.4</v>
      </c>
      <c r="P55" s="557" t="s">
        <v>631</v>
      </c>
      <c r="Q55" s="548"/>
      <c r="R55" s="548"/>
      <c r="S55" s="548"/>
      <c r="T55" s="624"/>
      <c r="U55" s="624"/>
      <c r="V55" s="624"/>
      <c r="W55" s="624"/>
      <c r="Y55" s="557" t="s">
        <v>631</v>
      </c>
    </row>
    <row r="56" spans="1:28">
      <c r="A56" s="557" t="s">
        <v>657</v>
      </c>
      <c r="B56" s="631">
        <f>F31/F$35</f>
        <v>0</v>
      </c>
      <c r="C56" s="631">
        <f>H31/H$35</f>
        <v>0</v>
      </c>
      <c r="J56" s="531">
        <f>N56*(Q56+R56+S56)</f>
        <v>0</v>
      </c>
      <c r="K56" s="558"/>
      <c r="L56" s="531">
        <f t="shared" si="17"/>
        <v>0</v>
      </c>
      <c r="N56" s="611">
        <f>N$42</f>
        <v>1.4</v>
      </c>
      <c r="P56" s="557" t="s">
        <v>657</v>
      </c>
      <c r="Q56" s="624"/>
      <c r="R56" s="624"/>
      <c r="S56" s="624"/>
      <c r="T56" s="616"/>
      <c r="U56" s="616"/>
      <c r="V56" s="616"/>
      <c r="W56" s="616"/>
      <c r="Y56" s="557" t="s">
        <v>657</v>
      </c>
    </row>
    <row r="57" spans="1:28">
      <c r="A57" s="559" t="s">
        <v>633</v>
      </c>
      <c r="B57" s="631">
        <f>F32/F$35</f>
        <v>0</v>
      </c>
      <c r="C57" s="631">
        <f>H32/H$35</f>
        <v>0</v>
      </c>
      <c r="J57" s="531">
        <f>N57*(Q57+R57+S57)</f>
        <v>0</v>
      </c>
      <c r="K57" s="558"/>
      <c r="L57" s="531">
        <f t="shared" si="17"/>
        <v>0</v>
      </c>
      <c r="N57" s="611">
        <f>N$42</f>
        <v>1.4</v>
      </c>
      <c r="P57" s="559" t="s">
        <v>633</v>
      </c>
      <c r="Q57" s="540"/>
      <c r="R57" s="540"/>
      <c r="S57" s="540"/>
      <c r="T57" s="697"/>
      <c r="U57" s="697"/>
      <c r="V57" s="697"/>
      <c r="W57" s="697"/>
      <c r="Y57" s="559" t="s">
        <v>633</v>
      </c>
    </row>
    <row r="58" spans="1:28">
      <c r="A58" s="557" t="s">
        <v>656</v>
      </c>
      <c r="B58" s="631">
        <f>F33/F$35</f>
        <v>0</v>
      </c>
      <c r="C58" s="631">
        <f>H33/H$35</f>
        <v>0</v>
      </c>
      <c r="J58" s="531">
        <f>N58*(Q58+R58+S58)</f>
        <v>0</v>
      </c>
      <c r="K58" s="558"/>
      <c r="L58" s="531">
        <f t="shared" si="17"/>
        <v>0</v>
      </c>
      <c r="N58" s="611">
        <f>N$42</f>
        <v>1.4</v>
      </c>
      <c r="P58" s="557" t="s">
        <v>656</v>
      </c>
      <c r="Q58" s="624"/>
      <c r="R58" s="624"/>
      <c r="S58" s="624"/>
      <c r="T58" s="616"/>
      <c r="U58" s="616"/>
      <c r="V58" s="616"/>
      <c r="W58" s="616"/>
      <c r="Y58" s="557" t="s">
        <v>656</v>
      </c>
    </row>
    <row r="59" spans="1:28">
      <c r="A59" s="563" t="s">
        <v>635</v>
      </c>
      <c r="B59" s="631">
        <f>F34/F$35</f>
        <v>0</v>
      </c>
      <c r="C59" s="631">
        <f>H34/H$35</f>
        <v>0</v>
      </c>
      <c r="J59" s="531">
        <f>N59*(Q59+R59+S59)</f>
        <v>0</v>
      </c>
      <c r="K59" s="558"/>
      <c r="L59" s="531">
        <f t="shared" si="17"/>
        <v>0</v>
      </c>
      <c r="N59" s="611">
        <f>N$42</f>
        <v>1.4</v>
      </c>
      <c r="P59" s="563" t="s">
        <v>635</v>
      </c>
      <c r="Q59" s="548"/>
      <c r="R59" s="548"/>
      <c r="S59" s="548"/>
      <c r="T59" s="616"/>
      <c r="U59" s="616"/>
      <c r="V59" s="616"/>
      <c r="W59" s="616"/>
      <c r="Y59" s="563" t="s">
        <v>635</v>
      </c>
    </row>
    <row r="60" spans="1:28">
      <c r="A60" s="564"/>
      <c r="B60" s="569">
        <f>SUM(B42:B59)</f>
        <v>1</v>
      </c>
      <c r="C60" s="569">
        <f>SUM(C42:C59)</f>
        <v>1</v>
      </c>
      <c r="J60" s="543">
        <f>SUM(J42:J59)</f>
        <v>1803.1999999999998</v>
      </c>
      <c r="K60" s="565"/>
      <c r="L60" s="543">
        <f>SUM(L42:L59)</f>
        <v>2025.3333333333333</v>
      </c>
      <c r="P60" s="542"/>
      <c r="Q60" s="671">
        <f t="shared" ref="Q60:W60" si="18">SUM(Q42:Q59)</f>
        <v>406</v>
      </c>
      <c r="R60" s="671">
        <f t="shared" si="18"/>
        <v>448</v>
      </c>
      <c r="S60" s="671">
        <f t="shared" si="18"/>
        <v>434</v>
      </c>
      <c r="T60" s="671">
        <f t="shared" si="18"/>
        <v>465.33333333333337</v>
      </c>
      <c r="U60" s="671">
        <f t="shared" si="18"/>
        <v>491</v>
      </c>
      <c r="V60" s="671">
        <f t="shared" si="18"/>
        <v>521.66666666666674</v>
      </c>
      <c r="W60" s="671">
        <f t="shared" si="18"/>
        <v>0</v>
      </c>
      <c r="Y60" s="542"/>
    </row>
    <row r="61" spans="1:28">
      <c r="P61" s="544"/>
      <c r="Q61" s="624"/>
      <c r="R61" s="624"/>
      <c r="S61" s="624"/>
      <c r="T61" s="624"/>
      <c r="U61" s="624"/>
      <c r="V61" s="624"/>
      <c r="W61" s="624"/>
    </row>
    <row r="62" spans="1:28">
      <c r="D62" s="66"/>
    </row>
    <row r="63" spans="1:28">
      <c r="J63" s="554" t="s">
        <v>1033</v>
      </c>
      <c r="K63" s="554"/>
      <c r="L63" s="554"/>
      <c r="P63" s="667" t="s">
        <v>721</v>
      </c>
      <c r="Q63" s="253"/>
      <c r="R63" s="253"/>
      <c r="S63" s="253"/>
      <c r="T63" s="253"/>
      <c r="U63" s="253"/>
      <c r="V63" s="253"/>
      <c r="W63" s="253"/>
    </row>
    <row r="64" spans="1:28" ht="25.5">
      <c r="J64" s="556" t="s">
        <v>1029</v>
      </c>
      <c r="K64" s="556"/>
      <c r="L64" s="556" t="s">
        <v>1152</v>
      </c>
      <c r="P64" s="668"/>
      <c r="Q64" s="669" t="s">
        <v>622</v>
      </c>
      <c r="R64" s="669" t="s">
        <v>623</v>
      </c>
      <c r="S64" s="670" t="s">
        <v>624</v>
      </c>
      <c r="T64" s="669" t="s">
        <v>645</v>
      </c>
      <c r="U64" s="669" t="s">
        <v>1065</v>
      </c>
      <c r="V64" s="669" t="s">
        <v>1074</v>
      </c>
      <c r="W64" s="669" t="s">
        <v>1308</v>
      </c>
    </row>
    <row r="65" spans="10:23">
      <c r="J65" s="531">
        <f>N65*(Q65+R65+S65)</f>
        <v>193.2</v>
      </c>
      <c r="K65" s="558"/>
      <c r="L65" s="531">
        <f>N65*(V65+S65+U65)</f>
        <v>216.49999999999997</v>
      </c>
      <c r="N65" s="611">
        <v>0.3</v>
      </c>
      <c r="P65" s="557" t="s">
        <v>628</v>
      </c>
      <c r="Q65" s="624">
        <v>185</v>
      </c>
      <c r="R65" s="624">
        <v>238</v>
      </c>
      <c r="S65" s="624">
        <v>221</v>
      </c>
      <c r="T65" s="1272">
        <v>250.66666666666666</v>
      </c>
      <c r="U65" s="603">
        <v>251</v>
      </c>
      <c r="V65" s="1272">
        <v>249.66666666666666</v>
      </c>
      <c r="W65" s="603">
        <v>239</v>
      </c>
    </row>
    <row r="66" spans="10:23">
      <c r="J66" s="531">
        <f t="shared" ref="J66:J74" si="19">N66*(Q66+R66+S66)</f>
        <v>222.29999999999998</v>
      </c>
      <c r="K66" s="558"/>
      <c r="L66" s="531">
        <f t="shared" ref="L66:L76" si="20">N66*(V66+S66+U66)</f>
        <v>225.49999999999997</v>
      </c>
      <c r="N66" s="611">
        <f>N$65</f>
        <v>0.3</v>
      </c>
      <c r="P66" s="557" t="s">
        <v>6</v>
      </c>
      <c r="Q66" s="624">
        <v>241</v>
      </c>
      <c r="R66" s="624">
        <v>255</v>
      </c>
      <c r="S66" s="624">
        <v>245</v>
      </c>
      <c r="T66" s="1272">
        <v>251</v>
      </c>
      <c r="U66" s="603">
        <v>255</v>
      </c>
      <c r="V66" s="1272">
        <v>251.66666666666666</v>
      </c>
      <c r="W66" s="603">
        <v>182</v>
      </c>
    </row>
    <row r="67" spans="10:23">
      <c r="J67" s="531">
        <f t="shared" si="19"/>
        <v>32.699999999999996</v>
      </c>
      <c r="K67" s="558"/>
      <c r="L67" s="531">
        <f t="shared" si="20"/>
        <v>31.5</v>
      </c>
      <c r="N67" s="611">
        <f t="shared" ref="N67:N76" si="21">N$65</f>
        <v>0.3</v>
      </c>
      <c r="P67" s="557" t="s">
        <v>8</v>
      </c>
      <c r="Q67" s="612">
        <v>35</v>
      </c>
      <c r="R67" s="612">
        <v>39</v>
      </c>
      <c r="S67" s="612">
        <v>35</v>
      </c>
      <c r="T67" s="1278">
        <v>36.333333333333336</v>
      </c>
      <c r="U67" s="616">
        <v>34</v>
      </c>
      <c r="V67" s="1278">
        <v>36</v>
      </c>
      <c r="W67" s="616">
        <v>44</v>
      </c>
    </row>
    <row r="68" spans="10:23">
      <c r="J68" s="531">
        <f t="shared" si="19"/>
        <v>72.599999999999994</v>
      </c>
      <c r="K68" s="558"/>
      <c r="L68" s="531">
        <f t="shared" si="20"/>
        <v>77.499999999999986</v>
      </c>
      <c r="N68" s="611">
        <f t="shared" si="21"/>
        <v>0.3</v>
      </c>
      <c r="P68" s="559" t="s">
        <v>2</v>
      </c>
      <c r="Q68" s="539">
        <v>82</v>
      </c>
      <c r="R68" s="539">
        <v>75</v>
      </c>
      <c r="S68" s="539">
        <v>85</v>
      </c>
      <c r="T68" s="1284">
        <v>80.666666666666671</v>
      </c>
      <c r="U68" s="697">
        <v>90</v>
      </c>
      <c r="V68" s="1284">
        <v>83.333333333333329</v>
      </c>
      <c r="W68" s="697">
        <v>84</v>
      </c>
    </row>
    <row r="69" spans="10:23">
      <c r="J69" s="531">
        <f t="shared" si="19"/>
        <v>16.8</v>
      </c>
      <c r="K69" s="558"/>
      <c r="L69" s="531">
        <f t="shared" si="20"/>
        <v>21.9</v>
      </c>
      <c r="N69" s="611">
        <f t="shared" si="21"/>
        <v>0.3</v>
      </c>
      <c r="P69" s="557" t="s">
        <v>10</v>
      </c>
      <c r="Q69" s="624">
        <v>15</v>
      </c>
      <c r="R69" s="624">
        <v>19</v>
      </c>
      <c r="S69" s="624">
        <v>22</v>
      </c>
      <c r="T69" s="1278">
        <v>18.666666666666668</v>
      </c>
      <c r="U69" s="616">
        <v>28</v>
      </c>
      <c r="V69" s="1278">
        <v>23</v>
      </c>
      <c r="W69" s="616">
        <v>19</v>
      </c>
    </row>
    <row r="70" spans="10:23">
      <c r="J70" s="531">
        <f t="shared" si="19"/>
        <v>209.4</v>
      </c>
      <c r="K70" s="558"/>
      <c r="L70" s="531">
        <f t="shared" si="20"/>
        <v>234.6</v>
      </c>
      <c r="N70" s="611">
        <f t="shared" si="21"/>
        <v>0.3</v>
      </c>
      <c r="P70" s="557" t="s">
        <v>4</v>
      </c>
      <c r="Q70" s="624">
        <v>221</v>
      </c>
      <c r="R70" s="624">
        <v>221</v>
      </c>
      <c r="S70" s="624">
        <v>256</v>
      </c>
      <c r="T70" s="1272">
        <v>267.66666666666663</v>
      </c>
      <c r="U70" s="603">
        <v>252</v>
      </c>
      <c r="V70" s="1272">
        <v>274</v>
      </c>
      <c r="W70" s="603">
        <v>241</v>
      </c>
    </row>
    <row r="71" spans="10:23">
      <c r="J71" s="531">
        <f t="shared" si="19"/>
        <v>6.6</v>
      </c>
      <c r="K71" s="558"/>
      <c r="L71" s="531">
        <f t="shared" si="20"/>
        <v>7.4</v>
      </c>
      <c r="N71" s="611">
        <f t="shared" si="21"/>
        <v>0.3</v>
      </c>
      <c r="P71" s="557" t="s">
        <v>14</v>
      </c>
      <c r="Q71" s="548">
        <v>6</v>
      </c>
      <c r="R71" s="548">
        <v>6</v>
      </c>
      <c r="S71" s="548">
        <v>10</v>
      </c>
      <c r="T71" s="1278">
        <v>7.333333333333333</v>
      </c>
      <c r="U71" s="616">
        <v>7</v>
      </c>
      <c r="V71" s="1278">
        <v>7.666666666666667</v>
      </c>
      <c r="W71" s="616">
        <v>14</v>
      </c>
    </row>
    <row r="72" spans="10:23">
      <c r="J72" s="531">
        <f t="shared" si="19"/>
        <v>396.59999999999997</v>
      </c>
      <c r="K72" s="558"/>
      <c r="L72" s="531">
        <f t="shared" si="20"/>
        <v>415.59999999999997</v>
      </c>
      <c r="N72" s="611">
        <f t="shared" si="21"/>
        <v>0.3</v>
      </c>
      <c r="P72" s="559" t="s">
        <v>17</v>
      </c>
      <c r="Q72" s="539">
        <v>405</v>
      </c>
      <c r="R72" s="539">
        <v>453</v>
      </c>
      <c r="S72" s="539">
        <v>464</v>
      </c>
      <c r="T72" s="1310">
        <v>499.66666666666669</v>
      </c>
      <c r="U72" s="693">
        <v>458</v>
      </c>
      <c r="V72" s="1310">
        <v>463.33333333333331</v>
      </c>
      <c r="W72" s="693">
        <v>478</v>
      </c>
    </row>
    <row r="73" spans="10:23">
      <c r="J73" s="531">
        <f t="shared" si="19"/>
        <v>6.8999999999999995</v>
      </c>
      <c r="K73" s="558"/>
      <c r="L73" s="531">
        <f t="shared" si="20"/>
        <v>7.1999999999999993</v>
      </c>
      <c r="N73" s="611">
        <f t="shared" si="21"/>
        <v>0.3</v>
      </c>
      <c r="P73" s="557" t="s">
        <v>376</v>
      </c>
      <c r="Q73" s="548">
        <v>5</v>
      </c>
      <c r="R73" s="548">
        <v>8</v>
      </c>
      <c r="S73" s="548">
        <v>10</v>
      </c>
      <c r="T73" s="1278">
        <v>7.666666666666667</v>
      </c>
      <c r="U73" s="616">
        <v>6</v>
      </c>
      <c r="V73" s="1278">
        <v>8</v>
      </c>
      <c r="W73" s="616">
        <v>4</v>
      </c>
    </row>
    <row r="74" spans="10:23">
      <c r="J74" s="531">
        <f t="shared" si="19"/>
        <v>294</v>
      </c>
      <c r="K74" s="558"/>
      <c r="L74" s="531">
        <f t="shared" si="20"/>
        <v>306.09999999999997</v>
      </c>
      <c r="N74" s="611">
        <f t="shared" si="21"/>
        <v>0.3</v>
      </c>
      <c r="P74" s="557" t="s">
        <v>7</v>
      </c>
      <c r="Q74" s="624">
        <v>282</v>
      </c>
      <c r="R74" s="624">
        <v>365</v>
      </c>
      <c r="S74" s="624">
        <v>333</v>
      </c>
      <c r="T74" s="1272">
        <v>326.66666666666669</v>
      </c>
      <c r="U74" s="603">
        <v>341</v>
      </c>
      <c r="V74" s="1272">
        <v>346.33333333333331</v>
      </c>
      <c r="W74" s="603">
        <v>375</v>
      </c>
    </row>
    <row r="75" spans="10:23">
      <c r="J75" s="531">
        <f>N75*(Q75+R75+S75)</f>
        <v>321</v>
      </c>
      <c r="K75" s="558"/>
      <c r="L75" s="531">
        <f t="shared" si="20"/>
        <v>359.3</v>
      </c>
      <c r="N75" s="611">
        <f t="shared" si="21"/>
        <v>0.3</v>
      </c>
      <c r="P75" s="557" t="s">
        <v>9</v>
      </c>
      <c r="Q75" s="624">
        <v>329</v>
      </c>
      <c r="R75" s="624">
        <v>384</v>
      </c>
      <c r="S75" s="624">
        <v>357</v>
      </c>
      <c r="T75" s="1272">
        <v>384.66666666666669</v>
      </c>
      <c r="U75" s="603">
        <v>419</v>
      </c>
      <c r="V75" s="1272">
        <v>421.66666666666669</v>
      </c>
      <c r="W75" s="603">
        <v>411</v>
      </c>
    </row>
    <row r="76" spans="10:23">
      <c r="J76" s="531">
        <f>N76*(Q76+R76+S76)</f>
        <v>67.5</v>
      </c>
      <c r="K76" s="558"/>
      <c r="L76" s="531">
        <f t="shared" si="20"/>
        <v>66.399999999999991</v>
      </c>
      <c r="N76" s="611">
        <f t="shared" si="21"/>
        <v>0.3</v>
      </c>
      <c r="P76" s="559" t="s">
        <v>5</v>
      </c>
      <c r="Q76" s="539">
        <v>79</v>
      </c>
      <c r="R76" s="539">
        <v>72</v>
      </c>
      <c r="S76" s="539">
        <v>74</v>
      </c>
      <c r="T76" s="1256">
        <v>75</v>
      </c>
      <c r="U76" s="539">
        <v>74</v>
      </c>
      <c r="V76" s="1256">
        <v>73.333333333333329</v>
      </c>
      <c r="W76" s="539">
        <v>77</v>
      </c>
    </row>
    <row r="77" spans="10:23">
      <c r="J77" s="530"/>
      <c r="K77" s="558"/>
      <c r="L77" s="531">
        <f t="shared" ref="L77:L82" si="22">N77*(R77+S77+U77)</f>
        <v>0</v>
      </c>
      <c r="P77" s="557"/>
      <c r="Q77" s="548"/>
      <c r="R77" s="548"/>
      <c r="S77" s="548"/>
      <c r="T77" s="624"/>
      <c r="U77" s="624"/>
      <c r="V77" s="624"/>
      <c r="W77" s="624"/>
    </row>
    <row r="78" spans="10:23">
      <c r="J78" s="531">
        <f>N78*(Q78+R78+S78)</f>
        <v>0</v>
      </c>
      <c r="K78" s="558"/>
      <c r="L78" s="531">
        <f t="shared" si="22"/>
        <v>0</v>
      </c>
      <c r="N78" s="611">
        <f>N$65</f>
        <v>0.3</v>
      </c>
      <c r="P78" s="557" t="s">
        <v>631</v>
      </c>
      <c r="Q78" s="548"/>
      <c r="R78" s="548"/>
      <c r="S78" s="548"/>
      <c r="T78" s="624"/>
      <c r="U78" s="624"/>
      <c r="V78" s="624"/>
      <c r="W78" s="624"/>
    </row>
    <row r="79" spans="10:23">
      <c r="J79" s="531">
        <f>N79*(Q79+R79+S79)</f>
        <v>0</v>
      </c>
      <c r="K79" s="558"/>
      <c r="L79" s="531">
        <f t="shared" si="22"/>
        <v>0</v>
      </c>
      <c r="N79" s="611">
        <f>N$65</f>
        <v>0.3</v>
      </c>
      <c r="P79" s="557" t="s">
        <v>657</v>
      </c>
      <c r="Q79" s="624"/>
      <c r="R79" s="624"/>
      <c r="S79" s="624"/>
      <c r="T79" s="616"/>
      <c r="U79" s="616"/>
      <c r="V79" s="616"/>
      <c r="W79" s="616"/>
    </row>
    <row r="80" spans="10:23">
      <c r="J80" s="531">
        <f>N80*(Q80+R80+S80)</f>
        <v>0</v>
      </c>
      <c r="K80" s="558"/>
      <c r="L80" s="531">
        <f t="shared" si="22"/>
        <v>0</v>
      </c>
      <c r="N80" s="611">
        <f>N$65</f>
        <v>0.3</v>
      </c>
      <c r="P80" s="559" t="s">
        <v>633</v>
      </c>
      <c r="Q80" s="540"/>
      <c r="R80" s="540"/>
      <c r="S80" s="540"/>
      <c r="T80" s="697"/>
      <c r="U80" s="697"/>
      <c r="V80" s="697"/>
      <c r="W80" s="697"/>
    </row>
    <row r="81" spans="1:24">
      <c r="J81" s="531">
        <f>N81*(Q81+R81+S81)</f>
        <v>0</v>
      </c>
      <c r="K81" s="558"/>
      <c r="L81" s="531">
        <f t="shared" si="22"/>
        <v>0</v>
      </c>
      <c r="N81" s="611">
        <f>N$65</f>
        <v>0.3</v>
      </c>
      <c r="P81" s="557" t="s">
        <v>656</v>
      </c>
      <c r="Q81" s="624"/>
      <c r="R81" s="624"/>
      <c r="S81" s="624"/>
      <c r="T81" s="616"/>
      <c r="U81" s="616"/>
      <c r="V81" s="616"/>
      <c r="W81" s="616"/>
    </row>
    <row r="82" spans="1:24">
      <c r="J82" s="531">
        <f>N82*(Q82+R82+S82)</f>
        <v>0</v>
      </c>
      <c r="K82" s="558"/>
      <c r="L82" s="531">
        <f t="shared" si="22"/>
        <v>0</v>
      </c>
      <c r="N82" s="611">
        <f>N$65</f>
        <v>0.3</v>
      </c>
      <c r="P82" s="563" t="s">
        <v>635</v>
      </c>
      <c r="Q82" s="548"/>
      <c r="R82" s="548"/>
      <c r="S82" s="548"/>
      <c r="T82" s="616"/>
      <c r="U82" s="616"/>
      <c r="V82" s="616"/>
      <c r="W82" s="616"/>
    </row>
    <row r="83" spans="1:24">
      <c r="J83" s="543">
        <f>SUM(J65:J82)</f>
        <v>1839.6</v>
      </c>
      <c r="K83" s="565"/>
      <c r="L83" s="543">
        <f>SUM(L65:L82)</f>
        <v>1969.4999999999998</v>
      </c>
      <c r="P83" s="542"/>
      <c r="Q83" s="671">
        <f t="shared" ref="Q83:W83" si="23">SUM(Q65:Q82)</f>
        <v>1885</v>
      </c>
      <c r="R83" s="671">
        <f t="shared" si="23"/>
        <v>2135</v>
      </c>
      <c r="S83" s="671">
        <f t="shared" si="23"/>
        <v>2112</v>
      </c>
      <c r="T83" s="671">
        <f t="shared" si="23"/>
        <v>2206</v>
      </c>
      <c r="U83" s="671">
        <f t="shared" si="23"/>
        <v>2215</v>
      </c>
      <c r="V83" s="671">
        <f t="shared" si="23"/>
        <v>2238</v>
      </c>
      <c r="W83" s="671">
        <f t="shared" si="23"/>
        <v>2168</v>
      </c>
    </row>
    <row r="84" spans="1:24">
      <c r="P84" s="665"/>
      <c r="Q84" s="666"/>
      <c r="R84" s="666"/>
      <c r="S84" s="666"/>
      <c r="T84" s="666"/>
      <c r="U84" s="624"/>
      <c r="V84" s="624"/>
      <c r="W84" s="624"/>
    </row>
    <row r="86" spans="1:24">
      <c r="A86" s="1285"/>
      <c r="B86" s="1285"/>
      <c r="C86" s="1285"/>
      <c r="D86" s="1285"/>
      <c r="E86" s="1285"/>
      <c r="F86" s="1285"/>
      <c r="G86" s="1285"/>
      <c r="H86" s="1285"/>
      <c r="I86" s="1285"/>
      <c r="J86" s="1286" t="s">
        <v>1032</v>
      </c>
      <c r="K86" s="1286"/>
      <c r="L86" s="1286"/>
      <c r="M86" s="1285"/>
      <c r="N86" s="1285"/>
      <c r="O86" s="1285"/>
      <c r="P86" s="1287" t="s">
        <v>722</v>
      </c>
      <c r="Q86" s="1285"/>
      <c r="R86" s="1285"/>
      <c r="S86" s="1285"/>
      <c r="T86" s="1285"/>
      <c r="U86" s="1285"/>
      <c r="V86" s="1285"/>
      <c r="W86" s="1285"/>
      <c r="X86" s="1285"/>
    </row>
    <row r="87" spans="1:24" ht="25.5">
      <c r="A87" s="1285"/>
      <c r="B87" s="1285"/>
      <c r="C87" s="1285"/>
      <c r="D87" s="1285"/>
      <c r="E87" s="1285"/>
      <c r="F87" s="1285"/>
      <c r="G87" s="1285"/>
      <c r="H87" s="1285"/>
      <c r="I87" s="1285"/>
      <c r="J87" s="1288" t="s">
        <v>1029</v>
      </c>
      <c r="K87" s="1288"/>
      <c r="L87" s="1288" t="s">
        <v>1030</v>
      </c>
      <c r="M87" s="1285"/>
      <c r="N87" s="1285"/>
      <c r="O87" s="1285"/>
      <c r="P87" s="1289"/>
      <c r="Q87" s="1290" t="s">
        <v>622</v>
      </c>
      <c r="R87" s="1290" t="s">
        <v>623</v>
      </c>
      <c r="S87" s="1291" t="s">
        <v>624</v>
      </c>
      <c r="T87" s="1290" t="s">
        <v>645</v>
      </c>
      <c r="U87" s="1292"/>
      <c r="V87" s="1292"/>
      <c r="W87" s="1292"/>
      <c r="X87" s="1285"/>
    </row>
    <row r="88" spans="1:24">
      <c r="A88" s="1285"/>
      <c r="B88" s="1285"/>
      <c r="C88" s="1285"/>
      <c r="D88" s="1285"/>
      <c r="E88" s="1285"/>
      <c r="F88" s="1285"/>
      <c r="G88" s="1285"/>
      <c r="H88" s="1285"/>
      <c r="I88" s="1285"/>
      <c r="J88" s="1293">
        <f>N88*(Q88+R88+S88)</f>
        <v>0</v>
      </c>
      <c r="K88" s="1294"/>
      <c r="L88" s="1293">
        <f>N88*(R88+S88+T88)</f>
        <v>0</v>
      </c>
      <c r="M88" s="1285"/>
      <c r="N88" s="1295">
        <f>I8</f>
        <v>0</v>
      </c>
      <c r="O88" s="1285"/>
      <c r="P88" s="1296" t="s">
        <v>628</v>
      </c>
      <c r="Q88" s="1293">
        <v>53</v>
      </c>
      <c r="R88" s="1293">
        <v>70</v>
      </c>
      <c r="S88" s="1293">
        <v>96</v>
      </c>
      <c r="T88" s="1297">
        <f t="shared" ref="T88:T99" si="24">MAX(AVERAGE(Q88:S88),TREND(Q88:S88,Y$17:AA$17,AB$17))</f>
        <v>116</v>
      </c>
      <c r="U88" s="1297"/>
      <c r="V88" s="1297"/>
      <c r="W88" s="1297"/>
      <c r="X88" s="1285"/>
    </row>
    <row r="89" spans="1:24">
      <c r="A89" s="1285"/>
      <c r="B89" s="1285"/>
      <c r="C89" s="1285"/>
      <c r="D89" s="1285"/>
      <c r="E89" s="1285"/>
      <c r="F89" s="1285"/>
      <c r="G89" s="1285"/>
      <c r="H89" s="1285"/>
      <c r="I89" s="1285"/>
      <c r="J89" s="1293">
        <f t="shared" ref="J89:J97" si="25">N89*(Q89+R89+S89)</f>
        <v>0</v>
      </c>
      <c r="K89" s="1294"/>
      <c r="L89" s="1293">
        <f t="shared" ref="L89:L97" si="26">N89*(R89+S89+T89)</f>
        <v>0</v>
      </c>
      <c r="M89" s="1285"/>
      <c r="N89" s="1295">
        <f>N$88</f>
        <v>0</v>
      </c>
      <c r="O89" s="1285"/>
      <c r="P89" s="1296" t="s">
        <v>6</v>
      </c>
      <c r="Q89" s="1293">
        <v>108</v>
      </c>
      <c r="R89" s="1293">
        <v>138</v>
      </c>
      <c r="S89" s="1293">
        <v>117</v>
      </c>
      <c r="T89" s="1297">
        <f t="shared" si="24"/>
        <v>130</v>
      </c>
      <c r="U89" s="1297"/>
      <c r="V89" s="1297"/>
      <c r="W89" s="1297"/>
      <c r="X89" s="1285"/>
    </row>
    <row r="90" spans="1:24">
      <c r="A90" s="1285"/>
      <c r="B90" s="1285"/>
      <c r="C90" s="1285"/>
      <c r="D90" s="1285"/>
      <c r="E90" s="1285"/>
      <c r="F90" s="1285"/>
      <c r="G90" s="1285"/>
      <c r="H90" s="1285"/>
      <c r="I90" s="1285"/>
      <c r="J90" s="1293">
        <f t="shared" si="25"/>
        <v>0</v>
      </c>
      <c r="K90" s="1294"/>
      <c r="L90" s="1293">
        <f t="shared" si="26"/>
        <v>0</v>
      </c>
      <c r="M90" s="1285"/>
      <c r="N90" s="1295">
        <f t="shared" ref="N90:N99" si="27">N$88</f>
        <v>0</v>
      </c>
      <c r="O90" s="1285"/>
      <c r="P90" s="1296" t="s">
        <v>8</v>
      </c>
      <c r="Q90" s="1298">
        <v>22</v>
      </c>
      <c r="R90" s="1298">
        <v>20</v>
      </c>
      <c r="S90" s="1298">
        <v>11</v>
      </c>
      <c r="T90" s="1299">
        <f t="shared" si="24"/>
        <v>17.666666666666668</v>
      </c>
      <c r="U90" s="1299"/>
      <c r="V90" s="1299"/>
      <c r="W90" s="1299"/>
      <c r="X90" s="1285"/>
    </row>
    <row r="91" spans="1:24">
      <c r="A91" s="1285"/>
      <c r="B91" s="1285"/>
      <c r="C91" s="1285"/>
      <c r="D91" s="1285"/>
      <c r="E91" s="1285"/>
      <c r="F91" s="1285"/>
      <c r="G91" s="1285"/>
      <c r="H91" s="1285"/>
      <c r="I91" s="1285"/>
      <c r="J91" s="1293">
        <f t="shared" si="25"/>
        <v>0</v>
      </c>
      <c r="K91" s="1294"/>
      <c r="L91" s="1293">
        <f t="shared" si="26"/>
        <v>0</v>
      </c>
      <c r="M91" s="1285"/>
      <c r="N91" s="1295">
        <f t="shared" si="27"/>
        <v>0</v>
      </c>
      <c r="O91" s="1285"/>
      <c r="P91" s="1300" t="s">
        <v>2</v>
      </c>
      <c r="Q91" s="1293">
        <v>19</v>
      </c>
      <c r="R91" s="1293">
        <v>16</v>
      </c>
      <c r="S91" s="1293">
        <v>13</v>
      </c>
      <c r="T91" s="1299">
        <f t="shared" si="24"/>
        <v>16</v>
      </c>
      <c r="U91" s="1299"/>
      <c r="V91" s="1299"/>
      <c r="W91" s="1299"/>
      <c r="X91" s="1285"/>
    </row>
    <row r="92" spans="1:24">
      <c r="A92" s="1285"/>
      <c r="B92" s="1285"/>
      <c r="C92" s="1285"/>
      <c r="D92" s="1285"/>
      <c r="E92" s="1285"/>
      <c r="F92" s="1285"/>
      <c r="G92" s="1285"/>
      <c r="H92" s="1285"/>
      <c r="I92" s="1285"/>
      <c r="J92" s="1293">
        <f t="shared" si="25"/>
        <v>0</v>
      </c>
      <c r="K92" s="1294"/>
      <c r="L92" s="1293">
        <f t="shared" si="26"/>
        <v>0</v>
      </c>
      <c r="M92" s="1285"/>
      <c r="N92" s="1295">
        <f t="shared" si="27"/>
        <v>0</v>
      </c>
      <c r="O92" s="1285"/>
      <c r="P92" s="1296" t="s">
        <v>10</v>
      </c>
      <c r="Q92" s="1293">
        <v>0</v>
      </c>
      <c r="R92" s="1293">
        <v>0</v>
      </c>
      <c r="S92" s="1293">
        <v>0</v>
      </c>
      <c r="T92" s="1299">
        <f t="shared" si="24"/>
        <v>0</v>
      </c>
      <c r="U92" s="1299"/>
      <c r="V92" s="1299"/>
      <c r="W92" s="1299"/>
      <c r="X92" s="1285"/>
    </row>
    <row r="93" spans="1:24">
      <c r="A93" s="1285"/>
      <c r="B93" s="1285"/>
      <c r="C93" s="1285"/>
      <c r="D93" s="1285"/>
      <c r="E93" s="1285"/>
      <c r="F93" s="1285"/>
      <c r="G93" s="1285"/>
      <c r="H93" s="1285"/>
      <c r="I93" s="1285"/>
      <c r="J93" s="1293">
        <f t="shared" si="25"/>
        <v>0</v>
      </c>
      <c r="K93" s="1294"/>
      <c r="L93" s="1293">
        <f t="shared" si="26"/>
        <v>0</v>
      </c>
      <c r="M93" s="1285"/>
      <c r="N93" s="1295">
        <f t="shared" si="27"/>
        <v>0</v>
      </c>
      <c r="O93" s="1285"/>
      <c r="P93" s="1296" t="s">
        <v>4</v>
      </c>
      <c r="Q93" s="1293">
        <v>146</v>
      </c>
      <c r="R93" s="1293">
        <v>206</v>
      </c>
      <c r="S93" s="1293">
        <v>191</v>
      </c>
      <c r="T93" s="1297">
        <f t="shared" si="24"/>
        <v>225.99999999999997</v>
      </c>
      <c r="U93" s="1297"/>
      <c r="V93" s="1297"/>
      <c r="W93" s="1297"/>
      <c r="X93" s="1285"/>
    </row>
    <row r="94" spans="1:24">
      <c r="A94" s="1285"/>
      <c r="B94" s="1285"/>
      <c r="C94" s="1285"/>
      <c r="D94" s="1285"/>
      <c r="E94" s="1285"/>
      <c r="F94" s="1285"/>
      <c r="G94" s="1285"/>
      <c r="H94" s="1285"/>
      <c r="I94" s="1285"/>
      <c r="J94" s="1293">
        <f t="shared" si="25"/>
        <v>0</v>
      </c>
      <c r="K94" s="1294"/>
      <c r="L94" s="1293">
        <f t="shared" si="26"/>
        <v>0</v>
      </c>
      <c r="M94" s="1285"/>
      <c r="N94" s="1295">
        <f t="shared" si="27"/>
        <v>0</v>
      </c>
      <c r="O94" s="1285"/>
      <c r="P94" s="1296" t="s">
        <v>14</v>
      </c>
      <c r="Q94" s="1301">
        <v>0</v>
      </c>
      <c r="R94" s="1301">
        <v>0</v>
      </c>
      <c r="S94" s="1301">
        <v>0</v>
      </c>
      <c r="T94" s="1299">
        <f t="shared" si="24"/>
        <v>0</v>
      </c>
      <c r="U94" s="1299"/>
      <c r="V94" s="1299"/>
      <c r="W94" s="1299"/>
      <c r="X94" s="1285"/>
    </row>
    <row r="95" spans="1:24">
      <c r="A95" s="1285"/>
      <c r="B95" s="1285"/>
      <c r="C95" s="1285"/>
      <c r="D95" s="1285"/>
      <c r="E95" s="1285"/>
      <c r="F95" s="1285"/>
      <c r="G95" s="1285"/>
      <c r="H95" s="1285"/>
      <c r="I95" s="1285"/>
      <c r="J95" s="1293">
        <f t="shared" si="25"/>
        <v>0</v>
      </c>
      <c r="K95" s="1294"/>
      <c r="L95" s="1293">
        <f t="shared" si="26"/>
        <v>0</v>
      </c>
      <c r="M95" s="1285"/>
      <c r="N95" s="1295">
        <f t="shared" si="27"/>
        <v>0</v>
      </c>
      <c r="O95" s="1285"/>
      <c r="P95" s="1300" t="s">
        <v>17</v>
      </c>
      <c r="Q95" s="1293">
        <v>116</v>
      </c>
      <c r="R95" s="1293">
        <v>130</v>
      </c>
      <c r="S95" s="1293">
        <v>109</v>
      </c>
      <c r="T95" s="1297">
        <f t="shared" si="24"/>
        <v>118.33333333333333</v>
      </c>
      <c r="U95" s="1297"/>
      <c r="V95" s="1297"/>
      <c r="W95" s="1297"/>
      <c r="X95" s="1285"/>
    </row>
    <row r="96" spans="1:24">
      <c r="A96" s="1285"/>
      <c r="B96" s="1285"/>
      <c r="C96" s="1285"/>
      <c r="D96" s="1285"/>
      <c r="E96" s="1285"/>
      <c r="F96" s="1285"/>
      <c r="G96" s="1285"/>
      <c r="H96" s="1285"/>
      <c r="I96" s="1285"/>
      <c r="J96" s="1293">
        <f t="shared" si="25"/>
        <v>0</v>
      </c>
      <c r="K96" s="1294"/>
      <c r="L96" s="1293">
        <f t="shared" si="26"/>
        <v>0</v>
      </c>
      <c r="M96" s="1285"/>
      <c r="N96" s="1295">
        <f t="shared" si="27"/>
        <v>0</v>
      </c>
      <c r="O96" s="1285"/>
      <c r="P96" s="1296" t="s">
        <v>376</v>
      </c>
      <c r="Q96" s="1301">
        <v>0</v>
      </c>
      <c r="R96" s="1301">
        <v>0</v>
      </c>
      <c r="S96" s="1301">
        <v>0</v>
      </c>
      <c r="T96" s="1299">
        <f t="shared" si="24"/>
        <v>0</v>
      </c>
      <c r="U96" s="1299"/>
      <c r="V96" s="1299"/>
      <c r="W96" s="1299"/>
      <c r="X96" s="1285"/>
    </row>
    <row r="97" spans="1:24">
      <c r="A97" s="1285"/>
      <c r="B97" s="1285"/>
      <c r="C97" s="1285"/>
      <c r="D97" s="1285"/>
      <c r="E97" s="1285"/>
      <c r="F97" s="1285"/>
      <c r="G97" s="1285"/>
      <c r="H97" s="1285"/>
      <c r="I97" s="1285"/>
      <c r="J97" s="1293">
        <f t="shared" si="25"/>
        <v>0</v>
      </c>
      <c r="K97" s="1294"/>
      <c r="L97" s="1293">
        <f t="shared" si="26"/>
        <v>0</v>
      </c>
      <c r="M97" s="1285"/>
      <c r="N97" s="1295">
        <f t="shared" si="27"/>
        <v>0</v>
      </c>
      <c r="O97" s="1285"/>
      <c r="P97" s="1296" t="s">
        <v>7</v>
      </c>
      <c r="Q97" s="1293">
        <v>211</v>
      </c>
      <c r="R97" s="1293">
        <v>265</v>
      </c>
      <c r="S97" s="1293">
        <v>235</v>
      </c>
      <c r="T97" s="1297">
        <f t="shared" si="24"/>
        <v>261</v>
      </c>
      <c r="U97" s="1297"/>
      <c r="V97" s="1297"/>
      <c r="W97" s="1297"/>
      <c r="X97" s="1285"/>
    </row>
    <row r="98" spans="1:24">
      <c r="A98" s="1285"/>
      <c r="B98" s="1285"/>
      <c r="C98" s="1285"/>
      <c r="D98" s="1285"/>
      <c r="E98" s="1285"/>
      <c r="F98" s="1285"/>
      <c r="G98" s="1285"/>
      <c r="H98" s="1285"/>
      <c r="I98" s="1285"/>
      <c r="J98" s="1293">
        <f>N98*(Q98+R98+S98)</f>
        <v>0</v>
      </c>
      <c r="K98" s="1294"/>
      <c r="L98" s="1293">
        <f>N98*(R98+S98+T98)</f>
        <v>0</v>
      </c>
      <c r="M98" s="1285"/>
      <c r="N98" s="1295">
        <f t="shared" si="27"/>
        <v>0</v>
      </c>
      <c r="O98" s="1285"/>
      <c r="P98" s="1296" t="s">
        <v>9</v>
      </c>
      <c r="Q98" s="1293">
        <v>145</v>
      </c>
      <c r="R98" s="1293">
        <v>144</v>
      </c>
      <c r="S98" s="1293">
        <v>133</v>
      </c>
      <c r="T98" s="1297">
        <f t="shared" si="24"/>
        <v>140.66666666666666</v>
      </c>
      <c r="U98" s="1297"/>
      <c r="V98" s="1297"/>
      <c r="W98" s="1297"/>
      <c r="X98" s="1285"/>
    </row>
    <row r="99" spans="1:24">
      <c r="A99" s="1285"/>
      <c r="B99" s="1285"/>
      <c r="C99" s="1285"/>
      <c r="D99" s="1285"/>
      <c r="E99" s="1285"/>
      <c r="F99" s="1285"/>
      <c r="G99" s="1285"/>
      <c r="H99" s="1285"/>
      <c r="I99" s="1285"/>
      <c r="J99" s="1293">
        <f>N99*(Q99+R99+S99)</f>
        <v>0</v>
      </c>
      <c r="K99" s="1294"/>
      <c r="L99" s="1293">
        <f>N99*(R99+S99+T99)</f>
        <v>0</v>
      </c>
      <c r="M99" s="1285"/>
      <c r="N99" s="1295">
        <f t="shared" si="27"/>
        <v>0</v>
      </c>
      <c r="O99" s="1285"/>
      <c r="P99" s="1300" t="s">
        <v>5</v>
      </c>
      <c r="Q99" s="1293">
        <v>26</v>
      </c>
      <c r="R99" s="1293">
        <v>22</v>
      </c>
      <c r="S99" s="1293">
        <v>16</v>
      </c>
      <c r="T99" s="1293">
        <f t="shared" si="24"/>
        <v>21.333333333333332</v>
      </c>
      <c r="U99" s="1293"/>
      <c r="V99" s="1293"/>
      <c r="W99" s="1293"/>
      <c r="X99" s="1285"/>
    </row>
    <row r="100" spans="1:24">
      <c r="A100" s="1285"/>
      <c r="B100" s="1285"/>
      <c r="C100" s="1285"/>
      <c r="D100" s="1285"/>
      <c r="E100" s="1285"/>
      <c r="F100" s="1285"/>
      <c r="G100" s="1285"/>
      <c r="H100" s="1285"/>
      <c r="I100" s="1285"/>
      <c r="J100" s="1301"/>
      <c r="K100" s="1294"/>
      <c r="L100" s="1301"/>
      <c r="M100" s="1285"/>
      <c r="N100" s="1285"/>
      <c r="O100" s="1285"/>
      <c r="P100" s="1296"/>
      <c r="Q100" s="1301"/>
      <c r="R100" s="1301"/>
      <c r="S100" s="1301"/>
      <c r="T100" s="1293"/>
      <c r="U100" s="1293"/>
      <c r="V100" s="1293"/>
      <c r="W100" s="1293"/>
      <c r="X100" s="1285"/>
    </row>
    <row r="101" spans="1:24">
      <c r="A101" s="1285"/>
      <c r="B101" s="1285"/>
      <c r="C101" s="1285"/>
      <c r="D101" s="1285"/>
      <c r="E101" s="1285"/>
      <c r="F101" s="1285"/>
      <c r="G101" s="1285"/>
      <c r="H101" s="1285"/>
      <c r="I101" s="1285"/>
      <c r="J101" s="1293">
        <f>N101*(Q101+R101+S101)</f>
        <v>0</v>
      </c>
      <c r="K101" s="1294"/>
      <c r="L101" s="1293">
        <f>N101*(R101+S101+T101)</f>
        <v>0</v>
      </c>
      <c r="M101" s="1285"/>
      <c r="N101" s="1295">
        <f>N$88</f>
        <v>0</v>
      </c>
      <c r="O101" s="1285"/>
      <c r="P101" s="1296" t="s">
        <v>631</v>
      </c>
      <c r="Q101" s="1301"/>
      <c r="R101" s="1301"/>
      <c r="S101" s="1301"/>
      <c r="T101" s="1293"/>
      <c r="U101" s="1293"/>
      <c r="V101" s="1293"/>
      <c r="W101" s="1293"/>
      <c r="X101" s="1285"/>
    </row>
    <row r="102" spans="1:24">
      <c r="A102" s="1285"/>
      <c r="B102" s="1285"/>
      <c r="C102" s="1285"/>
      <c r="D102" s="1285"/>
      <c r="E102" s="1285"/>
      <c r="F102" s="1285"/>
      <c r="G102" s="1285"/>
      <c r="H102" s="1285"/>
      <c r="I102" s="1285"/>
      <c r="J102" s="1293">
        <f>N102*(Q102+R102+S102)</f>
        <v>0</v>
      </c>
      <c r="K102" s="1294"/>
      <c r="L102" s="1293">
        <f>N102*(R102+S102+T102)</f>
        <v>0</v>
      </c>
      <c r="M102" s="1285"/>
      <c r="N102" s="1295">
        <f>N$88</f>
        <v>0</v>
      </c>
      <c r="O102" s="1285"/>
      <c r="P102" s="1296" t="s">
        <v>657</v>
      </c>
      <c r="Q102" s="1293"/>
      <c r="R102" s="1293"/>
      <c r="S102" s="1293"/>
      <c r="T102" s="1299"/>
      <c r="U102" s="1299"/>
      <c r="V102" s="1299"/>
      <c r="W102" s="1299"/>
      <c r="X102" s="1285"/>
    </row>
    <row r="103" spans="1:24">
      <c r="A103" s="1285"/>
      <c r="B103" s="1285"/>
      <c r="C103" s="1285"/>
      <c r="D103" s="1285"/>
      <c r="E103" s="1285"/>
      <c r="F103" s="1285"/>
      <c r="G103" s="1285"/>
      <c r="H103" s="1285"/>
      <c r="I103" s="1285"/>
      <c r="J103" s="1293">
        <f>N103*(Q103+R103+S103)</f>
        <v>0</v>
      </c>
      <c r="K103" s="1294"/>
      <c r="L103" s="1293">
        <f>N103*(R103+S103+T103)</f>
        <v>0</v>
      </c>
      <c r="M103" s="1285"/>
      <c r="N103" s="1295">
        <f>N$88</f>
        <v>0</v>
      </c>
      <c r="O103" s="1285"/>
      <c r="P103" s="1300" t="s">
        <v>633</v>
      </c>
      <c r="Q103" s="1301"/>
      <c r="R103" s="1301"/>
      <c r="S103" s="1301"/>
      <c r="T103" s="1299"/>
      <c r="U103" s="1299"/>
      <c r="V103" s="1299"/>
      <c r="W103" s="1299"/>
      <c r="X103" s="1285"/>
    </row>
    <row r="104" spans="1:24">
      <c r="A104" s="1285"/>
      <c r="B104" s="1285"/>
      <c r="C104" s="1285"/>
      <c r="D104" s="1285"/>
      <c r="E104" s="1285"/>
      <c r="F104" s="1285"/>
      <c r="G104" s="1285"/>
      <c r="H104" s="1285"/>
      <c r="I104" s="1285"/>
      <c r="J104" s="1293">
        <f>N104*(Q104+R104+S104)</f>
        <v>0</v>
      </c>
      <c r="K104" s="1294"/>
      <c r="L104" s="1293">
        <f>N104*(R104+S104+T104)</f>
        <v>0</v>
      </c>
      <c r="M104" s="1285"/>
      <c r="N104" s="1295">
        <f>N$88</f>
        <v>0</v>
      </c>
      <c r="O104" s="1285"/>
      <c r="P104" s="1296" t="s">
        <v>656</v>
      </c>
      <c r="Q104" s="1293"/>
      <c r="R104" s="1293"/>
      <c r="S104" s="1293"/>
      <c r="T104" s="1299"/>
      <c r="U104" s="1299"/>
      <c r="V104" s="1299"/>
      <c r="W104" s="1299"/>
      <c r="X104" s="1285"/>
    </row>
    <row r="105" spans="1:24">
      <c r="A105" s="1285"/>
      <c r="B105" s="1285"/>
      <c r="C105" s="1285"/>
      <c r="D105" s="1285"/>
      <c r="E105" s="1285"/>
      <c r="F105" s="1285"/>
      <c r="G105" s="1285"/>
      <c r="H105" s="1285"/>
      <c r="I105" s="1285"/>
      <c r="J105" s="1293">
        <f>N105*(Q105+R105+S105)</f>
        <v>0</v>
      </c>
      <c r="K105" s="1294"/>
      <c r="L105" s="1293">
        <f>N105*(R105+S105+T105)</f>
        <v>0</v>
      </c>
      <c r="M105" s="1285"/>
      <c r="N105" s="1295">
        <f>N$88</f>
        <v>0</v>
      </c>
      <c r="O105" s="1285"/>
      <c r="P105" s="1302" t="s">
        <v>635</v>
      </c>
      <c r="Q105" s="1301"/>
      <c r="R105" s="1301"/>
      <c r="S105" s="1301"/>
      <c r="T105" s="1299"/>
      <c r="U105" s="1299"/>
      <c r="V105" s="1299"/>
      <c r="W105" s="1299"/>
      <c r="X105" s="1285"/>
    </row>
    <row r="106" spans="1:24">
      <c r="A106" s="1285"/>
      <c r="B106" s="1285"/>
      <c r="C106" s="1285"/>
      <c r="D106" s="1285"/>
      <c r="E106" s="1285"/>
      <c r="F106" s="1285"/>
      <c r="G106" s="1285"/>
      <c r="H106" s="1285"/>
      <c r="I106" s="1285"/>
      <c r="J106" s="1303">
        <f>SUM(J88:J105)</f>
        <v>0</v>
      </c>
      <c r="K106" s="1304"/>
      <c r="L106" s="1303">
        <f>SUM(L88:L105)</f>
        <v>0</v>
      </c>
      <c r="M106" s="1285"/>
      <c r="N106" s="1285"/>
      <c r="O106" s="1285"/>
      <c r="P106" s="1305"/>
      <c r="Q106" s="1303">
        <f>SUM(Q88:Q105)</f>
        <v>846</v>
      </c>
      <c r="R106" s="1303">
        <f>SUM(R88:R105)</f>
        <v>1011</v>
      </c>
      <c r="S106" s="1303">
        <f>SUM(S88:S105)</f>
        <v>921</v>
      </c>
      <c r="T106" s="1303">
        <f>SUM(T88:T105)</f>
        <v>1047</v>
      </c>
      <c r="U106" s="1306"/>
      <c r="V106" s="1306"/>
      <c r="W106" s="1306"/>
      <c r="X106" s="1285"/>
    </row>
    <row r="107" spans="1:24">
      <c r="A107" s="1285"/>
      <c r="B107" s="1285"/>
      <c r="C107" s="1285"/>
      <c r="D107" s="1285"/>
      <c r="E107" s="1285"/>
      <c r="F107" s="1285"/>
      <c r="G107" s="1285"/>
      <c r="H107" s="1285"/>
      <c r="I107" s="1285"/>
      <c r="J107" s="1285"/>
      <c r="K107" s="1285"/>
      <c r="L107" s="1285"/>
      <c r="M107" s="1285"/>
      <c r="N107" s="1285"/>
      <c r="O107" s="1285"/>
      <c r="P107" s="1285"/>
      <c r="Q107" s="1285"/>
      <c r="R107" s="1285"/>
      <c r="S107" s="1285"/>
      <c r="T107" s="1285"/>
      <c r="U107" s="1285"/>
      <c r="V107" s="1285"/>
      <c r="W107" s="1285"/>
      <c r="X107" s="1285"/>
    </row>
    <row r="108" spans="1:24">
      <c r="A108" s="1285"/>
      <c r="B108" s="1285"/>
      <c r="C108" s="1285"/>
      <c r="D108" s="1285"/>
      <c r="E108" s="1285"/>
      <c r="F108" s="1285"/>
      <c r="G108" s="1285"/>
      <c r="H108" s="1285"/>
      <c r="I108" s="1285"/>
      <c r="J108" s="1286" t="s">
        <v>1031</v>
      </c>
      <c r="K108" s="1286"/>
      <c r="L108" s="1286"/>
      <c r="M108" s="1285"/>
      <c r="N108" s="1285"/>
      <c r="O108" s="1285"/>
      <c r="P108" s="1307" t="s">
        <v>689</v>
      </c>
      <c r="Q108" s="1308"/>
      <c r="R108" s="1308"/>
      <c r="S108" s="1308"/>
      <c r="T108" s="1308"/>
      <c r="U108" s="1309"/>
      <c r="V108" s="1309"/>
      <c r="W108" s="1309"/>
      <c r="X108" s="1285"/>
    </row>
    <row r="109" spans="1:24" ht="25.5">
      <c r="A109" s="1285"/>
      <c r="B109" s="1285"/>
      <c r="C109" s="1285"/>
      <c r="D109" s="1285"/>
      <c r="E109" s="1285"/>
      <c r="F109" s="1285"/>
      <c r="G109" s="1285"/>
      <c r="H109" s="1285"/>
      <c r="I109" s="1285"/>
      <c r="J109" s="1288" t="s">
        <v>1029</v>
      </c>
      <c r="K109" s="1288"/>
      <c r="L109" s="1288" t="s">
        <v>1030</v>
      </c>
      <c r="M109" s="1285"/>
      <c r="N109" s="1285"/>
      <c r="O109" s="1285"/>
      <c r="P109" s="1289"/>
      <c r="Q109" s="1290" t="s">
        <v>622</v>
      </c>
      <c r="R109" s="1290" t="s">
        <v>623</v>
      </c>
      <c r="S109" s="1291" t="s">
        <v>624</v>
      </c>
      <c r="T109" s="1290" t="s">
        <v>645</v>
      </c>
      <c r="U109" s="1292"/>
      <c r="V109" s="1292"/>
      <c r="W109" s="1292"/>
      <c r="X109" s="1285"/>
    </row>
    <row r="110" spans="1:24">
      <c r="A110" s="1285"/>
      <c r="B110" s="1285"/>
      <c r="C110" s="1285"/>
      <c r="D110" s="1285"/>
      <c r="E110" s="1285"/>
      <c r="F110" s="1285"/>
      <c r="G110" s="1285"/>
      <c r="H110" s="1285"/>
      <c r="I110" s="1285"/>
      <c r="J110" s="1293">
        <f>N110*(Q110+R110+S110)</f>
        <v>0</v>
      </c>
      <c r="K110" s="1294"/>
      <c r="L110" s="1293">
        <f>N110*(R110+S110+T110)</f>
        <v>0</v>
      </c>
      <c r="M110" s="1285"/>
      <c r="N110" s="1295">
        <f>I7</f>
        <v>0</v>
      </c>
      <c r="O110" s="1285"/>
      <c r="P110" s="1296" t="s">
        <v>628</v>
      </c>
      <c r="Q110" s="1293">
        <v>20</v>
      </c>
      <c r="R110" s="1293">
        <v>20</v>
      </c>
      <c r="S110" s="1293">
        <v>20</v>
      </c>
      <c r="T110" s="1297">
        <v>23.94971631034387</v>
      </c>
      <c r="U110" s="1297"/>
      <c r="V110" s="1297"/>
      <c r="W110" s="1297"/>
      <c r="X110" s="1285"/>
    </row>
    <row r="111" spans="1:24">
      <c r="A111" s="1285"/>
      <c r="B111" s="1285"/>
      <c r="C111" s="1285"/>
      <c r="D111" s="1285"/>
      <c r="E111" s="1285"/>
      <c r="F111" s="1285"/>
      <c r="G111" s="1285"/>
      <c r="H111" s="1285"/>
      <c r="I111" s="1285"/>
      <c r="J111" s="1293">
        <f t="shared" ref="J111:J119" si="28">N111*(Q111+R111+S111)</f>
        <v>0</v>
      </c>
      <c r="K111" s="1294"/>
      <c r="L111" s="1293">
        <f t="shared" ref="L111:L119" si="29">N111*(R111+S111+T111)</f>
        <v>0</v>
      </c>
      <c r="M111" s="1285"/>
      <c r="N111" s="1295">
        <f>N$110</f>
        <v>0</v>
      </c>
      <c r="O111" s="1285"/>
      <c r="P111" s="1296" t="s">
        <v>6</v>
      </c>
      <c r="Q111" s="1293">
        <v>2</v>
      </c>
      <c r="R111" s="1293">
        <v>4</v>
      </c>
      <c r="S111" s="1293">
        <v>4</v>
      </c>
      <c r="T111" s="1297">
        <v>3.2924801356857105</v>
      </c>
      <c r="U111" s="1297"/>
      <c r="V111" s="1297"/>
      <c r="W111" s="1297"/>
      <c r="X111" s="1285"/>
    </row>
    <row r="112" spans="1:24">
      <c r="A112" s="1285"/>
      <c r="B112" s="1285"/>
      <c r="C112" s="1285"/>
      <c r="D112" s="1285"/>
      <c r="E112" s="1285"/>
      <c r="F112" s="1285"/>
      <c r="G112" s="1285"/>
      <c r="H112" s="1285"/>
      <c r="I112" s="1285"/>
      <c r="J112" s="1293">
        <f t="shared" si="28"/>
        <v>0</v>
      </c>
      <c r="K112" s="1294"/>
      <c r="L112" s="1293">
        <f t="shared" si="29"/>
        <v>0</v>
      </c>
      <c r="M112" s="1285"/>
      <c r="N112" s="1295">
        <f t="shared" ref="N112:N121" si="30">N$110</f>
        <v>0</v>
      </c>
      <c r="O112" s="1285"/>
      <c r="P112" s="1296" t="s">
        <v>8</v>
      </c>
      <c r="Q112" s="1298">
        <v>25</v>
      </c>
      <c r="R112" s="1298">
        <v>16</v>
      </c>
      <c r="S112" s="1298">
        <v>27</v>
      </c>
      <c r="T112" s="1299">
        <v>21.243563685636857</v>
      </c>
      <c r="U112" s="1299"/>
      <c r="V112" s="1299"/>
      <c r="W112" s="1299"/>
      <c r="X112" s="1285"/>
    </row>
    <row r="113" spans="1:24">
      <c r="A113" s="1285"/>
      <c r="B113" s="1285"/>
      <c r="C113" s="1285"/>
      <c r="D113" s="1285"/>
      <c r="E113" s="1285"/>
      <c r="F113" s="1285"/>
      <c r="G113" s="1285"/>
      <c r="H113" s="1285"/>
      <c r="I113" s="1285"/>
      <c r="J113" s="1293">
        <f t="shared" si="28"/>
        <v>0</v>
      </c>
      <c r="K113" s="1294"/>
      <c r="L113" s="1293">
        <f t="shared" si="29"/>
        <v>0</v>
      </c>
      <c r="M113" s="1285"/>
      <c r="N113" s="1295">
        <f t="shared" si="30"/>
        <v>0</v>
      </c>
      <c r="O113" s="1285"/>
      <c r="P113" s="1300" t="s">
        <v>2</v>
      </c>
      <c r="Q113" s="1293">
        <v>10</v>
      </c>
      <c r="R113" s="1293">
        <v>6</v>
      </c>
      <c r="S113" s="1293">
        <v>11</v>
      </c>
      <c r="T113" s="1299">
        <v>10.377449370552819</v>
      </c>
      <c r="U113" s="1299"/>
      <c r="V113" s="1299"/>
      <c r="W113" s="1299"/>
      <c r="X113" s="1285"/>
    </row>
    <row r="114" spans="1:24">
      <c r="A114" s="1285"/>
      <c r="B114" s="1285"/>
      <c r="C114" s="1285"/>
      <c r="D114" s="1285"/>
      <c r="E114" s="1285"/>
      <c r="F114" s="1285"/>
      <c r="G114" s="1285"/>
      <c r="H114" s="1285"/>
      <c r="I114" s="1285"/>
      <c r="J114" s="1293">
        <f t="shared" si="28"/>
        <v>0</v>
      </c>
      <c r="K114" s="1294"/>
      <c r="L114" s="1293">
        <f t="shared" si="29"/>
        <v>0</v>
      </c>
      <c r="M114" s="1285"/>
      <c r="N114" s="1295">
        <f t="shared" si="30"/>
        <v>0</v>
      </c>
      <c r="O114" s="1285"/>
      <c r="P114" s="1296" t="s">
        <v>10</v>
      </c>
      <c r="Q114" s="1293">
        <v>7</v>
      </c>
      <c r="R114" s="1293">
        <v>4</v>
      </c>
      <c r="S114" s="1293">
        <v>4</v>
      </c>
      <c r="T114" s="1299">
        <v>5.1409496676163347</v>
      </c>
      <c r="U114" s="1299"/>
      <c r="V114" s="1299"/>
      <c r="W114" s="1299"/>
      <c r="X114" s="1285"/>
    </row>
    <row r="115" spans="1:24">
      <c r="A115" s="1285"/>
      <c r="B115" s="1285"/>
      <c r="C115" s="1285"/>
      <c r="D115" s="1285"/>
      <c r="E115" s="1285"/>
      <c r="F115" s="1285"/>
      <c r="G115" s="1285"/>
      <c r="H115" s="1285"/>
      <c r="I115" s="1285"/>
      <c r="J115" s="1293">
        <f t="shared" si="28"/>
        <v>0</v>
      </c>
      <c r="K115" s="1294"/>
      <c r="L115" s="1293">
        <f t="shared" si="29"/>
        <v>0</v>
      </c>
      <c r="M115" s="1285"/>
      <c r="N115" s="1295">
        <f t="shared" si="30"/>
        <v>0</v>
      </c>
      <c r="O115" s="1285"/>
      <c r="P115" s="1296" t="s">
        <v>4</v>
      </c>
      <c r="Q115" s="1293">
        <v>42</v>
      </c>
      <c r="R115" s="1293">
        <v>29</v>
      </c>
      <c r="S115" s="1293">
        <v>37</v>
      </c>
      <c r="T115" s="1297">
        <v>48.390574843537642</v>
      </c>
      <c r="U115" s="1297"/>
      <c r="V115" s="1297"/>
      <c r="W115" s="1297"/>
      <c r="X115" s="1285"/>
    </row>
    <row r="116" spans="1:24">
      <c r="A116" s="1285"/>
      <c r="B116" s="1285"/>
      <c r="C116" s="1285"/>
      <c r="D116" s="1285"/>
      <c r="E116" s="1285"/>
      <c r="F116" s="1285"/>
      <c r="G116" s="1285"/>
      <c r="H116" s="1285"/>
      <c r="I116" s="1285"/>
      <c r="J116" s="1293">
        <f t="shared" si="28"/>
        <v>0</v>
      </c>
      <c r="K116" s="1294"/>
      <c r="L116" s="1293">
        <f t="shared" si="29"/>
        <v>0</v>
      </c>
      <c r="M116" s="1285"/>
      <c r="N116" s="1295">
        <f t="shared" si="30"/>
        <v>0</v>
      </c>
      <c r="O116" s="1285"/>
      <c r="P116" s="1296" t="s">
        <v>14</v>
      </c>
      <c r="Q116" s="1301">
        <v>20</v>
      </c>
      <c r="R116" s="1301">
        <v>19</v>
      </c>
      <c r="S116" s="1301">
        <v>15</v>
      </c>
      <c r="T116" s="1299">
        <v>20.133439468936036</v>
      </c>
      <c r="U116" s="1299"/>
      <c r="V116" s="1299"/>
      <c r="W116" s="1299"/>
      <c r="X116" s="1285"/>
    </row>
    <row r="117" spans="1:24">
      <c r="A117" s="1285"/>
      <c r="B117" s="1285"/>
      <c r="C117" s="1285"/>
      <c r="D117" s="1285"/>
      <c r="E117" s="1285"/>
      <c r="F117" s="1285"/>
      <c r="G117" s="1285"/>
      <c r="H117" s="1285"/>
      <c r="I117" s="1285"/>
      <c r="J117" s="1293">
        <f t="shared" si="28"/>
        <v>0</v>
      </c>
      <c r="K117" s="1294"/>
      <c r="L117" s="1293">
        <f t="shared" si="29"/>
        <v>0</v>
      </c>
      <c r="M117" s="1285"/>
      <c r="N117" s="1295">
        <f t="shared" si="30"/>
        <v>0</v>
      </c>
      <c r="O117" s="1285"/>
      <c r="P117" s="1300" t="s">
        <v>17</v>
      </c>
      <c r="Q117" s="1293">
        <v>2</v>
      </c>
      <c r="R117" s="1293">
        <v>1</v>
      </c>
      <c r="S117" s="1293">
        <v>4</v>
      </c>
      <c r="T117" s="1297">
        <v>3.1420582003988038</v>
      </c>
      <c r="U117" s="1297"/>
      <c r="V117" s="1297"/>
      <c r="W117" s="1297"/>
      <c r="X117" s="1285"/>
    </row>
    <row r="118" spans="1:24">
      <c r="A118" s="1285"/>
      <c r="B118" s="1285"/>
      <c r="C118" s="1285"/>
      <c r="D118" s="1285"/>
      <c r="E118" s="1285"/>
      <c r="F118" s="1285"/>
      <c r="G118" s="1285"/>
      <c r="H118" s="1285"/>
      <c r="I118" s="1285"/>
      <c r="J118" s="1293">
        <f t="shared" si="28"/>
        <v>0</v>
      </c>
      <c r="K118" s="1294"/>
      <c r="L118" s="1293">
        <f t="shared" si="29"/>
        <v>0</v>
      </c>
      <c r="M118" s="1285"/>
      <c r="N118" s="1295">
        <f t="shared" si="30"/>
        <v>0</v>
      </c>
      <c r="O118" s="1285"/>
      <c r="P118" s="1296" t="s">
        <v>376</v>
      </c>
      <c r="Q118" s="1301">
        <v>0</v>
      </c>
      <c r="R118" s="1301">
        <v>0</v>
      </c>
      <c r="S118" s="1301">
        <v>0</v>
      </c>
      <c r="T118" s="1299">
        <v>0</v>
      </c>
      <c r="U118" s="1299"/>
      <c r="V118" s="1299"/>
      <c r="W118" s="1299"/>
      <c r="X118" s="1285"/>
    </row>
    <row r="119" spans="1:24">
      <c r="A119" s="1285"/>
      <c r="B119" s="1285"/>
      <c r="C119" s="1285"/>
      <c r="D119" s="1285"/>
      <c r="E119" s="1285"/>
      <c r="F119" s="1285"/>
      <c r="G119" s="1285"/>
      <c r="H119" s="1285"/>
      <c r="I119" s="1285"/>
      <c r="J119" s="1293">
        <f t="shared" si="28"/>
        <v>0</v>
      </c>
      <c r="K119" s="1294"/>
      <c r="L119" s="1293">
        <f t="shared" si="29"/>
        <v>0</v>
      </c>
      <c r="M119" s="1285"/>
      <c r="N119" s="1295">
        <f t="shared" si="30"/>
        <v>0</v>
      </c>
      <c r="O119" s="1285"/>
      <c r="P119" s="1296" t="s">
        <v>7</v>
      </c>
      <c r="Q119" s="1293">
        <v>60</v>
      </c>
      <c r="R119" s="1293">
        <v>67</v>
      </c>
      <c r="S119" s="1293">
        <v>60</v>
      </c>
      <c r="T119" s="1297">
        <v>82.238956898125039</v>
      </c>
      <c r="U119" s="1297"/>
      <c r="V119" s="1297"/>
      <c r="W119" s="1297"/>
      <c r="X119" s="1285"/>
    </row>
    <row r="120" spans="1:24">
      <c r="A120" s="1285"/>
      <c r="B120" s="1285"/>
      <c r="C120" s="1285"/>
      <c r="D120" s="1285"/>
      <c r="E120" s="1285"/>
      <c r="F120" s="1285"/>
      <c r="G120" s="1285"/>
      <c r="H120" s="1285"/>
      <c r="I120" s="1285"/>
      <c r="J120" s="1293">
        <f>N120*(Q120+R120+S120)</f>
        <v>0</v>
      </c>
      <c r="K120" s="1294"/>
      <c r="L120" s="1293">
        <f>N120*(R120+S120+T120)</f>
        <v>0</v>
      </c>
      <c r="M120" s="1285"/>
      <c r="N120" s="1295">
        <f t="shared" si="30"/>
        <v>0</v>
      </c>
      <c r="O120" s="1285"/>
      <c r="P120" s="1296" t="s">
        <v>9</v>
      </c>
      <c r="Q120" s="1293">
        <v>18</v>
      </c>
      <c r="R120" s="1293">
        <v>14</v>
      </c>
      <c r="S120" s="1293">
        <v>16</v>
      </c>
      <c r="T120" s="1297">
        <v>17.331527042031318</v>
      </c>
      <c r="U120" s="1297"/>
      <c r="V120" s="1297"/>
      <c r="W120" s="1297"/>
      <c r="X120" s="1285"/>
    </row>
    <row r="121" spans="1:24">
      <c r="A121" s="1285"/>
      <c r="B121" s="1285"/>
      <c r="C121" s="1285"/>
      <c r="D121" s="1285"/>
      <c r="E121" s="1285"/>
      <c r="F121" s="1285"/>
      <c r="G121" s="1285"/>
      <c r="H121" s="1285"/>
      <c r="I121" s="1285"/>
      <c r="J121" s="1293">
        <f>N121*(Q121+R121+S121)</f>
        <v>0</v>
      </c>
      <c r="K121" s="1294"/>
      <c r="L121" s="1293">
        <f>N121*(R121+S121+T121)</f>
        <v>0</v>
      </c>
      <c r="M121" s="1285"/>
      <c r="N121" s="1295">
        <f t="shared" si="30"/>
        <v>0</v>
      </c>
      <c r="O121" s="1285"/>
      <c r="P121" s="1300" t="s">
        <v>5</v>
      </c>
      <c r="Q121" s="1293">
        <v>7</v>
      </c>
      <c r="R121" s="1293">
        <v>16</v>
      </c>
      <c r="S121" s="1293">
        <v>15</v>
      </c>
      <c r="T121" s="1293">
        <v>15.392360190303927</v>
      </c>
      <c r="U121" s="1293"/>
      <c r="V121" s="1293"/>
      <c r="W121" s="1293"/>
      <c r="X121" s="1285"/>
    </row>
    <row r="122" spans="1:24">
      <c r="A122" s="1285"/>
      <c r="B122" s="1285"/>
      <c r="C122" s="1285"/>
      <c r="D122" s="1285"/>
      <c r="E122" s="1285"/>
      <c r="F122" s="1285"/>
      <c r="G122" s="1285"/>
      <c r="H122" s="1285"/>
      <c r="I122" s="1285"/>
      <c r="J122" s="1301"/>
      <c r="K122" s="1294"/>
      <c r="L122" s="1301"/>
      <c r="M122" s="1285"/>
      <c r="N122" s="1285"/>
      <c r="O122" s="1285"/>
      <c r="P122" s="1296"/>
      <c r="Q122" s="1301"/>
      <c r="R122" s="1301"/>
      <c r="S122" s="1301"/>
      <c r="T122" s="1293"/>
      <c r="U122" s="1293"/>
      <c r="V122" s="1293"/>
      <c r="W122" s="1293"/>
      <c r="X122" s="1285"/>
    </row>
    <row r="123" spans="1:24">
      <c r="A123" s="1285"/>
      <c r="B123" s="1285"/>
      <c r="C123" s="1285"/>
      <c r="D123" s="1285"/>
      <c r="E123" s="1285"/>
      <c r="F123" s="1285"/>
      <c r="G123" s="1285"/>
      <c r="H123" s="1285"/>
      <c r="I123" s="1285"/>
      <c r="J123" s="1293">
        <f>N123*(Q123+R123+S123)</f>
        <v>0</v>
      </c>
      <c r="K123" s="1294"/>
      <c r="L123" s="1293">
        <f>N123*(R123+S123+T123)</f>
        <v>0</v>
      </c>
      <c r="M123" s="1285"/>
      <c r="N123" s="1295">
        <f>N$110</f>
        <v>0</v>
      </c>
      <c r="O123" s="1285"/>
      <c r="P123" s="1296" t="s">
        <v>631</v>
      </c>
      <c r="Q123" s="1301"/>
      <c r="R123" s="1301"/>
      <c r="S123" s="1301"/>
      <c r="T123" s="1293"/>
      <c r="U123" s="1293"/>
      <c r="V123" s="1293"/>
      <c r="W123" s="1293"/>
      <c r="X123" s="1285"/>
    </row>
    <row r="124" spans="1:24">
      <c r="A124" s="1285"/>
      <c r="B124" s="1285"/>
      <c r="C124" s="1285"/>
      <c r="D124" s="1285"/>
      <c r="E124" s="1285"/>
      <c r="F124" s="1285"/>
      <c r="G124" s="1285"/>
      <c r="H124" s="1285"/>
      <c r="I124" s="1285"/>
      <c r="J124" s="1293">
        <f>N124*(Q124+R124+S124)</f>
        <v>0</v>
      </c>
      <c r="K124" s="1294"/>
      <c r="L124" s="1293">
        <f>N124*(R124+S124+T124)</f>
        <v>0</v>
      </c>
      <c r="M124" s="1285"/>
      <c r="N124" s="1295">
        <f>N$110</f>
        <v>0</v>
      </c>
      <c r="O124" s="1285"/>
      <c r="P124" s="1296" t="s">
        <v>657</v>
      </c>
      <c r="Q124" s="1293"/>
      <c r="R124" s="1293"/>
      <c r="S124" s="1293"/>
      <c r="T124" s="1299"/>
      <c r="U124" s="1299"/>
      <c r="V124" s="1299"/>
      <c r="W124" s="1299"/>
      <c r="X124" s="1285"/>
    </row>
    <row r="125" spans="1:24">
      <c r="A125" s="1285"/>
      <c r="B125" s="1285"/>
      <c r="C125" s="1285"/>
      <c r="D125" s="1285"/>
      <c r="E125" s="1285"/>
      <c r="F125" s="1285"/>
      <c r="G125" s="1285"/>
      <c r="H125" s="1285"/>
      <c r="I125" s="1285"/>
      <c r="J125" s="1293">
        <f>N125*(Q125+R125+S125)</f>
        <v>0</v>
      </c>
      <c r="K125" s="1294"/>
      <c r="L125" s="1293">
        <f>N125*(R125+S125+T125)</f>
        <v>0</v>
      </c>
      <c r="M125" s="1285"/>
      <c r="N125" s="1295">
        <f>N$110</f>
        <v>0</v>
      </c>
      <c r="O125" s="1285"/>
      <c r="P125" s="1300" t="s">
        <v>633</v>
      </c>
      <c r="Q125" s="1301"/>
      <c r="R125" s="1301"/>
      <c r="S125" s="1301"/>
      <c r="T125" s="1299"/>
      <c r="U125" s="1299"/>
      <c r="V125" s="1299"/>
      <c r="W125" s="1299"/>
      <c r="X125" s="1285"/>
    </row>
    <row r="126" spans="1:24">
      <c r="A126" s="1285"/>
      <c r="B126" s="1285"/>
      <c r="C126" s="1285"/>
      <c r="D126" s="1285"/>
      <c r="E126" s="1285"/>
      <c r="F126" s="1285"/>
      <c r="G126" s="1285"/>
      <c r="H126" s="1285"/>
      <c r="I126" s="1285"/>
      <c r="J126" s="1293">
        <f>N126*(Q126+R126+S126)</f>
        <v>0</v>
      </c>
      <c r="K126" s="1294"/>
      <c r="L126" s="1293">
        <f>N126*(R126+S126+T126)</f>
        <v>0</v>
      </c>
      <c r="M126" s="1285"/>
      <c r="N126" s="1295">
        <f>N$110</f>
        <v>0</v>
      </c>
      <c r="O126" s="1285"/>
      <c r="P126" s="1296" t="s">
        <v>656</v>
      </c>
      <c r="Q126" s="1293"/>
      <c r="R126" s="1293"/>
      <c r="S126" s="1293"/>
      <c r="T126" s="1299"/>
      <c r="U126" s="1299"/>
      <c r="V126" s="1299"/>
      <c r="W126" s="1299"/>
      <c r="X126" s="1285"/>
    </row>
    <row r="127" spans="1:24">
      <c r="A127" s="1285"/>
      <c r="B127" s="1285"/>
      <c r="C127" s="1285"/>
      <c r="D127" s="1285"/>
      <c r="E127" s="1285"/>
      <c r="F127" s="1285"/>
      <c r="G127" s="1285"/>
      <c r="H127" s="1285"/>
      <c r="I127" s="1285"/>
      <c r="J127" s="1293">
        <f>N127*(Q127+R127+S127)</f>
        <v>0</v>
      </c>
      <c r="K127" s="1294"/>
      <c r="L127" s="1293">
        <f>N127*(R127+S127+T127)</f>
        <v>0</v>
      </c>
      <c r="M127" s="1285"/>
      <c r="N127" s="1295">
        <f>N$110</f>
        <v>0</v>
      </c>
      <c r="O127" s="1285"/>
      <c r="P127" s="1302" t="s">
        <v>635</v>
      </c>
      <c r="Q127" s="1301"/>
      <c r="R127" s="1301"/>
      <c r="S127" s="1301"/>
      <c r="T127" s="1299"/>
      <c r="U127" s="1299"/>
      <c r="V127" s="1299"/>
      <c r="W127" s="1299"/>
      <c r="X127" s="1285"/>
    </row>
    <row r="128" spans="1:24">
      <c r="A128" s="1285"/>
      <c r="B128" s="1285"/>
      <c r="C128" s="1285"/>
      <c r="D128" s="1285"/>
      <c r="E128" s="1285"/>
      <c r="F128" s="1285"/>
      <c r="G128" s="1285"/>
      <c r="H128" s="1285"/>
      <c r="I128" s="1285"/>
      <c r="J128" s="1303">
        <f>SUM(J110:J127)</f>
        <v>0</v>
      </c>
      <c r="K128" s="1304"/>
      <c r="L128" s="1303">
        <f>SUM(L110:L127)</f>
        <v>0</v>
      </c>
      <c r="M128" s="1285"/>
      <c r="N128" s="1285"/>
      <c r="O128" s="1285"/>
      <c r="P128" s="1305"/>
      <c r="Q128" s="1303">
        <f>SUM(Q110:Q127)</f>
        <v>213</v>
      </c>
      <c r="R128" s="1303">
        <f>SUM(R110:R127)</f>
        <v>196</v>
      </c>
      <c r="S128" s="1303">
        <f>SUM(S110:S127)</f>
        <v>213</v>
      </c>
      <c r="T128" s="1303">
        <f>SUM(T110:T127)</f>
        <v>250.63307581316838</v>
      </c>
      <c r="U128" s="1306"/>
      <c r="V128" s="1306"/>
      <c r="W128" s="1306"/>
      <c r="X128" s="1285"/>
    </row>
    <row r="129" spans="1:24">
      <c r="A129" s="1285"/>
      <c r="B129" s="1285"/>
      <c r="C129" s="1285"/>
      <c r="D129" s="1285"/>
      <c r="E129" s="1285"/>
      <c r="F129" s="1285"/>
      <c r="G129" s="1285"/>
      <c r="H129" s="1285"/>
      <c r="I129" s="1285"/>
      <c r="J129" s="1285"/>
      <c r="K129" s="1285"/>
      <c r="L129" s="1285"/>
      <c r="M129" s="1285"/>
      <c r="N129" s="1285"/>
      <c r="O129" s="1285"/>
      <c r="P129" s="1285"/>
      <c r="Q129" s="1285"/>
      <c r="R129" s="1285"/>
      <c r="S129" s="1285"/>
      <c r="T129" s="1285"/>
      <c r="U129" s="1285"/>
      <c r="V129" s="1285"/>
      <c r="W129" s="1285"/>
      <c r="X129" s="1285"/>
    </row>
    <row r="130" spans="1:24">
      <c r="A130" s="1285"/>
      <c r="B130" s="1285"/>
      <c r="C130" s="1285"/>
      <c r="D130" s="1285"/>
      <c r="E130" s="1285"/>
      <c r="F130" s="1285"/>
      <c r="G130" s="1285"/>
      <c r="H130" s="1285"/>
      <c r="I130" s="1285"/>
      <c r="J130" s="1285"/>
      <c r="K130" s="1285"/>
      <c r="L130" s="1285"/>
      <c r="M130" s="1285"/>
      <c r="N130" s="1285"/>
      <c r="O130" s="1285"/>
      <c r="P130" s="1285"/>
      <c r="Q130" s="1285"/>
      <c r="R130" s="1285"/>
      <c r="S130" s="1285"/>
      <c r="T130" s="1285"/>
      <c r="U130" s="1285"/>
      <c r="V130" s="1285"/>
      <c r="W130" s="1285"/>
      <c r="X130" s="1285"/>
    </row>
    <row r="131" spans="1:24">
      <c r="A131" s="1285"/>
      <c r="B131" s="1285"/>
      <c r="C131" s="1285"/>
      <c r="D131" s="1285"/>
      <c r="E131" s="1285"/>
      <c r="F131" s="1285"/>
      <c r="G131" s="1285"/>
      <c r="H131" s="1285"/>
      <c r="I131" s="1285"/>
      <c r="J131" s="1285"/>
      <c r="K131" s="1285"/>
      <c r="L131" s="1285"/>
      <c r="M131" s="1285"/>
      <c r="N131" s="1285"/>
      <c r="O131" s="1285"/>
      <c r="P131" s="1285"/>
      <c r="Q131" s="1285"/>
      <c r="R131" s="1285"/>
      <c r="S131" s="1285"/>
      <c r="T131" s="1285"/>
      <c r="U131" s="1285"/>
      <c r="V131" s="1285"/>
      <c r="W131" s="1285"/>
      <c r="X131" s="1285"/>
    </row>
  </sheetData>
  <pageMargins left="0.75" right="0.75" top="1" bottom="1" header="0.5" footer="0.5"/>
  <pageSetup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S78"/>
  <sheetViews>
    <sheetView workbookViewId="0">
      <selection activeCell="G5" sqref="G5:G6"/>
    </sheetView>
  </sheetViews>
  <sheetFormatPr defaultColWidth="11" defaultRowHeight="15.75"/>
  <cols>
    <col min="1" max="1" width="21.375" customWidth="1"/>
    <col min="5" max="5" width="7.375" customWidth="1"/>
    <col min="7" max="7" width="12.875" customWidth="1"/>
    <col min="8" max="8" width="4.5" customWidth="1"/>
    <col min="10" max="10" width="18.125" customWidth="1"/>
    <col min="18" max="30" width="5.625" customWidth="1"/>
    <col min="31" max="31" width="4" customWidth="1"/>
    <col min="32" max="44" width="5.375" customWidth="1"/>
    <col min="45" max="45" width="5.125" customWidth="1"/>
  </cols>
  <sheetData>
    <row r="2" spans="1:45" ht="16.5" thickBot="1">
      <c r="N2" s="1263"/>
    </row>
    <row r="3" spans="1:45" ht="18.75">
      <c r="A3" s="1102" t="str">
        <f>'Graduate Completions'!F3</f>
        <v>Interdisciplinary Graduate Degrees:</v>
      </c>
      <c r="B3" s="474"/>
      <c r="C3" s="474"/>
      <c r="D3" s="475"/>
      <c r="R3" s="234" t="s">
        <v>759</v>
      </c>
    </row>
    <row r="4" spans="1:45">
      <c r="A4" s="323" t="str">
        <f>'Graduate Completions'!F4</f>
        <v>Additional Weighting:</v>
      </c>
      <c r="B4" s="91"/>
      <c r="C4" s="91"/>
      <c r="D4" s="1191">
        <f>'Graduate Completions'!I4</f>
        <v>1.2</v>
      </c>
    </row>
    <row r="5" spans="1:45">
      <c r="A5" s="323" t="str">
        <f>'Graduate Completions'!F5</f>
        <v>Proportion to college of major professor:</v>
      </c>
      <c r="B5" s="91"/>
      <c r="C5" s="91"/>
      <c r="D5" s="1191">
        <f>'Graduate Completions'!I5</f>
        <v>0.8</v>
      </c>
    </row>
    <row r="6" spans="1:45" ht="16.5" thickBot="1">
      <c r="A6" s="479" t="str">
        <f>'Graduate Completions'!F6</f>
        <v>Proportion to interdisciplinary program:</v>
      </c>
      <c r="B6" s="480"/>
      <c r="C6" s="480"/>
      <c r="D6" s="1192">
        <f>'Graduate Completions'!I6</f>
        <v>0.19999999999999996</v>
      </c>
    </row>
    <row r="10" spans="1:45">
      <c r="A10" s="1187" t="s">
        <v>689</v>
      </c>
      <c r="B10" s="1188" t="s">
        <v>691</v>
      </c>
      <c r="C10" s="1188"/>
      <c r="D10" s="1188"/>
      <c r="E10" s="644"/>
      <c r="K10" s="253" t="s">
        <v>752</v>
      </c>
      <c r="L10" s="253"/>
      <c r="M10" s="253"/>
      <c r="N10" s="253"/>
      <c r="O10" s="253"/>
      <c r="P10" s="253"/>
      <c r="R10" s="253" t="s">
        <v>754</v>
      </c>
      <c r="S10" s="253"/>
      <c r="T10" s="253"/>
      <c r="U10" s="253"/>
      <c r="V10" s="253"/>
      <c r="W10" s="253"/>
      <c r="X10" s="253"/>
      <c r="Y10" s="253"/>
      <c r="Z10" s="253"/>
      <c r="AA10" s="253"/>
      <c r="AB10" s="253"/>
      <c r="AC10" s="253"/>
      <c r="AD10" s="253"/>
      <c r="AF10" s="253" t="s">
        <v>754</v>
      </c>
      <c r="AG10" s="253"/>
      <c r="AH10" s="253"/>
      <c r="AI10" s="253"/>
      <c r="AJ10" s="253"/>
      <c r="AK10" s="253"/>
      <c r="AL10" s="253"/>
      <c r="AM10" s="253"/>
      <c r="AN10" s="253"/>
      <c r="AO10" s="253"/>
      <c r="AP10" s="253"/>
      <c r="AQ10" s="253"/>
      <c r="AR10" s="253"/>
      <c r="AS10" s="253"/>
    </row>
    <row r="11" spans="1:45" ht="53.25">
      <c r="A11" s="1186"/>
      <c r="B11" s="556" t="s">
        <v>756</v>
      </c>
      <c r="C11" s="556"/>
      <c r="D11" s="556" t="s">
        <v>1489</v>
      </c>
      <c r="E11" s="647"/>
      <c r="F11" s="687" t="s">
        <v>753</v>
      </c>
      <c r="G11" s="686" t="s">
        <v>755</v>
      </c>
      <c r="K11" s="676" t="s">
        <v>723</v>
      </c>
      <c r="L11" s="676" t="s">
        <v>724</v>
      </c>
      <c r="M11" s="676" t="s">
        <v>725</v>
      </c>
      <c r="N11" s="676" t="s">
        <v>726</v>
      </c>
      <c r="O11" s="252"/>
      <c r="P11" s="674" t="s">
        <v>645</v>
      </c>
      <c r="R11" s="675" t="s">
        <v>749</v>
      </c>
      <c r="S11" s="675" t="s">
        <v>6</v>
      </c>
      <c r="T11" s="675" t="s">
        <v>8</v>
      </c>
      <c r="U11" s="675" t="s">
        <v>2</v>
      </c>
      <c r="V11" s="675" t="s">
        <v>10</v>
      </c>
      <c r="W11" s="675" t="s">
        <v>4</v>
      </c>
      <c r="X11" s="675" t="s">
        <v>748</v>
      </c>
      <c r="Y11" s="675" t="s">
        <v>3</v>
      </c>
      <c r="Z11" s="675" t="s">
        <v>1</v>
      </c>
      <c r="AA11" s="675" t="s">
        <v>7</v>
      </c>
      <c r="AB11" s="675" t="s">
        <v>9</v>
      </c>
      <c r="AC11" s="675" t="s">
        <v>5</v>
      </c>
      <c r="AD11" s="675"/>
      <c r="AF11" s="675" t="s">
        <v>749</v>
      </c>
      <c r="AG11" s="675" t="s">
        <v>6</v>
      </c>
      <c r="AH11" s="675" t="s">
        <v>8</v>
      </c>
      <c r="AI11" s="675" t="s">
        <v>2</v>
      </c>
      <c r="AJ11" s="675" t="s">
        <v>10</v>
      </c>
      <c r="AK11" s="675" t="s">
        <v>4</v>
      </c>
      <c r="AL11" s="675" t="s">
        <v>748</v>
      </c>
      <c r="AM11" s="675" t="s">
        <v>3</v>
      </c>
      <c r="AN11" s="675" t="s">
        <v>1</v>
      </c>
      <c r="AO11" s="675" t="s">
        <v>7</v>
      </c>
      <c r="AP11" s="675" t="s">
        <v>9</v>
      </c>
      <c r="AQ11" s="675" t="s">
        <v>5</v>
      </c>
      <c r="AR11" s="675"/>
    </row>
    <row r="12" spans="1:45">
      <c r="A12" s="557" t="s">
        <v>628</v>
      </c>
      <c r="B12" s="531">
        <f>F12*(AD45+G12*(R41-AD45))</f>
        <v>82.712927678487972</v>
      </c>
      <c r="C12" s="558"/>
      <c r="D12" s="531">
        <f>F12*(AR45+G12*(AF41-AR45))</f>
        <v>76.996519418620679</v>
      </c>
      <c r="E12" s="624"/>
      <c r="F12" s="244">
        <f>'Graduate Completions'!N17</f>
        <v>2.9165348264629047</v>
      </c>
      <c r="G12">
        <f>D4*D5</f>
        <v>0.96</v>
      </c>
      <c r="I12" s="677" t="s">
        <v>727</v>
      </c>
      <c r="J12" s="15"/>
      <c r="K12" s="678">
        <v>16</v>
      </c>
      <c r="L12" s="678">
        <v>19</v>
      </c>
      <c r="M12" s="678">
        <v>20</v>
      </c>
      <c r="N12" s="678">
        <v>5</v>
      </c>
      <c r="O12" s="15"/>
      <c r="P12" s="678">
        <v>18</v>
      </c>
      <c r="Q12" s="688"/>
      <c r="R12" s="15">
        <v>1</v>
      </c>
      <c r="S12" s="15">
        <v>2</v>
      </c>
      <c r="T12" s="15">
        <v>2</v>
      </c>
      <c r="U12" s="15">
        <v>1</v>
      </c>
      <c r="V12" s="15"/>
      <c r="W12" s="15">
        <v>1</v>
      </c>
      <c r="X12" s="15"/>
      <c r="Y12" s="15">
        <v>45</v>
      </c>
      <c r="Z12" s="15"/>
      <c r="AA12" s="15"/>
      <c r="AB12" s="15">
        <v>2</v>
      </c>
      <c r="AC12">
        <v>1</v>
      </c>
      <c r="AD12" s="692">
        <f>SUM(R12:AC12)</f>
        <v>55</v>
      </c>
      <c r="AE12" s="693">
        <f>K12+L12+M12</f>
        <v>55</v>
      </c>
      <c r="AF12" s="15">
        <v>1</v>
      </c>
      <c r="AG12" s="15">
        <v>2</v>
      </c>
      <c r="AH12" s="15">
        <v>2</v>
      </c>
      <c r="AI12" s="15">
        <v>1</v>
      </c>
      <c r="AJ12" s="15"/>
      <c r="AK12" s="15">
        <v>1</v>
      </c>
      <c r="AL12" s="15"/>
      <c r="AM12" s="15">
        <v>47</v>
      </c>
      <c r="AN12" s="15"/>
      <c r="AO12" s="15"/>
      <c r="AP12" s="15">
        <v>2</v>
      </c>
      <c r="AQ12">
        <v>1</v>
      </c>
      <c r="AR12" s="692">
        <f>SUM(AF12:AQ12)</f>
        <v>57</v>
      </c>
      <c r="AS12" s="699">
        <f>L12+M12+P12</f>
        <v>57</v>
      </c>
    </row>
    <row r="13" spans="1:45">
      <c r="A13" s="557" t="s">
        <v>6</v>
      </c>
      <c r="B13" s="531">
        <f>F13*G13*S41</f>
        <v>0</v>
      </c>
      <c r="C13" s="558"/>
      <c r="D13" s="531">
        <f>F13*G13*AG41</f>
        <v>0</v>
      </c>
      <c r="E13" s="624"/>
      <c r="F13" s="244">
        <f>'Graduate Completions'!N18</f>
        <v>4.1733890097133033</v>
      </c>
      <c r="G13">
        <f>G12</f>
        <v>0.96</v>
      </c>
      <c r="I13" s="91"/>
      <c r="J13" s="91"/>
      <c r="K13" s="91"/>
      <c r="L13" s="91"/>
      <c r="M13" s="91"/>
      <c r="N13" s="91"/>
      <c r="O13" s="91"/>
      <c r="P13" s="91"/>
      <c r="Q13" s="689"/>
      <c r="R13" s="91"/>
      <c r="S13" s="91"/>
      <c r="T13" s="91"/>
      <c r="U13" s="91"/>
      <c r="V13" s="91"/>
      <c r="W13" s="91"/>
      <c r="X13" s="91"/>
      <c r="Y13" s="91"/>
      <c r="Z13" s="91"/>
      <c r="AA13" s="91"/>
      <c r="AB13" s="91"/>
      <c r="AD13" s="692"/>
      <c r="AE13" s="694"/>
      <c r="AF13" s="91"/>
      <c r="AG13" s="91"/>
      <c r="AH13" s="91"/>
      <c r="AI13" s="91"/>
      <c r="AJ13" s="91"/>
      <c r="AK13" s="91"/>
      <c r="AL13" s="91"/>
      <c r="AM13" s="91"/>
      <c r="AN13" s="91"/>
      <c r="AO13" s="91"/>
      <c r="AP13" s="91"/>
      <c r="AR13" s="692"/>
      <c r="AS13" s="252"/>
    </row>
    <row r="14" spans="1:45">
      <c r="A14" s="557" t="s">
        <v>8</v>
      </c>
      <c r="B14" s="531">
        <f>F14*G14*T41</f>
        <v>0</v>
      </c>
      <c r="C14" s="558"/>
      <c r="D14" s="531">
        <f>F14*G14*AH41</f>
        <v>0</v>
      </c>
      <c r="E14" s="624"/>
      <c r="F14" s="244">
        <f>'Graduate Completions'!N19</f>
        <v>2.5274364485170504</v>
      </c>
      <c r="G14">
        <f>G13</f>
        <v>0.96</v>
      </c>
      <c r="I14" s="679" t="s">
        <v>728</v>
      </c>
      <c r="J14" s="91"/>
      <c r="K14" s="91"/>
      <c r="L14" s="91"/>
      <c r="M14" s="91"/>
      <c r="N14" s="91"/>
      <c r="O14" s="91"/>
      <c r="P14" s="91"/>
      <c r="Q14" s="689"/>
      <c r="R14" s="91"/>
      <c r="S14" s="91"/>
      <c r="T14" s="91"/>
      <c r="U14" s="91"/>
      <c r="V14" s="91"/>
      <c r="W14" s="91"/>
      <c r="X14" s="91"/>
      <c r="Y14" s="91"/>
      <c r="Z14" s="91"/>
      <c r="AA14" s="91"/>
      <c r="AB14" s="91"/>
      <c r="AD14" s="692"/>
      <c r="AE14" s="694"/>
      <c r="AF14" s="91"/>
      <c r="AG14" s="91"/>
      <c r="AH14" s="91"/>
      <c r="AI14" s="91"/>
      <c r="AJ14" s="91"/>
      <c r="AK14" s="91"/>
      <c r="AL14" s="91"/>
      <c r="AM14" s="91"/>
      <c r="AN14" s="91"/>
      <c r="AO14" s="91"/>
      <c r="AP14" s="91"/>
      <c r="AR14" s="692"/>
      <c r="AS14" s="252"/>
    </row>
    <row r="15" spans="1:45">
      <c r="A15" s="559" t="s">
        <v>2</v>
      </c>
      <c r="B15" s="531">
        <f>F15*G15*U41</f>
        <v>0</v>
      </c>
      <c r="C15" s="558"/>
      <c r="D15" s="531">
        <f>F15*G15*AI41</f>
        <v>0</v>
      </c>
      <c r="E15" s="624"/>
      <c r="F15" s="244">
        <f>'Graduate Completions'!N20</f>
        <v>2.5357100841546707</v>
      </c>
      <c r="G15">
        <f>G14</f>
        <v>0.96</v>
      </c>
      <c r="I15" s="680" t="s">
        <v>729</v>
      </c>
      <c r="J15" s="91"/>
      <c r="K15" s="618">
        <v>9</v>
      </c>
      <c r="L15" s="618">
        <v>9</v>
      </c>
      <c r="M15" s="618">
        <v>8</v>
      </c>
      <c r="N15" s="618">
        <v>1</v>
      </c>
      <c r="O15" s="91"/>
      <c r="P15" s="618">
        <v>8</v>
      </c>
      <c r="Q15" s="690" t="s">
        <v>751</v>
      </c>
      <c r="R15" s="618">
        <f>K15+L15+M15</f>
        <v>26</v>
      </c>
      <c r="S15" s="91"/>
      <c r="T15" s="91"/>
      <c r="U15" s="91"/>
      <c r="V15" s="91"/>
      <c r="W15" s="91"/>
      <c r="X15" s="91"/>
      <c r="Y15" s="91"/>
      <c r="Z15" s="91"/>
      <c r="AA15" s="91"/>
      <c r="AB15" s="91"/>
      <c r="AD15" s="692">
        <f t="shared" ref="AD15:AD21" si="0">SUM(R15:AC15)</f>
        <v>26</v>
      </c>
      <c r="AE15" s="693">
        <f t="shared" ref="AE15:AE21" si="1">K15+L15+M15</f>
        <v>26</v>
      </c>
      <c r="AF15" s="618">
        <v>25</v>
      </c>
      <c r="AG15" s="91"/>
      <c r="AH15" s="91"/>
      <c r="AI15" s="91"/>
      <c r="AJ15" s="91"/>
      <c r="AK15" s="91"/>
      <c r="AL15" s="91"/>
      <c r="AM15" s="91"/>
      <c r="AN15" s="91"/>
      <c r="AO15" s="91"/>
      <c r="AP15" s="91"/>
      <c r="AR15" s="692">
        <f t="shared" ref="AR15:AR21" si="2">SUM(AF15:AQ15)</f>
        <v>25</v>
      </c>
      <c r="AS15" s="699">
        <f t="shared" ref="AS15:AS21" si="3">L15+M15+P15</f>
        <v>25</v>
      </c>
    </row>
    <row r="16" spans="1:45">
      <c r="A16" s="557" t="s">
        <v>10</v>
      </c>
      <c r="B16" s="531">
        <f>F16*G16*V41</f>
        <v>9.0017864787370225</v>
      </c>
      <c r="C16" s="558"/>
      <c r="D16" s="531">
        <f>F16*G16*AJ41</f>
        <v>9.0017864787370225</v>
      </c>
      <c r="E16" s="624"/>
      <c r="F16" s="244">
        <f>'Graduate Completions'!N21</f>
        <v>3.1256203051170219</v>
      </c>
      <c r="G16">
        <f>G15</f>
        <v>0.96</v>
      </c>
      <c r="I16" s="680" t="s">
        <v>730</v>
      </c>
      <c r="J16" s="91"/>
      <c r="K16" s="618">
        <v>1</v>
      </c>
      <c r="L16" s="618">
        <v>0</v>
      </c>
      <c r="M16" s="618">
        <v>1</v>
      </c>
      <c r="N16" s="618">
        <v>0</v>
      </c>
      <c r="O16" s="91"/>
      <c r="P16" s="618">
        <f t="shared" ref="P16:P21" si="4">AVERAGE(K16:M16)</f>
        <v>0.66666666666666663</v>
      </c>
      <c r="Q16" s="689"/>
      <c r="R16" s="91">
        <v>1</v>
      </c>
      <c r="S16" s="91"/>
      <c r="T16" s="91"/>
      <c r="U16" s="91"/>
      <c r="V16" s="91"/>
      <c r="W16" s="91">
        <v>1</v>
      </c>
      <c r="X16" s="91"/>
      <c r="Y16" s="91"/>
      <c r="Z16" s="91"/>
      <c r="AA16" s="91"/>
      <c r="AB16" s="91"/>
      <c r="AD16" s="692">
        <f t="shared" si="0"/>
        <v>2</v>
      </c>
      <c r="AE16" s="693">
        <f t="shared" si="1"/>
        <v>2</v>
      </c>
      <c r="AF16" s="91">
        <v>1</v>
      </c>
      <c r="AG16" s="91"/>
      <c r="AH16" s="91"/>
      <c r="AI16" s="91"/>
      <c r="AJ16" s="91"/>
      <c r="AK16" s="91">
        <v>1</v>
      </c>
      <c r="AL16" s="91"/>
      <c r="AM16" s="91"/>
      <c r="AN16" s="91"/>
      <c r="AO16" s="91"/>
      <c r="AP16" s="91"/>
      <c r="AR16" s="692">
        <f t="shared" si="2"/>
        <v>2</v>
      </c>
      <c r="AS16" s="699">
        <f t="shared" si="3"/>
        <v>1.6666666666666665</v>
      </c>
    </row>
    <row r="17" spans="1:45">
      <c r="A17" s="557" t="s">
        <v>4</v>
      </c>
      <c r="B17" s="531">
        <f>F17*G17*W41</f>
        <v>25.83894625741156</v>
      </c>
      <c r="C17" s="558"/>
      <c r="D17" s="531">
        <f>F17*G17*AK41</f>
        <v>25.83894625741156</v>
      </c>
      <c r="E17" s="624"/>
      <c r="F17" s="244">
        <f>'Graduate Completions'!N22</f>
        <v>2.9906187797930048</v>
      </c>
      <c r="G17">
        <f>G16</f>
        <v>0.96</v>
      </c>
      <c r="I17" s="680" t="s">
        <v>731</v>
      </c>
      <c r="J17" s="91"/>
      <c r="K17" s="618">
        <v>4</v>
      </c>
      <c r="L17" s="618">
        <v>3</v>
      </c>
      <c r="M17" s="618">
        <v>8</v>
      </c>
      <c r="N17" s="618">
        <v>6</v>
      </c>
      <c r="O17" s="91"/>
      <c r="P17" s="618">
        <f t="shared" si="4"/>
        <v>5</v>
      </c>
      <c r="Q17" s="689"/>
      <c r="R17" s="91"/>
      <c r="S17" s="91"/>
      <c r="T17" s="91"/>
      <c r="U17" s="91">
        <v>4</v>
      </c>
      <c r="V17" s="91"/>
      <c r="W17" s="91"/>
      <c r="X17" s="91"/>
      <c r="Y17" s="91"/>
      <c r="Z17" s="91"/>
      <c r="AA17" s="91">
        <v>11</v>
      </c>
      <c r="AB17" s="91"/>
      <c r="AD17" s="692">
        <f t="shared" si="0"/>
        <v>15</v>
      </c>
      <c r="AE17" s="693">
        <f t="shared" si="1"/>
        <v>15</v>
      </c>
      <c r="AF17" s="91"/>
      <c r="AG17" s="91"/>
      <c r="AH17" s="91"/>
      <c r="AI17" s="91">
        <v>5</v>
      </c>
      <c r="AJ17" s="91"/>
      <c r="AK17" s="91"/>
      <c r="AL17" s="91"/>
      <c r="AM17" s="91"/>
      <c r="AN17" s="91"/>
      <c r="AO17" s="91">
        <v>11</v>
      </c>
      <c r="AP17" s="91"/>
      <c r="AR17" s="692">
        <f t="shared" si="2"/>
        <v>16</v>
      </c>
      <c r="AS17" s="699">
        <f t="shared" si="3"/>
        <v>16</v>
      </c>
    </row>
    <row r="18" spans="1:45">
      <c r="A18" s="557" t="s">
        <v>14</v>
      </c>
      <c r="B18" s="531">
        <f>F18*G18*(AD41-AD45)</f>
        <v>28.29379792199326</v>
      </c>
      <c r="C18" s="558"/>
      <c r="D18" s="531">
        <f>F18*G18*(AR41-AR45)</f>
        <v>27.603705289749524</v>
      </c>
      <c r="E18" s="624"/>
      <c r="F18" s="244">
        <f>'Graduate Completions'!N23</f>
        <v>2.8753859676822429</v>
      </c>
      <c r="G18">
        <f>D4*D6</f>
        <v>0.23999999999999994</v>
      </c>
      <c r="I18" s="680" t="s">
        <v>732</v>
      </c>
      <c r="J18" s="91"/>
      <c r="K18" s="618">
        <v>1</v>
      </c>
      <c r="L18" s="618">
        <v>1</v>
      </c>
      <c r="M18" s="618">
        <v>1</v>
      </c>
      <c r="N18" s="618">
        <v>2</v>
      </c>
      <c r="O18" s="91"/>
      <c r="P18" s="618">
        <f t="shared" si="4"/>
        <v>1</v>
      </c>
      <c r="Q18" s="689"/>
      <c r="R18" s="91">
        <v>1</v>
      </c>
      <c r="S18" s="91"/>
      <c r="T18" s="91"/>
      <c r="U18" s="91"/>
      <c r="V18" s="91"/>
      <c r="W18" s="91">
        <v>2</v>
      </c>
      <c r="X18" s="91"/>
      <c r="Y18" s="91"/>
      <c r="Z18" s="91"/>
      <c r="AA18" s="91"/>
      <c r="AB18" s="91"/>
      <c r="AD18" s="692">
        <f t="shared" si="0"/>
        <v>3</v>
      </c>
      <c r="AE18" s="693">
        <f t="shared" si="1"/>
        <v>3</v>
      </c>
      <c r="AF18" s="91">
        <v>1</v>
      </c>
      <c r="AG18" s="91"/>
      <c r="AH18" s="91"/>
      <c r="AI18" s="91"/>
      <c r="AJ18" s="91"/>
      <c r="AK18" s="91">
        <v>2</v>
      </c>
      <c r="AL18" s="91"/>
      <c r="AM18" s="91"/>
      <c r="AN18" s="91"/>
      <c r="AO18" s="91"/>
      <c r="AP18" s="91"/>
      <c r="AR18" s="692">
        <f t="shared" si="2"/>
        <v>3</v>
      </c>
      <c r="AS18" s="699">
        <f t="shared" si="3"/>
        <v>3</v>
      </c>
    </row>
    <row r="19" spans="1:45">
      <c r="A19" s="559" t="s">
        <v>17</v>
      </c>
      <c r="B19" s="531">
        <f>F19*G19*Y41</f>
        <v>18.38963755893808</v>
      </c>
      <c r="C19" s="558"/>
      <c r="D19" s="531">
        <f>F19*G19*AM41</f>
        <v>18.38963755893808</v>
      </c>
      <c r="E19" s="624"/>
      <c r="F19" s="244">
        <f>'Graduate Completions'!N24</f>
        <v>3.1926454095378611</v>
      </c>
      <c r="G19">
        <f>G17</f>
        <v>0.96</v>
      </c>
      <c r="I19" s="680" t="s">
        <v>733</v>
      </c>
      <c r="J19" s="91"/>
      <c r="K19" s="618">
        <v>2</v>
      </c>
      <c r="L19" s="618">
        <v>8</v>
      </c>
      <c r="M19" s="618">
        <v>1</v>
      </c>
      <c r="N19" s="618">
        <v>1</v>
      </c>
      <c r="O19" s="91"/>
      <c r="P19" s="618">
        <v>3</v>
      </c>
      <c r="Q19" s="689"/>
      <c r="R19" s="91"/>
      <c r="S19" s="91"/>
      <c r="T19" s="91"/>
      <c r="U19" s="91">
        <v>1</v>
      </c>
      <c r="V19" s="91"/>
      <c r="W19" s="91"/>
      <c r="X19" s="91"/>
      <c r="Y19" s="91">
        <v>8</v>
      </c>
      <c r="Z19" s="91"/>
      <c r="AA19" s="91"/>
      <c r="AB19" s="91"/>
      <c r="AC19">
        <v>2</v>
      </c>
      <c r="AD19" s="692">
        <f t="shared" si="0"/>
        <v>11</v>
      </c>
      <c r="AE19" s="693">
        <f t="shared" si="1"/>
        <v>11</v>
      </c>
      <c r="AF19" s="91"/>
      <c r="AG19" s="91"/>
      <c r="AH19" s="91"/>
      <c r="AI19" s="91">
        <v>2</v>
      </c>
      <c r="AJ19" s="91"/>
      <c r="AK19" s="91"/>
      <c r="AL19" s="91"/>
      <c r="AM19" s="91">
        <v>8</v>
      </c>
      <c r="AN19" s="91"/>
      <c r="AO19" s="91"/>
      <c r="AP19" s="91"/>
      <c r="AQ19">
        <v>2</v>
      </c>
      <c r="AR19" s="692">
        <f t="shared" si="2"/>
        <v>12</v>
      </c>
      <c r="AS19" s="699">
        <f t="shared" si="3"/>
        <v>12</v>
      </c>
    </row>
    <row r="20" spans="1:45">
      <c r="A20" s="557" t="s">
        <v>376</v>
      </c>
      <c r="B20" s="531">
        <f>F20*G20*Z41</f>
        <v>0</v>
      </c>
      <c r="C20" s="558"/>
      <c r="D20" s="531">
        <f>F20*G20*AN41</f>
        <v>0</v>
      </c>
      <c r="E20" s="624"/>
      <c r="F20" s="244">
        <f>'Graduate Completions'!N25</f>
        <v>0</v>
      </c>
      <c r="G20">
        <f>G19</f>
        <v>0.96</v>
      </c>
      <c r="I20" s="680" t="s">
        <v>734</v>
      </c>
      <c r="J20" s="91"/>
      <c r="K20" s="618">
        <v>7</v>
      </c>
      <c r="L20" s="618">
        <v>3</v>
      </c>
      <c r="M20" s="618">
        <v>4</v>
      </c>
      <c r="N20" s="618">
        <v>5</v>
      </c>
      <c r="O20" s="91"/>
      <c r="P20" s="618">
        <f t="shared" si="4"/>
        <v>4.666666666666667</v>
      </c>
      <c r="Q20" s="689"/>
      <c r="R20" s="91">
        <v>2</v>
      </c>
      <c r="S20" s="91"/>
      <c r="T20" s="91"/>
      <c r="U20" s="91">
        <v>2</v>
      </c>
      <c r="V20" s="91"/>
      <c r="W20" s="91">
        <v>4</v>
      </c>
      <c r="X20" s="91"/>
      <c r="Y20" s="91"/>
      <c r="Z20" s="91"/>
      <c r="AA20" s="91">
        <v>2</v>
      </c>
      <c r="AB20" s="91"/>
      <c r="AC20">
        <v>4</v>
      </c>
      <c r="AD20" s="692">
        <f t="shared" si="0"/>
        <v>14</v>
      </c>
      <c r="AE20" s="693">
        <f t="shared" si="1"/>
        <v>14</v>
      </c>
      <c r="AF20" s="91">
        <v>2</v>
      </c>
      <c r="AG20" s="91"/>
      <c r="AH20" s="91"/>
      <c r="AI20" s="91">
        <v>2</v>
      </c>
      <c r="AJ20" s="91"/>
      <c r="AK20" s="91">
        <v>2</v>
      </c>
      <c r="AL20" s="91"/>
      <c r="AM20" s="91"/>
      <c r="AN20" s="91"/>
      <c r="AO20" s="91">
        <v>2</v>
      </c>
      <c r="AP20" s="91"/>
      <c r="AQ20">
        <v>4</v>
      </c>
      <c r="AR20" s="692">
        <f t="shared" si="2"/>
        <v>12</v>
      </c>
      <c r="AS20" s="699">
        <f t="shared" si="3"/>
        <v>11.666666666666668</v>
      </c>
    </row>
    <row r="21" spans="1:45">
      <c r="A21" s="557" t="s">
        <v>7</v>
      </c>
      <c r="B21" s="531">
        <f>F21*G21*AA41</f>
        <v>0</v>
      </c>
      <c r="C21" s="558"/>
      <c r="D21" s="531">
        <f>F21*G21*AO41</f>
        <v>0</v>
      </c>
      <c r="E21" s="624"/>
      <c r="F21" s="244">
        <f>'Graduate Completions'!N26</f>
        <v>3.0883153658922646</v>
      </c>
      <c r="G21">
        <f>G20</f>
        <v>0.96</v>
      </c>
      <c r="I21" s="680" t="s">
        <v>732</v>
      </c>
      <c r="J21" s="91"/>
      <c r="K21" s="618">
        <v>3</v>
      </c>
      <c r="L21" s="618">
        <v>7</v>
      </c>
      <c r="M21" s="618">
        <v>3</v>
      </c>
      <c r="N21" s="618">
        <v>1</v>
      </c>
      <c r="O21" s="91"/>
      <c r="P21" s="618">
        <f t="shared" si="4"/>
        <v>4.333333333333333</v>
      </c>
      <c r="Q21" s="689"/>
      <c r="R21" s="91">
        <v>2</v>
      </c>
      <c r="S21" s="91"/>
      <c r="T21" s="91"/>
      <c r="U21" s="67">
        <v>2</v>
      </c>
      <c r="V21" s="91"/>
      <c r="W21" s="67">
        <v>3</v>
      </c>
      <c r="X21" s="91"/>
      <c r="Y21" s="91">
        <v>2</v>
      </c>
      <c r="Z21" s="91"/>
      <c r="AA21" s="91">
        <v>2</v>
      </c>
      <c r="AB21" s="91"/>
      <c r="AC21">
        <v>2</v>
      </c>
      <c r="AD21" s="692">
        <f t="shared" si="0"/>
        <v>13</v>
      </c>
      <c r="AE21" s="693">
        <f t="shared" si="1"/>
        <v>13</v>
      </c>
      <c r="AF21" s="91">
        <v>2</v>
      </c>
      <c r="AG21" s="91"/>
      <c r="AH21" s="91"/>
      <c r="AI21" s="67">
        <v>2</v>
      </c>
      <c r="AJ21" s="91"/>
      <c r="AK21" s="67">
        <v>4</v>
      </c>
      <c r="AL21" s="91"/>
      <c r="AM21" s="91">
        <v>2</v>
      </c>
      <c r="AN21" s="91"/>
      <c r="AO21" s="91">
        <v>2</v>
      </c>
      <c r="AP21" s="91"/>
      <c r="AQ21">
        <v>2</v>
      </c>
      <c r="AR21" s="692">
        <f t="shared" si="2"/>
        <v>14</v>
      </c>
      <c r="AS21" s="699">
        <f t="shared" si="3"/>
        <v>14.333333333333332</v>
      </c>
    </row>
    <row r="22" spans="1:45">
      <c r="A22" s="557" t="s">
        <v>9</v>
      </c>
      <c r="B22" s="531">
        <f>F22*G22*AB41</f>
        <v>5.7771153952368914</v>
      </c>
      <c r="C22" s="558"/>
      <c r="D22" s="531">
        <f>F22*G22*AP41</f>
        <v>5.7771153952368914</v>
      </c>
      <c r="E22" s="624"/>
      <c r="F22" s="244">
        <f>'Graduate Completions'!N27</f>
        <v>3.0089142683525476</v>
      </c>
      <c r="G22">
        <f>G21</f>
        <v>0.96</v>
      </c>
      <c r="I22" s="683" t="s">
        <v>735</v>
      </c>
      <c r="J22" s="15"/>
      <c r="K22" s="15"/>
      <c r="L22" s="15"/>
      <c r="M22" s="15"/>
      <c r="N22" s="15"/>
      <c r="O22" s="15"/>
      <c r="P22" s="15"/>
      <c r="Q22" s="688"/>
      <c r="R22" s="15"/>
      <c r="S22" s="15"/>
      <c r="T22" s="15"/>
      <c r="U22" s="15"/>
      <c r="V22" s="15"/>
      <c r="W22" s="15"/>
      <c r="X22" s="15"/>
      <c r="Y22" s="15"/>
      <c r="Z22" s="15"/>
      <c r="AA22" s="15"/>
      <c r="AB22" s="15"/>
      <c r="AC22" s="15"/>
      <c r="AD22" s="695"/>
      <c r="AE22" s="694"/>
      <c r="AF22" s="15"/>
      <c r="AG22" s="15"/>
      <c r="AH22" s="15"/>
      <c r="AI22" s="15"/>
      <c r="AJ22" s="15"/>
      <c r="AK22" s="15"/>
      <c r="AL22" s="15"/>
      <c r="AM22" s="15"/>
      <c r="AN22" s="15"/>
      <c r="AO22" s="15"/>
      <c r="AP22" s="15"/>
      <c r="AQ22" s="15"/>
      <c r="AR22" s="695"/>
      <c r="AS22" s="252"/>
    </row>
    <row r="23" spans="1:45">
      <c r="A23" s="559" t="s">
        <v>5</v>
      </c>
      <c r="B23" s="531">
        <f>F23*G23*AC41</f>
        <v>5.6855533761771735</v>
      </c>
      <c r="C23" s="558"/>
      <c r="D23" s="531">
        <f>F23*G23*AQ41</f>
        <v>5.6855533761771735</v>
      </c>
      <c r="E23" s="624"/>
      <c r="F23" s="244">
        <f>'Graduate Completions'!N28</f>
        <v>2.9612257167589449</v>
      </c>
      <c r="G23">
        <f>G22</f>
        <v>0.96</v>
      </c>
      <c r="I23" s="91"/>
      <c r="J23" s="91"/>
      <c r="K23" s="91"/>
      <c r="L23" s="91"/>
      <c r="M23" s="91"/>
      <c r="N23" s="91"/>
      <c r="O23" s="91"/>
      <c r="P23" s="91"/>
      <c r="Q23" s="689"/>
      <c r="R23" s="91"/>
      <c r="S23" s="91"/>
      <c r="T23" s="91"/>
      <c r="U23" s="91"/>
      <c r="V23" s="91"/>
      <c r="W23" s="91"/>
      <c r="X23" s="91"/>
      <c r="Y23" s="91"/>
      <c r="Z23" s="91"/>
      <c r="AA23" s="91"/>
      <c r="AB23" s="91"/>
      <c r="AC23" s="91"/>
      <c r="AD23" s="692">
        <f t="shared" ref="AD23:AD29" si="5">SUM(R23:AC23)</f>
        <v>0</v>
      </c>
      <c r="AE23" s="694"/>
      <c r="AF23" s="91"/>
      <c r="AG23" s="91"/>
      <c r="AH23" s="91"/>
      <c r="AI23" s="91"/>
      <c r="AJ23" s="91"/>
      <c r="AK23" s="91"/>
      <c r="AL23" s="91"/>
      <c r="AM23" s="91"/>
      <c r="AN23" s="91"/>
      <c r="AO23" s="91"/>
      <c r="AP23" s="91"/>
      <c r="AQ23" s="91"/>
      <c r="AR23" s="692">
        <f t="shared" ref="AR23:AR29" si="6">SUM(AF23:AQ23)</f>
        <v>0</v>
      </c>
      <c r="AS23" s="252"/>
    </row>
    <row r="24" spans="1:45">
      <c r="A24" s="557"/>
      <c r="B24" s="530"/>
      <c r="C24" s="558"/>
      <c r="D24" s="530"/>
      <c r="E24" s="548"/>
      <c r="I24" s="680" t="s">
        <v>730</v>
      </c>
      <c r="J24" s="91"/>
      <c r="K24" s="618">
        <v>8</v>
      </c>
      <c r="L24" s="618">
        <v>5</v>
      </c>
      <c r="M24" s="618">
        <v>5</v>
      </c>
      <c r="N24" s="618">
        <v>1</v>
      </c>
      <c r="O24" s="91"/>
      <c r="P24" s="618">
        <f t="shared" ref="P24:P29" si="7">AVERAGE(K24:M24)</f>
        <v>6</v>
      </c>
      <c r="Q24" s="689"/>
      <c r="R24" s="91">
        <v>5</v>
      </c>
      <c r="S24" s="91"/>
      <c r="T24" s="91"/>
      <c r="U24" s="91"/>
      <c r="V24" s="91">
        <v>3</v>
      </c>
      <c r="W24" s="91">
        <v>5</v>
      </c>
      <c r="X24" s="91"/>
      <c r="Y24" s="91"/>
      <c r="Z24" s="91">
        <v>3</v>
      </c>
      <c r="AA24" s="91"/>
      <c r="AB24" s="91">
        <v>2</v>
      </c>
      <c r="AC24" s="91"/>
      <c r="AD24" s="692">
        <f t="shared" si="5"/>
        <v>18</v>
      </c>
      <c r="AE24" s="693">
        <f t="shared" ref="AE24:AE29" si="8">K24+L24+M24</f>
        <v>18</v>
      </c>
      <c r="AF24" s="91">
        <v>4</v>
      </c>
      <c r="AG24" s="91"/>
      <c r="AH24" s="91"/>
      <c r="AI24" s="91"/>
      <c r="AJ24" s="91">
        <v>3</v>
      </c>
      <c r="AK24" s="91">
        <v>4</v>
      </c>
      <c r="AL24" s="91"/>
      <c r="AM24" s="91"/>
      <c r="AN24" s="91">
        <v>3</v>
      </c>
      <c r="AO24" s="91"/>
      <c r="AP24" s="91">
        <v>2</v>
      </c>
      <c r="AQ24" s="91"/>
      <c r="AR24" s="692">
        <f t="shared" si="6"/>
        <v>16</v>
      </c>
      <c r="AS24" s="699">
        <f t="shared" ref="AS24:AS29" si="9">L24+M24+P24</f>
        <v>16</v>
      </c>
    </row>
    <row r="25" spans="1:45">
      <c r="A25" s="557" t="s">
        <v>631</v>
      </c>
      <c r="B25" s="531">
        <v>0</v>
      </c>
      <c r="C25" s="558"/>
      <c r="D25" s="531">
        <v>0</v>
      </c>
      <c r="E25" s="624"/>
      <c r="F25">
        <v>0</v>
      </c>
      <c r="G25">
        <f>G24</f>
        <v>0</v>
      </c>
      <c r="I25" s="680" t="s">
        <v>731</v>
      </c>
      <c r="J25" s="91"/>
      <c r="K25" s="618">
        <v>3</v>
      </c>
      <c r="L25" s="618">
        <v>4</v>
      </c>
      <c r="M25" s="618">
        <v>1</v>
      </c>
      <c r="N25" s="618">
        <v>2</v>
      </c>
      <c r="O25" s="91"/>
      <c r="P25" s="618">
        <f t="shared" si="7"/>
        <v>2.6666666666666665</v>
      </c>
      <c r="Q25" s="689"/>
      <c r="R25" s="67">
        <v>8</v>
      </c>
      <c r="S25" s="91"/>
      <c r="T25" s="91"/>
      <c r="U25" s="91"/>
      <c r="V25" s="91"/>
      <c r="W25" s="91"/>
      <c r="X25" s="91"/>
      <c r="Y25" s="91"/>
      <c r="Z25" s="91"/>
      <c r="AA25" s="91"/>
      <c r="AB25" s="91"/>
      <c r="AC25" s="91"/>
      <c r="AD25" s="692">
        <f t="shared" si="5"/>
        <v>8</v>
      </c>
      <c r="AE25" s="693">
        <f t="shared" si="8"/>
        <v>8</v>
      </c>
      <c r="AF25" s="67">
        <v>8</v>
      </c>
      <c r="AG25" s="91"/>
      <c r="AH25" s="91"/>
      <c r="AI25" s="91"/>
      <c r="AJ25" s="91"/>
      <c r="AK25" s="91"/>
      <c r="AL25" s="91"/>
      <c r="AM25" s="91"/>
      <c r="AN25" s="91"/>
      <c r="AO25" s="91"/>
      <c r="AP25" s="91"/>
      <c r="AQ25" s="91"/>
      <c r="AR25" s="692">
        <f t="shared" si="6"/>
        <v>8</v>
      </c>
      <c r="AS25" s="699">
        <f t="shared" si="9"/>
        <v>7.6666666666666661</v>
      </c>
    </row>
    <row r="26" spans="1:45">
      <c r="A26" s="557" t="s">
        <v>657</v>
      </c>
      <c r="B26" s="531">
        <v>0</v>
      </c>
      <c r="C26" s="558"/>
      <c r="D26" s="531">
        <v>0</v>
      </c>
      <c r="E26" s="624"/>
      <c r="F26">
        <v>0</v>
      </c>
      <c r="G26">
        <f>G25</f>
        <v>0</v>
      </c>
      <c r="I26" s="680" t="s">
        <v>729</v>
      </c>
      <c r="J26" s="91"/>
      <c r="K26" s="618">
        <v>5</v>
      </c>
      <c r="L26" s="618">
        <v>3</v>
      </c>
      <c r="M26" s="618">
        <v>5</v>
      </c>
      <c r="N26" s="618">
        <v>3</v>
      </c>
      <c r="O26" s="91"/>
      <c r="P26" s="618">
        <f t="shared" si="7"/>
        <v>4.333333333333333</v>
      </c>
      <c r="Q26" s="690" t="s">
        <v>751</v>
      </c>
      <c r="R26" s="67">
        <v>13</v>
      </c>
      <c r="S26" s="91"/>
      <c r="T26" s="91"/>
      <c r="U26" s="91"/>
      <c r="V26" s="91"/>
      <c r="W26" s="91"/>
      <c r="X26" s="91"/>
      <c r="Y26" s="91"/>
      <c r="Z26" s="91"/>
      <c r="AA26" s="91"/>
      <c r="AB26" s="91"/>
      <c r="AC26" s="91"/>
      <c r="AD26" s="692">
        <f t="shared" si="5"/>
        <v>13</v>
      </c>
      <c r="AE26" s="693">
        <f t="shared" si="8"/>
        <v>13</v>
      </c>
      <c r="AF26" s="67">
        <v>12</v>
      </c>
      <c r="AG26" s="91"/>
      <c r="AH26" s="91"/>
      <c r="AI26" s="91"/>
      <c r="AJ26" s="91"/>
      <c r="AK26" s="91"/>
      <c r="AL26" s="91"/>
      <c r="AM26" s="91"/>
      <c r="AN26" s="91"/>
      <c r="AO26" s="91"/>
      <c r="AP26" s="91"/>
      <c r="AQ26" s="91"/>
      <c r="AR26" s="692">
        <f t="shared" si="6"/>
        <v>12</v>
      </c>
      <c r="AS26" s="699">
        <f t="shared" si="9"/>
        <v>12.333333333333332</v>
      </c>
    </row>
    <row r="27" spans="1:45">
      <c r="A27" s="559" t="s">
        <v>633</v>
      </c>
      <c r="B27" s="531">
        <v>0</v>
      </c>
      <c r="C27" s="558"/>
      <c r="D27" s="531">
        <v>0</v>
      </c>
      <c r="E27" s="624"/>
      <c r="F27">
        <v>0</v>
      </c>
      <c r="G27">
        <f>G26</f>
        <v>0</v>
      </c>
      <c r="I27" s="680" t="s">
        <v>732</v>
      </c>
      <c r="J27" s="91"/>
      <c r="K27" s="618">
        <v>3</v>
      </c>
      <c r="L27" s="618">
        <v>4</v>
      </c>
      <c r="M27" s="618">
        <v>4</v>
      </c>
      <c r="N27" s="618">
        <v>2</v>
      </c>
      <c r="O27" s="91"/>
      <c r="P27" s="618">
        <f t="shared" si="7"/>
        <v>3.6666666666666665</v>
      </c>
      <c r="Q27" s="689"/>
      <c r="R27" s="67">
        <v>3</v>
      </c>
      <c r="S27" s="91"/>
      <c r="T27" s="91"/>
      <c r="U27" s="91"/>
      <c r="V27" s="91"/>
      <c r="W27" s="91">
        <v>3</v>
      </c>
      <c r="X27" s="91"/>
      <c r="Y27" s="91">
        <v>3</v>
      </c>
      <c r="Z27" s="91"/>
      <c r="AA27" s="91"/>
      <c r="AB27" s="91"/>
      <c r="AC27" s="91">
        <v>2</v>
      </c>
      <c r="AD27" s="692">
        <f t="shared" si="5"/>
        <v>11</v>
      </c>
      <c r="AE27" s="693">
        <f t="shared" si="8"/>
        <v>11</v>
      </c>
      <c r="AF27" s="67">
        <v>3</v>
      </c>
      <c r="AG27" s="91"/>
      <c r="AH27" s="91"/>
      <c r="AI27" s="91"/>
      <c r="AJ27" s="91"/>
      <c r="AK27" s="91">
        <v>4</v>
      </c>
      <c r="AL27" s="91"/>
      <c r="AM27" s="91">
        <v>3</v>
      </c>
      <c r="AN27" s="91"/>
      <c r="AO27" s="91"/>
      <c r="AP27" s="91"/>
      <c r="AQ27" s="91">
        <v>2</v>
      </c>
      <c r="AR27" s="692">
        <f t="shared" si="6"/>
        <v>12</v>
      </c>
      <c r="AS27" s="699">
        <f t="shared" si="9"/>
        <v>11.666666666666666</v>
      </c>
    </row>
    <row r="28" spans="1:45">
      <c r="A28" s="557" t="s">
        <v>656</v>
      </c>
      <c r="B28" s="531">
        <v>0</v>
      </c>
      <c r="C28" s="558"/>
      <c r="D28" s="531">
        <v>0</v>
      </c>
      <c r="E28" s="624"/>
      <c r="F28">
        <v>0</v>
      </c>
      <c r="G28">
        <f>G27</f>
        <v>0</v>
      </c>
      <c r="I28" s="680" t="s">
        <v>736</v>
      </c>
      <c r="J28" s="91"/>
      <c r="K28" s="618">
        <v>1</v>
      </c>
      <c r="L28" s="618">
        <v>1</v>
      </c>
      <c r="M28" s="618">
        <v>0</v>
      </c>
      <c r="N28" s="618">
        <v>0</v>
      </c>
      <c r="O28" s="91"/>
      <c r="P28" s="618">
        <v>0</v>
      </c>
      <c r="Q28" s="689"/>
      <c r="R28" s="91"/>
      <c r="S28" s="91"/>
      <c r="T28" s="91"/>
      <c r="U28" s="91"/>
      <c r="V28" s="91"/>
      <c r="W28" s="91"/>
      <c r="X28" s="91"/>
      <c r="Y28" s="91">
        <v>2</v>
      </c>
      <c r="Z28" s="91"/>
      <c r="AA28" s="91"/>
      <c r="AB28" s="91"/>
      <c r="AC28" s="91"/>
      <c r="AD28" s="692">
        <f t="shared" si="5"/>
        <v>2</v>
      </c>
      <c r="AE28" s="693">
        <f t="shared" si="8"/>
        <v>2</v>
      </c>
      <c r="AF28" s="91"/>
      <c r="AG28" s="91"/>
      <c r="AH28" s="91"/>
      <c r="AI28" s="91"/>
      <c r="AJ28" s="91"/>
      <c r="AK28" s="91"/>
      <c r="AL28" s="91"/>
      <c r="AM28" s="91">
        <v>1</v>
      </c>
      <c r="AN28" s="91"/>
      <c r="AO28" s="91"/>
      <c r="AP28" s="91"/>
      <c r="AQ28" s="91"/>
      <c r="AR28" s="692">
        <f t="shared" si="6"/>
        <v>1</v>
      </c>
      <c r="AS28" s="699">
        <f t="shared" si="9"/>
        <v>1</v>
      </c>
    </row>
    <row r="29" spans="1:45">
      <c r="A29" s="637" t="s">
        <v>635</v>
      </c>
      <c r="B29" s="531">
        <v>0</v>
      </c>
      <c r="C29" s="558"/>
      <c r="D29" s="531">
        <v>0</v>
      </c>
      <c r="E29" s="624"/>
      <c r="F29">
        <v>0</v>
      </c>
      <c r="G29">
        <f>G28</f>
        <v>0</v>
      </c>
      <c r="I29" s="681" t="s">
        <v>734</v>
      </c>
      <c r="J29" s="16"/>
      <c r="K29" s="682">
        <v>0</v>
      </c>
      <c r="L29" s="682">
        <v>2</v>
      </c>
      <c r="M29" s="682">
        <v>0</v>
      </c>
      <c r="N29" s="682">
        <v>1</v>
      </c>
      <c r="O29" s="16"/>
      <c r="P29" s="682">
        <f t="shared" si="7"/>
        <v>0.66666666666666663</v>
      </c>
      <c r="Q29" s="691"/>
      <c r="R29" s="16"/>
      <c r="S29" s="16"/>
      <c r="T29" s="16"/>
      <c r="U29" s="16"/>
      <c r="V29" s="16"/>
      <c r="W29" s="16">
        <v>1</v>
      </c>
      <c r="X29" s="16"/>
      <c r="Y29" s="16">
        <v>1</v>
      </c>
      <c r="Z29" s="16"/>
      <c r="AA29" s="16"/>
      <c r="AB29" s="16"/>
      <c r="AC29" s="16"/>
      <c r="AD29" s="692">
        <f t="shared" si="5"/>
        <v>2</v>
      </c>
      <c r="AE29" s="693">
        <f t="shared" si="8"/>
        <v>2</v>
      </c>
      <c r="AF29" s="16"/>
      <c r="AG29" s="16"/>
      <c r="AH29" s="16"/>
      <c r="AI29" s="16"/>
      <c r="AJ29" s="16"/>
      <c r="AK29" s="16">
        <v>1</v>
      </c>
      <c r="AL29" s="16"/>
      <c r="AM29" s="16">
        <v>2</v>
      </c>
      <c r="AN29" s="16"/>
      <c r="AO29" s="16"/>
      <c r="AP29" s="16"/>
      <c r="AQ29" s="16"/>
      <c r="AR29" s="692">
        <f t="shared" si="6"/>
        <v>3</v>
      </c>
      <c r="AS29" s="699">
        <f t="shared" si="9"/>
        <v>2.6666666666666665</v>
      </c>
    </row>
    <row r="30" spans="1:45">
      <c r="A30" s="638"/>
      <c r="B30" s="543">
        <f>SUM(B12:B29)</f>
        <v>175.69976466698199</v>
      </c>
      <c r="C30" s="565"/>
      <c r="D30" s="543">
        <f>SUM(D12:D29)</f>
        <v>169.29326377487095</v>
      </c>
      <c r="E30" s="1185"/>
      <c r="I30" s="673" t="s">
        <v>737</v>
      </c>
      <c r="Q30" s="252"/>
      <c r="AD30" s="692"/>
      <c r="AE30" s="694"/>
      <c r="AR30" s="692"/>
      <c r="AS30" s="252"/>
    </row>
    <row r="31" spans="1:45">
      <c r="A31" s="66"/>
      <c r="E31" s="66"/>
      <c r="I31" s="421" t="s">
        <v>732</v>
      </c>
      <c r="K31" s="551">
        <v>4</v>
      </c>
      <c r="L31" s="551">
        <v>6</v>
      </c>
      <c r="M31" s="551">
        <v>2</v>
      </c>
      <c r="N31" s="551">
        <v>0</v>
      </c>
      <c r="P31" s="551">
        <f>AVERAGE(K31:M31)</f>
        <v>4</v>
      </c>
      <c r="Q31" s="252"/>
      <c r="R31">
        <v>4</v>
      </c>
      <c r="W31">
        <v>4</v>
      </c>
      <c r="Y31">
        <v>4</v>
      </c>
      <c r="AD31" s="692">
        <f>SUM(R31:AC31)</f>
        <v>12</v>
      </c>
      <c r="AE31" s="693">
        <f>K31+L31+M31</f>
        <v>12</v>
      </c>
      <c r="AF31">
        <v>4</v>
      </c>
      <c r="AK31">
        <v>4</v>
      </c>
      <c r="AM31">
        <v>4</v>
      </c>
      <c r="AR31" s="692">
        <f>SUM(AF31:AQ31)</f>
        <v>12</v>
      </c>
      <c r="AS31" s="699">
        <f>L31+M31+P31</f>
        <v>12</v>
      </c>
    </row>
    <row r="32" spans="1:45">
      <c r="A32" s="66"/>
      <c r="C32" s="66"/>
      <c r="D32" s="66"/>
      <c r="E32" s="66"/>
      <c r="I32" s="421" t="s">
        <v>738</v>
      </c>
      <c r="K32" s="551">
        <v>2</v>
      </c>
      <c r="L32" s="551">
        <v>6</v>
      </c>
      <c r="M32" s="551">
        <v>0</v>
      </c>
      <c r="N32" s="551">
        <v>1</v>
      </c>
      <c r="P32" s="551">
        <v>2</v>
      </c>
      <c r="Q32" s="252"/>
      <c r="R32" s="551">
        <v>4</v>
      </c>
      <c r="W32">
        <v>4</v>
      </c>
      <c r="AD32" s="692">
        <f>SUM(R32:AC32)</f>
        <v>8</v>
      </c>
      <c r="AE32" s="693">
        <f>K32+L32+M32</f>
        <v>8</v>
      </c>
      <c r="AF32" s="551">
        <v>4</v>
      </c>
      <c r="AK32">
        <v>4</v>
      </c>
      <c r="AR32" s="692">
        <f>SUM(AF32:AQ32)</f>
        <v>8</v>
      </c>
      <c r="AS32" s="699">
        <f>L32+M32+P32</f>
        <v>8</v>
      </c>
    </row>
    <row r="33" spans="1:45">
      <c r="C33" s="66"/>
      <c r="D33" s="66"/>
      <c r="E33" s="66"/>
      <c r="I33" s="673" t="s">
        <v>739</v>
      </c>
      <c r="Q33" s="252"/>
      <c r="AD33" s="692"/>
      <c r="AE33" s="694"/>
      <c r="AR33" s="692"/>
      <c r="AS33" s="252"/>
    </row>
    <row r="34" spans="1:45">
      <c r="C34" s="66"/>
      <c r="D34" s="66"/>
      <c r="E34" s="66"/>
      <c r="I34" s="421" t="s">
        <v>740</v>
      </c>
      <c r="K34" s="551">
        <v>0</v>
      </c>
      <c r="L34" s="551">
        <v>10</v>
      </c>
      <c r="M34" s="551">
        <v>18</v>
      </c>
      <c r="N34" s="551">
        <v>7</v>
      </c>
      <c r="P34" s="551">
        <v>25</v>
      </c>
      <c r="Q34" s="252"/>
      <c r="X34">
        <v>28</v>
      </c>
      <c r="AD34" s="692">
        <f>SUM(R34:AC34)</f>
        <v>28</v>
      </c>
      <c r="AE34" s="693">
        <f>K34+L34+M34</f>
        <v>28</v>
      </c>
      <c r="AL34">
        <v>53</v>
      </c>
      <c r="AR34" s="692">
        <f>SUM(AF34:AQ34)</f>
        <v>53</v>
      </c>
      <c r="AS34" s="699">
        <f>L34+M34+P34</f>
        <v>53</v>
      </c>
    </row>
    <row r="35" spans="1:45">
      <c r="A35" s="1189" t="s">
        <v>690</v>
      </c>
      <c r="B35" s="1190" t="s">
        <v>692</v>
      </c>
      <c r="C35" s="1190"/>
      <c r="D35" s="1190"/>
      <c r="E35" s="644"/>
      <c r="I35" s="673" t="s">
        <v>741</v>
      </c>
      <c r="Q35" s="252"/>
      <c r="AD35" s="692"/>
      <c r="AE35" s="694"/>
      <c r="AR35" s="692"/>
      <c r="AS35" s="252"/>
    </row>
    <row r="36" spans="1:45" ht="38.25">
      <c r="A36" s="1186"/>
      <c r="B36" s="556" t="s">
        <v>695</v>
      </c>
      <c r="C36" s="556"/>
      <c r="D36" s="556" t="s">
        <v>756</v>
      </c>
      <c r="E36" s="647"/>
      <c r="I36" s="421" t="s">
        <v>729</v>
      </c>
      <c r="K36" s="551">
        <v>0</v>
      </c>
      <c r="L36" s="551">
        <v>0</v>
      </c>
      <c r="M36" s="551">
        <v>1</v>
      </c>
      <c r="N36" s="551">
        <v>0</v>
      </c>
      <c r="P36" s="551">
        <f>AVERAGE(K36:M36)</f>
        <v>0.33333333333333331</v>
      </c>
      <c r="Q36" s="252"/>
      <c r="R36">
        <v>1</v>
      </c>
      <c r="AD36" s="692">
        <f>SUM(R36:AC36)</f>
        <v>1</v>
      </c>
      <c r="AE36" s="693">
        <f>K36+L36+M36</f>
        <v>1</v>
      </c>
      <c r="AF36">
        <v>1</v>
      </c>
      <c r="AR36" s="692">
        <f>SUM(AF36:AQ36)</f>
        <v>1</v>
      </c>
      <c r="AS36" s="699">
        <f>L36+M36+P36</f>
        <v>1.3333333333333333</v>
      </c>
    </row>
    <row r="37" spans="1:45">
      <c r="A37" s="557" t="s">
        <v>628</v>
      </c>
      <c r="B37" s="531">
        <f>F37*(AD44+G37*(R40-AD44))</f>
        <v>113.00679017304019</v>
      </c>
      <c r="C37" s="558"/>
      <c r="D37" s="531">
        <f>F37*(AR44+G37*(AF40-AR44))</f>
        <v>110.27715756016482</v>
      </c>
      <c r="E37" s="624"/>
      <c r="F37" s="244">
        <f>'Graduate Completions'!N42</f>
        <v>2.729632612875367</v>
      </c>
      <c r="G37">
        <f>G12</f>
        <v>0.96</v>
      </c>
      <c r="Q37" s="252"/>
      <c r="AD37" s="692"/>
      <c r="AE37" s="694"/>
      <c r="AR37" s="692"/>
      <c r="AS37" s="252"/>
    </row>
    <row r="38" spans="1:45">
      <c r="A38" s="557" t="s">
        <v>6</v>
      </c>
      <c r="B38" s="531">
        <f>F38*G38*S40</f>
        <v>3.2780685051858995</v>
      </c>
      <c r="C38" s="558"/>
      <c r="D38" s="531">
        <f>F38*G38*AG40</f>
        <v>3.2780685051858995</v>
      </c>
      <c r="E38" s="624"/>
      <c r="F38" s="244">
        <f>'Graduate Completions'!N43</f>
        <v>1.7073273464509895</v>
      </c>
      <c r="G38">
        <f t="shared" ref="G38:G54" si="10">G13</f>
        <v>0.96</v>
      </c>
      <c r="K38" s="551">
        <v>69</v>
      </c>
      <c r="L38" s="551">
        <v>91</v>
      </c>
      <c r="M38" s="551">
        <v>82</v>
      </c>
      <c r="N38" s="551">
        <v>38</v>
      </c>
      <c r="Q38" s="252"/>
      <c r="AD38" s="692"/>
      <c r="AE38" s="694"/>
      <c r="AR38" s="692"/>
      <c r="AS38" s="252"/>
    </row>
    <row r="39" spans="1:45">
      <c r="A39" s="557" t="s">
        <v>8</v>
      </c>
      <c r="B39" s="531">
        <f>F39*G39*T40</f>
        <v>2.8027840199883314</v>
      </c>
      <c r="C39" s="558"/>
      <c r="D39" s="531">
        <f>F39*G39*AH40</f>
        <v>2.8027840199883314</v>
      </c>
      <c r="E39" s="531"/>
      <c r="F39" s="244">
        <f>'Graduate Completions'!N44</f>
        <v>1.4597833437439227</v>
      </c>
      <c r="G39">
        <f t="shared" si="10"/>
        <v>0.96</v>
      </c>
      <c r="Q39" s="252"/>
      <c r="AD39" s="692"/>
      <c r="AE39" s="694"/>
      <c r="AR39" s="692"/>
      <c r="AS39" s="252"/>
    </row>
    <row r="40" spans="1:45">
      <c r="A40" s="559" t="s">
        <v>2</v>
      </c>
      <c r="B40" s="531">
        <f>F40*G40*U40</f>
        <v>24.206573825778396</v>
      </c>
      <c r="C40" s="558"/>
      <c r="D40" s="531">
        <f>F40*G40*AI40</f>
        <v>29.047888590934072</v>
      </c>
      <c r="E40" s="531"/>
      <c r="F40" s="244">
        <f>'Graduate Completions'!N45</f>
        <v>2.5215181068519161</v>
      </c>
      <c r="G40">
        <f t="shared" si="10"/>
        <v>0.96</v>
      </c>
      <c r="I40" s="15" t="s">
        <v>742</v>
      </c>
      <c r="J40" s="15"/>
      <c r="K40" s="678">
        <f>SUM(K12:K21)+K31+K32+K36</f>
        <v>49</v>
      </c>
      <c r="L40" s="678">
        <f>SUM(L12:L21)+L31+L32+L36</f>
        <v>62</v>
      </c>
      <c r="M40" s="678">
        <f>SUM(M12:M21)+M31+M32+M36</f>
        <v>49</v>
      </c>
      <c r="N40" s="678">
        <f>SUM(N12:N21)+N31+N32+N36</f>
        <v>22</v>
      </c>
      <c r="O40" s="15"/>
      <c r="P40" s="678">
        <f>SUM(P12:P21)+P31+P32+P36</f>
        <v>51.000000000000007</v>
      </c>
      <c r="Q40" s="688">
        <v>51</v>
      </c>
      <c r="R40" s="684">
        <f t="shared" ref="R40:AC40" si="11">SUM(R12:R21)+R31+R32+R36</f>
        <v>42</v>
      </c>
      <c r="S40" s="684">
        <f t="shared" si="11"/>
        <v>2</v>
      </c>
      <c r="T40" s="684">
        <f t="shared" si="11"/>
        <v>2</v>
      </c>
      <c r="U40" s="684">
        <f t="shared" si="11"/>
        <v>10</v>
      </c>
      <c r="V40" s="684">
        <f t="shared" si="11"/>
        <v>0</v>
      </c>
      <c r="W40" s="684">
        <f t="shared" si="11"/>
        <v>19</v>
      </c>
      <c r="X40" s="684">
        <f t="shared" si="11"/>
        <v>0</v>
      </c>
      <c r="Y40" s="684">
        <f t="shared" si="11"/>
        <v>59</v>
      </c>
      <c r="Z40" s="684">
        <f t="shared" si="11"/>
        <v>0</v>
      </c>
      <c r="AA40" s="684">
        <f t="shared" si="11"/>
        <v>15</v>
      </c>
      <c r="AB40" s="684">
        <f t="shared" si="11"/>
        <v>2</v>
      </c>
      <c r="AC40" s="684">
        <f t="shared" si="11"/>
        <v>9</v>
      </c>
      <c r="AD40" s="696">
        <f>SUM(AD12:AD21)+AD31+AD32+AD36</f>
        <v>160</v>
      </c>
      <c r="AE40" s="696">
        <f>K40+L40+M40</f>
        <v>160</v>
      </c>
      <c r="AF40" s="684">
        <f t="shared" ref="AF40:AQ40" si="12">SUM(AF12:AF21)+AF31+AF32+AF36</f>
        <v>41</v>
      </c>
      <c r="AG40" s="684">
        <f t="shared" si="12"/>
        <v>2</v>
      </c>
      <c r="AH40" s="684">
        <f t="shared" si="12"/>
        <v>2</v>
      </c>
      <c r="AI40" s="684">
        <f t="shared" si="12"/>
        <v>12</v>
      </c>
      <c r="AJ40" s="684">
        <f t="shared" si="12"/>
        <v>0</v>
      </c>
      <c r="AK40" s="684">
        <f t="shared" si="12"/>
        <v>18</v>
      </c>
      <c r="AL40" s="684">
        <f t="shared" si="12"/>
        <v>0</v>
      </c>
      <c r="AM40" s="684">
        <f t="shared" si="12"/>
        <v>61</v>
      </c>
      <c r="AN40" s="684">
        <f t="shared" si="12"/>
        <v>0</v>
      </c>
      <c r="AO40" s="684">
        <f t="shared" si="12"/>
        <v>15</v>
      </c>
      <c r="AP40" s="684">
        <f t="shared" si="12"/>
        <v>2</v>
      </c>
      <c r="AQ40" s="684">
        <f t="shared" si="12"/>
        <v>9</v>
      </c>
      <c r="AR40" s="700">
        <f>SUM(AF40:AQ40)</f>
        <v>162</v>
      </c>
      <c r="AS40" s="701">
        <f>L40+M40+P40</f>
        <v>162</v>
      </c>
    </row>
    <row r="41" spans="1:45">
      <c r="A41" s="557" t="s">
        <v>10</v>
      </c>
      <c r="B41" s="531">
        <f>F41*G41*V40</f>
        <v>0</v>
      </c>
      <c r="C41" s="558"/>
      <c r="D41" s="531">
        <f>F41*G41*AJ40</f>
        <v>0</v>
      </c>
      <c r="E41" s="531"/>
      <c r="F41" s="244">
        <f>'Graduate Completions'!N46</f>
        <v>2.7690000000000001</v>
      </c>
      <c r="G41">
        <f t="shared" si="10"/>
        <v>0.96</v>
      </c>
      <c r="I41" s="91" t="s">
        <v>743</v>
      </c>
      <c r="J41" s="91"/>
      <c r="K41" s="618">
        <f>K24+K25+K26+K27+K28+K29</f>
        <v>20</v>
      </c>
      <c r="L41" s="618">
        <f>L24+L25+L26+L27+L28+L29</f>
        <v>19</v>
      </c>
      <c r="M41" s="618">
        <f>M24+M25+M26+M27+M28+M29</f>
        <v>15</v>
      </c>
      <c r="N41" s="618">
        <f>N24+N25+N26+N27+N28+N29</f>
        <v>9</v>
      </c>
      <c r="O41" s="91"/>
      <c r="P41" s="618">
        <f>P24+P25+P26+P27+P28+P29</f>
        <v>17.333333333333336</v>
      </c>
      <c r="Q41" s="689">
        <v>20</v>
      </c>
      <c r="R41" s="617">
        <f t="shared" ref="R41:AC41" si="13">R24+R25+R26+R27+R28+R29</f>
        <v>29</v>
      </c>
      <c r="S41" s="617">
        <f t="shared" si="13"/>
        <v>0</v>
      </c>
      <c r="T41" s="617">
        <f t="shared" si="13"/>
        <v>0</v>
      </c>
      <c r="U41" s="617">
        <f t="shared" si="13"/>
        <v>0</v>
      </c>
      <c r="V41" s="617">
        <f t="shared" si="13"/>
        <v>3</v>
      </c>
      <c r="W41" s="617">
        <f t="shared" si="13"/>
        <v>9</v>
      </c>
      <c r="X41" s="617">
        <f t="shared" si="13"/>
        <v>0</v>
      </c>
      <c r="Y41" s="617">
        <f t="shared" si="13"/>
        <v>6</v>
      </c>
      <c r="Z41" s="617">
        <f t="shared" si="13"/>
        <v>3</v>
      </c>
      <c r="AA41" s="617">
        <f t="shared" si="13"/>
        <v>0</v>
      </c>
      <c r="AB41" s="617">
        <f t="shared" si="13"/>
        <v>2</v>
      </c>
      <c r="AC41" s="617">
        <f t="shared" si="13"/>
        <v>2</v>
      </c>
      <c r="AD41" s="697">
        <f>AD24+AD25+AD26+AD27+AD28+AD29</f>
        <v>54</v>
      </c>
      <c r="AE41" s="697">
        <f>K41+L41+M41</f>
        <v>54</v>
      </c>
      <c r="AF41" s="617">
        <f t="shared" ref="AF41:AQ41" si="14">AF24+AF25+AF26+AF27+AF28+AF29</f>
        <v>27</v>
      </c>
      <c r="AG41" s="617">
        <f t="shared" si="14"/>
        <v>0</v>
      </c>
      <c r="AH41" s="617">
        <f t="shared" si="14"/>
        <v>0</v>
      </c>
      <c r="AI41" s="617">
        <f t="shared" si="14"/>
        <v>0</v>
      </c>
      <c r="AJ41" s="617">
        <f t="shared" si="14"/>
        <v>3</v>
      </c>
      <c r="AK41" s="617">
        <f t="shared" si="14"/>
        <v>9</v>
      </c>
      <c r="AL41" s="617">
        <f t="shared" si="14"/>
        <v>0</v>
      </c>
      <c r="AM41" s="617">
        <f t="shared" si="14"/>
        <v>6</v>
      </c>
      <c r="AN41" s="617">
        <f t="shared" si="14"/>
        <v>3</v>
      </c>
      <c r="AO41" s="617">
        <f t="shared" si="14"/>
        <v>0</v>
      </c>
      <c r="AP41" s="617">
        <f t="shared" si="14"/>
        <v>2</v>
      </c>
      <c r="AQ41" s="617">
        <f t="shared" si="14"/>
        <v>2</v>
      </c>
      <c r="AR41" s="695">
        <f>SUM(AF41:AQ41)</f>
        <v>52</v>
      </c>
      <c r="AS41" s="702">
        <f>L41+M41+P41</f>
        <v>51.333333333333336</v>
      </c>
    </row>
    <row r="42" spans="1:45">
      <c r="A42" s="557" t="s">
        <v>4</v>
      </c>
      <c r="B42" s="531">
        <f>F42*G42*W40</f>
        <v>45.945279921752388</v>
      </c>
      <c r="C42" s="558"/>
      <c r="D42" s="531">
        <f>F42*G42*AK40</f>
        <v>43.527107294291739</v>
      </c>
      <c r="E42" s="531"/>
      <c r="F42" s="244">
        <f>'Graduate Completions'!N47</f>
        <v>2.5189298202715129</v>
      </c>
      <c r="G42">
        <f t="shared" si="10"/>
        <v>0.96</v>
      </c>
      <c r="I42" s="16" t="s">
        <v>750</v>
      </c>
      <c r="J42" s="16"/>
      <c r="K42" s="682">
        <f>K34</f>
        <v>0</v>
      </c>
      <c r="L42" s="682">
        <f>L34</f>
        <v>10</v>
      </c>
      <c r="M42" s="682">
        <f>M34</f>
        <v>18</v>
      </c>
      <c r="N42" s="682">
        <f>N34</f>
        <v>7</v>
      </c>
      <c r="O42" s="16"/>
      <c r="P42" s="682">
        <f>P34</f>
        <v>25</v>
      </c>
      <c r="Q42" s="691">
        <v>25</v>
      </c>
      <c r="R42" s="685">
        <f t="shared" ref="R42:AC42" si="15">R34</f>
        <v>0</v>
      </c>
      <c r="S42" s="685">
        <f t="shared" si="15"/>
        <v>0</v>
      </c>
      <c r="T42" s="685">
        <f t="shared" si="15"/>
        <v>0</v>
      </c>
      <c r="U42" s="685">
        <f t="shared" si="15"/>
        <v>0</v>
      </c>
      <c r="V42" s="685">
        <f t="shared" si="15"/>
        <v>0</v>
      </c>
      <c r="W42" s="685">
        <f t="shared" si="15"/>
        <v>0</v>
      </c>
      <c r="X42" s="685">
        <f t="shared" si="15"/>
        <v>28</v>
      </c>
      <c r="Y42" s="685">
        <f t="shared" si="15"/>
        <v>0</v>
      </c>
      <c r="Z42" s="685">
        <f t="shared" si="15"/>
        <v>0</v>
      </c>
      <c r="AA42" s="685">
        <f t="shared" si="15"/>
        <v>0</v>
      </c>
      <c r="AB42" s="685">
        <f t="shared" si="15"/>
        <v>0</v>
      </c>
      <c r="AC42" s="685">
        <f t="shared" si="15"/>
        <v>0</v>
      </c>
      <c r="AD42" s="698">
        <f>AD34</f>
        <v>28</v>
      </c>
      <c r="AE42" s="698">
        <f>K42+L42+M42</f>
        <v>28</v>
      </c>
      <c r="AF42" s="685">
        <f t="shared" ref="AF42:AQ42" si="16">AF34</f>
        <v>0</v>
      </c>
      <c r="AG42" s="685">
        <f t="shared" si="16"/>
        <v>0</v>
      </c>
      <c r="AH42" s="685">
        <f t="shared" si="16"/>
        <v>0</v>
      </c>
      <c r="AI42" s="685">
        <f t="shared" si="16"/>
        <v>0</v>
      </c>
      <c r="AJ42" s="685">
        <f t="shared" si="16"/>
        <v>0</v>
      </c>
      <c r="AK42" s="685">
        <f t="shared" si="16"/>
        <v>0</v>
      </c>
      <c r="AL42" s="685">
        <f t="shared" si="16"/>
        <v>53</v>
      </c>
      <c r="AM42" s="685">
        <f t="shared" si="16"/>
        <v>0</v>
      </c>
      <c r="AN42" s="685">
        <f t="shared" si="16"/>
        <v>0</v>
      </c>
      <c r="AO42" s="685">
        <f t="shared" si="16"/>
        <v>0</v>
      </c>
      <c r="AP42" s="685">
        <f t="shared" si="16"/>
        <v>0</v>
      </c>
      <c r="AQ42" s="685">
        <f t="shared" si="16"/>
        <v>0</v>
      </c>
      <c r="AR42" s="703">
        <f>SUM(AF42:AQ42)</f>
        <v>53</v>
      </c>
      <c r="AS42" s="704">
        <f>L42+M42+P42</f>
        <v>53</v>
      </c>
    </row>
    <row r="43" spans="1:45">
      <c r="A43" s="557" t="s">
        <v>14</v>
      </c>
      <c r="B43" s="531">
        <f>F43*G43*(AD40-AD44)</f>
        <v>84.861158362373828</v>
      </c>
      <c r="C43" s="558"/>
      <c r="D43" s="531">
        <f>F43*G43*(AR40-AR44)</f>
        <v>86.775319829194288</v>
      </c>
      <c r="E43" s="531"/>
      <c r="F43" s="244">
        <f>'Graduate Completions'!N48</f>
        <v>2.6585575928061984</v>
      </c>
      <c r="G43">
        <f t="shared" si="10"/>
        <v>0.23999999999999994</v>
      </c>
    </row>
    <row r="44" spans="1:45">
      <c r="A44" s="559" t="s">
        <v>17</v>
      </c>
      <c r="B44" s="531">
        <f>F44*G44*Y40</f>
        <v>117.31466380163303</v>
      </c>
      <c r="C44" s="558"/>
      <c r="D44" s="531">
        <f>F44*G44*AM40</f>
        <v>121.29143206609517</v>
      </c>
      <c r="E44" s="531"/>
      <c r="F44" s="244">
        <f>'Graduate Completions'!N49</f>
        <v>2.0712334710740294</v>
      </c>
      <c r="G44">
        <f t="shared" si="10"/>
        <v>0.96</v>
      </c>
      <c r="I44" s="15" t="s">
        <v>757</v>
      </c>
      <c r="J44" s="15"/>
      <c r="K44" s="678"/>
      <c r="L44" s="678"/>
      <c r="M44" s="678"/>
      <c r="N44" s="678"/>
      <c r="O44" s="15"/>
      <c r="P44" s="678"/>
      <c r="Q44" s="688"/>
      <c r="R44" s="684"/>
      <c r="S44" s="684"/>
      <c r="T44" s="684"/>
      <c r="U44" s="684"/>
      <c r="V44" s="684"/>
      <c r="W44" s="684"/>
      <c r="X44" s="684"/>
      <c r="Y44" s="684"/>
      <c r="Z44" s="684"/>
      <c r="AA44" s="684"/>
      <c r="AB44" s="684"/>
      <c r="AC44" s="684"/>
      <c r="AD44" s="696">
        <f>AD15+AD36</f>
        <v>27</v>
      </c>
      <c r="AE44" s="696"/>
      <c r="AF44" s="684"/>
      <c r="AG44" s="684"/>
      <c r="AH44" s="684"/>
      <c r="AI44" s="684"/>
      <c r="AJ44" s="684"/>
      <c r="AK44" s="684"/>
      <c r="AL44" s="684"/>
      <c r="AM44" s="684"/>
      <c r="AN44" s="684"/>
      <c r="AO44" s="684"/>
      <c r="AP44" s="684"/>
      <c r="AQ44" s="684"/>
      <c r="AR44" s="696">
        <f>AR15+AR36</f>
        <v>26</v>
      </c>
      <c r="AS44" s="701"/>
    </row>
    <row r="45" spans="1:45">
      <c r="A45" s="557" t="s">
        <v>376</v>
      </c>
      <c r="B45" s="531">
        <f>F45*G45*Z40</f>
        <v>0</v>
      </c>
      <c r="C45" s="558"/>
      <c r="D45" s="531">
        <f>F45*G45*AN40</f>
        <v>0</v>
      </c>
      <c r="E45" s="531"/>
      <c r="F45" s="244">
        <f>'Graduate Completions'!N50</f>
        <v>2.7690000000000001</v>
      </c>
      <c r="G45">
        <f t="shared" si="10"/>
        <v>0.96</v>
      </c>
      <c r="I45" s="91" t="s">
        <v>758</v>
      </c>
      <c r="J45" s="91"/>
      <c r="K45" s="618"/>
      <c r="L45" s="618"/>
      <c r="M45" s="618"/>
      <c r="N45" s="618"/>
      <c r="O45" s="91"/>
      <c r="P45" s="618"/>
      <c r="Q45" s="689"/>
      <c r="R45" s="617"/>
      <c r="S45" s="617"/>
      <c r="T45" s="617"/>
      <c r="U45" s="617"/>
      <c r="V45" s="617"/>
      <c r="W45" s="617"/>
      <c r="X45" s="617"/>
      <c r="Y45" s="617"/>
      <c r="Z45" s="617"/>
      <c r="AA45" s="617"/>
      <c r="AB45" s="617"/>
      <c r="AC45" s="617"/>
      <c r="AD45" s="697">
        <v>13</v>
      </c>
      <c r="AE45" s="697"/>
      <c r="AF45" s="617"/>
      <c r="AG45" s="617"/>
      <c r="AH45" s="617"/>
      <c r="AI45" s="617"/>
      <c r="AJ45" s="617"/>
      <c r="AK45" s="617"/>
      <c r="AL45" s="617"/>
      <c r="AM45" s="617"/>
      <c r="AN45" s="617"/>
      <c r="AO45" s="617"/>
      <c r="AP45" s="617"/>
      <c r="AQ45" s="617"/>
      <c r="AR45" s="695">
        <v>12</v>
      </c>
      <c r="AS45" s="702"/>
    </row>
    <row r="46" spans="1:45">
      <c r="A46" s="557" t="s">
        <v>7</v>
      </c>
      <c r="B46" s="531">
        <f>F46*G46*AA40</f>
        <v>37.199117474549787</v>
      </c>
      <c r="C46" s="558"/>
      <c r="D46" s="531">
        <f>F46*G46*AO40</f>
        <v>37.199117474549787</v>
      </c>
      <c r="E46" s="531"/>
      <c r="F46" s="244">
        <f>'Graduate Completions'!N51</f>
        <v>2.5832720468437356</v>
      </c>
      <c r="G46">
        <f t="shared" si="10"/>
        <v>0.96</v>
      </c>
    </row>
    <row r="47" spans="1:45">
      <c r="A47" s="557" t="s">
        <v>9</v>
      </c>
      <c r="B47" s="531">
        <f>F47*G47*AB40</f>
        <v>4.2861805831678552</v>
      </c>
      <c r="C47" s="558"/>
      <c r="D47" s="531">
        <f>F47*G47*AP40</f>
        <v>4.2861805831678552</v>
      </c>
      <c r="E47" s="531"/>
      <c r="F47" s="244">
        <f>'Graduate Completions'!N52</f>
        <v>2.2323857203999244</v>
      </c>
      <c r="G47">
        <f t="shared" si="10"/>
        <v>0.96</v>
      </c>
    </row>
    <row r="48" spans="1:45">
      <c r="A48" s="559" t="s">
        <v>5</v>
      </c>
      <c r="B48" s="531">
        <f>F48*G48*AC40</f>
        <v>23.920839391287618</v>
      </c>
      <c r="C48" s="558"/>
      <c r="D48" s="531">
        <f>F48*G48*AQ40</f>
        <v>23.920839391287618</v>
      </c>
      <c r="E48" s="531"/>
      <c r="F48" s="244">
        <f>'Graduate Completions'!N53</f>
        <v>2.768615670287919</v>
      </c>
      <c r="G48">
        <f t="shared" si="10"/>
        <v>0.96</v>
      </c>
    </row>
    <row r="49" spans="1:7">
      <c r="A49" s="557"/>
      <c r="B49" s="530"/>
      <c r="C49" s="558"/>
      <c r="D49" s="530"/>
      <c r="E49" s="530"/>
    </row>
    <row r="50" spans="1:7">
      <c r="A50" s="557" t="s">
        <v>631</v>
      </c>
      <c r="B50" s="531">
        <v>0</v>
      </c>
      <c r="C50" s="558"/>
      <c r="D50" s="531">
        <v>0</v>
      </c>
      <c r="E50" s="531"/>
      <c r="F50">
        <v>0</v>
      </c>
      <c r="G50">
        <f t="shared" si="10"/>
        <v>0</v>
      </c>
    </row>
    <row r="51" spans="1:7">
      <c r="A51" s="557" t="s">
        <v>657</v>
      </c>
      <c r="B51" s="531">
        <v>0</v>
      </c>
      <c r="C51" s="558"/>
      <c r="D51" s="531">
        <v>0</v>
      </c>
      <c r="E51" s="531"/>
      <c r="F51">
        <v>0</v>
      </c>
      <c r="G51">
        <f t="shared" si="10"/>
        <v>0</v>
      </c>
    </row>
    <row r="52" spans="1:7">
      <c r="A52" s="559" t="s">
        <v>633</v>
      </c>
      <c r="B52" s="531">
        <v>0</v>
      </c>
      <c r="C52" s="558"/>
      <c r="D52" s="531">
        <v>0</v>
      </c>
      <c r="E52" s="531"/>
      <c r="F52">
        <v>0</v>
      </c>
      <c r="G52">
        <f t="shared" si="10"/>
        <v>0</v>
      </c>
    </row>
    <row r="53" spans="1:7">
      <c r="A53" s="557" t="s">
        <v>656</v>
      </c>
      <c r="B53" s="531">
        <v>0</v>
      </c>
      <c r="C53" s="558"/>
      <c r="D53" s="531">
        <v>0</v>
      </c>
      <c r="E53" s="531"/>
      <c r="F53">
        <v>0</v>
      </c>
      <c r="G53">
        <f t="shared" si="10"/>
        <v>0</v>
      </c>
    </row>
    <row r="54" spans="1:7">
      <c r="A54" s="637" t="s">
        <v>635</v>
      </c>
      <c r="B54" s="531">
        <v>0</v>
      </c>
      <c r="C54" s="558"/>
      <c r="D54" s="531">
        <v>0</v>
      </c>
      <c r="E54" s="531"/>
      <c r="F54">
        <v>0</v>
      </c>
      <c r="G54">
        <f t="shared" si="10"/>
        <v>0</v>
      </c>
    </row>
    <row r="55" spans="1:7">
      <c r="A55" s="642"/>
      <c r="B55" s="543">
        <f>SUM(B37:B54)</f>
        <v>456.82145605875729</v>
      </c>
      <c r="C55" s="565"/>
      <c r="D55" s="543">
        <f>SUM(D37:D54)</f>
        <v>462.40589531485961</v>
      </c>
      <c r="E55" s="534"/>
    </row>
    <row r="58" spans="1:7">
      <c r="A58" s="256"/>
      <c r="B58" s="1190" t="s">
        <v>693</v>
      </c>
      <c r="C58" s="1190"/>
      <c r="D58" s="1190"/>
      <c r="E58" s="644"/>
    </row>
    <row r="59" spans="1:7" ht="38.25">
      <c r="A59" s="256"/>
      <c r="B59" s="556" t="s">
        <v>695</v>
      </c>
      <c r="C59" s="556"/>
      <c r="D59" s="556" t="s">
        <v>756</v>
      </c>
      <c r="E59" s="647"/>
    </row>
    <row r="60" spans="1:7">
      <c r="A60" s="557" t="s">
        <v>628</v>
      </c>
      <c r="B60" s="531">
        <v>0</v>
      </c>
      <c r="C60" s="558"/>
      <c r="D60" s="531">
        <v>0</v>
      </c>
      <c r="E60" s="531"/>
      <c r="F60" s="244">
        <f>F37</f>
        <v>2.729632612875367</v>
      </c>
      <c r="G60" s="376">
        <v>0</v>
      </c>
    </row>
    <row r="61" spans="1:7">
      <c r="A61" s="557" t="s">
        <v>6</v>
      </c>
      <c r="B61" s="531">
        <v>0</v>
      </c>
      <c r="C61" s="558"/>
      <c r="D61" s="531">
        <v>0</v>
      </c>
      <c r="E61" s="531"/>
      <c r="F61" s="244">
        <f t="shared" ref="F61:F77" si="17">F38</f>
        <v>1.7073273464509895</v>
      </c>
      <c r="G61" s="376">
        <v>0</v>
      </c>
    </row>
    <row r="62" spans="1:7">
      <c r="A62" s="557" t="s">
        <v>8</v>
      </c>
      <c r="B62" s="531">
        <v>0</v>
      </c>
      <c r="C62" s="558"/>
      <c r="D62" s="531">
        <v>0</v>
      </c>
      <c r="E62" s="531"/>
      <c r="F62" s="244">
        <f t="shared" si="17"/>
        <v>1.4597833437439227</v>
      </c>
      <c r="G62" s="376">
        <v>0</v>
      </c>
    </row>
    <row r="63" spans="1:7">
      <c r="A63" s="559" t="s">
        <v>2</v>
      </c>
      <c r="B63" s="531">
        <v>0</v>
      </c>
      <c r="C63" s="558"/>
      <c r="D63" s="531">
        <v>0</v>
      </c>
      <c r="E63" s="531"/>
      <c r="F63" s="244">
        <f t="shared" si="17"/>
        <v>2.5215181068519161</v>
      </c>
      <c r="G63" s="376">
        <v>0</v>
      </c>
    </row>
    <row r="64" spans="1:7">
      <c r="A64" s="557" t="s">
        <v>10</v>
      </c>
      <c r="B64" s="531">
        <v>0</v>
      </c>
      <c r="C64" s="558"/>
      <c r="D64" s="531">
        <v>0</v>
      </c>
      <c r="E64" s="531"/>
      <c r="F64" s="244">
        <f t="shared" si="17"/>
        <v>2.7690000000000001</v>
      </c>
      <c r="G64" s="376">
        <v>0</v>
      </c>
    </row>
    <row r="65" spans="1:7">
      <c r="A65" s="557" t="s">
        <v>4</v>
      </c>
      <c r="B65" s="531">
        <v>0</v>
      </c>
      <c r="C65" s="558"/>
      <c r="D65" s="531">
        <v>0</v>
      </c>
      <c r="E65" s="531"/>
      <c r="F65" s="244">
        <f t="shared" si="17"/>
        <v>2.5189298202715129</v>
      </c>
      <c r="G65" s="376">
        <v>0</v>
      </c>
    </row>
    <row r="66" spans="1:7">
      <c r="A66" s="557" t="s">
        <v>14</v>
      </c>
      <c r="B66" s="531">
        <f>F66*G66*AD42</f>
        <v>89.327535118288267</v>
      </c>
      <c r="C66" s="558"/>
      <c r="D66" s="531">
        <f>F66*G66*AR42</f>
        <v>169.08426290247422</v>
      </c>
      <c r="E66" s="531"/>
      <c r="F66" s="244">
        <f t="shared" si="17"/>
        <v>2.6585575928061984</v>
      </c>
      <c r="G66" s="376">
        <f>D4</f>
        <v>1.2</v>
      </c>
    </row>
    <row r="67" spans="1:7">
      <c r="A67" s="559" t="s">
        <v>17</v>
      </c>
      <c r="B67" s="531">
        <v>0</v>
      </c>
      <c r="C67" s="558"/>
      <c r="D67" s="531">
        <v>0</v>
      </c>
      <c r="E67" s="531"/>
      <c r="F67" s="244">
        <f t="shared" si="17"/>
        <v>2.0712334710740294</v>
      </c>
      <c r="G67" s="376">
        <v>0</v>
      </c>
    </row>
    <row r="68" spans="1:7">
      <c r="A68" s="557" t="s">
        <v>376</v>
      </c>
      <c r="B68" s="531">
        <v>0</v>
      </c>
      <c r="C68" s="558"/>
      <c r="D68" s="531">
        <v>0</v>
      </c>
      <c r="E68" s="531"/>
      <c r="F68" s="244">
        <f t="shared" si="17"/>
        <v>2.7690000000000001</v>
      </c>
      <c r="G68" s="376">
        <v>0</v>
      </c>
    </row>
    <row r="69" spans="1:7">
      <c r="A69" s="557" t="s">
        <v>7</v>
      </c>
      <c r="B69" s="531">
        <v>0</v>
      </c>
      <c r="C69" s="558"/>
      <c r="D69" s="531">
        <v>0</v>
      </c>
      <c r="E69" s="531"/>
      <c r="F69" s="244">
        <f t="shared" si="17"/>
        <v>2.5832720468437356</v>
      </c>
      <c r="G69" s="376">
        <v>0</v>
      </c>
    </row>
    <row r="70" spans="1:7">
      <c r="A70" s="557" t="s">
        <v>9</v>
      </c>
      <c r="B70" s="531">
        <v>0</v>
      </c>
      <c r="C70" s="558"/>
      <c r="D70" s="531">
        <v>0</v>
      </c>
      <c r="E70" s="531"/>
      <c r="F70" s="244">
        <f t="shared" si="17"/>
        <v>2.2323857203999244</v>
      </c>
      <c r="G70" s="376">
        <v>0</v>
      </c>
    </row>
    <row r="71" spans="1:7">
      <c r="A71" s="559" t="s">
        <v>5</v>
      </c>
      <c r="B71" s="531">
        <v>0</v>
      </c>
      <c r="C71" s="558"/>
      <c r="D71" s="531">
        <v>0</v>
      </c>
      <c r="E71" s="531"/>
      <c r="F71" s="244">
        <f t="shared" si="17"/>
        <v>2.768615670287919</v>
      </c>
      <c r="G71" s="376">
        <v>0</v>
      </c>
    </row>
    <row r="72" spans="1:7">
      <c r="A72" s="557"/>
      <c r="B72" s="530"/>
      <c r="C72" s="558"/>
      <c r="D72" s="530"/>
      <c r="E72" s="530"/>
      <c r="F72" s="244"/>
      <c r="G72" s="376"/>
    </row>
    <row r="73" spans="1:7">
      <c r="A73" s="557" t="s">
        <v>631</v>
      </c>
      <c r="B73" s="531">
        <v>0</v>
      </c>
      <c r="C73" s="558"/>
      <c r="D73" s="531">
        <v>0</v>
      </c>
      <c r="E73" s="531"/>
      <c r="F73" s="244">
        <f t="shared" si="17"/>
        <v>0</v>
      </c>
      <c r="G73" s="376">
        <f>G50</f>
        <v>0</v>
      </c>
    </row>
    <row r="74" spans="1:7">
      <c r="A74" s="557" t="s">
        <v>657</v>
      </c>
      <c r="B74" s="531">
        <v>0</v>
      </c>
      <c r="C74" s="558"/>
      <c r="D74" s="531">
        <v>0</v>
      </c>
      <c r="E74" s="531"/>
      <c r="F74" s="244">
        <f t="shared" si="17"/>
        <v>0</v>
      </c>
      <c r="G74" s="376">
        <f>G51</f>
        <v>0</v>
      </c>
    </row>
    <row r="75" spans="1:7">
      <c r="A75" s="559" t="s">
        <v>633</v>
      </c>
      <c r="B75" s="531">
        <v>0</v>
      </c>
      <c r="C75" s="558"/>
      <c r="D75" s="531">
        <v>0</v>
      </c>
      <c r="E75" s="531"/>
      <c r="F75" s="244">
        <f t="shared" si="17"/>
        <v>0</v>
      </c>
      <c r="G75" s="376">
        <f>G52</f>
        <v>0</v>
      </c>
    </row>
    <row r="76" spans="1:7">
      <c r="A76" s="557" t="s">
        <v>656</v>
      </c>
      <c r="B76" s="531">
        <v>0</v>
      </c>
      <c r="C76" s="558"/>
      <c r="D76" s="531">
        <v>0</v>
      </c>
      <c r="E76" s="531"/>
      <c r="F76" s="244">
        <f t="shared" si="17"/>
        <v>0</v>
      </c>
      <c r="G76" s="376">
        <f>G53</f>
        <v>0</v>
      </c>
    </row>
    <row r="77" spans="1:7">
      <c r="A77" s="637" t="s">
        <v>635</v>
      </c>
      <c r="B77" s="531">
        <v>0</v>
      </c>
      <c r="C77" s="558"/>
      <c r="D77" s="531">
        <v>0</v>
      </c>
      <c r="E77" s="531"/>
      <c r="F77" s="244">
        <f t="shared" si="17"/>
        <v>0</v>
      </c>
      <c r="G77" s="376">
        <f>G54</f>
        <v>0</v>
      </c>
    </row>
    <row r="78" spans="1:7">
      <c r="A78" s="642"/>
      <c r="B78" s="543">
        <f>SUM(B60:B77)</f>
        <v>89.327535118288267</v>
      </c>
      <c r="C78" s="565"/>
      <c r="D78" s="543">
        <f>SUM(D60:D77)</f>
        <v>169.08426290247422</v>
      </c>
      <c r="E78" s="534"/>
    </row>
  </sheetData>
  <pageMargins left="0.75" right="0.75" top="1" bottom="1" header="0.5" footer="0.5"/>
  <pageSetup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Q81"/>
  <sheetViews>
    <sheetView workbookViewId="0">
      <pane xSplit="4" ySplit="10" topLeftCell="E11" activePane="bottomRight" state="frozen"/>
      <selection pane="topRight" activeCell="E1" sqref="E1"/>
      <selection pane="bottomLeft" activeCell="A11" sqref="A11"/>
      <selection pane="bottomRight" activeCell="F16" sqref="F16"/>
    </sheetView>
  </sheetViews>
  <sheetFormatPr defaultColWidth="11" defaultRowHeight="15.75"/>
  <cols>
    <col min="1" max="1" width="35.125" customWidth="1"/>
    <col min="2" max="2" width="12.5" bestFit="1" customWidth="1"/>
    <col min="7" max="7" width="35.125" customWidth="1"/>
    <col min="8" max="11" width="11.125" bestFit="1" customWidth="1"/>
    <col min="12" max="18" width="11.125" customWidth="1"/>
    <col min="20" max="23" width="12" bestFit="1" customWidth="1"/>
    <col min="24" max="26" width="12" customWidth="1"/>
    <col min="34" max="34" width="12.5" bestFit="1" customWidth="1"/>
    <col min="35" max="36" width="11.625" bestFit="1" customWidth="1"/>
    <col min="37" max="39" width="12" customWidth="1"/>
    <col min="40" max="40" width="11.5" customWidth="1"/>
    <col min="42" max="42" width="11.625" customWidth="1"/>
  </cols>
  <sheetData>
    <row r="1" spans="1:43" ht="21">
      <c r="A1" s="234" t="s">
        <v>610</v>
      </c>
      <c r="B1" s="234"/>
      <c r="C1" s="513"/>
      <c r="I1" s="1263"/>
    </row>
    <row r="2" spans="1:43" ht="21">
      <c r="A2" s="234"/>
      <c r="B2" s="234"/>
      <c r="C2" s="513"/>
    </row>
    <row r="3" spans="1:43" ht="21">
      <c r="A3" s="234" t="s">
        <v>611</v>
      </c>
      <c r="B3" s="719">
        <f>'Dashboard-Academic Allocation'!D42</f>
        <v>8333848.7234036122</v>
      </c>
      <c r="C3" s="513"/>
    </row>
    <row r="4" spans="1:43" ht="21.75" thickBot="1">
      <c r="A4" s="234"/>
      <c r="B4" s="234"/>
      <c r="C4" s="513"/>
    </row>
    <row r="5" spans="1:43" ht="21">
      <c r="A5" s="720" t="s">
        <v>613</v>
      </c>
      <c r="B5" s="1193">
        <f>'Dashboard-Academic Allocation'!C25</f>
        <v>0</v>
      </c>
      <c r="C5" s="513"/>
    </row>
    <row r="6" spans="1:43" ht="21">
      <c r="A6" s="721" t="s">
        <v>614</v>
      </c>
      <c r="B6" s="1194">
        <f>'Dashboard-Academic Allocation'!C24</f>
        <v>1</v>
      </c>
      <c r="C6" s="513"/>
      <c r="G6" s="10" t="s">
        <v>615</v>
      </c>
    </row>
    <row r="7" spans="1:43" ht="19.5" thickBot="1">
      <c r="A7" s="722" t="s">
        <v>772</v>
      </c>
      <c r="B7" s="1195">
        <f>'Dashboard-Academic Allocation'!C23</f>
        <v>0</v>
      </c>
    </row>
    <row r="9" spans="1:43">
      <c r="G9" t="s">
        <v>591</v>
      </c>
      <c r="H9" t="s">
        <v>1348</v>
      </c>
      <c r="T9" s="10" t="s">
        <v>609</v>
      </c>
      <c r="V9" t="s">
        <v>1350</v>
      </c>
      <c r="AH9" s="10" t="s">
        <v>771</v>
      </c>
      <c r="AK9" t="s">
        <v>1349</v>
      </c>
    </row>
    <row r="10" spans="1:43" ht="32.25" thickBot="1">
      <c r="A10" s="2"/>
      <c r="B10" s="1196" t="s">
        <v>606</v>
      </c>
      <c r="C10" s="1196" t="s">
        <v>1028</v>
      </c>
      <c r="D10" s="1196" t="s">
        <v>1151</v>
      </c>
      <c r="E10" s="1341"/>
      <c r="G10" s="2"/>
      <c r="H10" s="3">
        <v>2012</v>
      </c>
      <c r="I10" s="3">
        <v>2013</v>
      </c>
      <c r="J10" s="3">
        <v>2014</v>
      </c>
      <c r="K10" s="3">
        <v>2015</v>
      </c>
      <c r="L10" s="3">
        <v>2016</v>
      </c>
      <c r="M10" s="3">
        <v>2017</v>
      </c>
      <c r="N10" s="511" t="s">
        <v>1121</v>
      </c>
      <c r="O10" s="1491" t="s">
        <v>1351</v>
      </c>
      <c r="P10" s="3" t="s">
        <v>1149</v>
      </c>
      <c r="Q10" s="1491" t="s">
        <v>1352</v>
      </c>
      <c r="R10" s="182" t="s">
        <v>1322</v>
      </c>
      <c r="T10" s="3">
        <v>2012</v>
      </c>
      <c r="U10" s="3">
        <v>2013</v>
      </c>
      <c r="V10" s="3">
        <v>2014</v>
      </c>
      <c r="W10" s="3">
        <v>2015</v>
      </c>
      <c r="X10" s="3">
        <v>2016</v>
      </c>
      <c r="Y10" s="3" t="s">
        <v>1308</v>
      </c>
      <c r="Z10" s="3" t="s">
        <v>1077</v>
      </c>
      <c r="AA10" s="511" t="s">
        <v>612</v>
      </c>
      <c r="AB10" s="1491" t="s">
        <v>1353</v>
      </c>
      <c r="AC10" s="3" t="s">
        <v>1121</v>
      </c>
      <c r="AD10" s="1491" t="s">
        <v>1351</v>
      </c>
      <c r="AE10" s="3" t="s">
        <v>1149</v>
      </c>
      <c r="AF10" s="1491" t="s">
        <v>1352</v>
      </c>
      <c r="AH10" s="3">
        <v>2012</v>
      </c>
      <c r="AI10" s="3">
        <v>2013</v>
      </c>
      <c r="AJ10" s="3">
        <v>2014</v>
      </c>
      <c r="AK10" s="3">
        <v>2015</v>
      </c>
      <c r="AL10" s="3">
        <v>2016</v>
      </c>
      <c r="AM10" s="3">
        <v>2017</v>
      </c>
      <c r="AN10" s="3" t="s">
        <v>1121</v>
      </c>
      <c r="AO10" s="1491" t="s">
        <v>1351</v>
      </c>
      <c r="AP10" s="3" t="s">
        <v>1149</v>
      </c>
      <c r="AQ10" s="1491" t="s">
        <v>1352</v>
      </c>
    </row>
    <row r="11" spans="1:43" ht="16.5" thickTop="1">
      <c r="A11" s="71" t="s">
        <v>101</v>
      </c>
      <c r="G11" s="71" t="s">
        <v>101</v>
      </c>
    </row>
    <row r="12" spans="1:43">
      <c r="A12" s="214" t="s">
        <v>102</v>
      </c>
      <c r="B12" s="452">
        <f>B$3*(B$5*O12+B$6*AB12+B$7*AO12)</f>
        <v>1833591.0746009215</v>
      </c>
      <c r="C12" s="452">
        <f>B$3*(B$5*Q12+B$6*AD12+B$7*AQ12)</f>
        <v>1680180.4528245155</v>
      </c>
      <c r="D12" s="452">
        <f>B$3*(B$5*Q12+B$6*AF12+B$7*AQ12)</f>
        <v>1578296.4059457004</v>
      </c>
      <c r="E12" s="452"/>
      <c r="G12" s="214" t="s">
        <v>102</v>
      </c>
      <c r="H12" s="452">
        <v>46109206</v>
      </c>
      <c r="I12" s="452">
        <v>45343577</v>
      </c>
      <c r="J12" s="452">
        <v>44258102</v>
      </c>
      <c r="K12" s="452">
        <v>44887821</v>
      </c>
      <c r="L12" s="452">
        <v>42727569</v>
      </c>
      <c r="M12" s="452">
        <v>40805756</v>
      </c>
      <c r="N12" s="452">
        <f>AVERAGE(J12:L12)</f>
        <v>43957830.666666664</v>
      </c>
      <c r="O12" s="512">
        <f>N12/N$54</f>
        <v>0.28092739415970847</v>
      </c>
      <c r="P12" s="452">
        <f>SUM(K12,L12,M12)/3</f>
        <v>42807048.666666664</v>
      </c>
      <c r="Q12" s="512">
        <f>P12/P$54</f>
        <v>0.2611135888753866</v>
      </c>
      <c r="R12" s="1485">
        <f>D12/((SUM(W12:Y12)/3))</f>
        <v>0.21290904590853746</v>
      </c>
      <c r="S12" s="505"/>
      <c r="T12" s="452">
        <v>8458033.3000000007</v>
      </c>
      <c r="U12" s="452">
        <v>8074838.71</v>
      </c>
      <c r="V12" s="452">
        <v>7648538.4800000004</v>
      </c>
      <c r="W12" s="452">
        <v>7574918.2300000004</v>
      </c>
      <c r="X12" s="452">
        <v>7473341</v>
      </c>
      <c r="Y12" s="452">
        <v>7190764</v>
      </c>
      <c r="Z12" s="452">
        <v>7148150</v>
      </c>
      <c r="AA12" s="452">
        <f>AVERAGE(T12:V12)</f>
        <v>8060470.163333334</v>
      </c>
      <c r="AB12" s="512">
        <f t="shared" ref="AB12:AB22" si="0">AA12/AA$54</f>
        <v>0.2200173215829706</v>
      </c>
      <c r="AC12" s="452">
        <f>AVERAGE(V12:X12)</f>
        <v>7565599.2366666673</v>
      </c>
      <c r="AD12" s="512">
        <f>AC12/AC$54</f>
        <v>0.20160918545427065</v>
      </c>
      <c r="AE12" s="452">
        <f>AVERAGE(W12:Y12)</f>
        <v>7413007.7433333332</v>
      </c>
      <c r="AF12" s="512">
        <f>AE12/AE$54</f>
        <v>0.18938385592642618</v>
      </c>
      <c r="AH12" s="452">
        <v>53872819</v>
      </c>
      <c r="AI12" s="452">
        <v>53138070</v>
      </c>
      <c r="AJ12" s="452">
        <v>45446585</v>
      </c>
      <c r="AK12" s="452">
        <f>1957126+42375+40852464+6484318+91506</f>
        <v>49427789</v>
      </c>
      <c r="AL12" s="452">
        <f>1026896+125+45031148+5928203+305815</f>
        <v>52292187</v>
      </c>
      <c r="AM12" s="452">
        <f>533393+4957304+40037642+20500+895052</f>
        <v>46443891</v>
      </c>
      <c r="AN12" s="452">
        <f>SUM(AI12:AK12)/3</f>
        <v>49337481.333333336</v>
      </c>
      <c r="AO12" s="512">
        <f>AN12/AN$54</f>
        <v>0.24518123910895656</v>
      </c>
      <c r="AP12" s="452">
        <f>SUM(AK12:AM12)/3</f>
        <v>49387955.666666664</v>
      </c>
      <c r="AQ12" s="512">
        <f t="shared" ref="AQ12" si="1">AP12/AP$54</f>
        <v>0.18169643280004547</v>
      </c>
    </row>
    <row r="13" spans="1:43">
      <c r="A13" s="76" t="s">
        <v>103</v>
      </c>
      <c r="B13" s="453">
        <f t="shared" ref="B13:B30" si="2">B$3*(B$5*O13+B$6*AB13+B$7*AO13)</f>
        <v>32992.725576821715</v>
      </c>
      <c r="C13" s="452">
        <f t="shared" ref="C13:C30" si="3">B$3*(B$5*Q13+B$6*AD13+B$7*AQ13)</f>
        <v>17741.727399868247</v>
      </c>
      <c r="D13" s="453">
        <f t="shared" ref="D13:D30" si="4">B$3*(B$5*Q13+B$6*AF13+B$7*AQ13)</f>
        <v>5294.2119488917269</v>
      </c>
      <c r="E13" s="453"/>
      <c r="G13" s="76" t="s">
        <v>103</v>
      </c>
      <c r="H13" s="453">
        <v>614089</v>
      </c>
      <c r="I13" s="453">
        <v>602000</v>
      </c>
      <c r="J13" s="453">
        <v>218300</v>
      </c>
      <c r="K13" s="453">
        <v>102663</v>
      </c>
      <c r="L13" s="453">
        <v>187667</v>
      </c>
      <c r="M13" s="453">
        <v>114819</v>
      </c>
      <c r="N13" s="453">
        <f t="shared" ref="N13:N30" si="5">AVERAGE(J13:L13)</f>
        <v>169543.33333333334</v>
      </c>
      <c r="O13" s="512">
        <f t="shared" ref="O13:O22" si="6">N13/N$54</f>
        <v>1.0835240526689968E-3</v>
      </c>
      <c r="P13" s="453">
        <f t="shared" ref="P13:P30" si="7">SUM(K13,L13,M13)/3</f>
        <v>135049.66666666666</v>
      </c>
      <c r="Q13" s="512">
        <f t="shared" ref="Q13:Q30" si="8">P13/P$54</f>
        <v>8.2377328589852336E-4</v>
      </c>
      <c r="R13" s="1485">
        <f t="shared" ref="R13:R29" si="9">D13/((SUM(W13:Y13)/3))</f>
        <v>0.21290904590853751</v>
      </c>
      <c r="S13" s="505"/>
      <c r="T13" s="453">
        <v>132659.57999999999</v>
      </c>
      <c r="U13" s="453">
        <v>123123.94</v>
      </c>
      <c r="V13" s="453">
        <v>179324.75</v>
      </c>
      <c r="W13" s="453">
        <v>31335.22</v>
      </c>
      <c r="X13" s="453">
        <v>29005</v>
      </c>
      <c r="Y13" s="453">
        <v>14258</v>
      </c>
      <c r="Z13" s="453">
        <v>17573</v>
      </c>
      <c r="AA13" s="453">
        <f t="shared" ref="AA13:AA22" si="10">AVERAGE(T13:V13)</f>
        <v>145036.09</v>
      </c>
      <c r="AB13" s="512">
        <f t="shared" si="0"/>
        <v>3.958882224988026E-3</v>
      </c>
      <c r="AC13" s="452">
        <f t="shared" ref="AC13:AC22" si="11">AVERAGE(V13:X13)</f>
        <v>79888.323333333334</v>
      </c>
      <c r="AD13" s="512">
        <f t="shared" ref="AD13:AD22" si="12">AC13/AC$54</f>
        <v>2.1288756238213046E-3</v>
      </c>
      <c r="AE13" s="452">
        <f t="shared" ref="AE13:AE22" si="13">AVERAGE(W13:Y13)</f>
        <v>24866.073333333334</v>
      </c>
      <c r="AF13" s="512">
        <f t="shared" ref="AF13:AF22" si="14">AE13/AE$54</f>
        <v>6.3526614468345272E-4</v>
      </c>
      <c r="AH13" s="453">
        <v>1880047</v>
      </c>
      <c r="AI13" s="453">
        <f>1537152+125196</f>
        <v>1662348</v>
      </c>
      <c r="AJ13" s="453">
        <f>650680+1020128</f>
        <v>1670808</v>
      </c>
      <c r="AK13" s="453">
        <v>37327</v>
      </c>
      <c r="AL13" s="453">
        <f>71041+250699</f>
        <v>321740</v>
      </c>
      <c r="AM13" s="453">
        <v>174390</v>
      </c>
      <c r="AN13" s="453">
        <f t="shared" ref="AN13:AN30" si="15">SUM(AI13:AK13)/3</f>
        <v>1123494.3333333333</v>
      </c>
      <c r="AO13" s="512">
        <f t="shared" ref="AO13:AO30" si="16">AN13/AN$54</f>
        <v>5.5831737927094375E-3</v>
      </c>
      <c r="AP13" s="453">
        <f t="shared" ref="AP13:AP30" si="17">SUM(AK13:AM13)/3</f>
        <v>177819</v>
      </c>
      <c r="AQ13" s="512">
        <f t="shared" ref="AQ13:AQ30" si="18">AP13/AP$54</f>
        <v>6.5418941820824539E-4</v>
      </c>
    </row>
    <row r="14" spans="1:43">
      <c r="A14" s="213" t="s">
        <v>104</v>
      </c>
      <c r="B14" s="453">
        <f t="shared" si="2"/>
        <v>1446503.9815050606</v>
      </c>
      <c r="C14" s="452">
        <f t="shared" si="3"/>
        <v>1668128.7642047822</v>
      </c>
      <c r="D14" s="453">
        <f t="shared" si="4"/>
        <v>1792648.3776207753</v>
      </c>
      <c r="E14" s="453"/>
      <c r="G14" s="213" t="s">
        <v>104</v>
      </c>
      <c r="H14" s="453">
        <v>24385222</v>
      </c>
      <c r="I14" s="453">
        <v>26388574</v>
      </c>
      <c r="J14" s="453">
        <v>24619850</v>
      </c>
      <c r="K14" s="453">
        <v>29188806</v>
      </c>
      <c r="L14" s="453">
        <v>30457257</v>
      </c>
      <c r="M14" s="453">
        <v>36476754</v>
      </c>
      <c r="N14" s="453">
        <f t="shared" si="5"/>
        <v>28088637.666666668</v>
      </c>
      <c r="O14" s="512">
        <f t="shared" si="6"/>
        <v>0.17950994545271237</v>
      </c>
      <c r="P14" s="453">
        <f t="shared" si="7"/>
        <v>32040939</v>
      </c>
      <c r="Q14" s="512">
        <f t="shared" si="8"/>
        <v>0.19544268604862025</v>
      </c>
      <c r="R14" s="1485">
        <f t="shared" si="9"/>
        <v>0.21290904590853746</v>
      </c>
      <c r="S14" s="505"/>
      <c r="T14" s="453">
        <v>6471498.9100000001</v>
      </c>
      <c r="U14" s="453">
        <v>6178326.5</v>
      </c>
      <c r="V14" s="453">
        <v>6426678.0899999999</v>
      </c>
      <c r="W14" s="453">
        <v>8045682.8099999996</v>
      </c>
      <c r="X14" s="453">
        <v>8061636</v>
      </c>
      <c r="Y14" s="453">
        <v>9152036</v>
      </c>
      <c r="Z14" s="453">
        <v>9454436</v>
      </c>
      <c r="AA14" s="453">
        <f t="shared" si="10"/>
        <v>6358834.5</v>
      </c>
      <c r="AB14" s="512">
        <f t="shared" si="0"/>
        <v>0.17356974304595926</v>
      </c>
      <c r="AC14" s="452">
        <f t="shared" si="11"/>
        <v>7511332.2999999998</v>
      </c>
      <c r="AD14" s="512">
        <f t="shared" si="12"/>
        <v>0.2001630722573885</v>
      </c>
      <c r="AE14" s="452">
        <f t="shared" si="13"/>
        <v>8419784.9366666656</v>
      </c>
      <c r="AF14" s="512">
        <f t="shared" si="14"/>
        <v>0.21510450178757781</v>
      </c>
      <c r="AH14" s="453">
        <v>30963305</v>
      </c>
      <c r="AI14" s="453">
        <v>29656248</v>
      </c>
      <c r="AJ14" s="453">
        <v>38193403</v>
      </c>
      <c r="AK14" s="453">
        <f>3894284+177217+6636703+6214577+228440+11993196+9688041</f>
        <v>38832458</v>
      </c>
      <c r="AL14" s="453">
        <f>6086606+351347+10572294+6758169+31000+20529254+9230302</f>
        <v>53558972</v>
      </c>
      <c r="AM14" s="453">
        <f>10096291+11373190+10414080+12520995+967586+4262518+147520</f>
        <v>49782180</v>
      </c>
      <c r="AN14" s="453">
        <f t="shared" si="15"/>
        <v>35560703</v>
      </c>
      <c r="AO14" s="512">
        <f t="shared" si="16"/>
        <v>0.17671792295637498</v>
      </c>
      <c r="AP14" s="453">
        <f t="shared" si="17"/>
        <v>47391203.333333336</v>
      </c>
      <c r="AQ14" s="512">
        <f t="shared" si="18"/>
        <v>0.17435045600763696</v>
      </c>
    </row>
    <row r="15" spans="1:43">
      <c r="A15" s="214" t="s">
        <v>105</v>
      </c>
      <c r="B15" s="452">
        <f t="shared" si="2"/>
        <v>403004.70919013052</v>
      </c>
      <c r="C15" s="452">
        <f t="shared" si="3"/>
        <v>402448.08622487233</v>
      </c>
      <c r="D15" s="452">
        <f t="shared" si="4"/>
        <v>383210.87974740332</v>
      </c>
      <c r="E15" s="452"/>
      <c r="G15" s="214" t="s">
        <v>105</v>
      </c>
      <c r="H15" s="452">
        <v>10991302</v>
      </c>
      <c r="I15" s="452">
        <v>9020688</v>
      </c>
      <c r="J15" s="452">
        <v>8538966</v>
      </c>
      <c r="K15" s="452">
        <v>9064322</v>
      </c>
      <c r="L15" s="452">
        <v>10071598</v>
      </c>
      <c r="M15" s="452">
        <v>8314638</v>
      </c>
      <c r="N15" s="452">
        <f t="shared" si="5"/>
        <v>9224962</v>
      </c>
      <c r="O15" s="512">
        <f t="shared" si="6"/>
        <v>5.895524179830619E-2</v>
      </c>
      <c r="P15" s="452">
        <f t="shared" si="7"/>
        <v>9150186</v>
      </c>
      <c r="Q15" s="512">
        <f t="shared" si="8"/>
        <v>5.5814123602447495E-2</v>
      </c>
      <c r="R15" s="1485">
        <f t="shared" si="9"/>
        <v>0.21290904590853749</v>
      </c>
      <c r="S15" s="505"/>
      <c r="T15" s="452">
        <v>1849813.2</v>
      </c>
      <c r="U15" s="452">
        <v>1738840.32</v>
      </c>
      <c r="V15" s="452">
        <v>1726175.09</v>
      </c>
      <c r="W15" s="452">
        <v>1760647.06</v>
      </c>
      <c r="X15" s="452">
        <v>1949667</v>
      </c>
      <c r="Y15" s="452">
        <v>1689328</v>
      </c>
      <c r="Z15" s="452">
        <v>1768187</v>
      </c>
      <c r="AA15" s="452">
        <f t="shared" si="10"/>
        <v>1771609.5366666669</v>
      </c>
      <c r="AB15" s="512">
        <f t="shared" si="0"/>
        <v>4.8357574341179078E-2</v>
      </c>
      <c r="AC15" s="452">
        <f t="shared" si="11"/>
        <v>1812163.05</v>
      </c>
      <c r="AD15" s="512">
        <f t="shared" si="12"/>
        <v>4.8290783716135086E-2</v>
      </c>
      <c r="AE15" s="452">
        <f t="shared" si="13"/>
        <v>1799880.6866666668</v>
      </c>
      <c r="AF15" s="512">
        <f t="shared" si="14"/>
        <v>4.5982461701188269E-2</v>
      </c>
      <c r="AH15" s="452">
        <v>10968426</v>
      </c>
      <c r="AI15" s="452">
        <v>9445270</v>
      </c>
      <c r="AJ15" s="452">
        <v>10636319</v>
      </c>
      <c r="AK15" s="452">
        <v>13129170</v>
      </c>
      <c r="AL15" s="452">
        <f>10445329+967227</f>
        <v>11412556</v>
      </c>
      <c r="AM15" s="452">
        <f>11127769-638980</f>
        <v>10488789</v>
      </c>
      <c r="AN15" s="452">
        <f t="shared" si="15"/>
        <v>11070253</v>
      </c>
      <c r="AO15" s="512">
        <f t="shared" si="16"/>
        <v>5.501331390331566E-2</v>
      </c>
      <c r="AP15" s="452">
        <f t="shared" si="17"/>
        <v>11676838.333333334</v>
      </c>
      <c r="AQ15" s="512">
        <f t="shared" si="18"/>
        <v>4.2958649389520084E-2</v>
      </c>
    </row>
    <row r="16" spans="1:43">
      <c r="A16" s="76" t="s">
        <v>106</v>
      </c>
      <c r="B16" s="453">
        <f t="shared" si="2"/>
        <v>595200.51334937266</v>
      </c>
      <c r="C16" s="452">
        <f t="shared" si="3"/>
        <v>687314.9475109895</v>
      </c>
      <c r="D16" s="453">
        <f t="shared" si="4"/>
        <v>730812.16729338747</v>
      </c>
      <c r="E16" s="453"/>
      <c r="G16" s="76" t="s">
        <v>106</v>
      </c>
      <c r="H16" s="453">
        <v>12428880</v>
      </c>
      <c r="I16" s="453">
        <v>12012256</v>
      </c>
      <c r="J16" s="453">
        <v>11284046</v>
      </c>
      <c r="K16" s="453">
        <v>13683643</v>
      </c>
      <c r="L16" s="453">
        <v>15260930</v>
      </c>
      <c r="M16" s="453">
        <v>14851241</v>
      </c>
      <c r="N16" s="453">
        <f t="shared" si="5"/>
        <v>13409539.666666666</v>
      </c>
      <c r="O16" s="512">
        <f t="shared" si="6"/>
        <v>8.5698201624278936E-2</v>
      </c>
      <c r="P16" s="453">
        <f t="shared" si="7"/>
        <v>14598604.666666666</v>
      </c>
      <c r="Q16" s="512">
        <f t="shared" si="8"/>
        <v>8.9048280033717356E-2</v>
      </c>
      <c r="R16" s="1485">
        <f t="shared" si="9"/>
        <v>0.21290904590853746</v>
      </c>
      <c r="S16" s="505"/>
      <c r="T16" s="453">
        <v>2716252.73</v>
      </c>
      <c r="U16" s="453">
        <v>2726123.93</v>
      </c>
      <c r="V16" s="453">
        <v>2407131.41</v>
      </c>
      <c r="W16" s="453">
        <v>3087624.31</v>
      </c>
      <c r="X16" s="453">
        <v>3789871</v>
      </c>
      <c r="Y16" s="453">
        <v>3420031</v>
      </c>
      <c r="Z16" s="453">
        <v>3596324</v>
      </c>
      <c r="AA16" s="453">
        <f t="shared" si="10"/>
        <v>2616502.69</v>
      </c>
      <c r="AB16" s="512">
        <f t="shared" si="0"/>
        <v>7.1419644524851403E-2</v>
      </c>
      <c r="AC16" s="452">
        <f t="shared" si="11"/>
        <v>3094875.5733333337</v>
      </c>
      <c r="AD16" s="512">
        <f t="shared" si="12"/>
        <v>8.2472693028472016E-2</v>
      </c>
      <c r="AE16" s="452">
        <f t="shared" si="13"/>
        <v>3432508.77</v>
      </c>
      <c r="AF16" s="512">
        <f t="shared" si="14"/>
        <v>8.7692036602617596E-2</v>
      </c>
      <c r="AH16" s="453">
        <v>18181831</v>
      </c>
      <c r="AI16" s="453">
        <v>13517710</v>
      </c>
      <c r="AJ16" s="453">
        <v>16361632</v>
      </c>
      <c r="AK16" s="453">
        <v>17776946</v>
      </c>
      <c r="AL16" s="453">
        <v>18706328</v>
      </c>
      <c r="AM16" s="453">
        <v>15215386</v>
      </c>
      <c r="AN16" s="453">
        <f t="shared" si="15"/>
        <v>15885429.333333334</v>
      </c>
      <c r="AO16" s="512">
        <f t="shared" si="16"/>
        <v>7.8942198557124685E-2</v>
      </c>
      <c r="AP16" s="453">
        <f t="shared" si="17"/>
        <v>17232886.666666668</v>
      </c>
      <c r="AQ16" s="512">
        <f t="shared" si="18"/>
        <v>6.3399142400504427E-2</v>
      </c>
    </row>
    <row r="17" spans="1:43">
      <c r="A17" s="213" t="s">
        <v>107</v>
      </c>
      <c r="B17" s="453">
        <f t="shared" si="2"/>
        <v>20978.387897476732</v>
      </c>
      <c r="C17" s="452">
        <f t="shared" si="3"/>
        <v>32051.221283866751</v>
      </c>
      <c r="D17" s="453">
        <f t="shared" si="4"/>
        <v>25934.589272998794</v>
      </c>
      <c r="E17" s="453"/>
      <c r="G17" s="213" t="s">
        <v>107</v>
      </c>
      <c r="H17" s="453">
        <v>654032</v>
      </c>
      <c r="I17" s="453">
        <v>955101</v>
      </c>
      <c r="J17" s="453">
        <v>987667</v>
      </c>
      <c r="K17" s="453">
        <v>1280411</v>
      </c>
      <c r="L17" s="453">
        <v>566818</v>
      </c>
      <c r="M17" s="453">
        <v>298609</v>
      </c>
      <c r="N17" s="453">
        <f t="shared" si="5"/>
        <v>944965.33333333337</v>
      </c>
      <c r="O17" s="512">
        <f t="shared" si="6"/>
        <v>6.0391207809510411E-3</v>
      </c>
      <c r="P17" s="453">
        <f t="shared" si="7"/>
        <v>715279.33333333337</v>
      </c>
      <c r="Q17" s="512">
        <f t="shared" si="8"/>
        <v>4.3630467316121127E-3</v>
      </c>
      <c r="R17" s="1485">
        <f t="shared" si="9"/>
        <v>0.21290904590853749</v>
      </c>
      <c r="S17" s="505"/>
      <c r="T17" s="453">
        <v>48271.79</v>
      </c>
      <c r="U17" s="453">
        <v>99113.82</v>
      </c>
      <c r="V17" s="453">
        <v>129277.5</v>
      </c>
      <c r="W17" s="453">
        <v>183593.95</v>
      </c>
      <c r="X17" s="453">
        <v>120094</v>
      </c>
      <c r="Y17" s="453">
        <v>61744</v>
      </c>
      <c r="Z17" s="453">
        <v>59529</v>
      </c>
      <c r="AA17" s="453">
        <f t="shared" si="10"/>
        <v>92221.036666666667</v>
      </c>
      <c r="AB17" s="512">
        <f t="shared" si="0"/>
        <v>2.5172508637652576E-3</v>
      </c>
      <c r="AC17" s="452">
        <f t="shared" si="11"/>
        <v>144321.81666666668</v>
      </c>
      <c r="AD17" s="512">
        <f t="shared" si="12"/>
        <v>3.8459086968855812E-3</v>
      </c>
      <c r="AE17" s="452">
        <f t="shared" si="13"/>
        <v>121810.65000000001</v>
      </c>
      <c r="AF17" s="512">
        <f t="shared" si="14"/>
        <v>3.1119582480742336E-3</v>
      </c>
      <c r="AH17" s="453">
        <f>487624+407864</f>
        <v>895488</v>
      </c>
      <c r="AI17" s="453">
        <v>2075761</v>
      </c>
      <c r="AJ17" s="453">
        <v>1558206</v>
      </c>
      <c r="AK17" s="453">
        <v>1176229</v>
      </c>
      <c r="AL17" s="453">
        <v>154009</v>
      </c>
      <c r="AM17" s="453">
        <v>961655</v>
      </c>
      <c r="AN17" s="453">
        <f t="shared" si="15"/>
        <v>1603398.6666666667</v>
      </c>
      <c r="AO17" s="512">
        <f t="shared" si="16"/>
        <v>7.9680450086814757E-3</v>
      </c>
      <c r="AP17" s="453">
        <f t="shared" si="17"/>
        <v>763964.33333333337</v>
      </c>
      <c r="AQ17" s="512">
        <f t="shared" si="18"/>
        <v>2.810596071033936E-3</v>
      </c>
    </row>
    <row r="18" spans="1:43">
      <c r="A18" s="214" t="s">
        <v>108</v>
      </c>
      <c r="B18" s="452">
        <f t="shared" si="2"/>
        <v>27150.404248163588</v>
      </c>
      <c r="C18" s="452">
        <f t="shared" si="3"/>
        <v>40528.209554902904</v>
      </c>
      <c r="D18" s="452">
        <f t="shared" si="4"/>
        <v>62457.884903115286</v>
      </c>
      <c r="E18" s="452"/>
      <c r="G18" s="214" t="s">
        <v>108</v>
      </c>
      <c r="H18" s="452">
        <v>534561</v>
      </c>
      <c r="I18" s="452">
        <v>828276</v>
      </c>
      <c r="J18" s="452">
        <v>645787</v>
      </c>
      <c r="K18" s="452">
        <v>690899</v>
      </c>
      <c r="L18" s="452">
        <v>802787</v>
      </c>
      <c r="M18" s="452">
        <v>1394316</v>
      </c>
      <c r="N18" s="452">
        <f t="shared" si="5"/>
        <v>713157.66666666663</v>
      </c>
      <c r="O18" s="512">
        <f t="shared" si="6"/>
        <v>4.5576754330965462E-3</v>
      </c>
      <c r="P18" s="452">
        <f t="shared" si="7"/>
        <v>962667.33333333337</v>
      </c>
      <c r="Q18" s="512">
        <f t="shared" si="8"/>
        <v>5.8720591614973942E-3</v>
      </c>
      <c r="R18" s="1485">
        <f t="shared" si="9"/>
        <v>0.21290904590853749</v>
      </c>
      <c r="S18" s="505"/>
      <c r="T18" s="452">
        <v>122331.87</v>
      </c>
      <c r="U18" s="452">
        <v>140596.9</v>
      </c>
      <c r="V18" s="452">
        <v>95130.93</v>
      </c>
      <c r="W18" s="452">
        <v>146239.32</v>
      </c>
      <c r="X18" s="452">
        <v>306107</v>
      </c>
      <c r="Y18" s="452">
        <v>427718</v>
      </c>
      <c r="Z18" s="452">
        <v>576441</v>
      </c>
      <c r="AA18" s="452">
        <f t="shared" si="10"/>
        <v>119353.23333333334</v>
      </c>
      <c r="AB18" s="512">
        <f t="shared" si="0"/>
        <v>3.2578470223389344E-3</v>
      </c>
      <c r="AC18" s="452">
        <f t="shared" si="11"/>
        <v>182492.41666666666</v>
      </c>
      <c r="AD18" s="512">
        <f t="shared" si="12"/>
        <v>4.863084380340282E-3</v>
      </c>
      <c r="AE18" s="452">
        <f t="shared" si="13"/>
        <v>293354.77333333337</v>
      </c>
      <c r="AF18" s="512">
        <f t="shared" si="14"/>
        <v>7.4944826785393066E-3</v>
      </c>
      <c r="AH18" s="452">
        <v>690505</v>
      </c>
      <c r="AI18" s="452">
        <v>1091907</v>
      </c>
      <c r="AJ18" s="452">
        <f>51000+247062+6466+301475</f>
        <v>606003</v>
      </c>
      <c r="AK18" s="452">
        <f>120000+838150+66839+321695</f>
        <v>1346684</v>
      </c>
      <c r="AL18" s="452">
        <f>348236+794977+69546+393001+11832</f>
        <v>1617592</v>
      </c>
      <c r="AM18" s="452">
        <f>451355+2133664+76450+428269</f>
        <v>3089738</v>
      </c>
      <c r="AN18" s="452">
        <f t="shared" si="15"/>
        <v>1014864.6666666666</v>
      </c>
      <c r="AO18" s="512">
        <f t="shared" si="16"/>
        <v>5.0433416902682486E-3</v>
      </c>
      <c r="AP18" s="452">
        <f t="shared" si="17"/>
        <v>2018004.6666666667</v>
      </c>
      <c r="AQ18" s="512">
        <f t="shared" si="18"/>
        <v>7.424163328036886E-3</v>
      </c>
    </row>
    <row r="19" spans="1:43">
      <c r="A19" s="213" t="s">
        <v>109</v>
      </c>
      <c r="B19" s="453">
        <f t="shared" si="2"/>
        <v>1857076.9044466065</v>
      </c>
      <c r="C19" s="452">
        <f t="shared" si="3"/>
        <v>1924317.6424836977</v>
      </c>
      <c r="D19" s="453">
        <f t="shared" si="4"/>
        <v>1840409.3292187264</v>
      </c>
      <c r="E19" s="453"/>
      <c r="G19" s="213" t="s">
        <v>109</v>
      </c>
      <c r="H19" s="453">
        <v>25199999</v>
      </c>
      <c r="I19" s="453">
        <v>23366645</v>
      </c>
      <c r="J19" s="453">
        <v>22395151</v>
      </c>
      <c r="K19" s="453">
        <v>21645830</v>
      </c>
      <c r="L19" s="453">
        <v>23082825</v>
      </c>
      <c r="M19" s="453">
        <v>22200760</v>
      </c>
      <c r="N19" s="453">
        <f t="shared" si="5"/>
        <v>22374602</v>
      </c>
      <c r="O19" s="512">
        <f t="shared" si="6"/>
        <v>0.14299246664114881</v>
      </c>
      <c r="P19" s="453">
        <f t="shared" si="7"/>
        <v>22309805</v>
      </c>
      <c r="Q19" s="512">
        <f t="shared" si="8"/>
        <v>0.13608490732499876</v>
      </c>
      <c r="R19" s="1485">
        <f t="shared" si="9"/>
        <v>0.21290904590853749</v>
      </c>
      <c r="S19" s="505"/>
      <c r="T19" s="453">
        <v>7879487.2800000003</v>
      </c>
      <c r="U19" s="453">
        <v>7962627.5499999998</v>
      </c>
      <c r="V19" s="453">
        <v>8649026.9299999997</v>
      </c>
      <c r="W19" s="453">
        <v>8426521.6400000006</v>
      </c>
      <c r="X19" s="453">
        <v>8919188</v>
      </c>
      <c r="Y19" s="453">
        <v>8586622</v>
      </c>
      <c r="Z19" s="453">
        <v>8463551</v>
      </c>
      <c r="AA19" s="453">
        <f t="shared" si="10"/>
        <v>8163713.919999999</v>
      </c>
      <c r="AB19" s="512">
        <f t="shared" si="0"/>
        <v>0.22283544687239787</v>
      </c>
      <c r="AC19" s="452">
        <f t="shared" si="11"/>
        <v>8664912.1899999995</v>
      </c>
      <c r="AD19" s="512">
        <f t="shared" si="12"/>
        <v>0.23090383643270532</v>
      </c>
      <c r="AE19" s="452">
        <f t="shared" si="13"/>
        <v>8644110.5466666669</v>
      </c>
      <c r="AF19" s="512">
        <f t="shared" si="14"/>
        <v>0.22083546153776212</v>
      </c>
      <c r="AH19" s="453">
        <f>1701900+33874366</f>
        <v>35576266</v>
      </c>
      <c r="AI19" s="453">
        <v>40135984</v>
      </c>
      <c r="AJ19" s="453">
        <v>41488436</v>
      </c>
      <c r="AK19" s="453">
        <v>38875104</v>
      </c>
      <c r="AL19" s="453">
        <v>44598359</v>
      </c>
      <c r="AM19" s="453">
        <v>160129056</v>
      </c>
      <c r="AN19" s="453">
        <f t="shared" si="15"/>
        <v>40166508</v>
      </c>
      <c r="AO19" s="512">
        <f t="shared" si="16"/>
        <v>0.19960634260156834</v>
      </c>
      <c r="AP19" s="453">
        <f t="shared" si="17"/>
        <v>81200839.666666672</v>
      </c>
      <c r="AQ19" s="512">
        <f t="shared" si="18"/>
        <v>0.29873483744457952</v>
      </c>
    </row>
    <row r="20" spans="1:43">
      <c r="A20" s="213" t="s">
        <v>110</v>
      </c>
      <c r="B20" s="454">
        <f t="shared" si="2"/>
        <v>116594.14734721805</v>
      </c>
      <c r="C20" s="452">
        <f t="shared" si="3"/>
        <v>124938.06540482839</v>
      </c>
      <c r="D20" s="454">
        <f t="shared" si="4"/>
        <v>169699.25368925775</v>
      </c>
      <c r="E20" s="454"/>
      <c r="G20" s="213" t="s">
        <v>110</v>
      </c>
      <c r="H20" s="454">
        <v>2739646</v>
      </c>
      <c r="I20" s="454">
        <v>2342616</v>
      </c>
      <c r="J20" s="454">
        <v>1499152</v>
      </c>
      <c r="K20" s="454">
        <v>2130002</v>
      </c>
      <c r="L20" s="454">
        <v>2738700</v>
      </c>
      <c r="M20" s="454">
        <v>3640049</v>
      </c>
      <c r="N20" s="454">
        <f t="shared" si="5"/>
        <v>2122618</v>
      </c>
      <c r="O20" s="512">
        <f t="shared" si="6"/>
        <v>1.3565308717308223E-2</v>
      </c>
      <c r="P20" s="454">
        <f t="shared" si="7"/>
        <v>2836250.3333333335</v>
      </c>
      <c r="Q20" s="512">
        <f t="shared" si="8"/>
        <v>1.7300503691635293E-2</v>
      </c>
      <c r="R20" s="1485">
        <f t="shared" si="9"/>
        <v>0.21290904590853749</v>
      </c>
      <c r="S20" s="505"/>
      <c r="T20" s="454">
        <v>749611.89</v>
      </c>
      <c r="U20" s="454">
        <v>529169.03</v>
      </c>
      <c r="V20" s="454">
        <v>258863.42</v>
      </c>
      <c r="W20" s="454">
        <v>589453.39</v>
      </c>
      <c r="X20" s="454">
        <v>839415</v>
      </c>
      <c r="Y20" s="454">
        <v>962283</v>
      </c>
      <c r="Z20" s="454">
        <v>925654</v>
      </c>
      <c r="AA20" s="454">
        <f t="shared" si="10"/>
        <v>512548.11333333328</v>
      </c>
      <c r="AB20" s="512">
        <f t="shared" si="0"/>
        <v>1.3990432418072504E-2</v>
      </c>
      <c r="AC20" s="452">
        <f t="shared" si="11"/>
        <v>562577.27</v>
      </c>
      <c r="AD20" s="512">
        <f t="shared" si="12"/>
        <v>1.499164066345119E-2</v>
      </c>
      <c r="AE20" s="452">
        <f t="shared" si="13"/>
        <v>797050.46333333338</v>
      </c>
      <c r="AF20" s="512">
        <f t="shared" si="14"/>
        <v>2.0362651077730529E-2</v>
      </c>
      <c r="AH20" s="454">
        <v>1670138</v>
      </c>
      <c r="AI20" s="454">
        <v>900941</v>
      </c>
      <c r="AJ20" s="454">
        <f>1187718+2711990</f>
        <v>3899708</v>
      </c>
      <c r="AK20" s="454">
        <f>2936386+97036</f>
        <v>3033422</v>
      </c>
      <c r="AL20" s="454">
        <f>3370143+6199270</f>
        <v>9569413</v>
      </c>
      <c r="AM20" s="454">
        <v>5931893</v>
      </c>
      <c r="AN20" s="454">
        <f t="shared" si="15"/>
        <v>2611357</v>
      </c>
      <c r="AO20" s="512">
        <f t="shared" si="16"/>
        <v>1.2977065867837048E-2</v>
      </c>
      <c r="AP20" s="454">
        <f t="shared" si="17"/>
        <v>6178242.666666667</v>
      </c>
      <c r="AQ20" s="512">
        <f t="shared" si="18"/>
        <v>2.2729522580016905E-2</v>
      </c>
    </row>
    <row r="21" spans="1:43">
      <c r="A21" s="214" t="s">
        <v>111</v>
      </c>
      <c r="B21" s="452">
        <f t="shared" si="2"/>
        <v>786699.30464334681</v>
      </c>
      <c r="C21" s="452">
        <f t="shared" si="3"/>
        <v>649742.75299414585</v>
      </c>
      <c r="D21" s="452">
        <f t="shared" si="4"/>
        <v>638243.20965819864</v>
      </c>
      <c r="E21" s="452"/>
      <c r="G21" s="214" t="s">
        <v>111</v>
      </c>
      <c r="H21" s="452">
        <v>14876383</v>
      </c>
      <c r="I21" s="452">
        <v>11936712</v>
      </c>
      <c r="J21" s="452">
        <v>13310669</v>
      </c>
      <c r="K21" s="452">
        <v>12188098</v>
      </c>
      <c r="L21" s="452">
        <v>12998723</v>
      </c>
      <c r="M21" s="452">
        <v>12174637</v>
      </c>
      <c r="N21" s="452">
        <f t="shared" si="5"/>
        <v>12832496.666666666</v>
      </c>
      <c r="O21" s="512">
        <f t="shared" si="6"/>
        <v>8.2010413035770932E-2</v>
      </c>
      <c r="P21" s="452">
        <f t="shared" si="7"/>
        <v>12453819.333333334</v>
      </c>
      <c r="Q21" s="512">
        <f t="shared" si="8"/>
        <v>7.5965560874196106E-2</v>
      </c>
      <c r="R21" s="1485">
        <f t="shared" si="9"/>
        <v>0.21290904590853746</v>
      </c>
      <c r="S21" s="505"/>
      <c r="T21" s="452">
        <v>4097528.96</v>
      </c>
      <c r="U21" s="452">
        <v>3418431.62</v>
      </c>
      <c r="V21" s="452">
        <v>2859034.74</v>
      </c>
      <c r="W21" s="452">
        <v>2868546.2</v>
      </c>
      <c r="X21" s="452">
        <v>3049500</v>
      </c>
      <c r="Y21" s="452">
        <v>3075135</v>
      </c>
      <c r="Z21" s="452">
        <v>2957618</v>
      </c>
      <c r="AA21" s="452">
        <f t="shared" si="10"/>
        <v>3458331.7733333334</v>
      </c>
      <c r="AB21" s="512">
        <f t="shared" si="0"/>
        <v>9.4398078337334199E-2</v>
      </c>
      <c r="AC21" s="452">
        <f t="shared" si="11"/>
        <v>2925693.646666667</v>
      </c>
      <c r="AD21" s="512">
        <f t="shared" si="12"/>
        <v>7.7964308515644093E-2</v>
      </c>
      <c r="AE21" s="452">
        <f t="shared" si="13"/>
        <v>2997727.0666666664</v>
      </c>
      <c r="AF21" s="512">
        <f t="shared" si="14"/>
        <v>7.6584448655258874E-2</v>
      </c>
      <c r="AH21" s="452">
        <f>24834234-1701900-407864</f>
        <v>22724470</v>
      </c>
      <c r="AI21" s="452">
        <v>8106951</v>
      </c>
      <c r="AJ21" s="452">
        <v>9924152</v>
      </c>
      <c r="AK21" s="452">
        <f>15376529+11698890</f>
        <v>27075419</v>
      </c>
      <c r="AL21" s="452">
        <f>5574098+7776305</f>
        <v>13350403</v>
      </c>
      <c r="AM21" s="452">
        <f>9295544+8881645</f>
        <v>18177189</v>
      </c>
      <c r="AN21" s="452">
        <f t="shared" si="15"/>
        <v>15035507.333333334</v>
      </c>
      <c r="AO21" s="512">
        <f t="shared" si="16"/>
        <v>7.4718534854105984E-2</v>
      </c>
      <c r="AP21" s="452">
        <f t="shared" si="17"/>
        <v>19534337</v>
      </c>
      <c r="AQ21" s="512">
        <f t="shared" si="18"/>
        <v>7.1866091683755962E-2</v>
      </c>
    </row>
    <row r="22" spans="1:43">
      <c r="A22" s="213" t="s">
        <v>112</v>
      </c>
      <c r="B22" s="454">
        <f t="shared" si="2"/>
        <v>127767.21381255022</v>
      </c>
      <c r="C22" s="452">
        <f t="shared" si="3"/>
        <v>119127.53032546137</v>
      </c>
      <c r="D22" s="454">
        <f t="shared" si="4"/>
        <v>129683.40658641944</v>
      </c>
      <c r="E22" s="454"/>
      <c r="G22" s="213" t="s">
        <v>112</v>
      </c>
      <c r="H22" s="454">
        <v>1880043</v>
      </c>
      <c r="I22" s="454">
        <v>1575741</v>
      </c>
      <c r="J22" s="454">
        <v>1596077</v>
      </c>
      <c r="K22" s="454">
        <v>1607440</v>
      </c>
      <c r="L22" s="454">
        <v>1453314</v>
      </c>
      <c r="M22" s="454">
        <v>2034521</v>
      </c>
      <c r="N22" s="454">
        <f t="shared" si="5"/>
        <v>1552277</v>
      </c>
      <c r="O22" s="512">
        <f t="shared" si="6"/>
        <v>9.9203515280550034E-3</v>
      </c>
      <c r="P22" s="454">
        <f t="shared" si="7"/>
        <v>1698425</v>
      </c>
      <c r="Q22" s="512">
        <f t="shared" si="8"/>
        <v>1.0360019225782611E-2</v>
      </c>
      <c r="R22" s="1485">
        <f t="shared" si="9"/>
        <v>0.21290904590853749</v>
      </c>
      <c r="S22" s="505"/>
      <c r="T22" s="454">
        <v>629146.44999999995</v>
      </c>
      <c r="U22" s="454">
        <v>499557.58</v>
      </c>
      <c r="V22" s="454">
        <v>556290.78</v>
      </c>
      <c r="W22" s="454">
        <v>548946.14</v>
      </c>
      <c r="X22" s="454">
        <v>504003</v>
      </c>
      <c r="Y22" s="454">
        <v>774358</v>
      </c>
      <c r="Z22" s="454">
        <v>764319</v>
      </c>
      <c r="AA22" s="454">
        <f t="shared" si="10"/>
        <v>561664.93666666665</v>
      </c>
      <c r="AB22" s="512">
        <f t="shared" si="0"/>
        <v>1.5331117476820368E-2</v>
      </c>
      <c r="AC22" s="452">
        <f t="shared" si="11"/>
        <v>536413.30666666664</v>
      </c>
      <c r="AD22" s="512">
        <f t="shared" si="12"/>
        <v>1.4294419574826252E-2</v>
      </c>
      <c r="AE22" s="452">
        <f t="shared" si="13"/>
        <v>609102.38</v>
      </c>
      <c r="AF22" s="512">
        <f t="shared" si="14"/>
        <v>1.556104638931527E-2</v>
      </c>
      <c r="AH22" s="454">
        <v>1956307</v>
      </c>
      <c r="AI22" s="454">
        <v>1681511</v>
      </c>
      <c r="AJ22" s="454">
        <v>3906737</v>
      </c>
      <c r="AK22" s="454">
        <v>1293078</v>
      </c>
      <c r="AL22" s="454">
        <v>2977310</v>
      </c>
      <c r="AM22" s="454">
        <f>2944865</f>
        <v>2944865</v>
      </c>
      <c r="AN22" s="454">
        <f t="shared" si="15"/>
        <v>2293775.3333333335</v>
      </c>
      <c r="AO22" s="512">
        <f t="shared" si="16"/>
        <v>1.1398852622098988E-2</v>
      </c>
      <c r="AP22" s="454">
        <f t="shared" si="17"/>
        <v>2405084.3333333335</v>
      </c>
      <c r="AQ22" s="512">
        <f t="shared" si="18"/>
        <v>8.8482148744796641E-3</v>
      </c>
    </row>
    <row r="23" spans="1:43">
      <c r="A23" s="213" t="s">
        <v>113</v>
      </c>
      <c r="B23" s="453">
        <f t="shared" si="2"/>
        <v>0</v>
      </c>
      <c r="C23" s="452">
        <f t="shared" si="3"/>
        <v>0</v>
      </c>
      <c r="D23" s="453">
        <f t="shared" si="4"/>
        <v>0</v>
      </c>
      <c r="E23" s="453"/>
      <c r="G23" s="213" t="s">
        <v>113</v>
      </c>
      <c r="H23" s="453"/>
      <c r="I23" s="453"/>
      <c r="J23" s="453"/>
      <c r="K23" s="453"/>
      <c r="L23" s="453"/>
      <c r="M23" s="453"/>
      <c r="N23" s="453"/>
      <c r="O23" s="512"/>
      <c r="P23" s="453">
        <f t="shared" si="7"/>
        <v>0</v>
      </c>
      <c r="Q23" s="512"/>
      <c r="R23" s="1485"/>
      <c r="S23" s="185"/>
      <c r="T23" s="453"/>
      <c r="U23" s="453"/>
      <c r="V23" s="453"/>
      <c r="W23" s="453"/>
      <c r="X23" s="453"/>
      <c r="Y23" s="453"/>
      <c r="Z23" s="453"/>
      <c r="AA23" s="453"/>
      <c r="AB23" s="512"/>
      <c r="AC23" s="453"/>
      <c r="AD23" s="512"/>
      <c r="AE23" s="453"/>
      <c r="AF23" s="512"/>
      <c r="AH23" s="453"/>
      <c r="AI23" s="453"/>
      <c r="AJ23" s="453"/>
      <c r="AK23" s="453"/>
      <c r="AL23" s="453"/>
      <c r="AM23" s="453"/>
      <c r="AN23" s="453">
        <f t="shared" si="15"/>
        <v>0</v>
      </c>
      <c r="AO23" s="512">
        <f t="shared" si="16"/>
        <v>0</v>
      </c>
      <c r="AP23" s="453">
        <f t="shared" si="17"/>
        <v>0</v>
      </c>
      <c r="AQ23" s="512">
        <f t="shared" si="18"/>
        <v>0</v>
      </c>
    </row>
    <row r="24" spans="1:43">
      <c r="A24" s="214" t="s">
        <v>114</v>
      </c>
      <c r="B24" s="452">
        <f t="shared" si="2"/>
        <v>0</v>
      </c>
      <c r="C24" s="452">
        <f t="shared" si="3"/>
        <v>0</v>
      </c>
      <c r="D24" s="452">
        <f t="shared" si="4"/>
        <v>0</v>
      </c>
      <c r="E24" s="452"/>
      <c r="G24" s="214" t="s">
        <v>114</v>
      </c>
      <c r="H24" s="452">
        <v>127342.23</v>
      </c>
      <c r="I24" s="452">
        <v>106888.35</v>
      </c>
      <c r="J24" s="452">
        <v>89485.05</v>
      </c>
      <c r="K24" s="452">
        <v>199096.98</v>
      </c>
      <c r="L24" s="452">
        <v>24901</v>
      </c>
      <c r="M24" s="452">
        <v>0</v>
      </c>
      <c r="N24" s="452">
        <f t="shared" si="5"/>
        <v>104494.34333333334</v>
      </c>
      <c r="O24" s="512">
        <f>N24/N$54</f>
        <v>6.6780646660353636E-4</v>
      </c>
      <c r="P24" s="452">
        <f t="shared" si="7"/>
        <v>74665.993333333332</v>
      </c>
      <c r="Q24" s="512"/>
      <c r="R24" s="1485"/>
      <c r="S24" s="185"/>
      <c r="T24" s="452"/>
      <c r="U24" s="452"/>
      <c r="V24" s="452"/>
      <c r="W24" s="452"/>
      <c r="X24" s="452"/>
      <c r="Y24" s="452"/>
      <c r="Z24" s="452"/>
      <c r="AA24" s="452"/>
      <c r="AB24" s="512"/>
      <c r="AC24" s="452"/>
      <c r="AD24" s="512"/>
      <c r="AE24" s="452"/>
      <c r="AF24" s="512"/>
      <c r="AH24" s="452"/>
      <c r="AI24" s="452"/>
      <c r="AJ24" s="452"/>
      <c r="AK24" s="452"/>
      <c r="AL24" s="452">
        <v>1000</v>
      </c>
      <c r="AM24" s="452"/>
      <c r="AN24" s="452">
        <f t="shared" si="15"/>
        <v>0</v>
      </c>
      <c r="AO24" s="512">
        <f t="shared" si="16"/>
        <v>0</v>
      </c>
      <c r="AP24" s="452">
        <f t="shared" si="17"/>
        <v>333.33333333333331</v>
      </c>
      <c r="AQ24" s="512">
        <f t="shared" si="18"/>
        <v>1.226320806003568E-6</v>
      </c>
    </row>
    <row r="25" spans="1:43">
      <c r="A25" s="76" t="s">
        <v>116</v>
      </c>
      <c r="B25" s="78">
        <f t="shared" si="2"/>
        <v>0</v>
      </c>
      <c r="C25" s="452">
        <f t="shared" si="3"/>
        <v>0</v>
      </c>
      <c r="D25" s="78">
        <f t="shared" si="4"/>
        <v>0</v>
      </c>
      <c r="E25" s="78"/>
      <c r="G25" s="76" t="s">
        <v>116</v>
      </c>
      <c r="H25" s="78">
        <v>0</v>
      </c>
      <c r="I25" s="78">
        <v>0</v>
      </c>
      <c r="J25" s="78"/>
      <c r="K25" s="78">
        <v>85593.51</v>
      </c>
      <c r="L25" s="78">
        <v>10008</v>
      </c>
      <c r="M25" s="78"/>
      <c r="N25" s="78">
        <f t="shared" si="5"/>
        <v>47800.754999999997</v>
      </c>
      <c r="O25" s="512">
        <f>N25/N$54</f>
        <v>3.0548690272833576E-4</v>
      </c>
      <c r="P25" s="78">
        <f t="shared" si="7"/>
        <v>31867.17</v>
      </c>
      <c r="Q25" s="512"/>
      <c r="R25" s="1485"/>
      <c r="S25" s="185"/>
      <c r="T25" s="78"/>
      <c r="U25" s="78"/>
      <c r="V25" s="78"/>
      <c r="W25" s="78"/>
      <c r="X25" s="78"/>
      <c r="Y25" s="78"/>
      <c r="Z25" s="78"/>
      <c r="AA25" s="78"/>
      <c r="AB25" s="512"/>
      <c r="AC25" s="78"/>
      <c r="AD25" s="512"/>
      <c r="AE25" s="78"/>
      <c r="AF25" s="512"/>
      <c r="AH25" s="78"/>
      <c r="AI25" s="78"/>
      <c r="AJ25" s="78"/>
      <c r="AK25" s="78"/>
      <c r="AL25" s="78">
        <v>98974</v>
      </c>
      <c r="AM25" s="78">
        <v>41677</v>
      </c>
      <c r="AN25" s="78">
        <f t="shared" si="15"/>
        <v>0</v>
      </c>
      <c r="AO25" s="512">
        <f t="shared" si="16"/>
        <v>0</v>
      </c>
      <c r="AP25" s="78">
        <f t="shared" si="17"/>
        <v>46883.666666666664</v>
      </c>
      <c r="AQ25" s="512">
        <f t="shared" si="18"/>
        <v>1.7248324768520784E-4</v>
      </c>
    </row>
    <row r="26" spans="1:43">
      <c r="A26" s="213" t="s">
        <v>117</v>
      </c>
      <c r="B26" s="68">
        <f t="shared" si="2"/>
        <v>0</v>
      </c>
      <c r="C26" s="452">
        <f t="shared" si="3"/>
        <v>0</v>
      </c>
      <c r="D26" s="68">
        <f t="shared" si="4"/>
        <v>0</v>
      </c>
      <c r="E26" s="68"/>
      <c r="G26" s="213" t="s">
        <v>117</v>
      </c>
      <c r="H26" s="68"/>
      <c r="I26" s="68"/>
      <c r="J26" s="68"/>
      <c r="K26" s="68"/>
      <c r="L26" s="68"/>
      <c r="M26" s="68"/>
      <c r="N26" s="68"/>
      <c r="O26" s="512"/>
      <c r="P26" s="68">
        <f t="shared" si="7"/>
        <v>0</v>
      </c>
      <c r="Q26" s="512"/>
      <c r="R26" s="1485"/>
      <c r="S26" s="185"/>
      <c r="T26" s="68"/>
      <c r="U26" s="68"/>
      <c r="V26" s="68"/>
      <c r="W26" s="68"/>
      <c r="X26" s="68"/>
      <c r="Y26" s="68"/>
      <c r="Z26" s="68"/>
      <c r="AA26" s="68"/>
      <c r="AB26" s="512"/>
      <c r="AC26" s="68"/>
      <c r="AD26" s="512"/>
      <c r="AE26" s="68"/>
      <c r="AF26" s="512"/>
      <c r="AH26" s="68"/>
      <c r="AI26" s="68"/>
      <c r="AJ26" s="68"/>
      <c r="AK26" s="68"/>
      <c r="AL26" s="68"/>
      <c r="AM26" s="68"/>
      <c r="AN26" s="68">
        <f t="shared" si="15"/>
        <v>0</v>
      </c>
      <c r="AO26" s="512">
        <f t="shared" si="16"/>
        <v>0</v>
      </c>
      <c r="AP26" s="68">
        <f t="shared" si="17"/>
        <v>0</v>
      </c>
      <c r="AQ26" s="512">
        <f t="shared" si="18"/>
        <v>0</v>
      </c>
    </row>
    <row r="27" spans="1:43">
      <c r="A27" s="438" t="s">
        <v>523</v>
      </c>
      <c r="B27" s="266">
        <f t="shared" si="2"/>
        <v>188.13988705375394</v>
      </c>
      <c r="C27" s="452">
        <f t="shared" si="3"/>
        <v>-12.166740958452733</v>
      </c>
      <c r="D27" s="266">
        <f t="shared" si="4"/>
        <v>0</v>
      </c>
      <c r="E27" s="266"/>
      <c r="G27" s="438" t="s">
        <v>523</v>
      </c>
      <c r="H27" s="266">
        <v>0</v>
      </c>
      <c r="I27" s="266">
        <v>7851</v>
      </c>
      <c r="J27" s="266">
        <v>-332</v>
      </c>
      <c r="K27" s="266">
        <v>0</v>
      </c>
      <c r="L27" s="266"/>
      <c r="M27" s="266"/>
      <c r="N27" s="266">
        <f>AVERAGE(J27:L27)</f>
        <v>-166</v>
      </c>
      <c r="O27" s="512">
        <f>N27/N$54</f>
        <v>-1.0608791817807844E-6</v>
      </c>
      <c r="P27" s="266">
        <f t="shared" si="7"/>
        <v>0</v>
      </c>
      <c r="Q27" s="512"/>
      <c r="R27" s="1485"/>
      <c r="S27" s="505"/>
      <c r="T27" s="266">
        <v>0</v>
      </c>
      <c r="U27" s="266">
        <v>2590.7600000000002</v>
      </c>
      <c r="V27" s="266">
        <v>-109.57</v>
      </c>
      <c r="W27" s="266">
        <v>0</v>
      </c>
      <c r="X27" s="266"/>
      <c r="Y27" s="266"/>
      <c r="Z27" s="266"/>
      <c r="AA27" s="266">
        <f>AVERAGE(T27:V27)</f>
        <v>827.06333333333339</v>
      </c>
      <c r="AB27" s="512">
        <f>AA27/AA$54</f>
        <v>2.2575390230615569E-5</v>
      </c>
      <c r="AC27" s="452">
        <f>AVERAGE(V27:X27)</f>
        <v>-54.784999999999997</v>
      </c>
      <c r="AD27" s="512">
        <f>AC27/AC$54</f>
        <v>-1.4599186237068792E-6</v>
      </c>
      <c r="AE27" s="452">
        <f>AVERAGE(W27:Y27)</f>
        <v>0</v>
      </c>
      <c r="AF27" s="512">
        <f>AE27/AE$54</f>
        <v>0</v>
      </c>
      <c r="AH27" s="266">
        <v>0</v>
      </c>
      <c r="AI27" s="266">
        <v>10000</v>
      </c>
      <c r="AJ27" s="266">
        <v>0</v>
      </c>
      <c r="AK27" s="266">
        <v>0</v>
      </c>
      <c r="AL27" s="266"/>
      <c r="AM27" s="266"/>
      <c r="AN27" s="266">
        <f t="shared" si="15"/>
        <v>3333.3333333333335</v>
      </c>
      <c r="AO27" s="512">
        <f t="shared" si="16"/>
        <v>1.6564907144493647E-5</v>
      </c>
      <c r="AP27" s="266">
        <f t="shared" si="17"/>
        <v>0</v>
      </c>
      <c r="AQ27" s="512">
        <f t="shared" si="18"/>
        <v>0</v>
      </c>
    </row>
    <row r="28" spans="1:43">
      <c r="A28" s="437" t="s">
        <v>524</v>
      </c>
      <c r="B28" s="78">
        <f t="shared" si="2"/>
        <v>0</v>
      </c>
      <c r="C28" s="452">
        <f t="shared" si="3"/>
        <v>0</v>
      </c>
      <c r="D28" s="78">
        <f t="shared" si="4"/>
        <v>0</v>
      </c>
      <c r="E28" s="78"/>
      <c r="G28" s="437" t="s">
        <v>524</v>
      </c>
      <c r="H28" s="78">
        <v>45047</v>
      </c>
      <c r="I28" s="78"/>
      <c r="J28" s="78"/>
      <c r="K28" s="78"/>
      <c r="L28" s="78"/>
      <c r="M28" s="78"/>
      <c r="N28" s="78"/>
      <c r="O28" s="512"/>
      <c r="P28" s="78">
        <f t="shared" si="7"/>
        <v>0</v>
      </c>
      <c r="Q28" s="512"/>
      <c r="R28" s="1485"/>
      <c r="S28" s="185"/>
      <c r="T28" s="78"/>
      <c r="U28" s="78"/>
      <c r="V28" s="78"/>
      <c r="W28" s="78"/>
      <c r="X28" s="78"/>
      <c r="Y28" s="78"/>
      <c r="Z28" s="78"/>
      <c r="AA28" s="78"/>
      <c r="AB28" s="512"/>
      <c r="AC28" s="78"/>
      <c r="AD28" s="512"/>
      <c r="AE28" s="78"/>
      <c r="AF28" s="512"/>
      <c r="AH28" s="78"/>
      <c r="AI28" s="78"/>
      <c r="AJ28" s="78"/>
      <c r="AK28" s="78"/>
      <c r="AL28" s="78"/>
      <c r="AM28" s="78"/>
      <c r="AN28" s="78">
        <f t="shared" si="15"/>
        <v>0</v>
      </c>
      <c r="AO28" s="512">
        <f t="shared" si="16"/>
        <v>0</v>
      </c>
      <c r="AP28" s="78">
        <f t="shared" si="17"/>
        <v>0</v>
      </c>
      <c r="AQ28" s="512">
        <f t="shared" si="18"/>
        <v>0</v>
      </c>
    </row>
    <row r="29" spans="1:43">
      <c r="A29" s="213" t="s">
        <v>118</v>
      </c>
      <c r="B29" s="68">
        <f t="shared" si="2"/>
        <v>868.04023384867742</v>
      </c>
      <c r="C29" s="452">
        <f t="shared" si="3"/>
        <v>2932.8696927514025</v>
      </c>
      <c r="D29" s="68">
        <f t="shared" si="4"/>
        <v>3771.445999835144</v>
      </c>
      <c r="E29" s="68"/>
      <c r="G29" s="213" t="s">
        <v>118</v>
      </c>
      <c r="H29" s="68">
        <v>34169</v>
      </c>
      <c r="I29" s="68">
        <v>4184</v>
      </c>
      <c r="J29" s="68">
        <v>29100</v>
      </c>
      <c r="K29" s="68">
        <v>75641</v>
      </c>
      <c r="L29" s="68">
        <v>54795</v>
      </c>
      <c r="M29" s="68">
        <v>22672</v>
      </c>
      <c r="N29" s="68">
        <f t="shared" si="5"/>
        <v>53178.666666666664</v>
      </c>
      <c r="O29" s="512">
        <f>N29/N$54</f>
        <v>3.3985626735859276E-4</v>
      </c>
      <c r="P29" s="68">
        <f t="shared" si="7"/>
        <v>51036</v>
      </c>
      <c r="Q29" s="512">
        <f t="shared" si="8"/>
        <v>3.1130838347706927E-4</v>
      </c>
      <c r="R29" s="1485">
        <f t="shared" si="9"/>
        <v>0.21290904590853749</v>
      </c>
      <c r="S29" s="505"/>
      <c r="T29" s="68">
        <v>1493.72</v>
      </c>
      <c r="U29" s="68">
        <v>4183.84</v>
      </c>
      <c r="V29" s="68">
        <v>5770.16</v>
      </c>
      <c r="W29" s="68">
        <v>13865.65</v>
      </c>
      <c r="X29" s="68">
        <v>19983</v>
      </c>
      <c r="Y29" s="68">
        <v>19293</v>
      </c>
      <c r="Z29" s="68">
        <v>15013</v>
      </c>
      <c r="AA29" s="68">
        <f>AVERAGE(T29:V29)</f>
        <v>3815.9066666666672</v>
      </c>
      <c r="AB29" s="512">
        <f>AA29/AA$54</f>
        <v>1.0415838619808336E-4</v>
      </c>
      <c r="AC29" s="452">
        <f>AVERAGE(V29:X29)</f>
        <v>13206.269999999999</v>
      </c>
      <c r="AD29" s="512">
        <f>AC29/AC$54</f>
        <v>3.5192259784067623E-4</v>
      </c>
      <c r="AE29" s="452">
        <f t="shared" ref="AE29:AE30" si="19">AVERAGE(W29:Y29)</f>
        <v>17713.883333333335</v>
      </c>
      <c r="AF29" s="512">
        <f>AE29/AE$54</f>
        <v>4.5254553148342422E-4</v>
      </c>
      <c r="AH29" s="68">
        <v>49180</v>
      </c>
      <c r="AI29" s="68">
        <v>188036</v>
      </c>
      <c r="AJ29" s="68">
        <v>224099</v>
      </c>
      <c r="AK29" s="68">
        <v>431168</v>
      </c>
      <c r="AL29" s="68">
        <f>5500+96437+64776+3177</f>
        <v>169890</v>
      </c>
      <c r="AM29" s="68">
        <f>9717-64776</f>
        <v>-55059</v>
      </c>
      <c r="AN29" s="68">
        <f t="shared" si="15"/>
        <v>281101</v>
      </c>
      <c r="AO29" s="512">
        <f t="shared" si="16"/>
        <v>1.3969235889672925E-3</v>
      </c>
      <c r="AP29" s="68">
        <f t="shared" si="17"/>
        <v>181999.66666666666</v>
      </c>
      <c r="AQ29" s="512">
        <f t="shared" si="18"/>
        <v>6.695699337571421E-4</v>
      </c>
    </row>
    <row r="30" spans="1:43">
      <c r="A30" s="438" t="s">
        <v>119</v>
      </c>
      <c r="B30" s="455">
        <f t="shared" si="2"/>
        <v>1043787.0087580103</v>
      </c>
      <c r="C30" s="452">
        <f t="shared" si="3"/>
        <v>911710.23323784571</v>
      </c>
      <c r="D30" s="455">
        <f t="shared" si="4"/>
        <v>886914.83143400238</v>
      </c>
      <c r="E30" s="455"/>
      <c r="G30" s="438" t="s">
        <v>119</v>
      </c>
      <c r="H30" s="455">
        <f>560586+2802729+1442962+21759167+409924+1635239</f>
        <v>28610607</v>
      </c>
      <c r="I30" s="455">
        <v>20379242</v>
      </c>
      <c r="J30" s="455">
        <v>15721351</v>
      </c>
      <c r="K30" s="455">
        <v>15518890</v>
      </c>
      <c r="L30" s="455">
        <v>15752576</v>
      </c>
      <c r="M30" s="455">
        <v>23256028</v>
      </c>
      <c r="N30" s="455">
        <f t="shared" si="5"/>
        <v>15664272.333333334</v>
      </c>
      <c r="O30" s="512">
        <f>N30/N$54</f>
        <v>0.10010783383239787</v>
      </c>
      <c r="P30" s="455">
        <f t="shared" si="7"/>
        <v>18175831.333333332</v>
      </c>
      <c r="Q30" s="512">
        <f t="shared" si="8"/>
        <v>0.11086857650936327</v>
      </c>
      <c r="R30" s="385"/>
      <c r="S30" s="505"/>
      <c r="T30" s="455">
        <v>5000351.83</v>
      </c>
      <c r="U30" s="455">
        <v>4448459.2300000004</v>
      </c>
      <c r="V30" s="455">
        <v>4316658.5</v>
      </c>
      <c r="W30" s="455">
        <v>3889160.63</v>
      </c>
      <c r="X30" s="455">
        <v>4110062</v>
      </c>
      <c r="Y30" s="455">
        <v>4497872</v>
      </c>
      <c r="Z30" s="455">
        <v>4324127</v>
      </c>
      <c r="AA30" s="455">
        <f>AVERAGE(T30:V30)</f>
        <v>4588489.8533333335</v>
      </c>
      <c r="AB30" s="512">
        <f>AA30/AA$54</f>
        <v>0.1252466949426122</v>
      </c>
      <c r="AC30" s="452">
        <f>AVERAGE(V30:X30)</f>
        <v>4105293.7099999995</v>
      </c>
      <c r="AD30" s="512">
        <f>AC30/AC$54</f>
        <v>0.10939846204281661</v>
      </c>
      <c r="AE30" s="452">
        <f t="shared" si="19"/>
        <v>4165698.2099999995</v>
      </c>
      <c r="AF30" s="512">
        <f>AE30/AE$54</f>
        <v>0.10642319783695078</v>
      </c>
      <c r="AH30" s="455">
        <f>14451295+615000+1682607+1919998+840268+4153105</f>
        <v>23662273</v>
      </c>
      <c r="AI30" s="455">
        <v>17091769</v>
      </c>
      <c r="AJ30" s="455">
        <v>23785270</v>
      </c>
      <c r="AK30" s="455">
        <f>12193733+930000+511827+2273164+693120+1161691</f>
        <v>17763535</v>
      </c>
      <c r="AL30" s="455">
        <f>17626262+400000+528737+2110764+1542671+4847497+0</f>
        <v>27055931</v>
      </c>
      <c r="AM30" s="455">
        <f>1846047+2314208+1411643+1119196+370000+18230430</f>
        <v>25291524</v>
      </c>
      <c r="AN30" s="455">
        <f t="shared" si="15"/>
        <v>19546858</v>
      </c>
      <c r="AO30" s="512">
        <f t="shared" si="16"/>
        <v>9.7137566320980834E-2</v>
      </c>
      <c r="AP30" s="455">
        <f t="shared" si="17"/>
        <v>23370330</v>
      </c>
      <c r="AQ30" s="512">
        <f t="shared" si="18"/>
        <v>8.59785657665081E-2</v>
      </c>
    </row>
    <row r="31" spans="1:43">
      <c r="A31" s="441"/>
      <c r="B31" s="442"/>
      <c r="C31" s="442"/>
      <c r="D31" s="442"/>
      <c r="E31" s="779"/>
      <c r="G31" s="441"/>
      <c r="H31" s="442">
        <f t="shared" ref="H31:L31" si="20">SUM(H12:H30)</f>
        <v>169230528.22999999</v>
      </c>
      <c r="I31" s="442">
        <f t="shared" si="20"/>
        <v>154870351.34999999</v>
      </c>
      <c r="J31" s="442">
        <f t="shared" si="20"/>
        <v>145193371.05000001</v>
      </c>
      <c r="K31" s="442">
        <f t="shared" si="20"/>
        <v>152349156.48999998</v>
      </c>
      <c r="L31" s="442">
        <f t="shared" si="20"/>
        <v>156190468</v>
      </c>
      <c r="M31" s="442">
        <f>SUM(M12:M30)</f>
        <v>165584800</v>
      </c>
      <c r="N31" s="442">
        <f>SUM(N12:N30)</f>
        <v>151260210.09833333</v>
      </c>
      <c r="O31" s="385"/>
      <c r="P31" s="442">
        <f>SUM(P12:P30)</f>
        <v>158041474.82999998</v>
      </c>
      <c r="Q31" s="385"/>
      <c r="R31" s="385"/>
      <c r="S31" s="185"/>
      <c r="T31" s="442"/>
      <c r="U31" s="442"/>
      <c r="V31" s="442"/>
      <c r="W31" s="442"/>
      <c r="X31" s="442"/>
      <c r="Y31" s="442"/>
      <c r="Z31" s="442"/>
      <c r="AA31" s="442"/>
      <c r="AB31" s="385"/>
      <c r="AC31" s="442"/>
      <c r="AD31" s="385"/>
      <c r="AE31" s="442"/>
      <c r="AF31" s="385"/>
      <c r="AH31" s="442">
        <f t="shared" ref="AH31:AN31" si="21">SUM(AH12:AH30)</f>
        <v>203091055</v>
      </c>
      <c r="AI31" s="442">
        <f t="shared" si="21"/>
        <v>178702506</v>
      </c>
      <c r="AJ31" s="442">
        <f t="shared" si="21"/>
        <v>197701358</v>
      </c>
      <c r="AK31" s="442">
        <f t="shared" si="21"/>
        <v>210198329</v>
      </c>
      <c r="AL31" s="442">
        <f t="shared" si="21"/>
        <v>235884664</v>
      </c>
      <c r="AM31" s="442">
        <f t="shared" si="21"/>
        <v>338617174</v>
      </c>
      <c r="AN31" s="442">
        <f t="shared" si="21"/>
        <v>195534064.33333337</v>
      </c>
      <c r="AO31" s="385"/>
      <c r="AP31" s="442">
        <f>SUM(AP12:AP30)</f>
        <v>261566722.33333334</v>
      </c>
      <c r="AQ31" s="385"/>
    </row>
    <row r="32" spans="1:43">
      <c r="A32" s="213"/>
      <c r="B32" s="66"/>
      <c r="C32" s="66"/>
      <c r="D32" s="66"/>
      <c r="E32" s="66"/>
      <c r="G32" s="213"/>
      <c r="H32" s="66"/>
      <c r="I32" s="66"/>
      <c r="J32" s="66"/>
      <c r="K32" s="66"/>
      <c r="L32" s="66"/>
      <c r="M32" s="66"/>
      <c r="N32" s="66"/>
      <c r="O32" s="385"/>
      <c r="P32" s="66"/>
      <c r="Q32" s="385"/>
      <c r="R32" s="385"/>
      <c r="S32" s="185"/>
      <c r="T32" s="66"/>
      <c r="U32" s="66"/>
      <c r="V32" s="66"/>
      <c r="W32" s="66"/>
      <c r="X32" s="66"/>
      <c r="Y32" s="66"/>
      <c r="Z32" s="66"/>
      <c r="AA32" s="66"/>
      <c r="AB32" s="385"/>
      <c r="AC32" s="66"/>
      <c r="AD32" s="385"/>
      <c r="AE32" s="66"/>
      <c r="AF32" s="385"/>
      <c r="AH32" s="66"/>
      <c r="AI32" s="66"/>
      <c r="AJ32" s="66"/>
      <c r="AK32" s="66"/>
      <c r="AL32" s="66"/>
      <c r="AM32" s="66"/>
      <c r="AN32" s="66"/>
      <c r="AO32" s="385"/>
      <c r="AP32" s="66"/>
      <c r="AQ32" s="385"/>
    </row>
    <row r="33" spans="1:43">
      <c r="A33" s="203"/>
      <c r="G33" s="203"/>
      <c r="O33" s="385"/>
      <c r="Q33" s="385"/>
      <c r="R33" s="385"/>
      <c r="S33" s="185"/>
      <c r="AB33" s="385"/>
      <c r="AD33" s="385"/>
      <c r="AF33" s="385"/>
      <c r="AO33" s="385"/>
      <c r="AQ33" s="385"/>
    </row>
    <row r="34" spans="1:43">
      <c r="A34" s="76" t="s">
        <v>121</v>
      </c>
      <c r="B34" s="78"/>
      <c r="C34" s="78"/>
      <c r="D34" s="78"/>
      <c r="E34" s="78"/>
      <c r="G34" s="76" t="s">
        <v>121</v>
      </c>
      <c r="H34" s="78"/>
      <c r="I34" s="78"/>
      <c r="J34" s="78"/>
      <c r="K34" s="78"/>
      <c r="L34" s="78"/>
      <c r="M34" s="78"/>
      <c r="N34" s="78"/>
      <c r="O34" s="385"/>
      <c r="P34" s="78"/>
      <c r="Q34" s="385"/>
      <c r="R34" s="385"/>
      <c r="S34" s="185"/>
      <c r="T34" s="78"/>
      <c r="U34" s="78"/>
      <c r="V34" s="78"/>
      <c r="W34" s="78"/>
      <c r="X34" s="78"/>
      <c r="Y34" s="78"/>
      <c r="Z34" s="78"/>
      <c r="AA34" s="78"/>
      <c r="AB34" s="385"/>
      <c r="AC34" s="78"/>
      <c r="AD34" s="385"/>
      <c r="AE34" s="78"/>
      <c r="AF34" s="385"/>
      <c r="AH34" s="78"/>
      <c r="AI34" s="78"/>
      <c r="AJ34" s="78"/>
      <c r="AK34" s="78"/>
      <c r="AL34" s="78"/>
      <c r="AM34" s="78"/>
      <c r="AN34" s="78"/>
      <c r="AO34" s="385"/>
      <c r="AP34" s="78"/>
      <c r="AQ34" s="385"/>
    </row>
    <row r="35" spans="1:43">
      <c r="A35" s="214" t="s">
        <v>122</v>
      </c>
      <c r="B35" s="452">
        <f t="shared" ref="B35:B52" si="22">B$3*(B$5*O35+B$6*AB35+B$7*AO35)</f>
        <v>3.0573233996620002</v>
      </c>
      <c r="C35" s="452">
        <f t="shared" ref="C35:C52" si="23">B$3*(B$5*Q35+B$6*AD35+B$7*AQ35)</f>
        <v>0</v>
      </c>
      <c r="D35" s="452">
        <f t="shared" ref="D35:D52" si="24">B$3*(B$5*Q35+B$6*AF35+B$7*AQ35)</f>
        <v>2716.5065167470298</v>
      </c>
      <c r="E35" s="452"/>
      <c r="G35" s="214" t="s">
        <v>122</v>
      </c>
      <c r="H35" s="453"/>
      <c r="I35" s="453">
        <v>0</v>
      </c>
      <c r="J35" s="453"/>
      <c r="K35" s="453"/>
      <c r="L35" s="453">
        <v>249939</v>
      </c>
      <c r="M35" s="453">
        <v>255180</v>
      </c>
      <c r="N35" s="452">
        <f t="shared" ref="N35:N48" si="25">AVERAGE(J35:L35)</f>
        <v>249939</v>
      </c>
      <c r="O35" s="512">
        <f t="shared" ref="O35:O52" si="26">N35/N$54</f>
        <v>1.5973197699705268E-3</v>
      </c>
      <c r="P35" s="452">
        <f t="shared" ref="P35:P52" si="27">SUM(K35,L35,M35)/3</f>
        <v>168373</v>
      </c>
      <c r="Q35" s="512">
        <f t="shared" ref="Q35:Q52" si="28">P35/P$54</f>
        <v>1.0270382955401007E-3</v>
      </c>
      <c r="R35" s="184"/>
      <c r="S35" s="505"/>
      <c r="T35" s="452">
        <v>40.32</v>
      </c>
      <c r="U35" s="452">
        <v>0</v>
      </c>
      <c r="V35" s="452">
        <v>0</v>
      </c>
      <c r="W35" s="452">
        <v>0</v>
      </c>
      <c r="X35" s="452"/>
      <c r="Y35" s="452">
        <v>25518</v>
      </c>
      <c r="Z35" s="452"/>
      <c r="AA35" s="452">
        <f>AVERAGE(T35:V35)</f>
        <v>13.44</v>
      </c>
      <c r="AB35" s="512">
        <f>AA35/AA$54</f>
        <v>3.6685611907932066E-7</v>
      </c>
      <c r="AC35" s="452">
        <f>AVERAGE(V35:X35)</f>
        <v>0</v>
      </c>
      <c r="AD35" s="512">
        <f>AC35/AC$54</f>
        <v>0</v>
      </c>
      <c r="AE35" s="452">
        <f>AVERAGE(W35:Y35)</f>
        <v>12759</v>
      </c>
      <c r="AF35" s="512">
        <f>AE35/AE$54</f>
        <v>3.2596062238547403E-4</v>
      </c>
      <c r="AH35" s="452"/>
      <c r="AI35" s="452"/>
      <c r="AJ35" s="452"/>
      <c r="AK35" s="452"/>
      <c r="AL35" s="452">
        <f>5000+272693</f>
        <v>277693</v>
      </c>
      <c r="AM35" s="452">
        <f>259745+15000</f>
        <v>274745</v>
      </c>
      <c r="AN35" s="452">
        <f t="shared" ref="AN35:AN52" si="29">SUM(AI35:AK35)/3</f>
        <v>0</v>
      </c>
      <c r="AO35" s="512">
        <f t="shared" ref="AO35:AO52" si="30">AN35/AN$54</f>
        <v>0</v>
      </c>
      <c r="AP35" s="452">
        <f t="shared" ref="AP35:AP52" si="31">SUM(AK35:AM35)/3</f>
        <v>184146</v>
      </c>
      <c r="AQ35" s="512">
        <f t="shared" ref="AQ35:AQ52" si="32">AP35/AP$54</f>
        <v>6.7746621342699921E-4</v>
      </c>
    </row>
    <row r="36" spans="1:43">
      <c r="A36" s="213" t="s">
        <v>123</v>
      </c>
      <c r="B36" s="454">
        <f t="shared" si="22"/>
        <v>0</v>
      </c>
      <c r="C36" s="452">
        <f t="shared" si="23"/>
        <v>0</v>
      </c>
      <c r="D36" s="454">
        <f t="shared" si="24"/>
        <v>0</v>
      </c>
      <c r="E36" s="454"/>
      <c r="G36" s="213" t="s">
        <v>123</v>
      </c>
      <c r="H36" s="454"/>
      <c r="I36" s="454"/>
      <c r="J36" s="454"/>
      <c r="K36" s="454"/>
      <c r="L36" s="454"/>
      <c r="M36" s="454"/>
      <c r="N36" s="454">
        <v>0</v>
      </c>
      <c r="O36" s="512">
        <f t="shared" si="26"/>
        <v>0</v>
      </c>
      <c r="P36" s="454">
        <f t="shared" si="27"/>
        <v>0</v>
      </c>
      <c r="Q36" s="512">
        <f t="shared" si="28"/>
        <v>0</v>
      </c>
      <c r="R36" s="385"/>
      <c r="S36" s="185"/>
      <c r="T36" s="454"/>
      <c r="U36" s="454"/>
      <c r="V36" s="454"/>
      <c r="W36" s="454"/>
      <c r="X36" s="454"/>
      <c r="Y36" s="454"/>
      <c r="Z36" s="454"/>
      <c r="AA36" s="454"/>
      <c r="AB36" s="512"/>
      <c r="AC36" s="454"/>
      <c r="AD36" s="512"/>
      <c r="AE36" s="454"/>
      <c r="AF36" s="512"/>
      <c r="AH36" s="454"/>
      <c r="AI36" s="454"/>
      <c r="AJ36" s="454"/>
      <c r="AK36" s="454"/>
      <c r="AL36" s="454"/>
      <c r="AM36" s="454"/>
      <c r="AN36" s="454">
        <f t="shared" si="29"/>
        <v>0</v>
      </c>
      <c r="AO36" s="512">
        <f t="shared" si="30"/>
        <v>0</v>
      </c>
      <c r="AP36" s="454">
        <f t="shared" si="31"/>
        <v>0</v>
      </c>
      <c r="AQ36" s="512">
        <f t="shared" si="32"/>
        <v>0</v>
      </c>
    </row>
    <row r="37" spans="1:43">
      <c r="A37" s="76" t="s">
        <v>124</v>
      </c>
      <c r="B37" s="454">
        <f t="shared" si="22"/>
        <v>0</v>
      </c>
      <c r="C37" s="452">
        <f t="shared" si="23"/>
        <v>0</v>
      </c>
      <c r="D37" s="454">
        <f t="shared" si="24"/>
        <v>0</v>
      </c>
      <c r="E37" s="454"/>
      <c r="G37" s="76" t="s">
        <v>124</v>
      </c>
      <c r="H37" s="454">
        <v>12502</v>
      </c>
      <c r="I37" s="454">
        <v>259231</v>
      </c>
      <c r="J37" s="454">
        <v>627626</v>
      </c>
      <c r="K37" s="454">
        <v>1167741</v>
      </c>
      <c r="L37" s="454">
        <f>3061318-L39-L25-L40+1023403</f>
        <v>1067276</v>
      </c>
      <c r="M37" s="454">
        <f>4744591-M39-M40+1097213</f>
        <v>1369493</v>
      </c>
      <c r="N37" s="454">
        <f t="shared" si="25"/>
        <v>954214.33333333337</v>
      </c>
      <c r="O37" s="512">
        <f t="shared" si="26"/>
        <v>6.0982296457238756E-3</v>
      </c>
      <c r="P37" s="454">
        <f t="shared" si="27"/>
        <v>1201503.3333333333</v>
      </c>
      <c r="Q37" s="512">
        <f t="shared" si="28"/>
        <v>7.3289062709128907E-3</v>
      </c>
      <c r="R37" s="385"/>
      <c r="S37" s="185"/>
      <c r="T37" s="454"/>
      <c r="U37" s="454"/>
      <c r="V37" s="454"/>
      <c r="W37" s="454"/>
      <c r="X37" s="454"/>
      <c r="Y37" s="454">
        <v>184612</v>
      </c>
      <c r="Z37" s="454"/>
      <c r="AA37" s="454"/>
      <c r="AB37" s="512"/>
      <c r="AC37" s="454"/>
      <c r="AD37" s="512"/>
      <c r="AE37" s="454"/>
      <c r="AF37" s="512"/>
      <c r="AH37" s="454"/>
      <c r="AI37" s="454"/>
      <c r="AJ37" s="454"/>
      <c r="AK37" s="454"/>
      <c r="AL37" s="454">
        <f>1471788</f>
        <v>1471788</v>
      </c>
      <c r="AM37" s="454">
        <f>1050000+1505252+85000</f>
        <v>2640252</v>
      </c>
      <c r="AN37" s="454">
        <f t="shared" si="29"/>
        <v>0</v>
      </c>
      <c r="AO37" s="512">
        <f t="shared" si="30"/>
        <v>0</v>
      </c>
      <c r="AP37" s="454">
        <f t="shared" si="31"/>
        <v>1370680</v>
      </c>
      <c r="AQ37" s="512">
        <f t="shared" si="32"/>
        <v>5.0426802071189122E-3</v>
      </c>
    </row>
    <row r="38" spans="1:43">
      <c r="A38" s="214" t="s">
        <v>125</v>
      </c>
      <c r="B38" s="452">
        <f t="shared" si="22"/>
        <v>0</v>
      </c>
      <c r="C38" s="452">
        <f t="shared" si="23"/>
        <v>0</v>
      </c>
      <c r="D38" s="452">
        <f t="shared" si="24"/>
        <v>0</v>
      </c>
      <c r="E38" s="452"/>
      <c r="G38" s="214" t="s">
        <v>125</v>
      </c>
      <c r="H38" s="453"/>
      <c r="I38" s="453"/>
      <c r="J38" s="453"/>
      <c r="K38" s="453"/>
      <c r="L38" s="453"/>
      <c r="M38" s="453"/>
      <c r="N38" s="452">
        <v>0</v>
      </c>
      <c r="O38" s="512">
        <f t="shared" si="26"/>
        <v>0</v>
      </c>
      <c r="P38" s="452">
        <f t="shared" si="27"/>
        <v>0</v>
      </c>
      <c r="Q38" s="512">
        <f t="shared" si="28"/>
        <v>0</v>
      </c>
      <c r="R38" s="385"/>
      <c r="S38" s="185"/>
      <c r="T38" s="452"/>
      <c r="U38" s="452"/>
      <c r="V38" s="452"/>
      <c r="W38" s="452"/>
      <c r="X38" s="452"/>
      <c r="Y38" s="452"/>
      <c r="Z38" s="452"/>
      <c r="AA38" s="452"/>
      <c r="AB38" s="512"/>
      <c r="AC38" s="452"/>
      <c r="AD38" s="512"/>
      <c r="AE38" s="452"/>
      <c r="AF38" s="512"/>
      <c r="AH38" s="452"/>
      <c r="AI38" s="452"/>
      <c r="AJ38" s="452"/>
      <c r="AK38" s="452"/>
      <c r="AL38" s="452"/>
      <c r="AM38" s="452"/>
      <c r="AN38" s="452">
        <f t="shared" si="29"/>
        <v>0</v>
      </c>
      <c r="AO38" s="512">
        <f t="shared" si="30"/>
        <v>0</v>
      </c>
      <c r="AP38" s="452">
        <f t="shared" si="31"/>
        <v>0</v>
      </c>
      <c r="AQ38" s="512">
        <f t="shared" si="32"/>
        <v>0</v>
      </c>
    </row>
    <row r="39" spans="1:43">
      <c r="A39" s="213" t="s">
        <v>126</v>
      </c>
      <c r="B39" s="454">
        <f t="shared" si="22"/>
        <v>0</v>
      </c>
      <c r="C39" s="452">
        <f t="shared" si="23"/>
        <v>20895.056765772024</v>
      </c>
      <c r="D39" s="454">
        <f t="shared" si="24"/>
        <v>36809.196993930658</v>
      </c>
      <c r="E39" s="454"/>
      <c r="G39" s="213" t="s">
        <v>126</v>
      </c>
      <c r="H39" s="454"/>
      <c r="I39" s="454"/>
      <c r="J39" s="454"/>
      <c r="K39" s="454">
        <v>1418128</v>
      </c>
      <c r="L39" s="454">
        <f>2671591+276625</f>
        <v>2948216</v>
      </c>
      <c r="M39" s="454">
        <f>404901+72149+5703+3092477</f>
        <v>3575230</v>
      </c>
      <c r="N39" s="454">
        <f t="shared" si="25"/>
        <v>2183172</v>
      </c>
      <c r="O39" s="512">
        <f t="shared" si="26"/>
        <v>1.3952299548474208E-2</v>
      </c>
      <c r="P39" s="454">
        <f t="shared" si="27"/>
        <v>2647191.3333333335</v>
      </c>
      <c r="Q39" s="512">
        <f t="shared" si="28"/>
        <v>1.6147285342395713E-2</v>
      </c>
      <c r="R39" s="184"/>
      <c r="S39" s="505"/>
      <c r="T39" s="454">
        <v>0</v>
      </c>
      <c r="U39" s="454">
        <v>0</v>
      </c>
      <c r="V39" s="454">
        <v>0</v>
      </c>
      <c r="W39" s="454">
        <v>82258.87</v>
      </c>
      <c r="X39" s="454">
        <v>200003</v>
      </c>
      <c r="Y39" s="454">
        <f>249899-Y40</f>
        <v>236399</v>
      </c>
      <c r="Z39" s="454">
        <v>276926</v>
      </c>
      <c r="AA39" s="454">
        <f>AVERAGE(T39:V39)</f>
        <v>0</v>
      </c>
      <c r="AB39" s="512">
        <f>AA39/AA$54</f>
        <v>0</v>
      </c>
      <c r="AC39" s="452">
        <f>AVERAGE(V39:X39)</f>
        <v>94087.29</v>
      </c>
      <c r="AD39" s="512">
        <f>AC39/AC$54</f>
        <v>2.5072517463741906E-3</v>
      </c>
      <c r="AE39" s="452">
        <f t="shared" ref="AE39:AE40" si="33">AVERAGE(W39:Y39)</f>
        <v>172886.95666666667</v>
      </c>
      <c r="AF39" s="512">
        <f>AE39/AE$54</f>
        <v>4.4168304724035694E-3</v>
      </c>
      <c r="AH39" s="454">
        <v>510732</v>
      </c>
      <c r="AI39" s="454">
        <v>134384</v>
      </c>
      <c r="AJ39" s="454">
        <v>0</v>
      </c>
      <c r="AK39" s="454">
        <f>4052764+218472</f>
        <v>4271236</v>
      </c>
      <c r="AL39" s="454">
        <v>4316935</v>
      </c>
      <c r="AM39" s="454">
        <v>2891902</v>
      </c>
      <c r="AN39" s="454">
        <f t="shared" si="29"/>
        <v>1468540</v>
      </c>
      <c r="AO39" s="512">
        <f t="shared" si="30"/>
        <v>7.2978686213924096E-3</v>
      </c>
      <c r="AP39" s="454">
        <f t="shared" si="31"/>
        <v>3826691</v>
      </c>
      <c r="AQ39" s="512">
        <f t="shared" si="32"/>
        <v>1.40782523743398E-2</v>
      </c>
    </row>
    <row r="40" spans="1:43">
      <c r="A40" s="437" t="s">
        <v>552</v>
      </c>
      <c r="B40" s="454">
        <f t="shared" si="22"/>
        <v>11638.933701002999</v>
      </c>
      <c r="C40" s="452">
        <f t="shared" si="23"/>
        <v>9473.1671606715918</v>
      </c>
      <c r="D40" s="454">
        <f t="shared" si="24"/>
        <v>6650.372311343961</v>
      </c>
      <c r="E40" s="454"/>
      <c r="G40" s="437" t="s">
        <v>552</v>
      </c>
      <c r="H40" s="454">
        <v>730435</v>
      </c>
      <c r="I40" s="454"/>
      <c r="J40" s="454"/>
      <c r="K40" s="454"/>
      <c r="L40" s="454">
        <f>51730+7491</f>
        <v>59221</v>
      </c>
      <c r="M40">
        <f>201433+250031+445617</f>
        <v>897081</v>
      </c>
      <c r="N40" s="454">
        <f t="shared" si="25"/>
        <v>59221</v>
      </c>
      <c r="O40" s="512">
        <f t="shared" si="26"/>
        <v>3.7847184351951705E-4</v>
      </c>
      <c r="P40" s="454">
        <f t="shared" si="27"/>
        <v>318767.33333333331</v>
      </c>
      <c r="Q40" s="512">
        <f t="shared" si="28"/>
        <v>1.9444106757053078E-3</v>
      </c>
      <c r="R40" s="385"/>
      <c r="S40" s="185"/>
      <c r="T40" s="454">
        <v>49871.9</v>
      </c>
      <c r="U40" s="454">
        <v>55860.93</v>
      </c>
      <c r="V40" s="454">
        <v>47761.5</v>
      </c>
      <c r="W40" s="454">
        <v>47377.23</v>
      </c>
      <c r="X40" s="454">
        <v>32830</v>
      </c>
      <c r="Y40" s="1493">
        <v>13500</v>
      </c>
      <c r="Z40" s="454">
        <v>13003</v>
      </c>
      <c r="AA40" s="454">
        <f>AVERAGE(T40:V40)</f>
        <v>51164.776666666672</v>
      </c>
      <c r="AB40" s="512">
        <f>AA40/AA$54</f>
        <v>1.3965856697539818E-3</v>
      </c>
      <c r="AC40" s="452">
        <f>AVERAGE(V40:X40)</f>
        <v>42656.243333333339</v>
      </c>
      <c r="AD40" s="512">
        <f>AC40/AC$54</f>
        <v>1.1367097574099801E-3</v>
      </c>
      <c r="AE40" s="452">
        <f t="shared" si="33"/>
        <v>31235.743333333336</v>
      </c>
      <c r="AF40" s="512">
        <f>AE40/AE$54</f>
        <v>7.9799532389734744E-4</v>
      </c>
      <c r="AH40" s="454">
        <v>871263</v>
      </c>
      <c r="AI40" s="454">
        <v>856358</v>
      </c>
      <c r="AJ40" s="454">
        <v>833497</v>
      </c>
      <c r="AK40" s="454">
        <f>918943+284062</f>
        <v>1203005</v>
      </c>
      <c r="AL40" s="454">
        <v>955961</v>
      </c>
      <c r="AM40" s="454">
        <v>2329624</v>
      </c>
      <c r="AN40" s="454">
        <f t="shared" si="29"/>
        <v>964286.66666666663</v>
      </c>
      <c r="AO40" s="512">
        <f t="shared" si="30"/>
        <v>4.7919957282019886E-3</v>
      </c>
      <c r="AP40" s="454">
        <f t="shared" si="31"/>
        <v>1496196.6666666667</v>
      </c>
      <c r="AQ40" s="512">
        <f t="shared" si="32"/>
        <v>5.5044513066195557E-3</v>
      </c>
    </row>
    <row r="41" spans="1:43">
      <c r="A41" s="213" t="s">
        <v>127</v>
      </c>
      <c r="B41" s="454">
        <f t="shared" si="22"/>
        <v>0</v>
      </c>
      <c r="C41" s="452">
        <f t="shared" si="23"/>
        <v>0</v>
      </c>
      <c r="D41" s="454">
        <f t="shared" si="24"/>
        <v>0</v>
      </c>
      <c r="E41" s="454"/>
      <c r="G41" s="213" t="s">
        <v>127</v>
      </c>
      <c r="H41" s="454"/>
      <c r="I41" s="454">
        <v>55861</v>
      </c>
      <c r="J41" s="454">
        <v>804774</v>
      </c>
      <c r="K41" s="454">
        <v>778416</v>
      </c>
      <c r="L41" s="454">
        <v>565238</v>
      </c>
      <c r="M41" s="454">
        <v>461005</v>
      </c>
      <c r="N41" s="454">
        <f t="shared" si="25"/>
        <v>716142.66666666663</v>
      </c>
      <c r="O41" s="512">
        <f t="shared" si="26"/>
        <v>4.5767520858532671E-3</v>
      </c>
      <c r="P41" s="454">
        <f t="shared" si="27"/>
        <v>601553</v>
      </c>
      <c r="Q41" s="512">
        <f t="shared" si="28"/>
        <v>3.6693410926753947E-3</v>
      </c>
      <c r="R41" s="385"/>
      <c r="S41" s="505"/>
      <c r="T41" s="454"/>
      <c r="U41" s="454"/>
      <c r="V41" s="454"/>
      <c r="W41" s="454"/>
      <c r="X41" s="454"/>
      <c r="Y41" s="454">
        <v>23061</v>
      </c>
      <c r="Z41" s="454"/>
      <c r="AA41" s="454"/>
      <c r="AB41" s="512"/>
      <c r="AC41" s="454"/>
      <c r="AD41" s="512"/>
      <c r="AE41" s="454"/>
      <c r="AF41" s="512"/>
      <c r="AH41" s="454"/>
      <c r="AI41" s="454"/>
      <c r="AJ41" s="454"/>
      <c r="AK41" s="454"/>
      <c r="AL41" s="454">
        <f>3000-89168+793598</f>
        <v>707430</v>
      </c>
      <c r="AM41" s="454">
        <v>-186942</v>
      </c>
      <c r="AN41" s="454">
        <f t="shared" si="29"/>
        <v>0</v>
      </c>
      <c r="AO41" s="512">
        <f t="shared" si="30"/>
        <v>0</v>
      </c>
      <c r="AP41" s="454">
        <f t="shared" si="31"/>
        <v>173496</v>
      </c>
      <c r="AQ41" s="512">
        <f t="shared" si="32"/>
        <v>6.3828526367518514E-4</v>
      </c>
    </row>
    <row r="42" spans="1:43">
      <c r="A42" s="214" t="s">
        <v>128</v>
      </c>
      <c r="B42" s="452">
        <f t="shared" si="22"/>
        <v>3260.6846929471071</v>
      </c>
      <c r="C42" s="452">
        <f t="shared" si="23"/>
        <v>11945.23157956101</v>
      </c>
      <c r="D42" s="452">
        <f t="shared" si="24"/>
        <v>9814.8593321935041</v>
      </c>
      <c r="E42" s="452"/>
      <c r="G42" s="214" t="s">
        <v>128</v>
      </c>
      <c r="H42" s="453">
        <v>24691</v>
      </c>
      <c r="I42" s="453"/>
      <c r="J42" s="453"/>
      <c r="K42" s="453"/>
      <c r="L42" s="453"/>
      <c r="M42" s="453"/>
      <c r="N42" s="452">
        <v>0</v>
      </c>
      <c r="O42" s="512">
        <f t="shared" si="26"/>
        <v>0</v>
      </c>
      <c r="P42" s="452">
        <f t="shared" si="27"/>
        <v>0</v>
      </c>
      <c r="Q42" s="512">
        <f t="shared" si="28"/>
        <v>0</v>
      </c>
      <c r="R42" s="385"/>
      <c r="S42" s="505"/>
      <c r="T42" s="452">
        <v>10428.709999999999</v>
      </c>
      <c r="U42" s="452">
        <v>0</v>
      </c>
      <c r="V42" s="452">
        <v>32573.22</v>
      </c>
      <c r="W42" s="452">
        <v>54464.51</v>
      </c>
      <c r="X42" s="452">
        <v>74325</v>
      </c>
      <c r="Y42" s="452">
        <v>9507</v>
      </c>
      <c r="Z42" s="452">
        <v>10080</v>
      </c>
      <c r="AA42" s="452">
        <f>AVERAGE(T42:V42)</f>
        <v>14333.976666666667</v>
      </c>
      <c r="AB42" s="512">
        <f>AA42/AA$54</f>
        <v>3.9125796509723742E-4</v>
      </c>
      <c r="AC42" s="452">
        <f>AVERAGE(V42:X42)</f>
        <v>53787.576666666668</v>
      </c>
      <c r="AD42" s="512">
        <f>AC42/AC$54</f>
        <v>1.4333391420959798E-3</v>
      </c>
      <c r="AE42" s="452">
        <f>AVERAGE(W42:Y42)</f>
        <v>46098.83666666667</v>
      </c>
      <c r="AF42" s="512">
        <f>AE42/AE$54</f>
        <v>1.1777102822410047E-3</v>
      </c>
      <c r="AH42" s="452">
        <v>36300</v>
      </c>
      <c r="AI42" s="452">
        <v>0</v>
      </c>
      <c r="AJ42" s="452">
        <v>0</v>
      </c>
      <c r="AK42" s="452">
        <v>0</v>
      </c>
      <c r="AL42" s="452"/>
      <c r="AM42" s="452"/>
      <c r="AN42" s="452">
        <f t="shared" si="29"/>
        <v>0</v>
      </c>
      <c r="AO42" s="512">
        <f t="shared" si="30"/>
        <v>0</v>
      </c>
      <c r="AP42" s="455">
        <f t="shared" si="31"/>
        <v>0</v>
      </c>
      <c r="AQ42" s="512">
        <f t="shared" si="32"/>
        <v>0</v>
      </c>
    </row>
    <row r="43" spans="1:43">
      <c r="A43" s="213" t="s">
        <v>553</v>
      </c>
      <c r="B43" s="454">
        <f t="shared" si="22"/>
        <v>0</v>
      </c>
      <c r="C43" s="452">
        <f t="shared" si="23"/>
        <v>0</v>
      </c>
      <c r="D43" s="454">
        <f t="shared" si="24"/>
        <v>0</v>
      </c>
      <c r="E43" s="454"/>
      <c r="G43" s="213" t="s">
        <v>553</v>
      </c>
      <c r="H43" s="454">
        <v>313828</v>
      </c>
      <c r="I43" s="454">
        <v>47910</v>
      </c>
      <c r="J43" s="454">
        <v>813</v>
      </c>
      <c r="K43" s="454"/>
      <c r="L43" s="454"/>
      <c r="M43" s="454"/>
      <c r="N43" s="454">
        <f t="shared" si="25"/>
        <v>813</v>
      </c>
      <c r="O43" s="512">
        <f t="shared" si="26"/>
        <v>5.1957516553480585E-6</v>
      </c>
      <c r="P43" s="454">
        <f t="shared" si="27"/>
        <v>0</v>
      </c>
      <c r="Q43" s="512">
        <f t="shared" si="28"/>
        <v>0</v>
      </c>
      <c r="R43" s="385"/>
      <c r="S43" s="185"/>
      <c r="T43" s="454"/>
      <c r="U43" s="454"/>
      <c r="V43" s="454"/>
      <c r="W43" s="454"/>
      <c r="X43" s="454"/>
      <c r="Y43" s="454"/>
      <c r="Z43" s="454"/>
      <c r="AA43" s="454"/>
      <c r="AB43" s="512"/>
      <c r="AC43" s="454"/>
      <c r="AD43" s="512"/>
      <c r="AE43" s="454"/>
      <c r="AF43" s="512"/>
      <c r="AH43" s="454">
        <v>440000</v>
      </c>
      <c r="AI43" s="454">
        <v>575500</v>
      </c>
      <c r="AJ43" s="454">
        <v>702000</v>
      </c>
      <c r="AK43" s="454">
        <v>1131500</v>
      </c>
      <c r="AL43" s="454">
        <v>1332160</v>
      </c>
      <c r="AM43" s="454">
        <v>1865580</v>
      </c>
      <c r="AN43" s="454">
        <f t="shared" si="29"/>
        <v>803000</v>
      </c>
      <c r="AO43" s="512">
        <f t="shared" si="30"/>
        <v>3.9904861311085187E-3</v>
      </c>
      <c r="AP43" s="453">
        <f t="shared" si="31"/>
        <v>1443080</v>
      </c>
      <c r="AQ43" s="512">
        <f t="shared" si="32"/>
        <v>5.3090370861828872E-3</v>
      </c>
    </row>
    <row r="44" spans="1:43">
      <c r="A44" s="76" t="s">
        <v>115</v>
      </c>
      <c r="B44" s="453">
        <f t="shared" si="22"/>
        <v>17417.560033903435</v>
      </c>
      <c r="C44" s="452">
        <f t="shared" si="23"/>
        <v>19791.324493086933</v>
      </c>
      <c r="D44" s="453">
        <f t="shared" si="24"/>
        <v>19295.178938731842</v>
      </c>
      <c r="E44" s="453"/>
      <c r="G44" s="76" t="s">
        <v>115</v>
      </c>
      <c r="H44" s="453">
        <v>1015920</v>
      </c>
      <c r="I44" s="453">
        <v>975064</v>
      </c>
      <c r="J44" s="453">
        <v>806561</v>
      </c>
      <c r="K44" s="453">
        <v>778416</v>
      </c>
      <c r="L44" s="453">
        <v>833269</v>
      </c>
      <c r="M44" s="453">
        <v>856624</v>
      </c>
      <c r="N44" s="453">
        <f t="shared" si="25"/>
        <v>806082</v>
      </c>
      <c r="O44" s="512">
        <f t="shared" si="26"/>
        <v>5.1515398349892662E-3</v>
      </c>
      <c r="P44" s="453">
        <f t="shared" si="27"/>
        <v>822769.66666666663</v>
      </c>
      <c r="Q44" s="512">
        <f t="shared" si="28"/>
        <v>5.0187141410762423E-3</v>
      </c>
      <c r="R44" s="385"/>
      <c r="S44" s="505"/>
      <c r="T44" s="453">
        <v>59551.97</v>
      </c>
      <c r="U44" s="453">
        <v>87662.05</v>
      </c>
      <c r="V44" s="453">
        <v>82488.87</v>
      </c>
      <c r="W44" s="453">
        <v>92924.18</v>
      </c>
      <c r="X44" s="453">
        <v>91939</v>
      </c>
      <c r="Y44" s="453">
        <v>87016</v>
      </c>
      <c r="Z44" s="453">
        <v>79940</v>
      </c>
      <c r="AA44" s="453">
        <f>AVERAGE(T44:V44)</f>
        <v>76567.63</v>
      </c>
      <c r="AB44" s="512">
        <f>AA44/AA$54</f>
        <v>2.0899779456027803E-3</v>
      </c>
      <c r="AC44" s="452">
        <f>AVERAGE(V44:X44)</f>
        <v>89117.349999999991</v>
      </c>
      <c r="AD44" s="512">
        <f>AC44/AC$54</f>
        <v>2.374812064623606E-3</v>
      </c>
      <c r="AE44" s="452">
        <f>AVERAGE(W44:Y44)</f>
        <v>90626.393333333326</v>
      </c>
      <c r="AF44" s="512">
        <f>AE44/AE$54</f>
        <v>2.315278280075563E-3</v>
      </c>
      <c r="AH44" s="453">
        <v>1820247</v>
      </c>
      <c r="AI44" s="453">
        <v>920510</v>
      </c>
      <c r="AJ44" s="453">
        <f>125000+881629</f>
        <v>1006629</v>
      </c>
      <c r="AK44" s="453">
        <v>1120420</v>
      </c>
      <c r="AL44" s="453">
        <f>15000+1181396</f>
        <v>1196396</v>
      </c>
      <c r="AM44" s="453">
        <f>885119-11677</f>
        <v>873442</v>
      </c>
      <c r="AN44" s="453">
        <f t="shared" si="29"/>
        <v>1015853</v>
      </c>
      <c r="AO44" s="512">
        <f t="shared" si="30"/>
        <v>5.0482531852365908E-3</v>
      </c>
      <c r="AP44" s="453">
        <f t="shared" si="31"/>
        <v>1063419.3333333333</v>
      </c>
      <c r="AQ44" s="512">
        <f t="shared" si="32"/>
        <v>3.9122797619193309E-3</v>
      </c>
    </row>
    <row r="45" spans="1:43">
      <c r="A45" s="438" t="s">
        <v>129</v>
      </c>
      <c r="B45" s="452">
        <f t="shared" si="22"/>
        <v>0</v>
      </c>
      <c r="C45" s="452">
        <f t="shared" si="23"/>
        <v>0</v>
      </c>
      <c r="D45" s="452">
        <f t="shared" si="24"/>
        <v>0</v>
      </c>
      <c r="E45" s="452"/>
      <c r="G45" s="438" t="s">
        <v>129</v>
      </c>
      <c r="H45" s="453">
        <v>2333</v>
      </c>
      <c r="I45" s="453"/>
      <c r="J45" s="453"/>
      <c r="K45" s="453"/>
      <c r="L45" s="453"/>
      <c r="M45" s="453"/>
      <c r="N45" s="452">
        <v>0</v>
      </c>
      <c r="O45" s="512">
        <f t="shared" si="26"/>
        <v>0</v>
      </c>
      <c r="P45" s="452">
        <f t="shared" si="27"/>
        <v>0</v>
      </c>
      <c r="Q45" s="512">
        <f t="shared" si="28"/>
        <v>0</v>
      </c>
      <c r="R45" s="385"/>
      <c r="S45" s="185"/>
      <c r="T45" s="452"/>
      <c r="U45" s="452"/>
      <c r="V45" s="452"/>
      <c r="W45" s="452"/>
      <c r="X45" s="452"/>
      <c r="Y45" s="452"/>
      <c r="Z45" s="452"/>
      <c r="AA45" s="452"/>
      <c r="AB45" s="512"/>
      <c r="AC45" s="452"/>
      <c r="AD45" s="512"/>
      <c r="AE45" s="452"/>
      <c r="AF45" s="512"/>
      <c r="AH45" s="452"/>
      <c r="AI45" s="452"/>
      <c r="AJ45" s="452"/>
      <c r="AK45" s="452"/>
      <c r="AL45" s="452"/>
      <c r="AM45" s="452"/>
      <c r="AN45" s="452">
        <f t="shared" si="29"/>
        <v>0</v>
      </c>
      <c r="AO45" s="512">
        <f t="shared" si="30"/>
        <v>0</v>
      </c>
      <c r="AP45" s="452">
        <f t="shared" si="31"/>
        <v>0</v>
      </c>
      <c r="AQ45" s="512">
        <f t="shared" si="32"/>
        <v>0</v>
      </c>
    </row>
    <row r="46" spans="1:43">
      <c r="A46" s="213" t="s">
        <v>130</v>
      </c>
      <c r="B46" s="453">
        <f t="shared" si="22"/>
        <v>9125.9321557790354</v>
      </c>
      <c r="C46" s="452">
        <f t="shared" si="23"/>
        <v>10513.41000265474</v>
      </c>
      <c r="D46" s="453">
        <f t="shared" si="24"/>
        <v>11032.846691728835</v>
      </c>
      <c r="E46" s="453"/>
      <c r="G46" s="213" t="s">
        <v>130</v>
      </c>
      <c r="H46" s="453">
        <f>1500+76148+11455+0+900+12839</f>
        <v>102842</v>
      </c>
      <c r="I46" s="453">
        <v>147836</v>
      </c>
      <c r="J46" s="453">
        <v>155975</v>
      </c>
      <c r="K46" s="453">
        <v>104194</v>
      </c>
      <c r="L46" s="453">
        <v>4408</v>
      </c>
      <c r="M46" s="453">
        <v>20078</v>
      </c>
      <c r="N46" s="453">
        <f t="shared" si="25"/>
        <v>88192.333333333328</v>
      </c>
      <c r="O46" s="512">
        <f t="shared" si="26"/>
        <v>5.6362295437352319E-4</v>
      </c>
      <c r="P46" s="453">
        <f t="shared" si="27"/>
        <v>42893.333333333336</v>
      </c>
      <c r="Q46" s="512">
        <f t="shared" si="28"/>
        <v>2.6163990637869528E-4</v>
      </c>
      <c r="R46" s="385"/>
      <c r="S46" s="505"/>
      <c r="T46" s="453">
        <v>24773.99</v>
      </c>
      <c r="U46" s="453">
        <v>36917.550000000003</v>
      </c>
      <c r="V46" s="453">
        <v>58661.31</v>
      </c>
      <c r="W46" s="453">
        <v>46730.59</v>
      </c>
      <c r="X46" s="453">
        <v>36629</v>
      </c>
      <c r="Y46" s="453">
        <v>72099</v>
      </c>
      <c r="Z46" s="453">
        <v>51807</v>
      </c>
      <c r="AA46" s="453">
        <f>AVERAGE(T46:V46)</f>
        <v>40117.616666666669</v>
      </c>
      <c r="AB46" s="512">
        <f>AA46/AA$54</f>
        <v>1.0950441337087206E-3</v>
      </c>
      <c r="AC46" s="452">
        <f>AVERAGE(V46:X46)</f>
        <v>47340.299999999996</v>
      </c>
      <c r="AD46" s="512">
        <f>AC46/AC$54</f>
        <v>1.2615311786414306E-3</v>
      </c>
      <c r="AE46" s="452">
        <f>AVERAGE(W46:Y46)</f>
        <v>51819.53</v>
      </c>
      <c r="AF46" s="512">
        <f>AE46/AE$54</f>
        <v>1.323859726508562E-3</v>
      </c>
      <c r="AH46" s="453">
        <f>900+12862+17000+52432</f>
        <v>83194</v>
      </c>
      <c r="AI46" s="453">
        <f>715567+3669+24691+79237</f>
        <v>823164</v>
      </c>
      <c r="AJ46" s="453">
        <f>1312216+551592</f>
        <v>1863808</v>
      </c>
      <c r="AK46" s="453">
        <f>1200568+2346+2310</f>
        <v>1205224</v>
      </c>
      <c r="AL46" s="453">
        <f>5667+223663+10000+30814+1046</f>
        <v>271190</v>
      </c>
      <c r="AM46" s="453">
        <f>3062+157128+1900</f>
        <v>162090</v>
      </c>
      <c r="AN46" s="453">
        <f t="shared" si="29"/>
        <v>1297398.6666666667</v>
      </c>
      <c r="AO46" s="512">
        <f t="shared" si="30"/>
        <v>6.4473865328169592E-3</v>
      </c>
      <c r="AP46" s="453">
        <f t="shared" si="31"/>
        <v>546168</v>
      </c>
      <c r="AQ46" s="512">
        <f t="shared" si="32"/>
        <v>2.0093315459200705E-3</v>
      </c>
    </row>
    <row r="47" spans="1:43">
      <c r="A47" s="213" t="s">
        <v>131</v>
      </c>
      <c r="B47" s="454">
        <f t="shared" si="22"/>
        <v>0</v>
      </c>
      <c r="C47" s="452">
        <f t="shared" si="23"/>
        <v>0</v>
      </c>
      <c r="D47" s="454">
        <f t="shared" si="24"/>
        <v>0</v>
      </c>
      <c r="E47" s="454"/>
      <c r="G47" s="213" t="s">
        <v>131</v>
      </c>
      <c r="H47" s="454"/>
      <c r="I47" s="454"/>
      <c r="J47" s="454"/>
      <c r="K47" s="454"/>
      <c r="L47" s="454"/>
      <c r="M47" s="454"/>
      <c r="N47" s="454">
        <v>0</v>
      </c>
      <c r="O47" s="512">
        <f t="shared" si="26"/>
        <v>0</v>
      </c>
      <c r="P47" s="454">
        <f t="shared" si="27"/>
        <v>0</v>
      </c>
      <c r="Q47" s="512">
        <f t="shared" si="28"/>
        <v>0</v>
      </c>
      <c r="R47" s="385"/>
      <c r="S47" s="185"/>
      <c r="T47" s="454"/>
      <c r="U47" s="454"/>
      <c r="V47" s="454"/>
      <c r="W47" s="454"/>
      <c r="X47" s="454"/>
      <c r="Y47" s="454"/>
      <c r="Z47" s="454"/>
      <c r="AA47" s="454"/>
      <c r="AB47" s="512"/>
      <c r="AC47" s="454"/>
      <c r="AD47" s="512"/>
      <c r="AE47" s="454"/>
      <c r="AF47" s="512"/>
      <c r="AH47" s="454"/>
      <c r="AI47" s="454"/>
      <c r="AJ47" s="454"/>
      <c r="AK47" s="454"/>
      <c r="AL47" s="454"/>
      <c r="AM47" s="454"/>
      <c r="AN47" s="454">
        <f t="shared" si="29"/>
        <v>0</v>
      </c>
      <c r="AO47" s="512">
        <f t="shared" si="30"/>
        <v>0</v>
      </c>
      <c r="AP47" s="454">
        <f t="shared" si="31"/>
        <v>0</v>
      </c>
      <c r="AQ47" s="512">
        <f t="shared" si="32"/>
        <v>0</v>
      </c>
    </row>
    <row r="48" spans="1:43">
      <c r="A48" s="438" t="s">
        <v>132</v>
      </c>
      <c r="B48" s="452">
        <f t="shared" si="22"/>
        <v>0</v>
      </c>
      <c r="C48" s="452">
        <f t="shared" si="23"/>
        <v>0</v>
      </c>
      <c r="D48" s="452">
        <f t="shared" si="24"/>
        <v>0</v>
      </c>
      <c r="E48" s="452"/>
      <c r="G48" s="438" t="s">
        <v>132</v>
      </c>
      <c r="H48" s="453"/>
      <c r="I48" s="453">
        <v>90576</v>
      </c>
      <c r="J48" s="453"/>
      <c r="K48" s="453"/>
      <c r="L48" s="453">
        <v>156005</v>
      </c>
      <c r="M48" s="453">
        <v>131416</v>
      </c>
      <c r="N48" s="452">
        <f t="shared" si="25"/>
        <v>156005</v>
      </c>
      <c r="O48" s="512">
        <f t="shared" si="26"/>
        <v>9.9700275152838106E-4</v>
      </c>
      <c r="P48" s="452">
        <f t="shared" si="27"/>
        <v>95807</v>
      </c>
      <c r="Q48" s="512">
        <f t="shared" si="28"/>
        <v>5.8440164385507431E-4</v>
      </c>
      <c r="R48" s="385"/>
      <c r="S48" s="185"/>
      <c r="T48" s="452"/>
      <c r="U48" s="452"/>
      <c r="V48" s="452">
        <v>132986</v>
      </c>
      <c r="W48" s="452">
        <v>133673</v>
      </c>
      <c r="X48" s="452">
        <v>189298</v>
      </c>
      <c r="Y48" s="452"/>
      <c r="Z48" s="452">
        <v>201032</v>
      </c>
      <c r="AA48" s="452"/>
      <c r="AB48" s="512"/>
      <c r="AC48" s="452"/>
      <c r="AD48" s="512"/>
      <c r="AE48" s="452"/>
      <c r="AF48" s="512"/>
      <c r="AH48" s="452">
        <v>0</v>
      </c>
      <c r="AI48" s="452">
        <v>197196</v>
      </c>
      <c r="AJ48" s="452">
        <v>117471</v>
      </c>
      <c r="AK48" s="452">
        <f>3500+118252</f>
        <v>121752</v>
      </c>
      <c r="AL48" s="452"/>
      <c r="AM48" s="452"/>
      <c r="AN48" s="452">
        <f t="shared" si="29"/>
        <v>145473</v>
      </c>
      <c r="AO48" s="512">
        <f t="shared" si="30"/>
        <v>7.229240211092772E-4</v>
      </c>
      <c r="AP48" s="455">
        <f t="shared" si="31"/>
        <v>40584</v>
      </c>
      <c r="AQ48" s="512">
        <f t="shared" si="32"/>
        <v>1.4930701077254643E-4</v>
      </c>
    </row>
    <row r="49" spans="1:43">
      <c r="A49" s="213" t="s">
        <v>133</v>
      </c>
      <c r="B49" s="453">
        <f t="shared" si="22"/>
        <v>0</v>
      </c>
      <c r="C49" s="452">
        <f t="shared" si="23"/>
        <v>0</v>
      </c>
      <c r="D49" s="453">
        <f t="shared" si="24"/>
        <v>0</v>
      </c>
      <c r="E49" s="453"/>
      <c r="G49" s="213" t="s">
        <v>133</v>
      </c>
      <c r="H49" s="453"/>
      <c r="I49" s="453"/>
      <c r="J49" s="453"/>
      <c r="K49" s="453"/>
      <c r="L49" s="453"/>
      <c r="M49" s="453"/>
      <c r="N49" s="453">
        <v>0</v>
      </c>
      <c r="O49" s="512">
        <f t="shared" si="26"/>
        <v>0</v>
      </c>
      <c r="P49" s="453">
        <f t="shared" si="27"/>
        <v>0</v>
      </c>
      <c r="Q49" s="512">
        <f t="shared" si="28"/>
        <v>0</v>
      </c>
      <c r="R49" s="385"/>
      <c r="S49" s="185"/>
      <c r="T49" s="453"/>
      <c r="U49" s="453"/>
      <c r="V49" s="453"/>
      <c r="W49" s="453"/>
      <c r="X49" s="453">
        <v>1711</v>
      </c>
      <c r="Y49" s="453">
        <v>764</v>
      </c>
      <c r="Z49" s="453">
        <v>3415</v>
      </c>
      <c r="AA49" s="453"/>
      <c r="AB49" s="512"/>
      <c r="AC49" s="453"/>
      <c r="AD49" s="512"/>
      <c r="AE49" s="453"/>
      <c r="AF49" s="512"/>
      <c r="AH49" s="453">
        <v>18295</v>
      </c>
      <c r="AI49" s="453">
        <v>0</v>
      </c>
      <c r="AJ49" s="453">
        <v>0</v>
      </c>
      <c r="AK49" s="453">
        <v>0</v>
      </c>
      <c r="AL49" s="453"/>
      <c r="AM49" s="453"/>
      <c r="AN49" s="454">
        <f t="shared" si="29"/>
        <v>0</v>
      </c>
      <c r="AO49" s="512">
        <f t="shared" si="30"/>
        <v>0</v>
      </c>
      <c r="AP49" s="453">
        <f t="shared" si="31"/>
        <v>0</v>
      </c>
      <c r="AQ49" s="512">
        <f t="shared" si="32"/>
        <v>0</v>
      </c>
    </row>
    <row r="50" spans="1:43">
      <c r="A50" s="213" t="s">
        <v>521</v>
      </c>
      <c r="B50" s="453">
        <f t="shared" si="22"/>
        <v>0</v>
      </c>
      <c r="C50" s="452">
        <f t="shared" si="23"/>
        <v>80.197000295914208</v>
      </c>
      <c r="D50" s="453">
        <f t="shared" si="24"/>
        <v>153.76930022652303</v>
      </c>
      <c r="E50" s="453"/>
      <c r="G50" s="213" t="s">
        <v>521</v>
      </c>
      <c r="H50" s="453"/>
      <c r="I50" s="453"/>
      <c r="J50" s="453"/>
      <c r="K50" s="453"/>
      <c r="L50" s="453"/>
      <c r="M50" s="453"/>
      <c r="N50" s="453">
        <v>0</v>
      </c>
      <c r="O50" s="512">
        <f t="shared" si="26"/>
        <v>0</v>
      </c>
      <c r="P50" s="453">
        <f t="shared" si="27"/>
        <v>0</v>
      </c>
      <c r="Q50" s="512">
        <f t="shared" si="28"/>
        <v>0</v>
      </c>
      <c r="R50" s="385"/>
      <c r="S50" s="505"/>
      <c r="T50" s="453">
        <v>0</v>
      </c>
      <c r="U50" s="453">
        <v>0</v>
      </c>
      <c r="V50" s="453">
        <v>0</v>
      </c>
      <c r="W50" s="453">
        <v>722.23</v>
      </c>
      <c r="X50" s="453"/>
      <c r="Y50" s="453"/>
      <c r="Z50" s="453"/>
      <c r="AA50" s="453">
        <f>AVERAGE(T50:V50)</f>
        <v>0</v>
      </c>
      <c r="AB50" s="512">
        <f>AA50/AA$54</f>
        <v>0</v>
      </c>
      <c r="AC50" s="452">
        <f>AVERAGE(V50:X50)</f>
        <v>361.11500000000001</v>
      </c>
      <c r="AD50" s="512">
        <f>AC50/AC$54</f>
        <v>9.6230448808964092E-6</v>
      </c>
      <c r="AE50" s="452">
        <f>AVERAGE(W50:Y50)</f>
        <v>722.23</v>
      </c>
      <c r="AF50" s="512">
        <f>AE50/AE$54</f>
        <v>1.845117488090453E-5</v>
      </c>
      <c r="AH50" s="453"/>
      <c r="AI50" s="453"/>
      <c r="AJ50" s="453"/>
      <c r="AK50" s="453"/>
      <c r="AL50" s="453">
        <v>81388</v>
      </c>
      <c r="AM50" s="453"/>
      <c r="AN50" s="453">
        <f t="shared" si="29"/>
        <v>0</v>
      </c>
      <c r="AO50" s="512">
        <f t="shared" si="30"/>
        <v>0</v>
      </c>
      <c r="AP50" s="453">
        <f t="shared" si="31"/>
        <v>27129.333333333332</v>
      </c>
      <c r="AQ50" s="512">
        <f t="shared" si="32"/>
        <v>9.9807797759018393E-5</v>
      </c>
    </row>
    <row r="51" spans="1:43">
      <c r="A51" s="457" t="s">
        <v>554</v>
      </c>
      <c r="B51" s="452">
        <f t="shared" si="22"/>
        <v>0</v>
      </c>
      <c r="C51" s="452">
        <f t="shared" si="23"/>
        <v>0</v>
      </c>
      <c r="D51" s="452">
        <f t="shared" si="24"/>
        <v>0</v>
      </c>
      <c r="E51" s="452"/>
      <c r="G51" s="457" t="s">
        <v>554</v>
      </c>
      <c r="H51" s="453"/>
      <c r="I51" s="453"/>
      <c r="J51" s="453"/>
      <c r="K51" s="453"/>
      <c r="L51" s="453"/>
      <c r="M51" s="453"/>
      <c r="N51" s="452">
        <v>0</v>
      </c>
      <c r="O51" s="512">
        <f t="shared" si="26"/>
        <v>0</v>
      </c>
      <c r="P51" s="452">
        <f t="shared" si="27"/>
        <v>0</v>
      </c>
      <c r="Q51" s="512">
        <f t="shared" si="28"/>
        <v>0</v>
      </c>
      <c r="R51" s="385"/>
      <c r="S51" s="185"/>
      <c r="T51" s="452"/>
      <c r="U51" s="452"/>
      <c r="V51" s="452"/>
      <c r="W51" s="452"/>
      <c r="X51" s="452"/>
      <c r="Y51" s="452"/>
      <c r="Z51" s="452"/>
      <c r="AA51" s="452"/>
      <c r="AB51" s="512"/>
      <c r="AC51" s="452"/>
      <c r="AD51" s="512"/>
      <c r="AE51" s="452"/>
      <c r="AF51" s="512"/>
      <c r="AH51" s="452"/>
      <c r="AI51" s="452"/>
      <c r="AJ51" s="452"/>
      <c r="AK51" s="452"/>
      <c r="AL51" s="452">
        <v>116471</v>
      </c>
      <c r="AM51" s="452">
        <v>115899</v>
      </c>
      <c r="AN51" s="452">
        <f t="shared" si="29"/>
        <v>0</v>
      </c>
      <c r="AO51" s="512">
        <f t="shared" si="30"/>
        <v>0</v>
      </c>
      <c r="AP51" s="452">
        <f t="shared" si="31"/>
        <v>77456.666666666672</v>
      </c>
      <c r="AQ51" s="512">
        <f t="shared" si="32"/>
        <v>2.8496016569104916E-4</v>
      </c>
    </row>
    <row r="52" spans="1:43">
      <c r="A52" s="213" t="s">
        <v>134</v>
      </c>
      <c r="B52" s="453">
        <f t="shared" si="22"/>
        <v>0</v>
      </c>
      <c r="C52" s="452">
        <f t="shared" si="23"/>
        <v>0</v>
      </c>
      <c r="D52" s="453">
        <f t="shared" si="24"/>
        <v>0</v>
      </c>
      <c r="E52" s="453"/>
      <c r="G52" s="213" t="s">
        <v>134</v>
      </c>
      <c r="H52" s="453"/>
      <c r="I52" s="453"/>
      <c r="J52" s="453"/>
      <c r="K52" s="453"/>
      <c r="L52" s="453"/>
      <c r="M52" s="453"/>
      <c r="N52" s="453">
        <v>0</v>
      </c>
      <c r="O52" s="512">
        <f t="shared" si="26"/>
        <v>0</v>
      </c>
      <c r="P52" s="453">
        <f t="shared" si="27"/>
        <v>0</v>
      </c>
      <c r="Q52" s="512">
        <f t="shared" si="28"/>
        <v>0</v>
      </c>
      <c r="R52" s="385"/>
      <c r="S52" s="185"/>
      <c r="T52" s="453"/>
      <c r="U52" s="453"/>
      <c r="V52" s="453"/>
      <c r="W52" s="453"/>
      <c r="X52" s="453"/>
      <c r="Y52" s="453"/>
      <c r="Z52" s="453"/>
      <c r="AA52" s="453"/>
      <c r="AB52" s="512"/>
      <c r="AC52" s="453"/>
      <c r="AD52" s="512"/>
      <c r="AE52" s="453"/>
      <c r="AF52" s="512"/>
      <c r="AH52" s="453"/>
      <c r="AI52" s="453"/>
      <c r="AJ52" s="453"/>
      <c r="AK52" s="453"/>
      <c r="AL52" s="453"/>
      <c r="AM52" s="453"/>
      <c r="AN52" s="453">
        <f t="shared" si="29"/>
        <v>0</v>
      </c>
      <c r="AO52" s="512">
        <f t="shared" si="30"/>
        <v>0</v>
      </c>
      <c r="AP52" s="453">
        <f t="shared" si="31"/>
        <v>0</v>
      </c>
      <c r="AQ52" s="512">
        <f t="shared" si="32"/>
        <v>0</v>
      </c>
    </row>
    <row r="53" spans="1:43">
      <c r="A53" s="445"/>
      <c r="B53" s="446"/>
      <c r="C53" s="446"/>
      <c r="D53" s="446"/>
      <c r="E53" s="1342"/>
      <c r="G53" s="445"/>
      <c r="H53" s="446">
        <f t="shared" ref="H53:L53" si="34">SUM(H35:H52)</f>
        <v>2202551</v>
      </c>
      <c r="I53" s="446">
        <f t="shared" si="34"/>
        <v>1576478</v>
      </c>
      <c r="J53" s="446">
        <f t="shared" si="34"/>
        <v>2395749</v>
      </c>
      <c r="K53" s="446">
        <f t="shared" si="34"/>
        <v>4246895</v>
      </c>
      <c r="L53" s="446">
        <f t="shared" si="34"/>
        <v>5883572</v>
      </c>
      <c r="M53" s="446">
        <f>SUM(M35:M52)</f>
        <v>7566107</v>
      </c>
      <c r="N53" s="446">
        <f>SUM(N35:N52)</f>
        <v>5213781.333333333</v>
      </c>
      <c r="O53" s="385"/>
      <c r="P53" s="446">
        <f>SUM(P35:P52)</f>
        <v>5898858</v>
      </c>
      <c r="Q53" s="385"/>
      <c r="R53" s="385"/>
      <c r="S53" s="185"/>
      <c r="T53" s="446"/>
      <c r="U53" s="446"/>
      <c r="V53" s="446"/>
      <c r="W53" s="446"/>
      <c r="X53" s="446"/>
      <c r="Y53" s="446"/>
      <c r="Z53" s="446"/>
      <c r="AA53" s="446"/>
      <c r="AB53" s="385"/>
      <c r="AC53" s="446"/>
      <c r="AD53" s="385"/>
      <c r="AE53" s="446"/>
      <c r="AF53" s="385"/>
      <c r="AH53" s="446">
        <f t="shared" ref="AH53:AN53" si="35">SUM(AH35:AH52)</f>
        <v>3780031</v>
      </c>
      <c r="AI53" s="446">
        <f t="shared" si="35"/>
        <v>3507112</v>
      </c>
      <c r="AJ53" s="446">
        <f t="shared" si="35"/>
        <v>4523405</v>
      </c>
      <c r="AK53" s="446">
        <f t="shared" si="35"/>
        <v>9053137</v>
      </c>
      <c r="AL53" s="446">
        <f t="shared" si="35"/>
        <v>10727412</v>
      </c>
      <c r="AM53" s="446">
        <f t="shared" si="35"/>
        <v>10966592</v>
      </c>
      <c r="AN53" s="446">
        <f t="shared" si="35"/>
        <v>5694551.333333333</v>
      </c>
      <c r="AO53" s="385"/>
      <c r="AP53" s="446">
        <f>SUM(AP35:AP52)</f>
        <v>10249047.000000002</v>
      </c>
      <c r="AQ53" s="385"/>
    </row>
    <row r="54" spans="1:43" ht="16.5" thickBot="1">
      <c r="A54" s="447" t="s">
        <v>465</v>
      </c>
      <c r="B54" s="448">
        <f>SUM(B12:B53)</f>
        <v>8333848.7234036149</v>
      </c>
      <c r="C54" s="448">
        <f>SUM(C12:C53)</f>
        <v>8333848.7234036122</v>
      </c>
      <c r="D54" s="448">
        <f>SUM(D12:D53)</f>
        <v>8333848.7234036131</v>
      </c>
      <c r="E54" s="938"/>
      <c r="G54" s="447" t="s">
        <v>465</v>
      </c>
      <c r="H54" s="448">
        <f t="shared" ref="H54:L54" si="36">H31+H53</f>
        <v>171433079.22999999</v>
      </c>
      <c r="I54" s="448">
        <f t="shared" si="36"/>
        <v>156446829.34999999</v>
      </c>
      <c r="J54" s="448">
        <f t="shared" si="36"/>
        <v>147589120.05000001</v>
      </c>
      <c r="K54" s="448">
        <f t="shared" si="36"/>
        <v>156596051.48999998</v>
      </c>
      <c r="L54" s="448">
        <f t="shared" si="36"/>
        <v>162074040</v>
      </c>
      <c r="M54" s="448">
        <f>M31+M53</f>
        <v>173150907</v>
      </c>
      <c r="N54" s="448">
        <f>N31+N53</f>
        <v>156473991.43166667</v>
      </c>
      <c r="O54" s="512">
        <f>SUM(O12:O53)</f>
        <v>1</v>
      </c>
      <c r="P54" s="448">
        <f>P31+P53</f>
        <v>163940332.82999998</v>
      </c>
      <c r="Q54" s="512">
        <f>SUM(Q12:Q53)</f>
        <v>0.99935017111717217</v>
      </c>
      <c r="R54" s="385"/>
      <c r="S54" s="185"/>
      <c r="T54" s="448">
        <f t="shared" ref="T54:X54" si="37">SUM(T12:T53)</f>
        <v>38301148.400000006</v>
      </c>
      <c r="U54" s="448">
        <f t="shared" si="37"/>
        <v>36126424.259999998</v>
      </c>
      <c r="V54" s="448">
        <f t="shared" si="37"/>
        <v>35612262.110000007</v>
      </c>
      <c r="W54" s="448">
        <f t="shared" si="37"/>
        <v>37624685.159999989</v>
      </c>
      <c r="X54" s="448">
        <f t="shared" si="37"/>
        <v>39798607</v>
      </c>
      <c r="Y54" s="448">
        <f>SUM(Y12:Y53)</f>
        <v>40523918</v>
      </c>
      <c r="Z54" s="448">
        <f t="shared" ref="Z54" si="38">SUM(Z12:Z53)</f>
        <v>40707125</v>
      </c>
      <c r="AA54" s="448">
        <f t="shared" ref="AA54:AF54" si="39">SUM(AA12:AA53)</f>
        <v>36635616.25666666</v>
      </c>
      <c r="AB54" s="592">
        <f t="shared" si="39"/>
        <v>1</v>
      </c>
      <c r="AC54" s="448">
        <f t="shared" si="39"/>
        <v>37526064.200000003</v>
      </c>
      <c r="AD54" s="592">
        <f t="shared" si="39"/>
        <v>1.0000000000000002</v>
      </c>
      <c r="AE54" s="448">
        <f t="shared" si="39"/>
        <v>39142764.87333332</v>
      </c>
      <c r="AF54" s="592">
        <f t="shared" si="39"/>
        <v>1.0000000000000002</v>
      </c>
      <c r="AH54" s="448">
        <f t="shared" ref="AH54:AN54" si="40">AH31+AH53</f>
        <v>206871086</v>
      </c>
      <c r="AI54" s="448">
        <f t="shared" si="40"/>
        <v>182209618</v>
      </c>
      <c r="AJ54" s="448">
        <f t="shared" si="40"/>
        <v>202224763</v>
      </c>
      <c r="AK54" s="448">
        <f t="shared" si="40"/>
        <v>219251466</v>
      </c>
      <c r="AL54" s="448">
        <f t="shared" si="40"/>
        <v>246612076</v>
      </c>
      <c r="AM54" s="448">
        <f t="shared" si="40"/>
        <v>349583766</v>
      </c>
      <c r="AN54" s="448">
        <f t="shared" si="40"/>
        <v>201228615.66666672</v>
      </c>
      <c r="AO54" s="592">
        <f>SUM(AO12:AO53)</f>
        <v>0.99999999999999956</v>
      </c>
      <c r="AP54" s="448">
        <f>AP31+AP53</f>
        <v>271815769.33333337</v>
      </c>
      <c r="AQ54" s="592">
        <f>SUM(AQ12:AQ53)</f>
        <v>1</v>
      </c>
    </row>
    <row r="55" spans="1:43" ht="16.5" thickTop="1">
      <c r="B55" s="385"/>
      <c r="D55" s="385"/>
      <c r="E55" s="385"/>
      <c r="H55" s="385"/>
      <c r="I55" s="385"/>
      <c r="J55" s="385"/>
      <c r="K55" s="385"/>
      <c r="L55" s="385"/>
      <c r="M55" s="385">
        <v>173150906</v>
      </c>
      <c r="N55" s="385"/>
      <c r="O55" s="385"/>
      <c r="P55" s="385"/>
      <c r="Q55" s="385"/>
      <c r="R55" s="385"/>
      <c r="S55" s="185"/>
      <c r="T55" s="385"/>
      <c r="U55" s="385"/>
      <c r="V55" s="385"/>
      <c r="W55" s="385"/>
      <c r="X55" s="385"/>
      <c r="Y55" s="385"/>
      <c r="Z55" s="385"/>
      <c r="AH55" s="385"/>
      <c r="AI55" s="385"/>
      <c r="AJ55" s="385"/>
      <c r="AK55" s="385"/>
      <c r="AL55" s="385"/>
      <c r="AM55" s="385"/>
    </row>
    <row r="56" spans="1:43">
      <c r="B56" s="184"/>
      <c r="D56" s="184"/>
      <c r="E56" s="184"/>
      <c r="G56" t="s">
        <v>592</v>
      </c>
      <c r="H56" s="184">
        <v>15751.92</v>
      </c>
      <c r="I56" s="184">
        <v>325013.03000000003</v>
      </c>
      <c r="J56" s="184">
        <v>803777.13</v>
      </c>
      <c r="K56" s="385">
        <v>1317334.6299999999</v>
      </c>
      <c r="L56" s="385"/>
      <c r="M56" s="385"/>
      <c r="N56" s="385"/>
      <c r="O56" s="385"/>
      <c r="P56" s="385"/>
      <c r="Q56" s="385"/>
      <c r="R56" s="385"/>
      <c r="S56" s="505"/>
      <c r="T56" s="184">
        <v>3250.4</v>
      </c>
      <c r="U56" s="184">
        <v>58105.01</v>
      </c>
      <c r="V56" s="184">
        <v>133095.32</v>
      </c>
      <c r="W56" s="184">
        <v>133672.81</v>
      </c>
      <c r="X56" s="184"/>
      <c r="Y56" s="184"/>
      <c r="Z56" s="184"/>
      <c r="AH56" s="184">
        <v>3250.4</v>
      </c>
      <c r="AI56" s="184">
        <v>58105.01</v>
      </c>
      <c r="AJ56" s="184">
        <v>133095.32</v>
      </c>
      <c r="AK56" s="184">
        <v>133672.81</v>
      </c>
      <c r="AL56" s="184"/>
      <c r="AM56" s="184">
        <f>349583766-AM54</f>
        <v>0</v>
      </c>
    </row>
    <row r="57" spans="1:43" ht="16.5" thickBot="1">
      <c r="G57" s="506" t="s">
        <v>593</v>
      </c>
      <c r="H57" s="507"/>
      <c r="I57" s="507"/>
      <c r="J57" s="507"/>
      <c r="K57" s="508">
        <v>3500</v>
      </c>
      <c r="L57" s="508"/>
      <c r="M57" s="508"/>
      <c r="N57" s="508"/>
      <c r="O57" s="508"/>
      <c r="P57" s="508"/>
      <c r="Q57" s="508"/>
      <c r="R57" s="509"/>
      <c r="S57" s="185"/>
      <c r="T57" s="195"/>
      <c r="U57" s="195"/>
      <c r="V57" s="195"/>
      <c r="W57" s="195"/>
      <c r="X57" s="528"/>
      <c r="Y57" s="528"/>
      <c r="Z57" s="528"/>
    </row>
    <row r="58" spans="1:43" ht="16.5" thickTop="1">
      <c r="H58" s="229"/>
      <c r="I58" s="229"/>
      <c r="J58" s="229"/>
      <c r="K58" s="484"/>
      <c r="L58" s="484"/>
      <c r="M58" s="484"/>
      <c r="N58" s="484"/>
      <c r="O58" s="484"/>
      <c r="P58" s="484"/>
      <c r="Q58" s="484"/>
      <c r="R58" s="484"/>
      <c r="S58" s="485"/>
      <c r="T58" s="486"/>
      <c r="U58" s="486"/>
      <c r="V58" s="486"/>
      <c r="W58" s="486"/>
      <c r="X58" s="486"/>
      <c r="Y58" s="486"/>
      <c r="Z58" s="486"/>
      <c r="AH58" s="6"/>
      <c r="AI58" s="5"/>
      <c r="AJ58" s="5"/>
    </row>
    <row r="59" spans="1:43">
      <c r="H59" s="229"/>
      <c r="I59" s="229"/>
      <c r="J59" s="229"/>
      <c r="K59" s="484"/>
      <c r="L59" s="484"/>
      <c r="M59" s="484"/>
      <c r="N59" s="484"/>
      <c r="O59" s="484"/>
      <c r="P59" s="484"/>
      <c r="Q59" s="484"/>
      <c r="R59" s="484"/>
      <c r="S59" s="485"/>
      <c r="T59" s="486"/>
      <c r="U59" s="486"/>
      <c r="V59" s="486"/>
      <c r="W59" s="486"/>
      <c r="X59" s="486"/>
      <c r="Y59" s="486"/>
      <c r="Z59" s="486"/>
    </row>
    <row r="60" spans="1:43">
      <c r="H60" s="229"/>
      <c r="I60" s="229"/>
      <c r="J60" s="229"/>
      <c r="K60" s="484"/>
      <c r="L60" s="484"/>
      <c r="M60" s="484"/>
      <c r="N60" s="484"/>
      <c r="O60" s="484"/>
      <c r="P60" s="484"/>
      <c r="Q60" s="484"/>
      <c r="R60" s="484"/>
      <c r="S60" s="485"/>
      <c r="T60" s="486"/>
      <c r="U60" s="486"/>
      <c r="V60" s="486"/>
      <c r="W60" s="486"/>
      <c r="X60" s="486"/>
      <c r="Y60" s="486"/>
      <c r="Z60" s="486"/>
      <c r="AH60" s="385"/>
      <c r="AI60" s="385"/>
      <c r="AJ60" s="385"/>
    </row>
    <row r="61" spans="1:43">
      <c r="H61" s="229"/>
      <c r="I61" s="229"/>
      <c r="J61" s="229"/>
      <c r="K61" s="484"/>
      <c r="L61" s="484"/>
      <c r="M61" s="484"/>
      <c r="N61" s="484"/>
      <c r="O61" s="484"/>
      <c r="P61" s="484"/>
      <c r="Q61" s="484"/>
      <c r="R61" s="484"/>
      <c r="S61" s="485"/>
      <c r="T61" s="486"/>
      <c r="U61" s="486"/>
      <c r="V61" s="486"/>
      <c r="W61" s="486"/>
      <c r="X61" s="486"/>
      <c r="Y61" s="486"/>
      <c r="Z61" s="486"/>
      <c r="AH61" s="12"/>
    </row>
    <row r="62" spans="1:43">
      <c r="N62" s="1"/>
      <c r="O62" s="1"/>
      <c r="P62" s="1"/>
      <c r="Q62" s="1"/>
      <c r="R62" s="1"/>
      <c r="AH62" s="12"/>
    </row>
    <row r="63" spans="1:43">
      <c r="N63" s="182"/>
      <c r="O63" s="182"/>
      <c r="P63" s="182"/>
      <c r="Q63" s="182"/>
      <c r="R63" s="182"/>
    </row>
    <row r="64" spans="1:43">
      <c r="N64" s="4"/>
      <c r="O64" s="4"/>
      <c r="P64" s="4"/>
      <c r="Q64" s="4"/>
      <c r="R64" s="4"/>
    </row>
    <row r="65" spans="14:18">
      <c r="N65" s="6"/>
      <c r="O65" s="6"/>
      <c r="P65" s="6"/>
      <c r="Q65" s="6"/>
      <c r="R65" s="6"/>
    </row>
    <row r="66" spans="14:18">
      <c r="N66" s="6"/>
      <c r="O66" s="6"/>
      <c r="P66" s="6"/>
      <c r="Q66" s="6"/>
      <c r="R66" s="6"/>
    </row>
    <row r="67" spans="14:18">
      <c r="N67" s="6"/>
      <c r="O67" s="6"/>
      <c r="P67" s="6"/>
      <c r="Q67" s="6"/>
      <c r="R67" s="6"/>
    </row>
    <row r="68" spans="14:18">
      <c r="N68" s="4"/>
      <c r="O68" s="4"/>
      <c r="P68" s="4"/>
      <c r="Q68" s="4"/>
      <c r="R68" s="4"/>
    </row>
    <row r="69" spans="14:18">
      <c r="N69" s="4"/>
      <c r="O69" s="4"/>
      <c r="P69" s="4"/>
      <c r="Q69" s="4"/>
      <c r="R69" s="4"/>
    </row>
    <row r="70" spans="14:18">
      <c r="N70" s="6"/>
      <c r="O70" s="6"/>
      <c r="P70" s="6"/>
      <c r="Q70" s="6"/>
      <c r="R70" s="6"/>
    </row>
    <row r="71" spans="14:18">
      <c r="N71" s="6"/>
      <c r="O71" s="6"/>
      <c r="P71" s="6"/>
      <c r="Q71" s="6"/>
      <c r="R71" s="6"/>
    </row>
    <row r="72" spans="14:18">
      <c r="N72" s="4"/>
      <c r="O72" s="4"/>
      <c r="P72" s="4"/>
      <c r="Q72" s="4"/>
      <c r="R72" s="4"/>
    </row>
    <row r="73" spans="14:18">
      <c r="N73" s="6"/>
      <c r="O73" s="6"/>
      <c r="P73" s="6"/>
      <c r="Q73" s="6"/>
      <c r="R73" s="6"/>
    </row>
    <row r="74" spans="14:18">
      <c r="N74" s="510"/>
      <c r="O74" s="510"/>
      <c r="P74" s="510"/>
      <c r="Q74" s="510"/>
      <c r="R74" s="510"/>
    </row>
    <row r="75" spans="14:18">
      <c r="N75" s="7"/>
      <c r="O75" s="7"/>
      <c r="P75" s="7"/>
      <c r="Q75" s="7"/>
      <c r="R75" s="7"/>
    </row>
    <row r="76" spans="14:18">
      <c r="N76" s="6"/>
      <c r="O76" s="6"/>
      <c r="P76" s="6"/>
      <c r="Q76" s="6"/>
      <c r="R76" s="6"/>
    </row>
    <row r="77" spans="14:18">
      <c r="N77" s="6"/>
      <c r="O77" s="6"/>
      <c r="P77" s="6"/>
      <c r="Q77" s="6"/>
      <c r="R77" s="6"/>
    </row>
    <row r="78" spans="14:18">
      <c r="N78" s="6"/>
      <c r="O78" s="6"/>
      <c r="P78" s="6"/>
      <c r="Q78" s="6"/>
      <c r="R78" s="6"/>
    </row>
    <row r="79" spans="14:18">
      <c r="N79" s="7"/>
      <c r="O79" s="7"/>
      <c r="P79" s="7"/>
      <c r="Q79" s="7"/>
      <c r="R79" s="7"/>
    </row>
    <row r="80" spans="14:18">
      <c r="N80" s="7"/>
      <c r="O80" s="7"/>
      <c r="P80" s="7"/>
      <c r="Q80" s="7"/>
      <c r="R80" s="7"/>
    </row>
    <row r="81" spans="14:18">
      <c r="N81" s="9"/>
      <c r="O81" s="9"/>
      <c r="P81" s="9"/>
      <c r="Q81" s="9"/>
      <c r="R81" s="9"/>
    </row>
  </sheetData>
  <phoneticPr fontId="62" type="noConversion"/>
  <pageMargins left="0.75" right="0.75" top="1" bottom="1" header="0.5" footer="0.5"/>
  <pageSetup scale="73"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8"/>
  <sheetViews>
    <sheetView workbookViewId="0">
      <selection activeCell="Q17" sqref="Q17"/>
    </sheetView>
  </sheetViews>
  <sheetFormatPr defaultColWidth="11" defaultRowHeight="15.75"/>
  <cols>
    <col min="1" max="1" width="21.375" customWidth="1"/>
    <col min="5" max="5" width="20.5" customWidth="1"/>
    <col min="10" max="10" width="19.5" customWidth="1"/>
  </cols>
  <sheetData>
    <row r="1" spans="1:18">
      <c r="A1" s="10" t="s">
        <v>774</v>
      </c>
      <c r="D1" s="66"/>
      <c r="I1" s="66"/>
    </row>
    <row r="2" spans="1:18">
      <c r="A2" s="10"/>
      <c r="D2" s="66"/>
      <c r="I2" s="66"/>
      <c r="K2" s="1263"/>
    </row>
    <row r="3" spans="1:18">
      <c r="E3" s="185"/>
      <c r="F3" s="185"/>
      <c r="I3" s="517"/>
    </row>
    <row r="4" spans="1:18">
      <c r="E4" s="185"/>
      <c r="F4" s="185"/>
      <c r="I4" s="186"/>
    </row>
    <row r="5" spans="1:18">
      <c r="E5" s="185"/>
      <c r="F5" s="185"/>
      <c r="I5" s="185"/>
      <c r="J5" t="s">
        <v>763</v>
      </c>
    </row>
    <row r="6" spans="1:18">
      <c r="D6" s="66"/>
      <c r="J6" s="725">
        <v>1</v>
      </c>
      <c r="K6" s="15">
        <v>2</v>
      </c>
      <c r="L6" s="15">
        <v>3</v>
      </c>
      <c r="M6" s="15">
        <v>4</v>
      </c>
      <c r="N6" s="712"/>
    </row>
    <row r="7" spans="1:18">
      <c r="D7" s="66"/>
      <c r="E7" s="10"/>
      <c r="J7" s="726"/>
      <c r="K7" s="16"/>
      <c r="L7" s="16"/>
      <c r="M7" s="16"/>
      <c r="N7" s="412"/>
    </row>
    <row r="8" spans="1:18" ht="16.5" thickBot="1">
      <c r="D8" s="66"/>
      <c r="N8" s="550"/>
    </row>
    <row r="9" spans="1:18" ht="16.5" thickBot="1">
      <c r="A9" s="575" t="s">
        <v>775</v>
      </c>
      <c r="B9" s="576"/>
      <c r="C9" s="577">
        <f>'Dashboard-Academic Allocation'!D49</f>
        <v>833384.87234036124</v>
      </c>
      <c r="D9" s="66"/>
      <c r="J9" s="528"/>
      <c r="K9" s="551"/>
      <c r="L9" s="551"/>
    </row>
    <row r="10" spans="1:18">
      <c r="D10" s="66"/>
      <c r="J10" s="533" t="s">
        <v>1078</v>
      </c>
      <c r="K10" s="185"/>
      <c r="L10" s="185"/>
      <c r="M10" s="185"/>
      <c r="N10" s="185"/>
    </row>
    <row r="11" spans="1:18">
      <c r="D11" s="66"/>
      <c r="J11" s="530"/>
      <c r="K11" s="531"/>
      <c r="L11" s="531"/>
      <c r="M11" s="531"/>
      <c r="N11" s="531">
        <v>2.8290000000000002</v>
      </c>
    </row>
    <row r="12" spans="1:18">
      <c r="D12" s="66"/>
      <c r="J12" s="530"/>
      <c r="K12" s="530"/>
      <c r="L12" s="530"/>
      <c r="M12" s="530"/>
      <c r="N12" s="530"/>
    </row>
    <row r="13" spans="1:18">
      <c r="D13" s="66"/>
    </row>
    <row r="14" spans="1:18">
      <c r="D14" s="66"/>
    </row>
    <row r="15" spans="1:18">
      <c r="A15" s="554" t="s">
        <v>681</v>
      </c>
      <c r="B15" s="253"/>
      <c r="C15" s="253"/>
      <c r="D15" s="66"/>
      <c r="E15" s="554" t="s">
        <v>778</v>
      </c>
      <c r="F15" s="554"/>
      <c r="G15" s="554"/>
      <c r="H15" s="554"/>
      <c r="J15" s="650" t="s">
        <v>776</v>
      </c>
      <c r="K15" s="648"/>
      <c r="L15" s="648"/>
      <c r="M15" s="648"/>
      <c r="N15" s="648"/>
    </row>
    <row r="16" spans="1:18" ht="25.5">
      <c r="A16" s="555"/>
      <c r="B16" s="556" t="s">
        <v>606</v>
      </c>
      <c r="C16" s="556" t="s">
        <v>1151</v>
      </c>
      <c r="D16" s="574"/>
      <c r="E16" s="555"/>
      <c r="F16" s="556" t="s">
        <v>1019</v>
      </c>
      <c r="G16" s="556"/>
      <c r="H16" s="556" t="s">
        <v>1150</v>
      </c>
      <c r="J16" s="578"/>
      <c r="K16" s="600" t="s">
        <v>0</v>
      </c>
      <c r="L16" s="600" t="s">
        <v>12</v>
      </c>
      <c r="M16" s="600" t="s">
        <v>669</v>
      </c>
      <c r="N16" s="600" t="s">
        <v>1079</v>
      </c>
      <c r="O16" s="600" t="s">
        <v>777</v>
      </c>
      <c r="P16" s="600" t="s">
        <v>1066</v>
      </c>
      <c r="Q16" s="1492" t="s">
        <v>1308</v>
      </c>
      <c r="R16" s="1271" t="s">
        <v>1321</v>
      </c>
    </row>
    <row r="17" spans="1:18">
      <c r="A17" s="557" t="s">
        <v>628</v>
      </c>
      <c r="B17" s="531">
        <f>F17*C$9</f>
        <v>32137.804326281643</v>
      </c>
      <c r="C17" s="531">
        <f>H17*C$9</f>
        <v>43267.812001496139</v>
      </c>
      <c r="D17" s="66"/>
      <c r="E17" s="557" t="s">
        <v>628</v>
      </c>
      <c r="F17" s="631">
        <f>(K18+L18+M18)/(K$36+L$36+M$36)</f>
        <v>3.8562980194289269E-2</v>
      </c>
      <c r="G17" s="631"/>
      <c r="H17" s="631">
        <f>(P18+M18+N18)/(P$36+M$36+N$36)</f>
        <v>5.1918163429087547E-2</v>
      </c>
    </row>
    <row r="18" spans="1:18">
      <c r="A18" s="557" t="s">
        <v>6</v>
      </c>
      <c r="B18" s="531">
        <f t="shared" ref="B18:B28" si="0">F18*C$9</f>
        <v>117683.88839955299</v>
      </c>
      <c r="C18" s="531">
        <f t="shared" ref="C18:C28" si="1">H18*C$9</f>
        <v>120197.06169322447</v>
      </c>
      <c r="D18" s="66"/>
      <c r="E18" s="557" t="s">
        <v>6</v>
      </c>
      <c r="F18" s="631">
        <f t="shared" ref="F18:F28" si="2">(K19+L19+M19)/(K$36+L$36+M$36)</f>
        <v>0.14121193257212128</v>
      </c>
      <c r="G18" s="631"/>
      <c r="H18" s="631">
        <f t="shared" ref="H18:H34" si="3">(P19+M19+N19)/(P$36+M$36+N$36)</f>
        <v>0.14422755401796519</v>
      </c>
      <c r="J18" s="557" t="s">
        <v>628</v>
      </c>
      <c r="K18" s="531">
        <v>688</v>
      </c>
      <c r="L18" s="531">
        <v>684</v>
      </c>
      <c r="M18" s="531">
        <v>982</v>
      </c>
      <c r="N18" s="531">
        <v>1467</v>
      </c>
      <c r="O18" s="531">
        <v>1078.6666666666665</v>
      </c>
      <c r="P18" s="531">
        <v>1496.5410000000002</v>
      </c>
      <c r="R18" s="244">
        <f>C17/((M18+N18+P18)/3)</f>
        <v>32.898767495886723</v>
      </c>
    </row>
    <row r="19" spans="1:18">
      <c r="A19" s="557" t="s">
        <v>8</v>
      </c>
      <c r="B19" s="531">
        <f t="shared" si="0"/>
        <v>155364.57656460709</v>
      </c>
      <c r="C19" s="531">
        <f t="shared" si="1"/>
        <v>140355.05770344412</v>
      </c>
      <c r="D19" s="66"/>
      <c r="E19" s="557" t="s">
        <v>8</v>
      </c>
      <c r="F19" s="631">
        <f t="shared" si="2"/>
        <v>0.18642596202676801</v>
      </c>
      <c r="G19" s="631"/>
      <c r="H19" s="631">
        <f t="shared" si="3"/>
        <v>0.16841565327348776</v>
      </c>
      <c r="J19" s="557" t="s">
        <v>6</v>
      </c>
      <c r="K19" s="531">
        <v>2159</v>
      </c>
      <c r="L19" s="531">
        <v>2901</v>
      </c>
      <c r="M19" s="531">
        <v>3560</v>
      </c>
      <c r="N19" s="531">
        <v>4003</v>
      </c>
      <c r="O19" s="531">
        <v>4274.3333333333339</v>
      </c>
      <c r="P19" s="531">
        <v>3397.6290000000004</v>
      </c>
      <c r="R19" s="244">
        <f t="shared" ref="R19:R35" si="4">C18/((M19+N19+P19)/3)</f>
        <v>32.898767495886723</v>
      </c>
    </row>
    <row r="20" spans="1:18">
      <c r="A20" s="559" t="s">
        <v>2</v>
      </c>
      <c r="B20" s="531">
        <f t="shared" si="0"/>
        <v>48684.541303109749</v>
      </c>
      <c r="C20" s="531">
        <f t="shared" si="1"/>
        <v>40842.427131652708</v>
      </c>
      <c r="D20" s="66"/>
      <c r="E20" s="559" t="s">
        <v>2</v>
      </c>
      <c r="F20" s="632">
        <f t="shared" si="2"/>
        <v>5.8417836606981965E-2</v>
      </c>
      <c r="G20" s="632"/>
      <c r="H20" s="632">
        <f t="shared" si="3"/>
        <v>4.9007881576919633E-2</v>
      </c>
      <c r="J20" s="557" t="s">
        <v>8</v>
      </c>
      <c r="K20" s="531">
        <v>3681</v>
      </c>
      <c r="L20" s="531">
        <v>3850</v>
      </c>
      <c r="M20" s="531">
        <v>3849</v>
      </c>
      <c r="N20" s="531">
        <v>4149</v>
      </c>
      <c r="O20" s="531">
        <v>3961.3333333333335</v>
      </c>
      <c r="P20" s="531">
        <v>4800.8130000000001</v>
      </c>
      <c r="R20" s="244">
        <f t="shared" si="4"/>
        <v>32.898767495886723</v>
      </c>
    </row>
    <row r="21" spans="1:18">
      <c r="A21" s="557" t="s">
        <v>10</v>
      </c>
      <c r="B21" s="531">
        <f t="shared" si="0"/>
        <v>0</v>
      </c>
      <c r="C21" s="531">
        <f t="shared" si="1"/>
        <v>0</v>
      </c>
      <c r="D21" s="66"/>
      <c r="E21" s="557" t="s">
        <v>10</v>
      </c>
      <c r="F21" s="631">
        <f t="shared" si="2"/>
        <v>0</v>
      </c>
      <c r="G21" s="631"/>
      <c r="H21" s="631">
        <f t="shared" si="3"/>
        <v>0</v>
      </c>
      <c r="J21" s="559" t="s">
        <v>2</v>
      </c>
      <c r="K21" s="539">
        <v>877</v>
      </c>
      <c r="L21" s="539">
        <v>1156</v>
      </c>
      <c r="M21" s="539">
        <v>1533</v>
      </c>
      <c r="N21" s="539">
        <v>1238</v>
      </c>
      <c r="O21" s="539">
        <v>1844.6666666666667</v>
      </c>
      <c r="P21" s="539">
        <v>953.37300000000005</v>
      </c>
      <c r="R21" s="244">
        <f t="shared" si="4"/>
        <v>32.898767495886723</v>
      </c>
    </row>
    <row r="22" spans="1:18">
      <c r="A22" s="557" t="s">
        <v>4</v>
      </c>
      <c r="B22" s="531">
        <f t="shared" si="0"/>
        <v>70228.065188781984</v>
      </c>
      <c r="C22" s="531">
        <f t="shared" si="1"/>
        <v>92484.039187667717</v>
      </c>
      <c r="D22" s="66"/>
      <c r="E22" s="557" t="s">
        <v>4</v>
      </c>
      <c r="F22" s="631">
        <f t="shared" si="2"/>
        <v>8.4268466490834332E-2</v>
      </c>
      <c r="G22" s="631"/>
      <c r="H22" s="631">
        <f t="shared" si="3"/>
        <v>0.11097398363849408</v>
      </c>
      <c r="J22" s="557" t="s">
        <v>10</v>
      </c>
      <c r="K22" s="530">
        <v>0</v>
      </c>
      <c r="L22" s="530">
        <v>0</v>
      </c>
      <c r="M22" s="530">
        <v>0</v>
      </c>
      <c r="N22" s="530">
        <v>0</v>
      </c>
      <c r="O22" s="530">
        <v>0</v>
      </c>
      <c r="P22" s="530">
        <v>0</v>
      </c>
      <c r="R22" s="244"/>
    </row>
    <row r="23" spans="1:18">
      <c r="A23" s="557" t="s">
        <v>14</v>
      </c>
      <c r="B23" s="531">
        <f t="shared" si="0"/>
        <v>0</v>
      </c>
      <c r="C23" s="531">
        <f t="shared" si="1"/>
        <v>0</v>
      </c>
      <c r="D23" s="66"/>
      <c r="E23" s="557" t="s">
        <v>14</v>
      </c>
      <c r="F23" s="631">
        <f t="shared" si="2"/>
        <v>0</v>
      </c>
      <c r="G23" s="631"/>
      <c r="H23" s="631">
        <f t="shared" si="3"/>
        <v>0</v>
      </c>
      <c r="J23" s="557" t="s">
        <v>4</v>
      </c>
      <c r="K23" s="531">
        <v>1511</v>
      </c>
      <c r="L23" s="531">
        <v>1779</v>
      </c>
      <c r="M23" s="531">
        <v>1854</v>
      </c>
      <c r="N23" s="531">
        <v>2452</v>
      </c>
      <c r="O23" s="531">
        <v>2057.666666666667</v>
      </c>
      <c r="P23" s="531">
        <v>4127.5110000000004</v>
      </c>
      <c r="R23" s="244">
        <f t="shared" si="4"/>
        <v>32.898767495886723</v>
      </c>
    </row>
    <row r="24" spans="1:18">
      <c r="A24" s="559" t="s">
        <v>17</v>
      </c>
      <c r="B24" s="531">
        <f t="shared" si="0"/>
        <v>150886.58173919487</v>
      </c>
      <c r="C24" s="531">
        <f t="shared" si="1"/>
        <v>142210.06567495555</v>
      </c>
      <c r="D24" s="66"/>
      <c r="E24" s="559" t="s">
        <v>17</v>
      </c>
      <c r="F24" s="632">
        <f t="shared" si="2"/>
        <v>0.18105270055534622</v>
      </c>
      <c r="G24" s="632"/>
      <c r="H24" s="632">
        <f t="shared" si="3"/>
        <v>0.1706415251762283</v>
      </c>
      <c r="J24" s="557" t="s">
        <v>14</v>
      </c>
      <c r="K24" s="530">
        <v>0</v>
      </c>
      <c r="L24" s="530">
        <v>0</v>
      </c>
      <c r="M24" s="530">
        <v>0</v>
      </c>
      <c r="N24" s="530">
        <v>0</v>
      </c>
      <c r="O24" s="530">
        <v>0</v>
      </c>
      <c r="P24" s="530">
        <v>0</v>
      </c>
      <c r="R24" s="244"/>
    </row>
    <row r="25" spans="1:18">
      <c r="A25" s="557" t="s">
        <v>376</v>
      </c>
      <c r="B25" s="531">
        <f t="shared" si="0"/>
        <v>0</v>
      </c>
      <c r="C25" s="531">
        <f t="shared" si="1"/>
        <v>0</v>
      </c>
      <c r="D25" s="66"/>
      <c r="E25" s="557" t="s">
        <v>376</v>
      </c>
      <c r="F25" s="631">
        <f t="shared" si="2"/>
        <v>0</v>
      </c>
      <c r="G25" s="631"/>
      <c r="H25" s="631">
        <f t="shared" si="3"/>
        <v>0</v>
      </c>
      <c r="J25" s="559" t="s">
        <v>17</v>
      </c>
      <c r="K25" s="539">
        <v>3482</v>
      </c>
      <c r="L25" s="539">
        <v>3799</v>
      </c>
      <c r="M25" s="539">
        <v>3771</v>
      </c>
      <c r="N25" s="539">
        <v>4498</v>
      </c>
      <c r="O25" s="539">
        <v>3973</v>
      </c>
      <c r="P25" s="539">
        <v>4698.9690000000001</v>
      </c>
      <c r="R25" s="244">
        <f t="shared" si="4"/>
        <v>32.898767495886723</v>
      </c>
    </row>
    <row r="26" spans="1:18">
      <c r="A26" s="557" t="s">
        <v>7</v>
      </c>
      <c r="B26" s="531">
        <f t="shared" si="0"/>
        <v>42977.8283853588</v>
      </c>
      <c r="C26" s="531">
        <f t="shared" si="1"/>
        <v>81234.974584054988</v>
      </c>
      <c r="D26" s="66"/>
      <c r="E26" s="557" t="s">
        <v>7</v>
      </c>
      <c r="F26" s="631">
        <f t="shared" si="2"/>
        <v>5.1570204609865174E-2</v>
      </c>
      <c r="G26" s="631"/>
      <c r="H26" s="631">
        <f t="shared" si="3"/>
        <v>9.7475940925020724E-2</v>
      </c>
      <c r="J26" s="557" t="s">
        <v>376</v>
      </c>
      <c r="K26" s="530">
        <v>0</v>
      </c>
      <c r="L26" s="530">
        <v>0</v>
      </c>
      <c r="M26" s="530">
        <v>0</v>
      </c>
      <c r="N26" s="530">
        <v>0</v>
      </c>
      <c r="O26" s="530">
        <v>0</v>
      </c>
      <c r="P26" s="530">
        <v>0</v>
      </c>
      <c r="R26" s="244"/>
    </row>
    <row r="27" spans="1:18">
      <c r="A27" s="557" t="s">
        <v>9</v>
      </c>
      <c r="B27" s="531">
        <f t="shared" si="0"/>
        <v>172989.85497804364</v>
      </c>
      <c r="C27" s="531">
        <f t="shared" si="1"/>
        <v>150731.13157904183</v>
      </c>
      <c r="D27" s="66"/>
      <c r="E27" s="557" t="s">
        <v>9</v>
      </c>
      <c r="F27" s="631">
        <f t="shared" si="2"/>
        <v>0.20757498812312633</v>
      </c>
      <c r="G27" s="631"/>
      <c r="H27" s="631">
        <f t="shared" si="3"/>
        <v>0.18086617189936463</v>
      </c>
      <c r="J27" s="557" t="s">
        <v>7</v>
      </c>
      <c r="K27" s="531">
        <v>754</v>
      </c>
      <c r="L27" s="531">
        <v>803</v>
      </c>
      <c r="M27" s="531">
        <v>1591</v>
      </c>
      <c r="N27" s="531">
        <v>2371</v>
      </c>
      <c r="O27" s="531">
        <v>1886.3333333333335</v>
      </c>
      <c r="P27" s="531">
        <v>3445.7220000000002</v>
      </c>
      <c r="R27" s="244">
        <f t="shared" si="4"/>
        <v>32.898767495886723</v>
      </c>
    </row>
    <row r="28" spans="1:18">
      <c r="A28" s="559" t="s">
        <v>5</v>
      </c>
      <c r="B28" s="531">
        <f t="shared" si="0"/>
        <v>20396.720332822759</v>
      </c>
      <c r="C28" s="531">
        <f t="shared" si="1"/>
        <v>16714.701341541855</v>
      </c>
      <c r="D28" s="66"/>
      <c r="E28" s="559" t="s">
        <v>5</v>
      </c>
      <c r="F28" s="632">
        <f t="shared" si="2"/>
        <v>2.447455072653703E-2</v>
      </c>
      <c r="G28" s="632"/>
      <c r="H28" s="632">
        <f t="shared" si="3"/>
        <v>2.0056401185448245E-2</v>
      </c>
      <c r="J28" s="557" t="s">
        <v>9</v>
      </c>
      <c r="K28" s="531">
        <v>3691</v>
      </c>
      <c r="L28" s="531">
        <v>4412</v>
      </c>
      <c r="M28" s="531">
        <v>4568</v>
      </c>
      <c r="N28" s="531">
        <v>4495</v>
      </c>
      <c r="O28" s="531">
        <v>5100.6666666666661</v>
      </c>
      <c r="P28" s="531">
        <v>4681.9949999999999</v>
      </c>
      <c r="R28" s="244">
        <f t="shared" si="4"/>
        <v>32.898767495886723</v>
      </c>
    </row>
    <row r="29" spans="1:18">
      <c r="A29" s="557"/>
      <c r="B29" s="530"/>
      <c r="C29" s="530"/>
      <c r="D29" s="66"/>
      <c r="E29" s="557"/>
      <c r="F29" s="631"/>
      <c r="G29" s="631"/>
      <c r="H29" s="631">
        <f t="shared" si="3"/>
        <v>0</v>
      </c>
      <c r="J29" s="559" t="s">
        <v>5</v>
      </c>
      <c r="K29" s="539">
        <v>211</v>
      </c>
      <c r="L29" s="539">
        <v>627</v>
      </c>
      <c r="M29" s="539">
        <v>656</v>
      </c>
      <c r="N29" s="539">
        <v>342</v>
      </c>
      <c r="O29" s="539">
        <v>943</v>
      </c>
      <c r="P29" s="539">
        <v>526.19400000000007</v>
      </c>
      <c r="R29" s="244">
        <f t="shared" si="4"/>
        <v>32.898767495886723</v>
      </c>
    </row>
    <row r="30" spans="1:18">
      <c r="A30" s="557" t="s">
        <v>631</v>
      </c>
      <c r="B30" s="531">
        <f>F30*C$9</f>
        <v>2471.0886079256488</v>
      </c>
      <c r="C30" s="531">
        <f>H30*C$9</f>
        <v>487.85582319650428</v>
      </c>
      <c r="D30" s="66"/>
      <c r="E30" s="557" t="s">
        <v>631</v>
      </c>
      <c r="F30" s="631">
        <f>(K31+L31+M31)/(K$36+L$36+M$36)</f>
        <v>2.9651229461199482E-3</v>
      </c>
      <c r="G30" s="631"/>
      <c r="H30" s="631">
        <f t="shared" si="3"/>
        <v>5.8539078328417263E-4</v>
      </c>
      <c r="J30" s="557"/>
      <c r="K30" s="530"/>
      <c r="L30" s="530"/>
      <c r="M30" s="530"/>
      <c r="N30" s="530"/>
      <c r="O30" s="530"/>
      <c r="P30" s="530"/>
      <c r="R30" s="244"/>
    </row>
    <row r="31" spans="1:18">
      <c r="A31" s="557" t="s">
        <v>657</v>
      </c>
      <c r="B31" s="531">
        <f>F31*C$9</f>
        <v>17638.930836684744</v>
      </c>
      <c r="C31" s="531">
        <f>H31*C$9</f>
        <v>822.46918739716807</v>
      </c>
      <c r="D31" s="66"/>
      <c r="E31" s="557" t="s">
        <v>657</v>
      </c>
      <c r="F31" s="631">
        <f>(K32+L32+M32)/(K$36+L$36+M$36)</f>
        <v>2.116540799108825E-2</v>
      </c>
      <c r="G31" s="631"/>
      <c r="H31" s="631">
        <f t="shared" si="3"/>
        <v>9.8690198813839868E-4</v>
      </c>
      <c r="J31" s="557" t="s">
        <v>631</v>
      </c>
      <c r="K31" s="530">
        <v>91</v>
      </c>
      <c r="L31" s="530">
        <v>63</v>
      </c>
      <c r="M31" s="530">
        <v>27</v>
      </c>
      <c r="N31" s="530">
        <v>9</v>
      </c>
      <c r="O31" s="545">
        <v>60.333333333333336</v>
      </c>
      <c r="P31" s="530">
        <v>8.4870000000000001</v>
      </c>
      <c r="R31" s="244">
        <f t="shared" si="4"/>
        <v>32.898767495886723</v>
      </c>
    </row>
    <row r="32" spans="1:18">
      <c r="A32" s="559" t="s">
        <v>633</v>
      </c>
      <c r="B32" s="531">
        <f>F32*C$9</f>
        <v>0</v>
      </c>
      <c r="C32" s="531">
        <f>H32*C$9</f>
        <v>0</v>
      </c>
      <c r="D32" s="66"/>
      <c r="E32" s="559" t="s">
        <v>633</v>
      </c>
      <c r="F32" s="632">
        <f>(K33+L33+M33)/(K$36+L$36+M$36)</f>
        <v>0</v>
      </c>
      <c r="G32" s="632"/>
      <c r="H32" s="632">
        <f t="shared" si="3"/>
        <v>0</v>
      </c>
      <c r="J32" s="557" t="s">
        <v>657</v>
      </c>
      <c r="K32" s="530">
        <v>636</v>
      </c>
      <c r="L32" s="530">
        <v>626</v>
      </c>
      <c r="M32" s="530">
        <v>30</v>
      </c>
      <c r="N32" s="530">
        <v>45</v>
      </c>
      <c r="O32" s="545">
        <v>430.66666666666669</v>
      </c>
      <c r="P32" s="530">
        <v>0</v>
      </c>
      <c r="R32" s="244">
        <f t="shared" si="4"/>
        <v>32.898767495886723</v>
      </c>
    </row>
    <row r="33" spans="1:18">
      <c r="A33" s="557" t="s">
        <v>656</v>
      </c>
      <c r="B33" s="531">
        <f>F33*C$9</f>
        <v>1146.8035528494725</v>
      </c>
      <c r="C33" s="531">
        <f>H33*C$9</f>
        <v>1793.5750063407522</v>
      </c>
      <c r="D33" s="66"/>
      <c r="E33" s="557" t="s">
        <v>656</v>
      </c>
      <c r="F33" s="631">
        <f>(K34+L34+M34)/(K$36+L$36+M$36)</f>
        <v>1.3760791573153351E-3</v>
      </c>
      <c r="G33" s="631"/>
      <c r="H33" s="631">
        <f t="shared" si="3"/>
        <v>2.1521569035731687E-3</v>
      </c>
      <c r="J33" s="559" t="s">
        <v>633</v>
      </c>
      <c r="K33" s="540"/>
      <c r="L33" s="540"/>
      <c r="M33" s="540"/>
      <c r="N33" s="540"/>
      <c r="O33" s="727"/>
      <c r="P33" s="540"/>
      <c r="R33" s="244"/>
    </row>
    <row r="34" spans="1:18">
      <c r="A34" s="563" t="s">
        <v>635</v>
      </c>
      <c r="B34" s="531">
        <f>F34*C$9</f>
        <v>778.18812514785634</v>
      </c>
      <c r="C34" s="531">
        <f>H34*C$9</f>
        <v>2243.7014263473907</v>
      </c>
      <c r="D34" s="66"/>
      <c r="E34" s="563" t="s">
        <v>635</v>
      </c>
      <c r="F34" s="631">
        <f>(K35+L35+M35)/(K$36+L$36+M$36)</f>
        <v>9.3376799960683454E-4</v>
      </c>
      <c r="G34" s="631"/>
      <c r="H34" s="631">
        <f t="shared" si="3"/>
        <v>2.6922752029881394E-3</v>
      </c>
      <c r="J34" s="557" t="s">
        <v>656</v>
      </c>
      <c r="K34" s="530">
        <v>0</v>
      </c>
      <c r="L34" s="530">
        <v>38</v>
      </c>
      <c r="M34" s="530">
        <v>46</v>
      </c>
      <c r="N34" s="530">
        <v>44</v>
      </c>
      <c r="O34" s="545">
        <v>74</v>
      </c>
      <c r="P34" s="530">
        <v>73.554000000000002</v>
      </c>
      <c r="R34" s="244">
        <f t="shared" si="4"/>
        <v>32.898767495886723</v>
      </c>
    </row>
    <row r="35" spans="1:18">
      <c r="A35" s="564"/>
      <c r="B35" s="543">
        <f>SUM(B17:B34)</f>
        <v>833384.87234036124</v>
      </c>
      <c r="C35" s="543">
        <f>SUM(C17:C34)</f>
        <v>833384.87234036112</v>
      </c>
      <c r="D35" s="404"/>
      <c r="E35" s="564"/>
      <c r="F35" s="569">
        <f>SUM(F17:F34)</f>
        <v>1</v>
      </c>
      <c r="G35" s="565"/>
      <c r="H35" s="569">
        <f>SUM(H17:H34)</f>
        <v>1</v>
      </c>
      <c r="J35" s="563" t="s">
        <v>635</v>
      </c>
      <c r="K35" s="530">
        <v>0</v>
      </c>
      <c r="L35" s="530">
        <v>0</v>
      </c>
      <c r="M35" s="530">
        <v>57</v>
      </c>
      <c r="N35" s="530">
        <v>50</v>
      </c>
      <c r="O35" s="545">
        <v>65.333333333333329</v>
      </c>
      <c r="P35" s="530">
        <v>97.600500000000011</v>
      </c>
      <c r="R35" s="244">
        <f t="shared" si="4"/>
        <v>32.898767495886723</v>
      </c>
    </row>
    <row r="36" spans="1:18">
      <c r="D36" s="66"/>
      <c r="J36" s="542"/>
      <c r="K36" s="543">
        <f>SUM(K18:K35)</f>
        <v>17781</v>
      </c>
      <c r="L36" s="543">
        <f>SUM(L18:L35)</f>
        <v>20738</v>
      </c>
      <c r="M36" s="543">
        <v>22524</v>
      </c>
      <c r="N36" s="543">
        <v>25163</v>
      </c>
      <c r="O36" s="543">
        <v>25749.999999999996</v>
      </c>
      <c r="P36" s="543">
        <v>28308.388500000001</v>
      </c>
    </row>
    <row r="37" spans="1:18">
      <c r="D37" s="66"/>
      <c r="J37" s="578"/>
      <c r="K37" s="578"/>
      <c r="L37" s="578"/>
      <c r="M37" s="578"/>
      <c r="N37" s="578"/>
    </row>
    <row r="38" spans="1:18">
      <c r="D38" s="66"/>
      <c r="J38" s="578"/>
      <c r="K38" s="578"/>
      <c r="L38" s="578"/>
      <c r="M38" s="578"/>
      <c r="N38" s="578"/>
    </row>
  </sheetData>
  <pageMargins left="0.75" right="0.75" top="1" bottom="1" header="0.5" footer="0.5"/>
  <pageSetup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
  <sheetViews>
    <sheetView workbookViewId="0">
      <selection activeCell="B3" sqref="B3:E3"/>
    </sheetView>
  </sheetViews>
  <sheetFormatPr defaultColWidth="11" defaultRowHeight="15.75"/>
  <cols>
    <col min="1" max="1" width="26" customWidth="1"/>
    <col min="2" max="2" width="15.5" customWidth="1"/>
    <col min="3" max="3" width="14.875" customWidth="1"/>
    <col min="4" max="4" width="14.125" customWidth="1"/>
    <col min="5" max="5" width="13.875" customWidth="1"/>
    <col min="6" max="6" width="12.625" customWidth="1"/>
    <col min="8" max="8" width="20.625" customWidth="1"/>
    <col min="9" max="9" width="14.375" customWidth="1"/>
  </cols>
  <sheetData>
    <row r="1" spans="1:6">
      <c r="A1" t="s">
        <v>1138</v>
      </c>
    </row>
    <row r="2" spans="1:6">
      <c r="A2" t="s">
        <v>1168</v>
      </c>
    </row>
    <row r="3" spans="1:6">
      <c r="B3" s="384" t="s">
        <v>1175</v>
      </c>
      <c r="C3" s="384" t="s">
        <v>1178</v>
      </c>
      <c r="D3" s="384" t="s">
        <v>1175</v>
      </c>
      <c r="E3" s="384" t="s">
        <v>1178</v>
      </c>
    </row>
    <row r="4" spans="1:6">
      <c r="B4" s="384" t="s">
        <v>1</v>
      </c>
      <c r="D4" s="384" t="s">
        <v>10</v>
      </c>
      <c r="F4" s="384"/>
    </row>
    <row r="5" spans="1:6">
      <c r="A5" t="s">
        <v>1307</v>
      </c>
      <c r="B5" s="255">
        <v>24513720</v>
      </c>
      <c r="C5" s="255">
        <v>24909417</v>
      </c>
      <c r="D5" s="255">
        <v>12573591</v>
      </c>
      <c r="E5" s="255">
        <v>12737398</v>
      </c>
      <c r="F5" s="255"/>
    </row>
    <row r="6" spans="1:6">
      <c r="B6" s="255"/>
      <c r="C6" s="255"/>
      <c r="D6" s="255"/>
      <c r="F6" s="255"/>
    </row>
    <row r="7" spans="1:6">
      <c r="B7" s="255"/>
      <c r="C7" s="255"/>
      <c r="D7" s="255"/>
      <c r="F7" s="255"/>
    </row>
    <row r="8" spans="1:6">
      <c r="A8" t="s">
        <v>1139</v>
      </c>
      <c r="B8" s="255">
        <v>6055191</v>
      </c>
      <c r="C8" s="255">
        <v>7026949</v>
      </c>
      <c r="D8" s="255">
        <v>8990613</v>
      </c>
      <c r="E8" s="255">
        <v>9711241</v>
      </c>
      <c r="F8" s="1453"/>
    </row>
    <row r="9" spans="1:6">
      <c r="A9" t="s">
        <v>1169</v>
      </c>
      <c r="B9" s="255"/>
      <c r="C9" s="255"/>
      <c r="D9" s="255"/>
      <c r="E9" s="255"/>
      <c r="F9" s="255"/>
    </row>
    <row r="10" spans="1:6">
      <c r="A10" t="s">
        <v>1145</v>
      </c>
      <c r="B10" s="255">
        <v>0</v>
      </c>
      <c r="C10" s="255"/>
      <c r="D10" s="255">
        <f>105000/0.72</f>
        <v>145833.33333333334</v>
      </c>
      <c r="E10" s="255"/>
      <c r="F10" s="255"/>
    </row>
    <row r="11" spans="1:6">
      <c r="A11" t="s">
        <v>1140</v>
      </c>
      <c r="B11" s="255">
        <f>100000/0.26</f>
        <v>384615.38461538462</v>
      </c>
      <c r="C11" s="255">
        <f>'Step 3 Dedicated Funds'!R25/0.26</f>
        <v>480769.23076923075</v>
      </c>
      <c r="D11" s="255">
        <f>200000/0.26</f>
        <v>769230.76923076925</v>
      </c>
      <c r="E11" s="255">
        <f>'Step 3 Dedicated Funds'!R23/0.26</f>
        <v>769230.76923076925</v>
      </c>
      <c r="F11" s="255"/>
    </row>
    <row r="12" spans="1:6">
      <c r="A12" t="s">
        <v>1141</v>
      </c>
      <c r="B12" s="255">
        <v>8483839</v>
      </c>
      <c r="C12" s="255">
        <f>'Step 3 Dedicated Funds'!P25</f>
        <v>8327772</v>
      </c>
      <c r="D12" s="255">
        <v>335000</v>
      </c>
      <c r="E12" s="255">
        <f>'Step 3 Dedicated Funds'!P23</f>
        <v>335000</v>
      </c>
      <c r="F12" s="255"/>
    </row>
    <row r="13" spans="1:6">
      <c r="A13" t="s">
        <v>1142</v>
      </c>
      <c r="B13" s="255">
        <v>1254277</v>
      </c>
      <c r="C13" s="255">
        <v>1268074</v>
      </c>
      <c r="D13" s="255">
        <v>0</v>
      </c>
      <c r="E13" s="255">
        <f>D13</f>
        <v>0</v>
      </c>
      <c r="F13" s="255"/>
    </row>
    <row r="14" spans="1:6">
      <c r="A14" t="s">
        <v>1143</v>
      </c>
      <c r="B14" s="255">
        <v>3533941</v>
      </c>
      <c r="C14" s="255">
        <v>3572814</v>
      </c>
      <c r="D14" s="255">
        <v>1058884</v>
      </c>
      <c r="E14" s="255">
        <v>1070531</v>
      </c>
      <c r="F14" s="255"/>
    </row>
    <row r="15" spans="1:6">
      <c r="A15" t="s">
        <v>1144</v>
      </c>
      <c r="B15" s="255">
        <f>106012428-105212710</f>
        <v>799718</v>
      </c>
      <c r="C15" s="255">
        <v>783410</v>
      </c>
      <c r="D15" s="255">
        <f>106012428-104517290</f>
        <v>1495138</v>
      </c>
      <c r="E15" s="255">
        <v>1479338</v>
      </c>
      <c r="F15" s="255"/>
    </row>
    <row r="16" spans="1:6">
      <c r="A16" t="s">
        <v>1306</v>
      </c>
      <c r="B16" s="226">
        <f>-0.05*SUM(B8:B15)</f>
        <v>-1025579.0692307693</v>
      </c>
      <c r="C16" s="226">
        <f>-0.05*SUM(C8:C15)</f>
        <v>-1072989.4115384617</v>
      </c>
      <c r="D16" s="226">
        <f>-0.05*SUM(D8:D15)</f>
        <v>-639734.95512820524</v>
      </c>
      <c r="E16" s="226">
        <f>-0.05*SUM(E8:E15)</f>
        <v>-668267.0384615385</v>
      </c>
      <c r="F16" s="255"/>
    </row>
    <row r="17" spans="2:9">
      <c r="B17" s="255"/>
      <c r="C17" s="255"/>
      <c r="D17" s="255"/>
      <c r="E17" s="255"/>
    </row>
    <row r="18" spans="2:9">
      <c r="F18" s="226"/>
    </row>
    <row r="19" spans="2:9">
      <c r="B19" s="226">
        <f>SUM(B8:B16)</f>
        <v>19486002.315384615</v>
      </c>
      <c r="C19" s="226">
        <f>SUM(C8:C16)</f>
        <v>20386798.819230769</v>
      </c>
      <c r="D19" s="226">
        <f>SUM(D8:D16)</f>
        <v>12154964.147435898</v>
      </c>
      <c r="E19" s="226">
        <f>SUM(E8:E16)</f>
        <v>12697073.730769232</v>
      </c>
    </row>
    <row r="20" spans="2:9">
      <c r="C20" s="255"/>
      <c r="F20" s="226"/>
    </row>
    <row r="27" spans="2:9">
      <c r="I27" s="226"/>
    </row>
    <row r="28" spans="2:9">
      <c r="I28" s="226"/>
    </row>
    <row r="29" spans="2:9">
      <c r="I29" s="226"/>
    </row>
    <row r="31" spans="2:9">
      <c r="I31" s="226"/>
    </row>
    <row r="32" spans="2:9">
      <c r="I32" s="22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6"/>
  <sheetViews>
    <sheetView workbookViewId="0">
      <selection activeCell="M7" sqref="M7"/>
    </sheetView>
  </sheetViews>
  <sheetFormatPr defaultColWidth="11.875" defaultRowHeight="15.75"/>
  <cols>
    <col min="1" max="1" width="34.875" customWidth="1"/>
    <col min="2" max="2" width="14.375" customWidth="1"/>
    <col min="3" max="3" width="14" customWidth="1"/>
    <col min="4" max="4" width="12.625" bestFit="1" customWidth="1"/>
    <col min="5" max="5" width="13.875" customWidth="1"/>
    <col min="6" max="6" width="9.125" style="66" customWidth="1"/>
    <col min="7" max="9" width="13.875" customWidth="1"/>
    <col min="10" max="10" width="10" customWidth="1"/>
    <col min="11" max="11" width="13.875" customWidth="1"/>
    <col min="12" max="12" width="14.125" customWidth="1"/>
    <col min="13" max="13" width="16.875" customWidth="1"/>
    <col min="18" max="18" width="2.875" customWidth="1"/>
    <col min="19" max="19" width="13.625" customWidth="1"/>
  </cols>
  <sheetData>
    <row r="1" spans="1:13" ht="16.5" thickBot="1">
      <c r="A1" s="210" t="s">
        <v>77</v>
      </c>
    </row>
    <row r="2" spans="1:13" ht="16.5" thickBot="1">
      <c r="K2" s="1432" t="s">
        <v>1271</v>
      </c>
      <c r="L2" s="1433"/>
      <c r="M2" s="1434" t="str">
        <f>'Dashboard-Academic Allocation'!M2</f>
        <v>FY16</v>
      </c>
    </row>
    <row r="3" spans="1:13" ht="45" customHeight="1">
      <c r="A3" t="s">
        <v>1179</v>
      </c>
    </row>
    <row r="5" spans="1:13" ht="15.95" customHeight="1">
      <c r="B5" s="1632" t="s">
        <v>1264</v>
      </c>
      <c r="C5" s="1632"/>
      <c r="D5" s="1632"/>
      <c r="E5" s="1632"/>
      <c r="F5" s="1428"/>
      <c r="G5" s="1633" t="s">
        <v>1265</v>
      </c>
      <c r="H5" s="1633"/>
      <c r="I5" s="1633"/>
      <c r="K5" s="1632" t="s">
        <v>1269</v>
      </c>
      <c r="L5" s="1632"/>
      <c r="M5" s="1632"/>
    </row>
    <row r="6" spans="1:13" ht="39.75" thickBot="1">
      <c r="A6" s="211"/>
      <c r="B6" s="1426" t="s">
        <v>1180</v>
      </c>
      <c r="C6" s="1426" t="s">
        <v>1181</v>
      </c>
      <c r="D6" s="1426" t="s">
        <v>1182</v>
      </c>
      <c r="E6" s="1426" t="s">
        <v>1183</v>
      </c>
      <c r="F6" s="1375"/>
      <c r="G6" s="1427" t="s">
        <v>1266</v>
      </c>
      <c r="H6" s="1427" t="s">
        <v>1267</v>
      </c>
      <c r="I6" s="1427" t="s">
        <v>1268</v>
      </c>
      <c r="K6" s="1426" t="s">
        <v>1274</v>
      </c>
      <c r="L6" s="1431" t="s">
        <v>1270</v>
      </c>
      <c r="M6" s="1431" t="s">
        <v>1184</v>
      </c>
    </row>
    <row r="7" spans="1:13" ht="16.5" thickBot="1">
      <c r="A7" s="221" t="s">
        <v>90</v>
      </c>
      <c r="B7" s="221"/>
      <c r="C7" s="221"/>
      <c r="D7" s="221"/>
      <c r="E7" s="221"/>
      <c r="F7" s="1429"/>
      <c r="G7" s="221"/>
      <c r="H7" s="221"/>
      <c r="I7" s="221"/>
      <c r="M7" s="1435" t="str">
        <f>'Dashboard-Academic Allocation'!M1</f>
        <v>yes</v>
      </c>
    </row>
    <row r="8" spans="1:13" s="66" customFormat="1">
      <c r="A8" s="212" t="s">
        <v>548</v>
      </c>
      <c r="B8" s="1634"/>
      <c r="C8" s="1634"/>
      <c r="D8" s="1634"/>
      <c r="E8" s="1634"/>
      <c r="F8" s="1430"/>
      <c r="G8" s="1389"/>
      <c r="H8" s="1389"/>
      <c r="I8" s="1389"/>
      <c r="J8"/>
      <c r="K8" s="1634"/>
      <c r="L8" s="1634"/>
      <c r="M8" s="1634"/>
    </row>
    <row r="9" spans="1:13">
      <c r="A9" s="212" t="s">
        <v>555</v>
      </c>
      <c r="B9" s="1634"/>
      <c r="C9" s="1634"/>
      <c r="D9" s="1634"/>
      <c r="E9" s="1634"/>
      <c r="F9" s="1430"/>
      <c r="G9" s="1389"/>
      <c r="H9" s="1389"/>
      <c r="I9" s="1389"/>
      <c r="K9" s="1634"/>
      <c r="L9" s="1634"/>
      <c r="M9" s="1634"/>
    </row>
    <row r="10" spans="1:13" s="66" customFormat="1">
      <c r="A10" s="212" t="s">
        <v>864</v>
      </c>
      <c r="B10" s="1634"/>
      <c r="C10" s="1634"/>
      <c r="D10" s="1634"/>
      <c r="E10" s="1634"/>
      <c r="F10" s="1430"/>
      <c r="G10" s="1389"/>
      <c r="H10" s="1389"/>
      <c r="I10" s="1389"/>
      <c r="J10"/>
      <c r="K10" s="1634"/>
      <c r="L10" s="1634"/>
      <c r="M10" s="1634"/>
    </row>
    <row r="11" spans="1:13" s="66" customFormat="1">
      <c r="A11" s="212" t="s">
        <v>899</v>
      </c>
      <c r="B11" s="1634"/>
      <c r="C11" s="1634"/>
      <c r="D11" s="1634"/>
      <c r="E11" s="1634"/>
      <c r="F11" s="1430"/>
      <c r="G11" s="1389"/>
      <c r="H11" s="1389"/>
      <c r="I11" s="1389"/>
      <c r="J11"/>
      <c r="K11" s="1634"/>
      <c r="L11" s="1634"/>
      <c r="M11" s="1634"/>
    </row>
    <row r="12" spans="1:13" s="66" customFormat="1">
      <c r="A12" s="212" t="s">
        <v>549</v>
      </c>
      <c r="B12" s="1634"/>
      <c r="C12" s="1634"/>
      <c r="D12" s="1634"/>
      <c r="E12" s="1634"/>
      <c r="F12" s="1430"/>
      <c r="G12" s="1389"/>
      <c r="H12" s="1389"/>
      <c r="I12" s="1389"/>
      <c r="J12"/>
      <c r="K12" s="1634"/>
      <c r="L12" s="1634"/>
      <c r="M12" s="1634"/>
    </row>
    <row r="13" spans="1:13" s="66" customFormat="1">
      <c r="A13" s="212" t="s">
        <v>550</v>
      </c>
      <c r="B13" s="1634"/>
      <c r="C13" s="1634"/>
      <c r="D13" s="1634"/>
      <c r="E13" s="1634"/>
      <c r="F13" s="1430"/>
      <c r="G13" s="1389"/>
      <c r="H13" s="1389"/>
      <c r="I13" s="1389"/>
      <c r="J13"/>
      <c r="K13" s="1634"/>
      <c r="L13" s="1634"/>
      <c r="M13" s="1634"/>
    </row>
    <row r="14" spans="1:13" s="66" customFormat="1">
      <c r="A14" s="212" t="s">
        <v>551</v>
      </c>
      <c r="B14" s="1634"/>
      <c r="C14" s="1634"/>
      <c r="D14" s="1634"/>
      <c r="E14" s="1634"/>
      <c r="F14" s="1430"/>
      <c r="G14" s="1389"/>
      <c r="H14" s="1389"/>
      <c r="I14" s="1389"/>
      <c r="J14"/>
      <c r="K14" s="1634"/>
      <c r="L14" s="1634"/>
      <c r="M14" s="1634"/>
    </row>
    <row r="15" spans="1:13" s="66" customFormat="1">
      <c r="A15" s="203"/>
      <c r="B15" s="203"/>
      <c r="C15" s="203"/>
      <c r="D15" s="203"/>
      <c r="E15" s="203"/>
      <c r="F15" s="203"/>
      <c r="G15" s="203"/>
      <c r="H15" s="203"/>
      <c r="I15" s="203"/>
      <c r="J15"/>
      <c r="K15" s="203"/>
      <c r="L15" s="203"/>
      <c r="M15" s="203"/>
    </row>
    <row r="16" spans="1:13" s="66" customFormat="1">
      <c r="A16" s="71" t="s">
        <v>101</v>
      </c>
      <c r="B16" s="71"/>
      <c r="C16" s="71"/>
      <c r="D16" s="71"/>
      <c r="E16" s="71"/>
      <c r="F16" s="1359"/>
      <c r="G16" s="71"/>
      <c r="H16" s="71"/>
      <c r="I16" s="71"/>
      <c r="J16"/>
      <c r="K16" s="71"/>
      <c r="L16" s="71"/>
      <c r="M16" s="71"/>
    </row>
    <row r="17" spans="1:13" s="66" customFormat="1">
      <c r="A17" s="214" t="s">
        <v>102</v>
      </c>
      <c r="B17" s="934">
        <v>18962849</v>
      </c>
      <c r="C17" s="934">
        <v>21752048.878301289</v>
      </c>
      <c r="D17" s="934">
        <v>4002730.8820000002</v>
      </c>
      <c r="E17" s="934">
        <v>17749317.99630129</v>
      </c>
      <c r="F17" s="935"/>
      <c r="G17" s="934">
        <v>22240293</v>
      </c>
      <c r="H17" s="934">
        <v>3736215.6660000002</v>
      </c>
      <c r="I17" s="934">
        <v>18504077.333999999</v>
      </c>
      <c r="J17"/>
      <c r="K17" s="934">
        <f>'Step 3 Dedicated Funds'!T15</f>
        <v>3554384.1919999998</v>
      </c>
      <c r="L17" s="934">
        <f>IF(M$2="FY16",I17+K17,E17+K17)</f>
        <v>22058461.526000001</v>
      </c>
      <c r="M17" s="934">
        <f>IF(M$7="yes",L17,0)</f>
        <v>22058461.526000001</v>
      </c>
    </row>
    <row r="18" spans="1:13" s="66" customFormat="1">
      <c r="A18" s="76" t="s">
        <v>103</v>
      </c>
      <c r="B18" s="78">
        <v>18351735</v>
      </c>
      <c r="C18" s="78">
        <v>18588011.262828976</v>
      </c>
      <c r="D18" s="78">
        <v>3675844.5260000001</v>
      </c>
      <c r="E18" s="78">
        <v>14912166.736828975</v>
      </c>
      <c r="F18" s="78"/>
      <c r="G18" s="78">
        <v>19693889</v>
      </c>
      <c r="H18" s="78">
        <v>4272219.1280000005</v>
      </c>
      <c r="I18" s="78">
        <v>15421669.872</v>
      </c>
      <c r="J18"/>
      <c r="K18" s="78">
        <f>'Step 3 Dedicated Funds'!T16</f>
        <v>3290973.4660000005</v>
      </c>
      <c r="L18" s="78">
        <f t="shared" ref="L18:L27" si="0">IF(M$2="FY16",I18+K18,E18+K18)</f>
        <v>18712643.338</v>
      </c>
      <c r="M18" s="78">
        <f t="shared" ref="M18:M27" si="1">IF(M$7="yes",L18,0)</f>
        <v>18712643.338</v>
      </c>
    </row>
    <row r="19" spans="1:13" s="66" customFormat="1">
      <c r="A19" s="213" t="s">
        <v>104</v>
      </c>
      <c r="B19" s="935">
        <v>46175012</v>
      </c>
      <c r="C19" s="935">
        <v>47773324.933024563</v>
      </c>
      <c r="D19" s="935">
        <v>17235495.748</v>
      </c>
      <c r="E19" s="935">
        <v>30537829.185024563</v>
      </c>
      <c r="F19" s="935"/>
      <c r="G19" s="935">
        <v>51433285</v>
      </c>
      <c r="H19" s="935">
        <v>20343351.707599998</v>
      </c>
      <c r="I19" s="935">
        <v>31089933.292400002</v>
      </c>
      <c r="J19"/>
      <c r="K19" s="935">
        <f>'Step 3 Dedicated Funds'!T17</f>
        <v>19759275.012000002</v>
      </c>
      <c r="L19" s="935">
        <f t="shared" si="0"/>
        <v>50849208.304400004</v>
      </c>
      <c r="M19" s="935">
        <f t="shared" si="1"/>
        <v>50849208.304400004</v>
      </c>
    </row>
    <row r="20" spans="1:13" s="66" customFormat="1">
      <c r="A20" s="214" t="s">
        <v>105</v>
      </c>
      <c r="B20" s="934">
        <v>6148561</v>
      </c>
      <c r="C20" s="934">
        <v>7165559.2974910699</v>
      </c>
      <c r="D20" s="934">
        <v>1531193.1060000001</v>
      </c>
      <c r="E20" s="934">
        <v>5634366.1914910693</v>
      </c>
      <c r="F20" s="935"/>
      <c r="G20" s="934">
        <v>8726165</v>
      </c>
      <c r="H20" s="934">
        <v>2644437.9750000001</v>
      </c>
      <c r="I20" s="934">
        <v>6081727.0250000004</v>
      </c>
      <c r="J20"/>
      <c r="K20" s="934">
        <f>'Step 3 Dedicated Funds'!T18</f>
        <v>3135635.1680000001</v>
      </c>
      <c r="L20" s="934">
        <f t="shared" si="0"/>
        <v>9217362.193</v>
      </c>
      <c r="M20" s="934">
        <f t="shared" si="1"/>
        <v>9217362.193</v>
      </c>
    </row>
    <row r="21" spans="1:13" s="66" customFormat="1">
      <c r="A21" s="76" t="s">
        <v>106</v>
      </c>
      <c r="B21" s="78">
        <v>17819580</v>
      </c>
      <c r="C21" s="78">
        <v>18276499.308851305</v>
      </c>
      <c r="D21" s="78">
        <v>2455849.11</v>
      </c>
      <c r="E21" s="78">
        <v>15820650.198851306</v>
      </c>
      <c r="F21" s="78"/>
      <c r="G21" s="78">
        <v>18501042</v>
      </c>
      <c r="H21" s="78">
        <v>2587348.736</v>
      </c>
      <c r="I21" s="78">
        <v>15913693.264</v>
      </c>
      <c r="J21"/>
      <c r="K21" s="78">
        <f>'Step 3 Dedicated Funds'!T19</f>
        <v>2240045.5839999998</v>
      </c>
      <c r="L21" s="78">
        <f t="shared" si="0"/>
        <v>18153738.848000001</v>
      </c>
      <c r="M21" s="78">
        <f t="shared" si="1"/>
        <v>18153738.848000001</v>
      </c>
    </row>
    <row r="22" spans="1:13" s="66" customFormat="1">
      <c r="A22" s="213" t="s">
        <v>107</v>
      </c>
      <c r="B22" s="935">
        <v>4792328</v>
      </c>
      <c r="C22" s="935">
        <v>4869806.8072989993</v>
      </c>
      <c r="D22" s="935">
        <v>231689.60000000001</v>
      </c>
      <c r="E22" s="935">
        <v>4638117.2072989997</v>
      </c>
      <c r="F22" s="935"/>
      <c r="G22" s="935">
        <v>4719068</v>
      </c>
      <c r="H22" s="935">
        <v>76501.2</v>
      </c>
      <c r="I22" s="935">
        <v>4642566.8</v>
      </c>
      <c r="J22"/>
      <c r="K22" s="935">
        <f>'Step 3 Dedicated Funds'!T20</f>
        <v>85243.407999999996</v>
      </c>
      <c r="L22" s="935">
        <f t="shared" si="0"/>
        <v>4727810.2079999996</v>
      </c>
      <c r="M22" s="935">
        <f t="shared" si="1"/>
        <v>4727810.2079999996</v>
      </c>
    </row>
    <row r="23" spans="1:13" s="66" customFormat="1">
      <c r="A23" s="214" t="s">
        <v>108</v>
      </c>
      <c r="B23" s="934">
        <v>37873962</v>
      </c>
      <c r="C23" s="934">
        <v>39880855.90787524</v>
      </c>
      <c r="D23" s="934">
        <v>1660613.534</v>
      </c>
      <c r="E23" s="934">
        <v>38220242.373875238</v>
      </c>
      <c r="F23" s="935"/>
      <c r="G23" s="934">
        <v>40776917</v>
      </c>
      <c r="H23" s="934">
        <v>1688511.5619999999</v>
      </c>
      <c r="I23" s="934">
        <v>39088405.438000001</v>
      </c>
      <c r="J23"/>
      <c r="K23" s="934">
        <f>'Step 3 Dedicated Funds'!T21</f>
        <v>1755838.534</v>
      </c>
      <c r="L23" s="934">
        <f t="shared" si="0"/>
        <v>40844243.972000003</v>
      </c>
      <c r="M23" s="934">
        <f t="shared" si="1"/>
        <v>40844243.972000003</v>
      </c>
    </row>
    <row r="24" spans="1:13" s="66" customFormat="1">
      <c r="A24" s="213" t="s">
        <v>109</v>
      </c>
      <c r="B24" s="935">
        <v>13416255</v>
      </c>
      <c r="C24" s="935">
        <v>13619738.980354073</v>
      </c>
      <c r="D24" s="935">
        <v>3293842.2820000001</v>
      </c>
      <c r="E24" s="935">
        <v>10325896.698354073</v>
      </c>
      <c r="F24" s="935"/>
      <c r="G24" s="935">
        <v>13735346</v>
      </c>
      <c r="H24" s="935">
        <v>3470463.8739999998</v>
      </c>
      <c r="I24" s="935">
        <v>10264882.126</v>
      </c>
      <c r="J24"/>
      <c r="K24" s="935">
        <f>'Step 3 Dedicated Funds'!T22</f>
        <v>3691730.0559999999</v>
      </c>
      <c r="L24" s="935">
        <f t="shared" si="0"/>
        <v>13956612.182</v>
      </c>
      <c r="M24" s="935">
        <f t="shared" si="1"/>
        <v>13956612.182</v>
      </c>
    </row>
    <row r="25" spans="1:13" s="66" customFormat="1">
      <c r="A25" s="213" t="s">
        <v>110</v>
      </c>
      <c r="B25" s="935">
        <v>11306315</v>
      </c>
      <c r="C25" s="935">
        <v>11379065.448531868</v>
      </c>
      <c r="D25" s="935">
        <v>4634817.04</v>
      </c>
      <c r="E25" s="935">
        <v>6744248.4085318679</v>
      </c>
      <c r="F25" s="935"/>
      <c r="G25" s="935">
        <v>11646038</v>
      </c>
      <c r="H25" s="935">
        <v>4579443.216</v>
      </c>
      <c r="I25" s="935">
        <v>7066594.784</v>
      </c>
      <c r="J25"/>
      <c r="K25" s="935">
        <f>'Step 3 Dedicated Funds'!T23</f>
        <v>5085809.71</v>
      </c>
      <c r="L25" s="935">
        <f t="shared" si="0"/>
        <v>12152404.493999999</v>
      </c>
      <c r="M25" s="935">
        <f t="shared" si="1"/>
        <v>12152404.493999999</v>
      </c>
    </row>
    <row r="26" spans="1:13" s="66" customFormat="1">
      <c r="A26" s="214" t="s">
        <v>111</v>
      </c>
      <c r="B26" s="934">
        <v>35239186</v>
      </c>
      <c r="C26" s="934">
        <v>38275607.009800181</v>
      </c>
      <c r="D26" s="934">
        <v>1846905.798</v>
      </c>
      <c r="E26" s="934">
        <v>36428701.21180018</v>
      </c>
      <c r="F26" s="935"/>
      <c r="G26" s="934">
        <v>39904942</v>
      </c>
      <c r="H26" s="934">
        <v>2295300.4220000003</v>
      </c>
      <c r="I26" s="934">
        <v>37609641.578000002</v>
      </c>
      <c r="J26"/>
      <c r="K26" s="934">
        <f>'Step 3 Dedicated Funds'!T24</f>
        <v>2207148.4220000003</v>
      </c>
      <c r="L26" s="934">
        <f t="shared" si="0"/>
        <v>39816790</v>
      </c>
      <c r="M26" s="934">
        <f t="shared" si="1"/>
        <v>39816790</v>
      </c>
    </row>
    <row r="27" spans="1:13" s="66" customFormat="1">
      <c r="A27" s="213" t="s">
        <v>112</v>
      </c>
      <c r="B27" s="935">
        <v>21366657</v>
      </c>
      <c r="C27" s="935">
        <v>21435510.19785019</v>
      </c>
      <c r="D27" s="935">
        <v>13064876.061999999</v>
      </c>
      <c r="E27" s="935">
        <v>8370634.1358501911</v>
      </c>
      <c r="F27" s="935"/>
      <c r="G27" s="935">
        <v>23159598</v>
      </c>
      <c r="H27" s="935">
        <v>13438126.582</v>
      </c>
      <c r="I27" s="935">
        <v>9721471.4179999996</v>
      </c>
      <c r="J27"/>
      <c r="K27" s="935">
        <f>'Step 3 Dedicated Funds'!T25</f>
        <v>15524347.298</v>
      </c>
      <c r="L27" s="935">
        <f t="shared" si="0"/>
        <v>25245818.715999998</v>
      </c>
      <c r="M27" s="935">
        <f t="shared" si="1"/>
        <v>25245818.715999998</v>
      </c>
    </row>
    <row r="28" spans="1:13" s="66" customFormat="1">
      <c r="A28" s="213" t="s">
        <v>113</v>
      </c>
      <c r="B28" s="935"/>
      <c r="C28" s="935">
        <v>1602192</v>
      </c>
      <c r="D28" s="935">
        <v>0</v>
      </c>
      <c r="E28" s="935">
        <v>1602192</v>
      </c>
      <c r="F28" s="935"/>
      <c r="G28" s="935"/>
      <c r="H28" s="935"/>
      <c r="I28" s="935">
        <v>0</v>
      </c>
      <c r="J28"/>
      <c r="K28" s="935"/>
      <c r="L28" s="935"/>
      <c r="M28" s="935"/>
    </row>
    <row r="29" spans="1:13" s="66" customFormat="1">
      <c r="A29" s="214" t="s">
        <v>114</v>
      </c>
      <c r="B29" s="934">
        <v>2067913</v>
      </c>
      <c r="C29" s="934">
        <v>2094647.0686013391</v>
      </c>
      <c r="D29" s="934">
        <v>723407.32</v>
      </c>
      <c r="E29" s="934">
        <v>1371239.7486013393</v>
      </c>
      <c r="F29" s="935"/>
      <c r="G29" s="934">
        <v>2156595</v>
      </c>
      <c r="H29" s="934">
        <v>829650.90380000009</v>
      </c>
      <c r="I29" s="934">
        <v>1326944.0962</v>
      </c>
      <c r="J29"/>
      <c r="K29" s="934">
        <f>'Step 3 Dedicated Funds'!T27</f>
        <v>1258938</v>
      </c>
      <c r="L29" s="934">
        <f>IF(M$2="FY16",I29+K29,E29+K29)</f>
        <v>2585882.0962</v>
      </c>
      <c r="M29" s="934">
        <f>IF(M$7="yes",L29,0)</f>
        <v>2585882.0962</v>
      </c>
    </row>
    <row r="30" spans="1:13" s="66" customFormat="1">
      <c r="A30" s="76" t="s">
        <v>116</v>
      </c>
      <c r="B30" s="78"/>
      <c r="C30" s="78"/>
      <c r="D30" s="78"/>
      <c r="E30" s="78">
        <v>0</v>
      </c>
      <c r="F30" s="78"/>
      <c r="G30" s="78"/>
      <c r="H30" s="78"/>
      <c r="I30" s="78"/>
      <c r="J30"/>
      <c r="K30" s="78"/>
      <c r="L30" s="78"/>
      <c r="M30" s="78"/>
    </row>
    <row r="31" spans="1:13" s="66" customFormat="1">
      <c r="A31" s="213" t="s">
        <v>117</v>
      </c>
      <c r="B31" s="935"/>
      <c r="C31" s="935"/>
      <c r="D31" s="935"/>
      <c r="E31" s="935">
        <v>0</v>
      </c>
      <c r="F31" s="935"/>
      <c r="G31" s="935"/>
      <c r="H31" s="935"/>
      <c r="I31" s="935"/>
      <c r="J31"/>
      <c r="K31" s="935"/>
      <c r="L31" s="935"/>
      <c r="M31" s="935"/>
    </row>
    <row r="32" spans="1:13" s="66" customFormat="1">
      <c r="A32" s="438" t="s">
        <v>523</v>
      </c>
      <c r="B32" s="936"/>
      <c r="C32" s="936"/>
      <c r="D32" s="936"/>
      <c r="E32" s="936">
        <v>0</v>
      </c>
      <c r="F32" s="935"/>
      <c r="G32" s="936"/>
      <c r="H32" s="936"/>
      <c r="I32" s="936"/>
      <c r="J32"/>
      <c r="K32" s="936"/>
      <c r="L32" s="936"/>
      <c r="M32" s="936"/>
    </row>
    <row r="33" spans="1:15" s="66" customFormat="1">
      <c r="A33" s="437" t="s">
        <v>524</v>
      </c>
      <c r="B33" s="937"/>
      <c r="C33" s="937"/>
      <c r="D33" s="937"/>
      <c r="E33" s="937">
        <v>0</v>
      </c>
      <c r="F33" s="937"/>
      <c r="G33" s="937"/>
      <c r="H33" s="937"/>
      <c r="I33" s="937"/>
      <c r="J33"/>
      <c r="K33" s="937"/>
      <c r="L33" s="937"/>
      <c r="M33" s="937"/>
    </row>
    <row r="34" spans="1:15" s="66" customFormat="1">
      <c r="A34" s="213" t="s">
        <v>118</v>
      </c>
      <c r="B34" s="935"/>
      <c r="C34" s="935"/>
      <c r="D34" s="935"/>
      <c r="E34" s="935">
        <v>0</v>
      </c>
      <c r="F34" s="935"/>
      <c r="G34" s="935"/>
      <c r="H34" s="935"/>
      <c r="I34" s="935"/>
      <c r="J34"/>
      <c r="K34" s="935"/>
      <c r="L34" s="935"/>
      <c r="M34" s="935"/>
    </row>
    <row r="35" spans="1:15" s="66" customFormat="1">
      <c r="A35" s="438" t="s">
        <v>119</v>
      </c>
      <c r="B35" s="934">
        <v>10355216</v>
      </c>
      <c r="C35" s="934">
        <v>10355216</v>
      </c>
      <c r="D35" s="936">
        <v>1559186</v>
      </c>
      <c r="E35" s="936">
        <v>8796030</v>
      </c>
      <c r="F35" s="935"/>
      <c r="G35" s="934">
        <v>10959977</v>
      </c>
      <c r="H35" s="934">
        <v>1917153.0660000001</v>
      </c>
      <c r="I35" s="934">
        <v>9042823.9340000004</v>
      </c>
      <c r="J35"/>
      <c r="K35" s="936">
        <f>'Step 3 Dedicated Funds'!T33+685000</f>
        <v>2750679.46</v>
      </c>
      <c r="L35" s="934">
        <f>IF(M$2="FY16",I35+K35,E35+K35)</f>
        <v>11793503.394000001</v>
      </c>
      <c r="M35" s="934">
        <f>IF(M$7="yes",L35,0)</f>
        <v>11793503.394000001</v>
      </c>
      <c r="O35" s="66" t="s">
        <v>1275</v>
      </c>
    </row>
    <row r="36" spans="1:15" s="66" customFormat="1">
      <c r="A36" s="441" t="s">
        <v>120</v>
      </c>
      <c r="B36" s="778">
        <f>SUM(B17:B35)</f>
        <v>243875569</v>
      </c>
      <c r="C36" s="778">
        <f t="shared" ref="C36:E36" si="2">SUM(C17:C35)</f>
        <v>257068083.1008091</v>
      </c>
      <c r="D36" s="778">
        <f t="shared" si="2"/>
        <v>55916451.007999994</v>
      </c>
      <c r="E36" s="778">
        <f t="shared" si="2"/>
        <v>201151632.09280911</v>
      </c>
      <c r="F36" s="78"/>
      <c r="G36" s="778">
        <f t="shared" ref="G36:I36" si="3">SUM(G17:G35)</f>
        <v>267653155</v>
      </c>
      <c r="H36" s="778">
        <f t="shared" si="3"/>
        <v>61878724.038400002</v>
      </c>
      <c r="I36" s="778">
        <f t="shared" si="3"/>
        <v>205774430.96160001</v>
      </c>
      <c r="J36"/>
      <c r="K36" s="778">
        <f t="shared" ref="K36:M36" si="4">SUM(K17:K35)</f>
        <v>64340048.310000002</v>
      </c>
      <c r="L36" s="778">
        <f>SUM(L17:L35)</f>
        <v>270114479.27160001</v>
      </c>
      <c r="M36" s="778">
        <f t="shared" si="4"/>
        <v>270114479.27160001</v>
      </c>
      <c r="O36" s="66" t="s">
        <v>1276</v>
      </c>
    </row>
    <row r="37" spans="1:15" s="66" customFormat="1">
      <c r="A37" s="213"/>
      <c r="B37" s="213"/>
      <c r="C37" s="213"/>
      <c r="D37" s="213"/>
      <c r="E37" s="213"/>
      <c r="F37" s="213"/>
      <c r="G37" s="213"/>
      <c r="H37" s="213"/>
      <c r="I37" s="213"/>
      <c r="J37"/>
      <c r="K37" s="213"/>
      <c r="L37" s="213"/>
      <c r="M37" s="213"/>
    </row>
    <row r="38" spans="1:15" s="66" customFormat="1">
      <c r="A38" s="203"/>
      <c r="B38" s="203"/>
      <c r="C38" s="203"/>
      <c r="D38" s="203"/>
      <c r="E38" s="203"/>
      <c r="F38" s="203"/>
      <c r="G38" s="203"/>
      <c r="H38" s="203"/>
      <c r="I38" s="203"/>
      <c r="J38"/>
      <c r="K38" s="203"/>
      <c r="L38" s="203"/>
      <c r="M38" s="203"/>
    </row>
    <row r="39" spans="1:15" s="66" customFormat="1">
      <c r="A39" s="76" t="s">
        <v>121</v>
      </c>
      <c r="B39" s="76"/>
      <c r="C39" s="76"/>
      <c r="D39" s="76"/>
      <c r="E39" s="76"/>
      <c r="F39" s="76"/>
      <c r="G39" s="76"/>
      <c r="H39" s="76"/>
      <c r="I39" s="76"/>
      <c r="J39"/>
      <c r="K39" s="76"/>
      <c r="L39" s="76"/>
      <c r="M39" s="76"/>
    </row>
    <row r="40" spans="1:15" s="66" customFormat="1">
      <c r="A40" s="214" t="s">
        <v>122</v>
      </c>
      <c r="B40" s="214"/>
      <c r="C40" s="214"/>
      <c r="D40" s="214"/>
      <c r="E40" s="214"/>
      <c r="F40" s="213"/>
      <c r="G40" s="214"/>
      <c r="H40" s="214"/>
      <c r="I40" s="214"/>
      <c r="J40"/>
      <c r="K40" s="214"/>
      <c r="L40" s="214"/>
      <c r="M40" s="214"/>
    </row>
    <row r="41" spans="1:15" s="66" customFormat="1">
      <c r="A41" s="213" t="s">
        <v>123</v>
      </c>
      <c r="B41" s="213"/>
      <c r="C41" s="213"/>
      <c r="D41" s="213"/>
      <c r="E41" s="213"/>
      <c r="F41" s="213"/>
      <c r="G41" s="213"/>
      <c r="H41" s="213"/>
      <c r="I41" s="213"/>
      <c r="J41"/>
      <c r="K41" s="213"/>
      <c r="L41" s="213"/>
      <c r="M41" s="213"/>
    </row>
    <row r="42" spans="1:15" s="66" customFormat="1">
      <c r="A42" s="76" t="s">
        <v>124</v>
      </c>
      <c r="B42" s="76"/>
      <c r="C42" s="76"/>
      <c r="D42" s="76"/>
      <c r="E42" s="76"/>
      <c r="F42" s="76"/>
      <c r="G42" s="76"/>
      <c r="H42" s="76"/>
      <c r="I42" s="76"/>
      <c r="J42"/>
      <c r="K42" s="76"/>
      <c r="L42" s="76"/>
      <c r="M42" s="76"/>
    </row>
    <row r="43" spans="1:15" s="66" customFormat="1">
      <c r="A43" s="214" t="s">
        <v>125</v>
      </c>
      <c r="B43" s="214"/>
      <c r="C43" s="214"/>
      <c r="D43" s="214"/>
      <c r="E43" s="214"/>
      <c r="F43" s="213"/>
      <c r="G43" s="214"/>
      <c r="H43" s="214"/>
      <c r="I43" s="214"/>
      <c r="J43"/>
      <c r="K43" s="214"/>
      <c r="L43" s="214"/>
      <c r="M43" s="214"/>
    </row>
    <row r="44" spans="1:15" s="66" customFormat="1">
      <c r="A44" s="213" t="s">
        <v>126</v>
      </c>
      <c r="B44" s="213"/>
      <c r="C44" s="213"/>
      <c r="D44" s="213"/>
      <c r="E44" s="213"/>
      <c r="F44" s="213"/>
      <c r="G44" s="213"/>
      <c r="H44" s="213"/>
      <c r="I44" s="213"/>
      <c r="J44"/>
      <c r="K44" s="213"/>
      <c r="L44" s="213"/>
      <c r="M44" s="213"/>
    </row>
    <row r="45" spans="1:15" s="66" customFormat="1">
      <c r="A45" s="437" t="s">
        <v>552</v>
      </c>
      <c r="B45" s="437"/>
      <c r="C45" s="437"/>
      <c r="D45" s="437"/>
      <c r="E45" s="437"/>
      <c r="F45" s="437"/>
      <c r="G45" s="437"/>
      <c r="H45" s="437"/>
      <c r="I45" s="437"/>
      <c r="J45"/>
      <c r="K45" s="437"/>
      <c r="L45" s="437"/>
      <c r="M45" s="437"/>
    </row>
    <row r="46" spans="1:15" s="66" customFormat="1">
      <c r="A46" s="213" t="s">
        <v>127</v>
      </c>
      <c r="B46" s="213"/>
      <c r="C46" s="213"/>
      <c r="D46" s="213"/>
      <c r="E46" s="213"/>
      <c r="F46" s="213"/>
      <c r="G46" s="213"/>
      <c r="H46" s="213"/>
      <c r="I46" s="213"/>
      <c r="J46"/>
      <c r="K46" s="213"/>
      <c r="L46" s="213"/>
      <c r="M46" s="213"/>
    </row>
    <row r="47" spans="1:15" s="66" customFormat="1">
      <c r="A47" s="214" t="s">
        <v>128</v>
      </c>
      <c r="B47" s="214"/>
      <c r="C47" s="214"/>
      <c r="D47" s="214"/>
      <c r="E47" s="214"/>
      <c r="F47" s="213"/>
      <c r="G47" s="214"/>
      <c r="H47" s="214"/>
      <c r="I47" s="214"/>
      <c r="J47"/>
      <c r="K47" s="214"/>
      <c r="L47" s="214"/>
      <c r="M47" s="214"/>
    </row>
    <row r="48" spans="1:15" s="66" customFormat="1">
      <c r="A48" s="213" t="s">
        <v>553</v>
      </c>
      <c r="B48" s="213"/>
      <c r="C48" s="213"/>
      <c r="D48" s="213"/>
      <c r="E48" s="213"/>
      <c r="F48" s="213"/>
      <c r="G48" s="213"/>
      <c r="H48" s="213"/>
      <c r="I48" s="213"/>
      <c r="J48"/>
      <c r="K48" s="213"/>
      <c r="L48" s="213"/>
      <c r="M48" s="213"/>
    </row>
    <row r="49" spans="1:13" s="66" customFormat="1">
      <c r="A49" s="76" t="s">
        <v>115</v>
      </c>
      <c r="B49" s="76"/>
      <c r="C49" s="76"/>
      <c r="D49" s="76"/>
      <c r="E49" s="76"/>
      <c r="F49" s="76"/>
      <c r="G49" s="76"/>
      <c r="H49" s="76"/>
      <c r="I49" s="76"/>
      <c r="J49"/>
      <c r="K49" s="76"/>
      <c r="L49" s="76"/>
      <c r="M49" s="76"/>
    </row>
    <row r="50" spans="1:13" s="66" customFormat="1">
      <c r="A50" s="438" t="s">
        <v>129</v>
      </c>
      <c r="B50" s="438"/>
      <c r="C50" s="438"/>
      <c r="D50" s="438"/>
      <c r="E50" s="438"/>
      <c r="F50" s="213"/>
      <c r="G50" s="438"/>
      <c r="H50" s="438"/>
      <c r="I50" s="438"/>
      <c r="J50"/>
      <c r="K50" s="438"/>
      <c r="L50" s="438"/>
      <c r="M50" s="438"/>
    </row>
    <row r="51" spans="1:13" s="66" customFormat="1">
      <c r="A51" s="213" t="s">
        <v>130</v>
      </c>
      <c r="B51" s="213"/>
      <c r="C51" s="213"/>
      <c r="D51" s="213"/>
      <c r="E51" s="213"/>
      <c r="F51" s="213"/>
      <c r="G51" s="213"/>
      <c r="H51" s="213"/>
      <c r="I51" s="213"/>
      <c r="J51"/>
      <c r="K51" s="213"/>
      <c r="L51" s="213"/>
      <c r="M51" s="213"/>
    </row>
    <row r="52" spans="1:13" s="66" customFormat="1">
      <c r="A52" s="213" t="s">
        <v>131</v>
      </c>
      <c r="B52" s="213"/>
      <c r="C52" s="213"/>
      <c r="D52" s="213"/>
      <c r="E52" s="213"/>
      <c r="F52" s="213"/>
      <c r="G52" s="213"/>
      <c r="H52" s="213"/>
      <c r="I52" s="213"/>
      <c r="J52"/>
      <c r="K52" s="213"/>
      <c r="L52" s="213"/>
      <c r="M52" s="213"/>
    </row>
    <row r="53" spans="1:13" s="66" customFormat="1">
      <c r="A53" s="438" t="s">
        <v>132</v>
      </c>
      <c r="B53" s="438"/>
      <c r="C53" s="438"/>
      <c r="D53" s="438"/>
      <c r="E53" s="438"/>
      <c r="F53" s="213"/>
      <c r="G53" s="438"/>
      <c r="H53" s="438"/>
      <c r="I53" s="438"/>
      <c r="J53"/>
      <c r="K53" s="438"/>
      <c r="L53" s="438"/>
      <c r="M53" s="438"/>
    </row>
    <row r="54" spans="1:13" s="66" customFormat="1">
      <c r="A54" s="213" t="s">
        <v>133</v>
      </c>
      <c r="B54" s="213"/>
      <c r="C54" s="213"/>
      <c r="D54" s="213"/>
      <c r="E54" s="213"/>
      <c r="F54" s="213"/>
      <c r="G54" s="213"/>
      <c r="H54" s="213"/>
      <c r="I54" s="213"/>
      <c r="J54"/>
      <c r="K54" s="213"/>
      <c r="L54" s="213"/>
      <c r="M54" s="213"/>
    </row>
    <row r="55" spans="1:13" s="66" customFormat="1">
      <c r="A55" s="213" t="s">
        <v>521</v>
      </c>
      <c r="B55" s="213"/>
      <c r="C55" s="213"/>
      <c r="D55" s="213"/>
      <c r="E55" s="213"/>
      <c r="F55" s="213"/>
      <c r="G55" s="213"/>
      <c r="H55" s="213"/>
      <c r="I55" s="213"/>
      <c r="J55"/>
      <c r="K55" s="213"/>
      <c r="L55" s="213"/>
      <c r="M55" s="213"/>
    </row>
    <row r="56" spans="1:13" s="66" customFormat="1">
      <c r="A56" s="457" t="s">
        <v>554</v>
      </c>
      <c r="B56" s="457"/>
      <c r="C56" s="457"/>
      <c r="D56" s="457"/>
      <c r="E56" s="457"/>
      <c r="F56" s="437"/>
      <c r="G56" s="457"/>
      <c r="H56" s="457"/>
      <c r="I56" s="457"/>
      <c r="J56"/>
      <c r="K56" s="457"/>
      <c r="L56" s="457"/>
      <c r="M56" s="457"/>
    </row>
    <row r="57" spans="1:13" s="66" customFormat="1">
      <c r="A57" s="213" t="s">
        <v>134</v>
      </c>
      <c r="B57" s="213"/>
      <c r="C57" s="213"/>
      <c r="D57" s="213"/>
      <c r="E57" s="213"/>
      <c r="F57" s="213"/>
      <c r="G57" s="213"/>
      <c r="H57" s="213"/>
      <c r="I57" s="213"/>
      <c r="J57"/>
      <c r="K57" s="213"/>
      <c r="L57" s="213"/>
      <c r="M57" s="213"/>
    </row>
    <row r="58" spans="1:13" s="66" customFormat="1">
      <c r="A58" s="445" t="s">
        <v>135</v>
      </c>
      <c r="B58" s="445"/>
      <c r="C58" s="445"/>
      <c r="D58" s="445"/>
      <c r="E58" s="445"/>
      <c r="F58" s="213"/>
      <c r="G58" s="445"/>
      <c r="H58" s="445"/>
      <c r="I58" s="445"/>
      <c r="J58"/>
      <c r="K58" s="445"/>
      <c r="L58" s="445"/>
      <c r="M58" s="445"/>
    </row>
    <row r="59" spans="1:13" s="66" customFormat="1">
      <c r="A59" s="447" t="s">
        <v>136</v>
      </c>
      <c r="B59" s="447"/>
      <c r="C59" s="447"/>
      <c r="D59" s="447"/>
      <c r="E59" s="447"/>
      <c r="F59" s="1400"/>
      <c r="G59" s="447"/>
      <c r="H59" s="447"/>
      <c r="I59" s="447"/>
      <c r="J59"/>
      <c r="K59" s="447"/>
      <c r="L59" s="447"/>
      <c r="M59" s="447"/>
    </row>
    <row r="60" spans="1:13" s="66" customFormat="1"/>
    <row r="61" spans="1:13" s="66" customFormat="1"/>
    <row r="62" spans="1:13" s="66" customFormat="1"/>
    <row r="63" spans="1:13" s="66" customFormat="1"/>
    <row r="64" spans="1:13" s="66" customFormat="1"/>
    <row r="65" spans="1:16" s="66" customFormat="1"/>
    <row r="66" spans="1:16" s="66" customFormat="1"/>
    <row r="67" spans="1:16" s="66" customFormat="1"/>
    <row r="68" spans="1:16" s="66" customFormat="1"/>
    <row r="69" spans="1:16" s="66" customFormat="1"/>
    <row r="70" spans="1:16" s="66" customFormat="1"/>
    <row r="71" spans="1:16" s="66" customFormat="1"/>
    <row r="72" spans="1:16" s="66" customFormat="1"/>
    <row r="73" spans="1:16" s="66" customFormat="1"/>
    <row r="74" spans="1:16" s="66" customFormat="1"/>
    <row r="75" spans="1:16">
      <c r="A75" s="66"/>
      <c r="B75" s="66"/>
      <c r="C75" s="66"/>
      <c r="D75" s="66"/>
      <c r="E75" s="66"/>
      <c r="G75" s="66"/>
      <c r="H75" s="66"/>
      <c r="I75" s="66"/>
      <c r="J75" s="66"/>
      <c r="K75" s="66"/>
      <c r="L75" s="66"/>
      <c r="N75" s="66"/>
      <c r="O75" s="66"/>
      <c r="P75" s="66"/>
    </row>
    <row r="76" spans="1:16">
      <c r="N76" s="66"/>
      <c r="O76" s="66"/>
      <c r="P76" s="66"/>
    </row>
  </sheetData>
  <mergeCells count="10">
    <mergeCell ref="B5:E5"/>
    <mergeCell ref="G5:I5"/>
    <mergeCell ref="K5:M5"/>
    <mergeCell ref="E8:E14"/>
    <mergeCell ref="K8:K14"/>
    <mergeCell ref="L8:L14"/>
    <mergeCell ref="M8:M14"/>
    <mergeCell ref="B8:B14"/>
    <mergeCell ref="C8:C14"/>
    <mergeCell ref="D8:D14"/>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0"/>
  <sheetViews>
    <sheetView workbookViewId="0">
      <selection activeCell="I1" sqref="I1"/>
    </sheetView>
  </sheetViews>
  <sheetFormatPr defaultColWidth="11" defaultRowHeight="15.75"/>
  <cols>
    <col min="1" max="1" width="45.125" customWidth="1"/>
    <col min="2" max="10" width="13.5" customWidth="1"/>
    <col min="11" max="11" width="16.625" customWidth="1"/>
    <col min="12" max="12" width="12.625" customWidth="1"/>
    <col min="13" max="13" width="4" customWidth="1"/>
    <col min="14" max="14" width="13.625" bestFit="1" customWidth="1"/>
    <col min="15" max="15" width="13.125" customWidth="1"/>
    <col min="16" max="16" width="13.375" customWidth="1"/>
    <col min="17" max="17" width="15.125" bestFit="1" customWidth="1"/>
    <col min="21" max="21" width="11.5" bestFit="1" customWidth="1"/>
  </cols>
  <sheetData>
    <row r="1" spans="1:21" ht="18.75">
      <c r="A1" s="234" t="s">
        <v>310</v>
      </c>
      <c r="I1" s="10" t="s">
        <v>312</v>
      </c>
    </row>
    <row r="2" spans="1:21" ht="18.75">
      <c r="A2" s="234" t="s">
        <v>311</v>
      </c>
    </row>
    <row r="4" spans="1:21">
      <c r="A4" s="1121" t="s">
        <v>313</v>
      </c>
      <c r="B4" s="1122" t="s">
        <v>1096</v>
      </c>
      <c r="C4" s="269"/>
      <c r="D4" s="269"/>
      <c r="E4" s="269"/>
    </row>
    <row r="5" spans="1:21">
      <c r="A5" s="293" t="s">
        <v>316</v>
      </c>
      <c r="B5" s="294">
        <f>'Step 0 FY18 Revenue'!L60-'Step 0 FY18 Revenue'!L47</f>
        <v>591508645</v>
      </c>
    </row>
    <row r="6" spans="1:21">
      <c r="A6" s="293" t="s">
        <v>314</v>
      </c>
      <c r="B6" s="294">
        <f>'Step 0 FY18 Revenue'!L47</f>
        <v>-38496686</v>
      </c>
    </row>
    <row r="7" spans="1:21">
      <c r="A7" s="1123" t="s">
        <v>315</v>
      </c>
      <c r="B7" s="1124">
        <f>B5+B6</f>
        <v>553011959</v>
      </c>
    </row>
    <row r="8" spans="1:21" ht="21" customHeight="1"/>
    <row r="9" spans="1:21" ht="30" customHeight="1">
      <c r="A9" s="202"/>
      <c r="B9" s="1599" t="s">
        <v>981</v>
      </c>
      <c r="C9" s="1596" t="s">
        <v>317</v>
      </c>
      <c r="D9" s="1597"/>
      <c r="E9" s="1597"/>
      <c r="F9" s="1598"/>
      <c r="G9" s="1601" t="s">
        <v>366</v>
      </c>
      <c r="H9" s="1602"/>
      <c r="I9" s="1602"/>
      <c r="J9" s="1603"/>
      <c r="K9" s="202"/>
      <c r="L9" s="202"/>
    </row>
    <row r="10" spans="1:21" ht="51">
      <c r="A10" s="270"/>
      <c r="B10" s="1600"/>
      <c r="C10" s="279" t="s">
        <v>369</v>
      </c>
      <c r="D10" s="279" t="s">
        <v>370</v>
      </c>
      <c r="E10" s="279" t="s">
        <v>371</v>
      </c>
      <c r="F10" s="279" t="s">
        <v>372</v>
      </c>
      <c r="G10" s="279" t="s">
        <v>986</v>
      </c>
      <c r="H10" s="279" t="s">
        <v>373</v>
      </c>
      <c r="I10" s="287" t="s">
        <v>993</v>
      </c>
      <c r="J10" s="287" t="s">
        <v>983</v>
      </c>
      <c r="K10" s="287" t="s">
        <v>13</v>
      </c>
      <c r="L10" s="287" t="s">
        <v>320</v>
      </c>
      <c r="M10" s="202"/>
    </row>
    <row r="11" spans="1:21">
      <c r="A11" s="202"/>
      <c r="B11" s="202"/>
      <c r="C11" s="202"/>
      <c r="D11" s="202"/>
      <c r="E11" s="202"/>
      <c r="F11" s="202"/>
      <c r="G11" s="202"/>
      <c r="H11" s="202"/>
      <c r="I11" s="202"/>
      <c r="J11" s="202"/>
      <c r="K11" s="202"/>
      <c r="L11" s="202"/>
      <c r="M11" s="202"/>
    </row>
    <row r="12" spans="1:21">
      <c r="A12" s="278" t="s">
        <v>319</v>
      </c>
      <c r="B12" s="271"/>
      <c r="C12" s="271"/>
      <c r="D12" s="271"/>
      <c r="E12" s="271"/>
      <c r="F12" s="271"/>
      <c r="G12" s="271"/>
      <c r="H12" s="271"/>
      <c r="I12" s="271"/>
      <c r="J12" s="271"/>
      <c r="K12" s="271"/>
      <c r="L12" s="271"/>
      <c r="M12" s="202"/>
    </row>
    <row r="13" spans="1:21" ht="17.100000000000001" customHeight="1">
      <c r="A13" s="202" t="s">
        <v>991</v>
      </c>
      <c r="B13" s="1105"/>
      <c r="C13" s="1105"/>
      <c r="D13" s="1105"/>
      <c r="E13" s="1105"/>
      <c r="F13" s="1105"/>
      <c r="G13" s="1105">
        <f>'Step 7 FY16 Final Model'!T12</f>
        <v>22663752.16</v>
      </c>
      <c r="H13" s="1105"/>
      <c r="I13" s="1105"/>
      <c r="J13" s="1105">
        <f>'Step 6 Acad Productivity+Floor'!W6+'Step 6 Acad Productivity+Floor'!W7</f>
        <v>4035850</v>
      </c>
      <c r="K13" s="1116">
        <f>SUM(B13:J13)</f>
        <v>26699602.16</v>
      </c>
      <c r="L13" s="1117">
        <f t="shared" ref="L13:L18" si="0">K13/B$7</f>
        <v>4.828033413288265E-2</v>
      </c>
      <c r="M13" s="202"/>
    </row>
    <row r="14" spans="1:21" ht="17.100000000000001" customHeight="1">
      <c r="A14" s="202" t="s">
        <v>318</v>
      </c>
      <c r="B14" s="1105">
        <f>SUM('Step 6 Acad Productivity+Floor'!P15:Q27)+'Step 6 Acad Productivity+Floor'!P33+'Step 6 Acad Productivity+Floor'!Q33+'Step 6 Acad Productivity+Floor'!P47+'Step 6 Acad Productivity+Floor'!Q47+'Step 6 Acad Productivity+Floor'!P28+'Step 6 Acad Productivity+Floor'!Q28+'Step 6 Acad Productivity+Floor'!Q29</f>
        <v>85700233.310000002</v>
      </c>
      <c r="C14" s="1105">
        <f>SUM('Step 6 Acad Productivity+Floor'!P26,'Step 6 Acad Productivity+Floor'!Q26,'Step 6 Acad Productivity+Floor'!P30,'Step 6 Acad Productivity+Floor'!Q30,'Step 6 Acad Productivity+Floor'!P32,'Step 6 Acad Productivity+Floor'!Q32,'Step 6 Acad Productivity+Floor'!P45,'Step 6 Acad Productivity+Floor'!Q45,'Step 6 Acad Productivity+Floor'!P46,'Step 6 Acad Productivity+Floor'!Q46,'Step 6 Acad Productivity+Floor'!P48,'Step 6 Acad Productivity+Floor'!Q48)</f>
        <v>12515073.117384616</v>
      </c>
      <c r="D14" s="1105">
        <f>SUM('Step 6 Acad Productivity+Floor'!P42,'Step 6 Acad Productivity+Floor'!Q42,'Step 6 Acad Productivity+Floor'!P43,'Step 6 Acad Productivity+Floor'!Q43,'Step 6 Acad Productivity+Floor'!P44,'Step 6 Acad Productivity+Floor'!Q44,'Step 6 Acad Productivity+Floor'!P49,'Step 6 Acad Productivity+Floor'!Q49)</f>
        <v>4043158.6119999997</v>
      </c>
      <c r="E14" s="1105">
        <f>SUM('Step 6 Acad Productivity+Floor'!P52:Q55)</f>
        <v>9549592.2692307681</v>
      </c>
      <c r="F14" s="1105">
        <f>SUM('Step 6 Acad Productivity+Floor'!P39,'Step 6 Acad Productivity+Floor'!Q39,'Step 6 Acad Productivity+Floor'!P50,'Step 6 Acad Productivity+Floor'!Q50,'Step 6 Acad Productivity+Floor'!P51,'Step 6 Acad Productivity+Floor'!Q51)</f>
        <v>3632934.6153846155</v>
      </c>
      <c r="G14" s="1105"/>
      <c r="H14" s="1105">
        <f>'Step 7 FY16 Final Model'!P38+'Step 7 FY16 Final Model'!Q38+'Step 7 FY16 Final Model'!P40+'Step 7 FY16 Final Model'!Q40+'Step 7 FY16 Final Model'!P41+'Step 7 FY16 Final Model'!Q41</f>
        <v>0</v>
      </c>
      <c r="I14" s="1105"/>
      <c r="J14" s="1105">
        <f>'Step 7 FY16 Final Model'!P10+'Step 7 FY16 Final Model'!Q10</f>
        <v>0</v>
      </c>
      <c r="K14" s="1116">
        <f>SUM(B14:J14)</f>
        <v>115440991.92399999</v>
      </c>
      <c r="L14" s="1117">
        <f t="shared" si="0"/>
        <v>0.20874953976176128</v>
      </c>
      <c r="M14" s="202"/>
      <c r="U14" s="215"/>
    </row>
    <row r="15" spans="1:21" ht="17.100000000000001" customHeight="1">
      <c r="A15" s="202" t="s">
        <v>992</v>
      </c>
      <c r="B15" s="1105"/>
      <c r="C15" s="1105"/>
      <c r="D15" s="1105"/>
      <c r="E15" s="1105"/>
      <c r="F15" s="1105"/>
      <c r="G15" s="1105"/>
      <c r="H15" s="1105">
        <f>'Step 6 Acad Productivity+Floor'!D38+'Step 6 Acad Productivity+Floor'!D40+'Step 6 Acad Productivity+Floor'!D41</f>
        <v>11858786</v>
      </c>
      <c r="I15" s="1105"/>
      <c r="J15" s="1105"/>
      <c r="K15" s="1116">
        <f t="shared" ref="K15:K18" si="1">SUM(B15:J15)</f>
        <v>11858786</v>
      </c>
      <c r="L15" s="1117">
        <f t="shared" si="0"/>
        <v>2.1443995571893228E-2</v>
      </c>
      <c r="M15" s="202"/>
    </row>
    <row r="16" spans="1:21" ht="17.100000000000001" customHeight="1">
      <c r="A16" s="202" t="s">
        <v>993</v>
      </c>
      <c r="B16" s="1105">
        <f>SUM('Step 6 Acad Productivity+Floor'!S15:U33)-'Step 6 Acad Productivity+Floor'!U32-'Step 6 Acad Productivity+Floor'!U30+'Step 6 Acad Productivity+Floor'!C21+'Step 6 Acad Productivity+Floor'!C22+'Step 6 Acad Productivity+Floor'!C25+'Step 6 Acad Productivity+Floor'!U47</f>
        <v>20525497.165306643</v>
      </c>
      <c r="C16" s="1105">
        <f>SUM('Step 6 Acad Productivity+Floor'!C45,'Step 6 Acad Productivity+Floor'!C46,'Step 6 Acad Productivity+Floor'!C48,'Step 6 Acad Productivity+Floor'!U45)+'Step 6 Acad Productivity+Floor'!U30+'Step 6 Acad Productivity+Floor'!U32+0</f>
        <v>1606444.5179785949</v>
      </c>
      <c r="D16" s="1105">
        <f>SUM('Step 6 Acad Productivity+Floor'!U42,'Step 6 Acad Productivity+Floor'!U43,'Step 6 Acad Productivity+Floor'!U49)</f>
        <v>-7337.5159926164779</v>
      </c>
      <c r="E16" s="1105">
        <f>'Step 6 Acad Productivity+Floor'!C54</f>
        <v>289720</v>
      </c>
      <c r="F16" s="1105">
        <f>SUM('Step 6 Acad Productivity+Floor'!U53,'Step 6 Acad Productivity+Floor'!C53,'Step 6 Acad Productivity+Floor'!C52,'Step 6 Acad Productivity+Floor'!C51,'Step 6 Acad Productivity+Floor'!C39)</f>
        <v>66584.399055927875</v>
      </c>
      <c r="G16" s="1105"/>
      <c r="H16" s="1105">
        <f>SUM('Step 6 Acad Productivity+Floor'!C38,'Step 6 Acad Productivity+Floor'!C41)</f>
        <v>5920000</v>
      </c>
      <c r="I16" s="1105"/>
      <c r="J16" s="1105"/>
      <c r="K16" s="1116">
        <f t="shared" si="1"/>
        <v>28400908.566348549</v>
      </c>
      <c r="L16" s="1117">
        <f t="shared" si="0"/>
        <v>5.1356771050133018E-2</v>
      </c>
      <c r="M16" s="202"/>
    </row>
    <row r="17" spans="1:13" ht="17.100000000000001" customHeight="1">
      <c r="A17" s="203" t="s">
        <v>899</v>
      </c>
      <c r="B17" s="203"/>
      <c r="C17" s="203"/>
      <c r="D17" s="203"/>
      <c r="E17" s="203"/>
      <c r="F17" s="203"/>
      <c r="G17" s="203"/>
      <c r="H17" s="203"/>
      <c r="I17" s="203"/>
      <c r="J17" s="208">
        <v>5000000</v>
      </c>
      <c r="K17" s="1116">
        <f t="shared" si="1"/>
        <v>5000000</v>
      </c>
      <c r="L17" s="1117">
        <f t="shared" si="0"/>
        <v>9.0413957937571475E-3</v>
      </c>
      <c r="M17" s="202"/>
    </row>
    <row r="18" spans="1:13" ht="17.100000000000001" customHeight="1">
      <c r="A18" s="202" t="s">
        <v>987</v>
      </c>
      <c r="B18" s="1105">
        <f>'Step 7 FY16 Final Model'!B10</f>
        <v>21345070</v>
      </c>
      <c r="C18" s="1105"/>
      <c r="D18" s="1105"/>
      <c r="E18" s="1105"/>
      <c r="F18" s="1105"/>
      <c r="G18" s="1105"/>
      <c r="H18" s="1105"/>
      <c r="I18" s="1105"/>
      <c r="J18" s="1105">
        <f>'Step 7 FY16 Final Model'!B11</f>
        <v>4025000</v>
      </c>
      <c r="K18" s="1116">
        <f t="shared" si="1"/>
        <v>25370070</v>
      </c>
      <c r="L18" s="1117">
        <f t="shared" si="0"/>
        <v>4.5876168837064878E-2</v>
      </c>
      <c r="M18" s="202"/>
    </row>
    <row r="19" spans="1:13" ht="17.100000000000001" customHeight="1">
      <c r="A19" s="278" t="s">
        <v>340</v>
      </c>
      <c r="B19" s="271"/>
      <c r="C19" s="271"/>
      <c r="D19" s="271"/>
      <c r="E19" s="271"/>
      <c r="F19" s="271"/>
      <c r="G19" s="271"/>
      <c r="H19" s="271"/>
      <c r="I19" s="271"/>
      <c r="J19" s="271"/>
      <c r="K19" s="271"/>
      <c r="L19" s="271"/>
      <c r="M19" s="202"/>
    </row>
    <row r="20" spans="1:13" ht="17.100000000000001" customHeight="1">
      <c r="A20" s="202"/>
      <c r="B20" s="202"/>
      <c r="C20" s="202"/>
      <c r="D20" s="202"/>
      <c r="E20" s="202"/>
      <c r="F20" s="202"/>
      <c r="G20" s="202"/>
      <c r="H20" s="202"/>
      <c r="I20" s="202"/>
      <c r="J20" s="202"/>
      <c r="K20" s="202"/>
      <c r="L20" s="202"/>
      <c r="M20" s="202"/>
    </row>
    <row r="21" spans="1:13" ht="17.100000000000001" customHeight="1">
      <c r="A21" s="202" t="s">
        <v>321</v>
      </c>
      <c r="B21" s="202"/>
      <c r="C21" s="202"/>
      <c r="D21" s="202"/>
      <c r="E21" s="202"/>
      <c r="F21" s="202"/>
      <c r="G21" s="202"/>
      <c r="H21" s="202"/>
      <c r="I21" s="202"/>
      <c r="J21" s="202"/>
      <c r="K21" s="202"/>
      <c r="L21" s="202"/>
      <c r="M21" s="202"/>
    </row>
    <row r="22" spans="1:13" ht="17.100000000000001" customHeight="1">
      <c r="A22" s="273" t="s">
        <v>332</v>
      </c>
      <c r="B22" s="272">
        <f>'Step 7 FY16 Final Model'!H15+'Step 7 FY16 Final Model'!H16+'Step 7 FY16 Final Model'!H17+'Step 7 FY16 Final Model'!H18+'Step 7 FY16 Final Model'!H19+'Step 7 FY16 Final Model'!H20+'Step 7 FY16 Final Model'!H21+'Step 7 FY16 Final Model'!H22+'Step 7 FY16 Final Model'!H23+'Step 7 FY16 Final Model'!H24+'Step 7 FY16 Final Model'!H25+'Step 7 FY16 Final Model'!H27+'Step 7 FY16 Final Model'!H31+'Step 7 FY16 Final Model'!H33</f>
        <v>74020179.906371504</v>
      </c>
      <c r="C22" s="272">
        <f>'Step 7 FY16 Final Model'!H30</f>
        <v>126306.48427682419</v>
      </c>
      <c r="D22" s="272">
        <f>+'Step 7 FY16 Final Model'!H43</f>
        <v>1691536.992324549</v>
      </c>
      <c r="E22" s="272"/>
      <c r="F22" s="272"/>
      <c r="G22" s="272"/>
      <c r="H22" s="272"/>
      <c r="I22" s="272"/>
      <c r="J22" s="272"/>
      <c r="K22" s="1116">
        <f t="shared" ref="K22:K27" si="2">SUM(B22:J22)</f>
        <v>75838023.382972881</v>
      </c>
      <c r="L22" s="1118">
        <f t="shared" ref="L22:L27" si="3">K22/B$7</f>
        <v>0.13713631712433344</v>
      </c>
      <c r="M22" s="202"/>
    </row>
    <row r="23" spans="1:13" ht="17.100000000000001" customHeight="1">
      <c r="A23" s="273" t="s">
        <v>333</v>
      </c>
      <c r="B23" s="272">
        <f>'Step 7 FY16 Final Model'!I15+'Step 7 FY16 Final Model'!I16+'Step 7 FY16 Final Model'!I17+'Step 7 FY16 Final Model'!I18+'Step 7 FY16 Final Model'!I19+'Step 7 FY16 Final Model'!I20+'Step 7 FY16 Final Model'!I21+'Step 7 FY16 Final Model'!I22+'Step 7 FY16 Final Model'!I23+'Step 7 FY16 Final Model'!I24+'Step 7 FY16 Final Model'!I25+'Step 7 FY16 Final Model'!I26+'Step 7 FY16 Final Model'!I27+'Step 7 FY16 Final Model'!I31+'Step 7 FY16 Final Model'!I33</f>
        <v>41669243.617018059</v>
      </c>
      <c r="C23" s="272"/>
      <c r="D23" s="272">
        <f>'Step 7 FY16 Final Model'!I43</f>
        <v>0</v>
      </c>
      <c r="E23" s="272"/>
      <c r="F23" s="272"/>
      <c r="G23" s="272"/>
      <c r="H23" s="272"/>
      <c r="I23" s="272"/>
      <c r="J23" s="272"/>
      <c r="K23" s="1116">
        <f t="shared" si="2"/>
        <v>41669243.617018059</v>
      </c>
      <c r="L23" s="1118">
        <f t="shared" si="3"/>
        <v>7.5349624793589781E-2</v>
      </c>
      <c r="M23" s="202"/>
    </row>
    <row r="24" spans="1:13" ht="17.100000000000001" customHeight="1">
      <c r="A24" s="273" t="s">
        <v>334</v>
      </c>
      <c r="B24" s="272">
        <f>'Step 7 FY16 Final Model'!M15+'Step 7 FY16 Final Model'!N15+'Step 7 FY16 Final Model'!M16+'Step 7 FY16 Final Model'!N16+'Step 7 FY16 Final Model'!M17+'Step 7 FY16 Final Model'!N17+'Step 7 FY16 Final Model'!M18+'Step 7 FY16 Final Model'!N18+'Step 7 FY16 Final Model'!M19+'Step 7 FY16 Final Model'!N19+'Step 7 FY16 Final Model'!M20+'Step 7 FY16 Final Model'!N20+'Step 7 FY16 Final Model'!M21+'Step 7 FY16 Final Model'!N21+'Step 7 FY16 Final Model'!M22+'Step 7 FY16 Final Model'!N22+'Step 7 FY16 Final Model'!M23+'Step 7 FY16 Final Model'!N23+'Step 7 FY16 Final Model'!M24+'Step 7 FY16 Final Model'!N24+'Step 7 FY16 Final Model'!M25+'Step 7 FY16 Final Model'!N25+'Step 7 FY16 Final Model'!M27+'Step 7 FY16 Final Model'!N27+'Step 7 FY16 Final Model'!M31+'Step 7 FY16 Final Model'!N31</f>
        <v>33335394.893614445</v>
      </c>
      <c r="C24" s="272"/>
      <c r="D24" s="272"/>
      <c r="E24" s="272"/>
      <c r="F24" s="272"/>
      <c r="G24" s="272"/>
      <c r="H24" s="272"/>
      <c r="I24" s="272"/>
      <c r="J24" s="272"/>
      <c r="K24" s="1116">
        <f t="shared" si="2"/>
        <v>33335394.893614445</v>
      </c>
      <c r="L24" s="1118">
        <f t="shared" si="3"/>
        <v>6.0279699834871824E-2</v>
      </c>
      <c r="M24" s="202"/>
    </row>
    <row r="25" spans="1:13" ht="17.100000000000001" customHeight="1">
      <c r="A25" s="273" t="s">
        <v>335</v>
      </c>
      <c r="B25" s="272">
        <f>'Step 7 FY16 Final Model'!J15+'Step 7 FY16 Final Model'!J16+'Step 7 FY16 Final Model'!J17+'Step 7 FY16 Final Model'!J18+'Step 7 FY16 Final Model'!J19+'Step 7 FY16 Final Model'!J20+'Step 7 FY16 Final Model'!J21+'Step 7 FY16 Final Model'!J22+'Step 7 FY16 Final Model'!J23+'Step 7 FY16 Final Model'!J24+'Step 7 FY16 Final Model'!J25+'Step 7 FY16 Final Model'!J27+'Step 7 FY16 Final Model'!J31+'Step 7 FY16 Final Model'!J33</f>
        <v>52001740</v>
      </c>
      <c r="C25" s="272">
        <f>'Step 7 FY16 Final Model'!J30</f>
        <v>0</v>
      </c>
      <c r="D25" s="272">
        <f>'Step 7 FY16 Final Model'!J43</f>
        <v>128387</v>
      </c>
      <c r="E25" s="272"/>
      <c r="F25" s="272"/>
      <c r="G25" s="272"/>
      <c r="H25" s="272"/>
      <c r="I25" s="272"/>
      <c r="J25" s="272"/>
      <c r="K25" s="1116">
        <f t="shared" si="2"/>
        <v>52130127</v>
      </c>
      <c r="L25" s="1118">
        <f t="shared" si="3"/>
        <v>9.4265822197165186E-2</v>
      </c>
      <c r="M25" s="202"/>
    </row>
    <row r="26" spans="1:13" ht="17.100000000000001" customHeight="1">
      <c r="A26" s="273" t="s">
        <v>336</v>
      </c>
      <c r="B26" s="272">
        <f>'Step 7 FY16 Final Model'!K15+'Step 7 FY16 Final Model'!K16+'Step 7 FY16 Final Model'!K17+'Step 7 FY16 Final Model'!K18+'Step 7 FY16 Final Model'!K19+'Step 7 FY16 Final Model'!K20+'Step 7 FY16 Final Model'!K21+'Step 7 FY16 Final Model'!K22+'Step 7 FY16 Final Model'!K23+'Step 7 FY16 Final Model'!K24+'Step 7 FY16 Final Model'!K25+'Step 7 FY16 Final Model'!K27+'Step 7 FY16 Final Model'!K31+'Step 7 FY16 Final Model'!K33+'Step 7 FY16 Final Model'!K47</f>
        <v>8262899.7262576083</v>
      </c>
      <c r="C26" s="272">
        <f>'Step 7 FY16 Final Model'!K30+'Step 7 FY16 Final Model'!K32+'Step 7 FY16 Final Model'!K45</f>
        <v>13586.305332028649</v>
      </c>
      <c r="D26" s="272">
        <f>'Step 7 FY16 Final Model'!K43+'Step 7 FY16 Final Model'!K49+'Step 7 FY16 Final Model'!K42</f>
        <v>54492.415997003453</v>
      </c>
      <c r="E26" s="272">
        <f>'Step 7 FY16 Final Model'!K53</f>
        <v>153.76930022652303</v>
      </c>
      <c r="F26" s="272"/>
      <c r="G26" s="272"/>
      <c r="H26" s="272">
        <f>'Step 7 FY16 Final Model'!K38</f>
        <v>2716.5065167470298</v>
      </c>
      <c r="I26" s="272"/>
      <c r="J26" s="272"/>
      <c r="K26" s="1116">
        <f t="shared" si="2"/>
        <v>8333848.7234036131</v>
      </c>
      <c r="L26" s="1118">
        <f t="shared" si="3"/>
        <v>1.5069924958717959E-2</v>
      </c>
      <c r="M26" s="202"/>
    </row>
    <row r="27" spans="1:13">
      <c r="A27" s="273" t="s">
        <v>985</v>
      </c>
      <c r="B27" s="272">
        <f>'Step 7 FY16 Final Model'!L15+'Step 7 FY16 Final Model'!L16+'Step 7 FY16 Final Model'!L17+'Step 7 FY16 Final Model'!L18+'Step 7 FY16 Final Model'!L19+'Step 7 FY16 Final Model'!L20+'Step 7 FY16 Final Model'!L21+'Step 7 FY16 Final Model'!L22+'Step 7 FY16 Final Model'!L23+'Step 7 FY16 Final Model'!L24+'Step 7 FY16 Final Model'!L25+'Step 7 FY16 Final Model'!L26+'Step 7 FY16 Final Model'!L27+'Step 7 FY16 Final Model'!L31+'Step 7 FY16 Final Model'!L33</f>
        <v>7495116.2496199701</v>
      </c>
      <c r="C27" s="272">
        <f>'Step 7 FY16 Final Model'!L30</f>
        <v>2243.7014263473907</v>
      </c>
      <c r="D27" s="272">
        <f>'Step 7 FY16 Final Model'!L43</f>
        <v>3103.9000169344245</v>
      </c>
      <c r="E27" s="272"/>
      <c r="F27" s="272"/>
      <c r="G27" s="272"/>
      <c r="H27" s="272"/>
      <c r="I27" s="272"/>
      <c r="J27" s="272"/>
      <c r="K27" s="1116">
        <f t="shared" si="2"/>
        <v>7500463.8510632524</v>
      </c>
      <c r="L27" s="1118">
        <f t="shared" si="3"/>
        <v>1.3562932462846166E-2</v>
      </c>
      <c r="M27" s="202"/>
    </row>
    <row r="28" spans="1:13">
      <c r="A28" s="202"/>
      <c r="B28" s="272"/>
      <c r="C28" s="272"/>
      <c r="D28" s="272"/>
      <c r="E28" s="272"/>
      <c r="F28" s="272"/>
      <c r="G28" s="272"/>
      <c r="H28" s="272"/>
      <c r="I28" s="272"/>
      <c r="J28" s="272"/>
      <c r="K28" s="1119"/>
      <c r="L28" s="1119"/>
      <c r="M28" s="202"/>
    </row>
    <row r="29" spans="1:13">
      <c r="A29" s="202" t="s">
        <v>331</v>
      </c>
      <c r="B29" s="272">
        <f>'Step 7 FY16 Final Model'!F47</f>
        <v>1481570.7582504256</v>
      </c>
      <c r="C29" s="272">
        <f>'Step 7 FY16 Final Model'!F32+'Step 7 FY16 Final Model'!F46+'Step 7 FY16 Final Model'!F48+'Step 7 FY16 Final Model'!F30+'Step 7 FY16 Final Model'!F45+'Step 7 FY16 Final Model'!F26</f>
        <v>36895674.345285662</v>
      </c>
      <c r="D29" s="272">
        <f>'Step 7 FY16 Final Model'!F44+'Step 7 FY16 Final Model'!F42+'Step 7 FY16 Final Model'!F43+'Step 7 FY16 Final Model'!F49</f>
        <v>19880711.391850084</v>
      </c>
      <c r="E29" s="272">
        <f>'Step 7 FY16 Final Model'!F52+'Step 7 FY16 Final Model'!F53+'Step 7 FY16 Final Model'!F54+'Step 7 FY16 Final Model'!F55</f>
        <v>25906500.491217665</v>
      </c>
      <c r="F29" s="272">
        <f>'Step 7 FY16 Final Model'!F39+'Step 7 FY16 Final Model'!F51+'Step 7 FY16 Final Model'!F50</f>
        <v>37270052.511323959</v>
      </c>
      <c r="G29" s="272"/>
      <c r="H29" s="272"/>
      <c r="I29" s="272"/>
      <c r="J29" s="272"/>
      <c r="K29" s="1116">
        <f>SUM(B29:J29)</f>
        <v>121434509.49792778</v>
      </c>
      <c r="L29" s="1118">
        <f>K29/B$7</f>
        <v>0.21958749267830532</v>
      </c>
      <c r="M29" s="202"/>
    </row>
    <row r="30" spans="1:13">
      <c r="A30" s="202"/>
      <c r="B30" s="202"/>
      <c r="C30" s="202"/>
      <c r="D30" s="202"/>
      <c r="E30" s="202"/>
      <c r="F30" s="202"/>
      <c r="G30" s="202"/>
      <c r="H30" s="202"/>
      <c r="I30" s="202"/>
      <c r="J30" s="202"/>
      <c r="K30" s="202"/>
      <c r="L30" s="202"/>
      <c r="M30" s="202"/>
    </row>
    <row r="31" spans="1:13">
      <c r="A31" s="278" t="s">
        <v>338</v>
      </c>
      <c r="B31" s="271"/>
      <c r="C31" s="271"/>
      <c r="D31" s="271"/>
      <c r="E31" s="271"/>
      <c r="F31" s="271"/>
      <c r="G31" s="271"/>
      <c r="H31" s="271"/>
      <c r="I31" s="271"/>
      <c r="J31" s="271"/>
      <c r="K31" s="290"/>
      <c r="L31" s="291"/>
      <c r="M31" s="202"/>
    </row>
    <row r="32" spans="1:13">
      <c r="A32" s="202"/>
      <c r="B32" s="272">
        <f>'Step 7 FY16 Final Model'!Z35</f>
        <v>0</v>
      </c>
      <c r="C32" s="272"/>
      <c r="D32" s="272"/>
      <c r="E32" s="272"/>
      <c r="F32" s="272"/>
      <c r="G32" s="272"/>
      <c r="H32" s="272"/>
      <c r="I32" s="272">
        <f>'Step 7 FY16 Final Model'!Z11</f>
        <v>0</v>
      </c>
      <c r="J32" s="272"/>
      <c r="K32" s="272">
        <f>SUM(B32:J32)</f>
        <v>0</v>
      </c>
      <c r="L32" s="202"/>
      <c r="M32" s="202"/>
    </row>
    <row r="33" spans="1:13">
      <c r="A33" s="278" t="s">
        <v>339</v>
      </c>
      <c r="B33" s="271"/>
      <c r="C33" s="271"/>
      <c r="D33" s="271"/>
      <c r="E33" s="271"/>
      <c r="F33" s="271"/>
      <c r="G33" s="271"/>
      <c r="H33" s="271"/>
      <c r="I33" s="271"/>
      <c r="J33" s="271"/>
      <c r="K33" s="290"/>
      <c r="L33" s="291"/>
      <c r="M33" s="202"/>
    </row>
    <row r="34" spans="1:13">
      <c r="A34" s="202"/>
      <c r="B34" s="272"/>
      <c r="C34" s="272"/>
      <c r="D34" s="272"/>
      <c r="E34" s="272"/>
      <c r="F34" s="272"/>
      <c r="G34" s="272"/>
      <c r="H34" s="272"/>
      <c r="I34" s="272"/>
      <c r="J34" s="272"/>
      <c r="K34" s="272"/>
      <c r="L34" s="202"/>
      <c r="M34" s="202"/>
    </row>
    <row r="35" spans="1:13">
      <c r="A35" s="274" t="s">
        <v>13</v>
      </c>
      <c r="B35" s="280">
        <f>SUM(B13:B33)</f>
        <v>345836945.62643868</v>
      </c>
      <c r="C35" s="280">
        <f t="shared" ref="C35:G35" si="4">SUM(C13:C33)</f>
        <v>51159328.471684076</v>
      </c>
      <c r="D35" s="280">
        <f t="shared" si="4"/>
        <v>25794052.796195954</v>
      </c>
      <c r="E35" s="280">
        <f t="shared" si="4"/>
        <v>35745966.529748663</v>
      </c>
      <c r="F35" s="280">
        <f t="shared" si="4"/>
        <v>40969571.525764503</v>
      </c>
      <c r="G35" s="280">
        <f t="shared" si="4"/>
        <v>22663752.16</v>
      </c>
      <c r="H35" s="280">
        <f>SUM(H13:H33)</f>
        <v>17781502.506516747</v>
      </c>
      <c r="I35" s="280">
        <f>SUM(I14:I33)</f>
        <v>0</v>
      </c>
      <c r="J35" s="280">
        <f>SUM(J13:J33)</f>
        <v>13060850</v>
      </c>
      <c r="K35" s="280">
        <f>SUM(B35:J35)</f>
        <v>553011969.61634862</v>
      </c>
      <c r="L35" s="1120">
        <f>SUM(L13:L33)</f>
        <v>1.0000000191973217</v>
      </c>
      <c r="M35" s="202"/>
    </row>
    <row r="36" spans="1:13">
      <c r="A36" s="276" t="s">
        <v>330</v>
      </c>
      <c r="B36" s="288">
        <f>B35/$K35</f>
        <v>0.6253697290971163</v>
      </c>
      <c r="C36" s="288">
        <f t="shared" ref="C36:J36" si="5">C35/$K35</f>
        <v>9.2510345675114042E-2</v>
      </c>
      <c r="D36" s="288">
        <f t="shared" si="5"/>
        <v>4.664284719567742E-2</v>
      </c>
      <c r="E36" s="288">
        <f t="shared" si="5"/>
        <v>6.4638685044281025E-2</v>
      </c>
      <c r="F36" s="288">
        <f t="shared" si="5"/>
        <v>7.4084420910793466E-2</v>
      </c>
      <c r="G36" s="288">
        <f t="shared" si="5"/>
        <v>4.098238990328356E-2</v>
      </c>
      <c r="H36" s="288">
        <f>H35/$K35</f>
        <v>3.2153919776551389E-2</v>
      </c>
      <c r="I36" s="288">
        <f t="shared" si="5"/>
        <v>0</v>
      </c>
      <c r="J36" s="288">
        <f t="shared" si="5"/>
        <v>2.3617662397182739E-2</v>
      </c>
      <c r="K36" s="292">
        <f>SUM(B36:J36)</f>
        <v>1</v>
      </c>
      <c r="L36" s="277"/>
      <c r="M36" s="202"/>
    </row>
    <row r="37" spans="1:13">
      <c r="I37" s="202"/>
      <c r="J37" s="220"/>
      <c r="K37" s="220">
        <f>SUM(K13:K33)</f>
        <v>553011969.61634862</v>
      </c>
      <c r="L37" s="202"/>
      <c r="M37" s="202"/>
    </row>
    <row r="38" spans="1:13">
      <c r="B38" s="1103" t="s">
        <v>982</v>
      </c>
      <c r="C38" t="s">
        <v>989</v>
      </c>
      <c r="I38" s="202"/>
      <c r="J38" s="202"/>
      <c r="K38" s="202"/>
      <c r="L38" s="202"/>
      <c r="M38" s="202"/>
    </row>
    <row r="39" spans="1:13" ht="18">
      <c r="B39" s="295">
        <v>1</v>
      </c>
      <c r="C39" t="s">
        <v>374</v>
      </c>
      <c r="I39" s="202"/>
      <c r="J39" s="202"/>
      <c r="L39" s="202"/>
      <c r="M39" s="202"/>
    </row>
    <row r="40" spans="1:13" ht="18">
      <c r="B40" s="295">
        <v>2</v>
      </c>
      <c r="C40" t="s">
        <v>984</v>
      </c>
    </row>
    <row r="41" spans="1:13" ht="18">
      <c r="B41" s="295">
        <v>3</v>
      </c>
      <c r="C41" t="s">
        <v>990</v>
      </c>
    </row>
    <row r="42" spans="1:13" ht="18">
      <c r="B42" s="295">
        <v>4</v>
      </c>
      <c r="C42" t="s">
        <v>375</v>
      </c>
    </row>
    <row r="43" spans="1:13" ht="18">
      <c r="B43" s="295">
        <v>5</v>
      </c>
      <c r="C43" t="s">
        <v>1479</v>
      </c>
      <c r="K43" s="12"/>
    </row>
    <row r="44" spans="1:13">
      <c r="K44" s="215"/>
    </row>
    <row r="47" spans="1:13">
      <c r="K47" s="12"/>
    </row>
    <row r="48" spans="1:13">
      <c r="F48" s="12"/>
      <c r="G48" s="12"/>
      <c r="H48" s="12"/>
      <c r="I48" s="12"/>
      <c r="J48" s="12"/>
      <c r="K48" s="12"/>
      <c r="L48" s="12"/>
    </row>
    <row r="50" spans="11:11">
      <c r="K50" s="215"/>
    </row>
  </sheetData>
  <mergeCells count="3">
    <mergeCell ref="C9:F9"/>
    <mergeCell ref="B9:B10"/>
    <mergeCell ref="G9:J9"/>
  </mergeCells>
  <phoneticPr fontId="62" type="noConversion"/>
  <pageMargins left="0.75" right="0.75" top="1" bottom="1" header="0.5" footer="0.5"/>
  <pageSetup scale="58" orientation="landscape" horizontalDpi="4294967292" verticalDpi="429496729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O97"/>
  <sheetViews>
    <sheetView workbookViewId="0">
      <selection activeCell="J12" sqref="J12"/>
    </sheetView>
  </sheetViews>
  <sheetFormatPr defaultColWidth="8.875" defaultRowHeight="15"/>
  <cols>
    <col min="1" max="1" width="2.5" style="19" customWidth="1"/>
    <col min="2" max="2" width="16.375" style="51" bestFit="1" customWidth="1"/>
    <col min="3" max="3" width="50.375" style="19" customWidth="1"/>
    <col min="4" max="4" width="8.875" style="19" customWidth="1"/>
    <col min="5" max="5" width="15.875" style="31" customWidth="1"/>
    <col min="6" max="6" width="15.875" style="19" customWidth="1"/>
    <col min="7" max="7" width="16.125" style="19" customWidth="1"/>
    <col min="8" max="11" width="3.5" style="19" customWidth="1"/>
    <col min="12" max="12" width="14.125" style="19" customWidth="1"/>
    <col min="13" max="13" width="34" style="19" customWidth="1"/>
    <col min="14" max="14" width="15.875" style="19" customWidth="1"/>
    <col min="15" max="16384" width="8.875" style="19"/>
  </cols>
  <sheetData>
    <row r="1" spans="1:14" ht="19.5">
      <c r="A1" s="1635" t="s">
        <v>18</v>
      </c>
      <c r="B1" s="1635"/>
      <c r="C1" s="1635"/>
      <c r="D1" s="1635"/>
      <c r="E1" s="1635"/>
      <c r="F1" s="1635"/>
      <c r="G1" s="1635"/>
      <c r="L1" s="19" t="s">
        <v>345</v>
      </c>
    </row>
    <row r="2" spans="1:14" ht="18">
      <c r="A2" s="1636" t="s">
        <v>1219</v>
      </c>
      <c r="B2" s="1636"/>
      <c r="C2" s="1636"/>
      <c r="D2" s="1636"/>
      <c r="E2" s="1636"/>
      <c r="F2" s="1636"/>
      <c r="G2" s="1636"/>
    </row>
    <row r="3" spans="1:14" ht="18">
      <c r="A3" s="1637"/>
      <c r="B3" s="1637"/>
      <c r="C3" s="1637"/>
      <c r="D3" s="1637"/>
      <c r="E3" s="1637"/>
      <c r="F3" s="1637"/>
      <c r="G3" s="1637"/>
      <c r="L3" s="1639" t="s">
        <v>1377</v>
      </c>
      <c r="M3" s="1639"/>
      <c r="N3" s="1639"/>
    </row>
    <row r="4" spans="1:14" ht="39.950000000000003" customHeight="1" thickBot="1">
      <c r="A4" s="20"/>
      <c r="B4" s="21" t="s">
        <v>19</v>
      </c>
      <c r="C4" s="22" t="s">
        <v>20</v>
      </c>
      <c r="D4" s="23" t="s">
        <v>21</v>
      </c>
      <c r="E4" s="24" t="s">
        <v>1220</v>
      </c>
      <c r="F4" s="1570" t="s">
        <v>1045</v>
      </c>
      <c r="G4" s="25" t="s">
        <v>1221</v>
      </c>
      <c r="L4" s="383" t="s">
        <v>183</v>
      </c>
      <c r="M4" s="1638" t="s">
        <v>343</v>
      </c>
      <c r="N4" s="1638"/>
    </row>
    <row r="5" spans="1:14" ht="16.5" thickTop="1">
      <c r="A5" s="26"/>
      <c r="B5" s="27" t="s">
        <v>22</v>
      </c>
      <c r="C5" s="28" t="s">
        <v>23</v>
      </c>
      <c r="D5" s="28" t="s">
        <v>24</v>
      </c>
      <c r="E5" s="386">
        <v>-5042236</v>
      </c>
      <c r="F5" s="387">
        <v>3624172</v>
      </c>
      <c r="G5" s="1230">
        <v>-1418064</v>
      </c>
      <c r="H5" s="30"/>
      <c r="L5" s="19" t="s">
        <v>341</v>
      </c>
      <c r="M5" s="19" t="s">
        <v>342</v>
      </c>
    </row>
    <row r="6" spans="1:14">
      <c r="A6" s="31"/>
      <c r="B6" s="27" t="s">
        <v>22</v>
      </c>
      <c r="C6" s="28" t="s">
        <v>467</v>
      </c>
      <c r="D6" s="388" t="s">
        <v>468</v>
      </c>
      <c r="E6" s="389">
        <v>4428707</v>
      </c>
      <c r="F6" s="1232">
        <v>4737744</v>
      </c>
      <c r="G6" s="1231">
        <v>9166451</v>
      </c>
      <c r="H6" s="30"/>
      <c r="I6" s="31"/>
    </row>
    <row r="7" spans="1:14">
      <c r="A7" s="31"/>
      <c r="B7" s="27" t="s">
        <v>22</v>
      </c>
      <c r="C7" s="28" t="s">
        <v>469</v>
      </c>
      <c r="D7" s="388" t="s">
        <v>470</v>
      </c>
      <c r="E7" s="389">
        <v>1144984</v>
      </c>
      <c r="F7" s="387">
        <v>714022</v>
      </c>
      <c r="G7" s="1231">
        <v>1859006</v>
      </c>
      <c r="H7" s="30"/>
      <c r="I7" s="31"/>
      <c r="J7" s="30"/>
      <c r="M7" s="390" t="s">
        <v>466</v>
      </c>
      <c r="N7" s="390"/>
    </row>
    <row r="8" spans="1:14" ht="15.75">
      <c r="A8" s="31"/>
      <c r="B8" s="27" t="s">
        <v>22</v>
      </c>
      <c r="C8" s="28" t="s">
        <v>1046</v>
      </c>
      <c r="D8" s="28" t="s">
        <v>51</v>
      </c>
      <c r="E8" s="386">
        <v>1783668</v>
      </c>
      <c r="F8" s="387">
        <v>485091</v>
      </c>
      <c r="G8" s="1231">
        <v>2268759</v>
      </c>
      <c r="H8" s="31"/>
      <c r="I8" s="34"/>
      <c r="J8" s="30"/>
      <c r="M8" s="191" t="s">
        <v>173</v>
      </c>
      <c r="N8" s="34">
        <f>SUM(G18,G19,G20,G21,G54)</f>
        <v>8428846.1600000001</v>
      </c>
    </row>
    <row r="9" spans="1:14" ht="15.75">
      <c r="A9" s="31"/>
      <c r="B9" s="27" t="s">
        <v>22</v>
      </c>
      <c r="C9" s="28" t="s">
        <v>52</v>
      </c>
      <c r="D9" s="28" t="s">
        <v>51</v>
      </c>
      <c r="E9" s="386">
        <v>395000</v>
      </c>
      <c r="F9" s="387">
        <v>17000</v>
      </c>
      <c r="G9" s="1231">
        <v>412000</v>
      </c>
      <c r="H9" s="31"/>
      <c r="I9" s="34"/>
      <c r="J9" s="34"/>
      <c r="K9" s="34"/>
      <c r="M9" s="191" t="s">
        <v>177</v>
      </c>
      <c r="N9" s="34">
        <f>SUM(G11,G22,G23,G13)</f>
        <v>-7001596</v>
      </c>
    </row>
    <row r="10" spans="1:14" s="31" customFormat="1" ht="15.75">
      <c r="B10" s="27" t="s">
        <v>22</v>
      </c>
      <c r="C10" s="28" t="s">
        <v>1047</v>
      </c>
      <c r="D10" s="28" t="s">
        <v>51</v>
      </c>
      <c r="E10" s="386">
        <v>195500</v>
      </c>
      <c r="F10" s="387">
        <v>8414</v>
      </c>
      <c r="G10" s="1231">
        <v>203914</v>
      </c>
      <c r="I10" s="34"/>
      <c r="J10" s="34"/>
      <c r="K10" s="34"/>
      <c r="L10" s="19"/>
      <c r="M10" s="191" t="s">
        <v>174</v>
      </c>
      <c r="N10" s="34">
        <f>G14+G15+G16</f>
        <v>7543582</v>
      </c>
    </row>
    <row r="11" spans="1:14" s="31" customFormat="1" ht="15.75">
      <c r="A11" s="19"/>
      <c r="B11" s="29" t="s">
        <v>22</v>
      </c>
      <c r="C11" s="388" t="s">
        <v>25</v>
      </c>
      <c r="D11" s="388" t="s">
        <v>26</v>
      </c>
      <c r="E11" s="389">
        <v>1550000</v>
      </c>
      <c r="F11" s="387">
        <v>2553624</v>
      </c>
      <c r="G11" s="1233">
        <v>4103624</v>
      </c>
      <c r="H11" s="19"/>
      <c r="I11" s="19"/>
      <c r="J11" s="34"/>
      <c r="K11" s="34"/>
      <c r="L11" s="19"/>
      <c r="M11" s="191" t="s">
        <v>175</v>
      </c>
      <c r="N11" s="34">
        <f>SUM(G33,G34,G35)</f>
        <v>7619467</v>
      </c>
    </row>
    <row r="12" spans="1:14" s="31" customFormat="1" ht="15.75">
      <c r="A12" s="19"/>
      <c r="B12" s="29" t="s">
        <v>22</v>
      </c>
      <c r="C12" s="388" t="s">
        <v>471</v>
      </c>
      <c r="D12" s="388" t="s">
        <v>26</v>
      </c>
      <c r="E12" s="389">
        <v>1427000</v>
      </c>
      <c r="F12" s="387">
        <v>-1427000</v>
      </c>
      <c r="G12" s="1233">
        <v>0</v>
      </c>
      <c r="H12" s="19"/>
      <c r="I12" s="19"/>
      <c r="L12" s="19"/>
      <c r="M12" s="191" t="s">
        <v>1235</v>
      </c>
      <c r="N12" s="34">
        <f>G24</f>
        <v>3000000</v>
      </c>
    </row>
    <row r="13" spans="1:14" s="31" customFormat="1" ht="15.75">
      <c r="A13" s="19"/>
      <c r="B13" s="29" t="s">
        <v>22</v>
      </c>
      <c r="C13" s="388" t="s">
        <v>1048</v>
      </c>
      <c r="D13" s="388" t="s">
        <v>26</v>
      </c>
      <c r="E13" s="389">
        <v>1065209</v>
      </c>
      <c r="F13" s="387">
        <v>-1065209</v>
      </c>
      <c r="G13" s="1233">
        <v>0</v>
      </c>
      <c r="H13" s="19"/>
      <c r="I13" s="19"/>
      <c r="L13" s="19"/>
      <c r="M13" s="191" t="s">
        <v>179</v>
      </c>
      <c r="N13" s="34">
        <f>G26</f>
        <v>1300000</v>
      </c>
    </row>
    <row r="14" spans="1:14" s="31" customFormat="1" ht="15.75">
      <c r="A14" s="19"/>
      <c r="B14" s="29" t="s">
        <v>22</v>
      </c>
      <c r="C14" s="388" t="s">
        <v>27</v>
      </c>
      <c r="D14" s="388" t="s">
        <v>26</v>
      </c>
      <c r="E14" s="389">
        <v>3035000</v>
      </c>
      <c r="F14" s="387">
        <v>800000</v>
      </c>
      <c r="G14" s="1233">
        <v>3835000</v>
      </c>
      <c r="H14" s="19"/>
      <c r="I14" s="19"/>
      <c r="K14" s="34"/>
      <c r="M14" s="191" t="s">
        <v>192</v>
      </c>
      <c r="N14" s="34">
        <f>G9</f>
        <v>412000</v>
      </c>
    </row>
    <row r="15" spans="1:14" s="31" customFormat="1" ht="15.75">
      <c r="A15" s="19"/>
      <c r="B15" s="29" t="s">
        <v>22</v>
      </c>
      <c r="C15" s="388" t="s">
        <v>1222</v>
      </c>
      <c r="D15" s="388" t="s">
        <v>26</v>
      </c>
      <c r="E15" s="389"/>
      <c r="F15" s="387">
        <v>1208582</v>
      </c>
      <c r="G15" s="1233">
        <v>1208582</v>
      </c>
      <c r="H15" s="19"/>
      <c r="I15" s="19"/>
      <c r="L15" s="34"/>
      <c r="M15" s="193" t="s">
        <v>180</v>
      </c>
      <c r="N15" s="34">
        <f>SUM(G25,G50,G51,G58,G59,G60,G61)</f>
        <v>819575</v>
      </c>
    </row>
    <row r="16" spans="1:14" s="31" customFormat="1" ht="15.75">
      <c r="A16" s="19"/>
      <c r="B16" s="29" t="s">
        <v>22</v>
      </c>
      <c r="C16" s="388" t="s">
        <v>1049</v>
      </c>
      <c r="D16" s="388" t="s">
        <v>26</v>
      </c>
      <c r="E16" s="386">
        <v>2500000</v>
      </c>
      <c r="F16" s="387">
        <v>0</v>
      </c>
      <c r="G16" s="1231">
        <v>2500000</v>
      </c>
      <c r="H16" s="19"/>
      <c r="I16" s="19"/>
      <c r="M16" s="193" t="s">
        <v>1238</v>
      </c>
      <c r="N16" s="34">
        <f>G17</f>
        <v>541878</v>
      </c>
    </row>
    <row r="17" spans="1:14">
      <c r="B17" s="29" t="s">
        <v>22</v>
      </c>
      <c r="C17" s="388" t="s">
        <v>473</v>
      </c>
      <c r="D17" s="388" t="s">
        <v>26</v>
      </c>
      <c r="E17" s="386">
        <v>416878</v>
      </c>
      <c r="F17" s="387">
        <v>125000</v>
      </c>
      <c r="G17" s="1231">
        <v>541878</v>
      </c>
      <c r="K17" s="30"/>
      <c r="L17" s="31"/>
      <c r="M17" s="31"/>
      <c r="N17" s="34"/>
    </row>
    <row r="18" spans="1:14">
      <c r="B18" s="29" t="s">
        <v>22</v>
      </c>
      <c r="C18" s="388" t="s">
        <v>28</v>
      </c>
      <c r="D18" s="388" t="s">
        <v>29</v>
      </c>
      <c r="E18" s="386">
        <v>600000</v>
      </c>
      <c r="F18" s="387">
        <v>0</v>
      </c>
      <c r="G18" s="1231">
        <v>600000</v>
      </c>
      <c r="L18" s="31"/>
      <c r="M18" s="390" t="s">
        <v>472</v>
      </c>
      <c r="N18" s="1390">
        <f>SUM(G5,G10,G43)</f>
        <v>1035850</v>
      </c>
    </row>
    <row r="19" spans="1:14">
      <c r="B19" s="29" t="s">
        <v>22</v>
      </c>
      <c r="C19" s="388" t="s">
        <v>30</v>
      </c>
      <c r="D19" s="388" t="s">
        <v>29</v>
      </c>
      <c r="E19" s="386">
        <v>10000</v>
      </c>
      <c r="F19" s="387">
        <v>0</v>
      </c>
      <c r="G19" s="1231">
        <v>10000</v>
      </c>
      <c r="L19" s="31"/>
      <c r="M19" s="31"/>
      <c r="N19" s="34"/>
    </row>
    <row r="20" spans="1:14">
      <c r="B20" s="29" t="s">
        <v>22</v>
      </c>
      <c r="C20" s="388" t="s">
        <v>31</v>
      </c>
      <c r="D20" s="388" t="s">
        <v>32</v>
      </c>
      <c r="E20" s="386">
        <v>6837257</v>
      </c>
      <c r="F20" s="387">
        <v>-480000</v>
      </c>
      <c r="G20" s="1231">
        <v>6357257</v>
      </c>
      <c r="L20" s="31"/>
      <c r="M20" s="390" t="s">
        <v>1059</v>
      </c>
      <c r="N20" s="1390"/>
    </row>
    <row r="21" spans="1:14">
      <c r="B21" s="29" t="s">
        <v>22</v>
      </c>
      <c r="C21" s="388" t="s">
        <v>33</v>
      </c>
      <c r="D21" s="388" t="s">
        <v>32</v>
      </c>
      <c r="E21" s="386">
        <v>1363227</v>
      </c>
      <c r="F21" s="387">
        <v>0</v>
      </c>
      <c r="G21" s="1231">
        <v>1363227</v>
      </c>
      <c r="L21" s="31"/>
      <c r="M21" s="178"/>
      <c r="N21" s="34">
        <f>G67</f>
        <v>4050000</v>
      </c>
    </row>
    <row r="22" spans="1:14">
      <c r="B22" s="29" t="s">
        <v>22</v>
      </c>
      <c r="C22" s="388" t="s">
        <v>34</v>
      </c>
      <c r="D22" s="388" t="s">
        <v>35</v>
      </c>
      <c r="E22" s="386">
        <v>-7100000</v>
      </c>
      <c r="F22" s="387">
        <v>-142000</v>
      </c>
      <c r="G22" s="1231">
        <v>-7242000</v>
      </c>
      <c r="H22" s="31"/>
      <c r="L22" s="34"/>
      <c r="M22" s="178"/>
      <c r="N22" s="34"/>
    </row>
    <row r="23" spans="1:14">
      <c r="B23" s="29" t="s">
        <v>22</v>
      </c>
      <c r="C23" s="388" t="s">
        <v>1223</v>
      </c>
      <c r="D23" s="388" t="s">
        <v>35</v>
      </c>
      <c r="E23" s="386">
        <v>0</v>
      </c>
      <c r="F23" s="387">
        <v>-3863220</v>
      </c>
      <c r="G23" s="1231">
        <v>-3863220</v>
      </c>
      <c r="H23" s="31"/>
      <c r="L23" s="31"/>
      <c r="M23" s="178"/>
      <c r="N23" s="34"/>
    </row>
    <row r="24" spans="1:14">
      <c r="B24" s="29" t="s">
        <v>22</v>
      </c>
      <c r="C24" s="388" t="s">
        <v>37</v>
      </c>
      <c r="D24" s="388" t="s">
        <v>38</v>
      </c>
      <c r="E24" s="386">
        <v>3000000</v>
      </c>
      <c r="F24" s="387">
        <v>0</v>
      </c>
      <c r="G24" s="1231">
        <v>3000000</v>
      </c>
      <c r="H24" s="31"/>
      <c r="L24" s="31"/>
      <c r="M24" s="31"/>
      <c r="N24" s="34"/>
    </row>
    <row r="25" spans="1:14">
      <c r="B25" s="29" t="s">
        <v>22</v>
      </c>
      <c r="C25" s="388" t="s">
        <v>39</v>
      </c>
      <c r="D25" s="388" t="s">
        <v>38</v>
      </c>
      <c r="E25" s="386">
        <v>214575</v>
      </c>
      <c r="F25" s="387">
        <v>0</v>
      </c>
      <c r="G25" s="1231">
        <v>214575</v>
      </c>
      <c r="L25" s="31"/>
      <c r="M25" s="31"/>
      <c r="N25" s="34"/>
    </row>
    <row r="26" spans="1:14">
      <c r="B26" s="29" t="s">
        <v>22</v>
      </c>
      <c r="C26" s="388" t="s">
        <v>40</v>
      </c>
      <c r="D26" s="388" t="s">
        <v>41</v>
      </c>
      <c r="E26" s="386">
        <v>1300000</v>
      </c>
      <c r="F26" s="387">
        <v>0</v>
      </c>
      <c r="G26" s="1231">
        <v>1300000</v>
      </c>
      <c r="L26" s="31"/>
      <c r="M26" s="178"/>
      <c r="N26" s="34"/>
    </row>
    <row r="27" spans="1:14">
      <c r="B27" s="29" t="s">
        <v>22</v>
      </c>
      <c r="C27" s="28" t="s">
        <v>42</v>
      </c>
      <c r="D27" s="28" t="s">
        <v>43</v>
      </c>
      <c r="E27" s="386">
        <v>4763775</v>
      </c>
      <c r="F27" s="387">
        <v>1282903</v>
      </c>
      <c r="G27" s="1231">
        <v>6046678</v>
      </c>
      <c r="L27" s="31"/>
      <c r="M27" s="178"/>
      <c r="N27" s="34"/>
    </row>
    <row r="28" spans="1:14">
      <c r="A28" s="31"/>
      <c r="B28" s="27" t="s">
        <v>22</v>
      </c>
      <c r="C28" s="28" t="s">
        <v>44</v>
      </c>
      <c r="D28" s="388" t="s">
        <v>43</v>
      </c>
      <c r="E28" s="386">
        <v>300000</v>
      </c>
      <c r="F28" s="387">
        <v>0</v>
      </c>
      <c r="G28" s="1231">
        <v>300000</v>
      </c>
      <c r="I28" s="31"/>
      <c r="L28" s="31"/>
      <c r="M28" s="178"/>
      <c r="N28" s="34"/>
    </row>
    <row r="29" spans="1:14">
      <c r="A29" s="31"/>
      <c r="B29" s="27" t="s">
        <v>22</v>
      </c>
      <c r="C29" s="32" t="s">
        <v>1050</v>
      </c>
      <c r="D29" s="388" t="s">
        <v>43</v>
      </c>
      <c r="E29" s="386">
        <v>2400000</v>
      </c>
      <c r="F29" s="387">
        <v>-2400000</v>
      </c>
      <c r="G29" s="1231">
        <v>0</v>
      </c>
      <c r="I29" s="31"/>
      <c r="L29" s="31"/>
      <c r="M29" s="31"/>
      <c r="N29" s="34"/>
    </row>
    <row r="30" spans="1:14">
      <c r="A30" s="31"/>
      <c r="B30" s="27" t="s">
        <v>22</v>
      </c>
      <c r="C30" s="32" t="s">
        <v>1051</v>
      </c>
      <c r="D30" s="388" t="s">
        <v>43</v>
      </c>
      <c r="E30" s="386">
        <v>1200000</v>
      </c>
      <c r="F30" s="387">
        <v>-1200000</v>
      </c>
      <c r="G30" s="1231">
        <v>0</v>
      </c>
      <c r="I30" s="31"/>
      <c r="L30" s="31"/>
      <c r="M30" s="31"/>
      <c r="N30" s="34"/>
    </row>
    <row r="31" spans="1:14">
      <c r="A31" s="31"/>
      <c r="B31" s="27" t="s">
        <v>22</v>
      </c>
      <c r="C31" s="32" t="s">
        <v>1224</v>
      </c>
      <c r="D31" s="388" t="s">
        <v>43</v>
      </c>
      <c r="E31" s="386">
        <v>0</v>
      </c>
      <c r="F31" s="387">
        <v>2525000</v>
      </c>
      <c r="G31" s="1231">
        <v>2525000</v>
      </c>
      <c r="I31" s="31"/>
      <c r="L31" s="31"/>
      <c r="M31" s="31"/>
      <c r="N31" s="34"/>
    </row>
    <row r="32" spans="1:14">
      <c r="A32" s="31"/>
      <c r="B32" s="27" t="s">
        <v>22</v>
      </c>
      <c r="C32" s="32" t="s">
        <v>1225</v>
      </c>
      <c r="D32" s="388" t="s">
        <v>43</v>
      </c>
      <c r="E32" s="386">
        <v>0</v>
      </c>
      <c r="F32" s="387">
        <v>1200000</v>
      </c>
      <c r="G32" s="1231">
        <v>1200000</v>
      </c>
      <c r="I32" s="31"/>
      <c r="L32" s="34"/>
      <c r="M32" s="178"/>
      <c r="N32" s="34"/>
    </row>
    <row r="33" spans="1:14">
      <c r="A33" s="31"/>
      <c r="B33" s="27" t="s">
        <v>22</v>
      </c>
      <c r="C33" s="28" t="s">
        <v>45</v>
      </c>
      <c r="D33" s="388" t="s">
        <v>46</v>
      </c>
      <c r="E33" s="386">
        <v>5780000</v>
      </c>
      <c r="F33" s="387">
        <v>300000</v>
      </c>
      <c r="G33" s="1231">
        <v>6080000</v>
      </c>
      <c r="I33" s="31"/>
      <c r="L33" s="31"/>
      <c r="M33" s="31"/>
      <c r="N33" s="34"/>
    </row>
    <row r="34" spans="1:14">
      <c r="A34" s="31"/>
      <c r="B34" s="27" t="s">
        <v>22</v>
      </c>
      <c r="C34" s="28" t="s">
        <v>47</v>
      </c>
      <c r="D34" s="388" t="s">
        <v>46</v>
      </c>
      <c r="E34" s="386">
        <v>1000000</v>
      </c>
      <c r="F34" s="387">
        <v>50000</v>
      </c>
      <c r="G34" s="1231">
        <v>1050000</v>
      </c>
      <c r="I34" s="31"/>
      <c r="L34" s="31"/>
      <c r="M34" s="391" t="s">
        <v>474</v>
      </c>
      <c r="N34" s="392"/>
    </row>
    <row r="35" spans="1:14">
      <c r="A35" s="31"/>
      <c r="B35" s="27" t="s">
        <v>22</v>
      </c>
      <c r="C35" s="32" t="s">
        <v>48</v>
      </c>
      <c r="D35" s="388" t="s">
        <v>46</v>
      </c>
      <c r="E35" s="386">
        <v>551864</v>
      </c>
      <c r="F35" s="387">
        <v>-62397</v>
      </c>
      <c r="G35" s="1231">
        <v>489467</v>
      </c>
      <c r="I35" s="31"/>
      <c r="L35" s="31"/>
      <c r="M35" s="178" t="s">
        <v>1060</v>
      </c>
      <c r="N35" s="34">
        <f>SUM(G6,G7)+G55+G57</f>
        <v>11925457</v>
      </c>
    </row>
    <row r="36" spans="1:14" s="31" customFormat="1">
      <c r="A36" s="19"/>
      <c r="B36" s="29" t="s">
        <v>22</v>
      </c>
      <c r="C36" s="388" t="s">
        <v>49</v>
      </c>
      <c r="D36" s="388" t="s">
        <v>46</v>
      </c>
      <c r="E36" s="386">
        <v>1661650</v>
      </c>
      <c r="F36" s="387">
        <v>-1661650</v>
      </c>
      <c r="G36" s="1231">
        <v>0</v>
      </c>
      <c r="H36" s="19"/>
      <c r="I36" s="33"/>
      <c r="M36" s="178" t="s">
        <v>475</v>
      </c>
      <c r="N36" s="34">
        <f>G8</f>
        <v>2268759</v>
      </c>
    </row>
    <row r="37" spans="1:14" s="31" customFormat="1">
      <c r="A37" s="19"/>
      <c r="B37" s="29" t="s">
        <v>22</v>
      </c>
      <c r="C37" s="388" t="s">
        <v>50</v>
      </c>
      <c r="D37" s="388" t="s">
        <v>46</v>
      </c>
      <c r="E37" s="386">
        <v>1000000</v>
      </c>
      <c r="F37" s="387">
        <v>-1000000</v>
      </c>
      <c r="G37" s="1231">
        <v>0</v>
      </c>
      <c r="H37" s="19"/>
      <c r="I37" s="19"/>
      <c r="M37" s="178" t="s">
        <v>476</v>
      </c>
      <c r="N37" s="34">
        <f>G45</f>
        <v>378176</v>
      </c>
    </row>
    <row r="38" spans="1:14" s="31" customFormat="1">
      <c r="A38" s="19"/>
      <c r="B38" s="29" t="s">
        <v>22</v>
      </c>
      <c r="C38" s="388" t="s">
        <v>1226</v>
      </c>
      <c r="D38" s="388" t="s">
        <v>36</v>
      </c>
      <c r="E38" s="386">
        <v>0</v>
      </c>
      <c r="F38" s="387">
        <v>5000000</v>
      </c>
      <c r="G38" s="1231">
        <v>5000000</v>
      </c>
      <c r="H38" s="19"/>
      <c r="I38" s="19"/>
      <c r="M38" s="178"/>
      <c r="N38" s="34"/>
    </row>
    <row r="39" spans="1:14" s="31" customFormat="1">
      <c r="A39" s="19"/>
      <c r="B39" s="29" t="s">
        <v>22</v>
      </c>
      <c r="C39" s="388" t="s">
        <v>1052</v>
      </c>
      <c r="D39" s="388" t="s">
        <v>53</v>
      </c>
      <c r="E39" s="386">
        <v>500000</v>
      </c>
      <c r="F39" s="387">
        <v>0</v>
      </c>
      <c r="G39" s="1231">
        <v>500000</v>
      </c>
      <c r="H39" s="19"/>
      <c r="I39" s="19"/>
      <c r="M39" s="178" t="s">
        <v>176</v>
      </c>
      <c r="N39" s="34"/>
    </row>
    <row r="40" spans="1:14" s="31" customFormat="1">
      <c r="A40" s="19"/>
      <c r="B40" s="29" t="s">
        <v>22</v>
      </c>
      <c r="C40" s="388" t="s">
        <v>1053</v>
      </c>
      <c r="D40" s="388" t="s">
        <v>53</v>
      </c>
      <c r="E40" s="386">
        <v>50000</v>
      </c>
      <c r="F40" s="387">
        <v>0</v>
      </c>
      <c r="G40" s="1231">
        <v>50000</v>
      </c>
      <c r="H40" s="19"/>
      <c r="I40" s="19"/>
      <c r="M40" s="178" t="s">
        <v>477</v>
      </c>
      <c r="N40" s="30">
        <f>G27</f>
        <v>6046678</v>
      </c>
    </row>
    <row r="41" spans="1:14" s="31" customFormat="1">
      <c r="B41" s="27" t="s">
        <v>22</v>
      </c>
      <c r="C41" s="28" t="s">
        <v>480</v>
      </c>
      <c r="D41" s="28" t="s">
        <v>53</v>
      </c>
      <c r="E41" s="386">
        <v>176000</v>
      </c>
      <c r="F41" s="387">
        <v>0</v>
      </c>
      <c r="G41" s="1231">
        <v>176000</v>
      </c>
      <c r="H41" s="19"/>
      <c r="M41" s="178" t="s">
        <v>1237</v>
      </c>
      <c r="N41" s="30">
        <f>SUM(G39:G41)</f>
        <v>726000</v>
      </c>
    </row>
    <row r="42" spans="1:14" s="31" customFormat="1">
      <c r="B42" s="27" t="s">
        <v>22</v>
      </c>
      <c r="C42" s="28" t="s">
        <v>54</v>
      </c>
      <c r="D42" s="28" t="s">
        <v>53</v>
      </c>
      <c r="E42" s="386">
        <v>2254630</v>
      </c>
      <c r="F42" s="387">
        <v>-2254629.7719999999</v>
      </c>
      <c r="G42" s="1231">
        <v>0.22800000011920929</v>
      </c>
      <c r="H42" s="19"/>
    </row>
    <row r="43" spans="1:14">
      <c r="A43" s="31"/>
      <c r="B43" s="27" t="s">
        <v>22</v>
      </c>
      <c r="C43" s="28" t="s">
        <v>55</v>
      </c>
      <c r="D43" s="28" t="s">
        <v>24</v>
      </c>
      <c r="E43" s="386">
        <v>1800000</v>
      </c>
      <c r="F43" s="387">
        <v>450000</v>
      </c>
      <c r="G43" s="1231">
        <v>2250000</v>
      </c>
      <c r="I43" s="31"/>
      <c r="L43" s="34"/>
      <c r="M43" s="390" t="s">
        <v>478</v>
      </c>
      <c r="N43" s="390"/>
    </row>
    <row r="44" spans="1:14">
      <c r="A44" s="31"/>
      <c r="B44" s="27" t="s">
        <v>22</v>
      </c>
      <c r="C44" s="28" t="s">
        <v>56</v>
      </c>
      <c r="D44" s="28" t="s">
        <v>24</v>
      </c>
      <c r="E44" s="386">
        <v>3300000</v>
      </c>
      <c r="F44" s="387">
        <v>-3300000</v>
      </c>
      <c r="G44" s="1231">
        <v>0</v>
      </c>
      <c r="H44" s="41">
        <v>1</v>
      </c>
      <c r="I44" s="31"/>
      <c r="L44" s="31"/>
      <c r="M44" s="178" t="s">
        <v>479</v>
      </c>
      <c r="N44" s="34">
        <f>SUM(G29,G30,G31,G32)</f>
        <v>3725000</v>
      </c>
    </row>
    <row r="45" spans="1:14" s="31" customFormat="1">
      <c r="B45" s="27" t="s">
        <v>22</v>
      </c>
      <c r="C45" s="28" t="s">
        <v>483</v>
      </c>
      <c r="D45" s="28" t="s">
        <v>24</v>
      </c>
      <c r="E45" s="389">
        <v>509052</v>
      </c>
      <c r="F45" s="387">
        <v>-130876</v>
      </c>
      <c r="G45" s="1231">
        <v>378176</v>
      </c>
      <c r="L45" s="34"/>
      <c r="M45" s="178" t="s">
        <v>481</v>
      </c>
      <c r="N45" s="30">
        <f>G28</f>
        <v>300000</v>
      </c>
    </row>
    <row r="46" spans="1:14" s="31" customFormat="1">
      <c r="B46" s="27" t="s">
        <v>22</v>
      </c>
      <c r="C46" s="28" t="s">
        <v>57</v>
      </c>
      <c r="D46" s="28" t="s">
        <v>58</v>
      </c>
      <c r="E46" s="386">
        <v>6497021</v>
      </c>
      <c r="F46" s="387">
        <v>-6497021</v>
      </c>
      <c r="G46" s="1231">
        <v>0</v>
      </c>
      <c r="H46" s="41">
        <v>1</v>
      </c>
      <c r="N46" s="30"/>
    </row>
    <row r="47" spans="1:14" s="31" customFormat="1">
      <c r="A47" s="19"/>
      <c r="B47" s="29"/>
      <c r="C47" s="35" t="s">
        <v>59</v>
      </c>
      <c r="D47" s="388"/>
      <c r="E47" s="1234">
        <v>52868761</v>
      </c>
      <c r="F47" s="1235">
        <v>-402450.77199999988</v>
      </c>
      <c r="G47" s="1236">
        <v>52466310.228</v>
      </c>
      <c r="H47" s="19"/>
      <c r="I47" s="19"/>
      <c r="N47" s="30"/>
    </row>
    <row r="48" spans="1:14" s="31" customFormat="1">
      <c r="A48" s="19"/>
      <c r="B48" s="37" t="s">
        <v>60</v>
      </c>
      <c r="C48" s="388"/>
      <c r="D48" s="388"/>
      <c r="E48" s="38"/>
      <c r="F48" s="1237"/>
      <c r="G48" s="1238"/>
      <c r="H48" s="19"/>
      <c r="I48" s="19"/>
      <c r="M48" s="390" t="s">
        <v>482</v>
      </c>
      <c r="N48" s="1390">
        <f>SUM(G56,G52)</f>
        <v>3000000</v>
      </c>
    </row>
    <row r="49" spans="1:15" s="31" customFormat="1">
      <c r="A49" s="19"/>
      <c r="B49" s="39" t="s">
        <v>592</v>
      </c>
      <c r="C49" s="32" t="s">
        <v>1054</v>
      </c>
      <c r="D49" s="32" t="s">
        <v>61</v>
      </c>
      <c r="E49" s="389">
        <v>900000</v>
      </c>
      <c r="F49" s="387">
        <v>-900000</v>
      </c>
      <c r="G49" s="1231">
        <v>0</v>
      </c>
      <c r="I49" s="19"/>
      <c r="N49" s="30"/>
    </row>
    <row r="50" spans="1:15" s="31" customFormat="1">
      <c r="A50" s="19"/>
      <c r="B50" s="39" t="s">
        <v>1055</v>
      </c>
      <c r="C50" s="32" t="s">
        <v>1056</v>
      </c>
      <c r="D50" s="32" t="s">
        <v>61</v>
      </c>
      <c r="E50" s="389">
        <v>50000</v>
      </c>
      <c r="F50" s="387">
        <v>0</v>
      </c>
      <c r="G50" s="1231">
        <v>50000</v>
      </c>
      <c r="I50" s="19"/>
      <c r="N50" s="30"/>
    </row>
    <row r="51" spans="1:15" s="31" customFormat="1">
      <c r="A51" s="19"/>
      <c r="B51" s="39" t="s">
        <v>1227</v>
      </c>
      <c r="C51" s="32" t="s">
        <v>1228</v>
      </c>
      <c r="D51" s="32" t="s">
        <v>61</v>
      </c>
      <c r="E51" s="389"/>
      <c r="F51" s="387">
        <v>400000</v>
      </c>
      <c r="G51" s="1231">
        <v>400000</v>
      </c>
      <c r="I51" s="19"/>
      <c r="N51" s="30"/>
    </row>
    <row r="52" spans="1:15" s="31" customFormat="1">
      <c r="A52" s="19"/>
      <c r="B52" s="39" t="s">
        <v>1229</v>
      </c>
      <c r="C52" s="32" t="s">
        <v>1230</v>
      </c>
      <c r="D52" s="32" t="s">
        <v>61</v>
      </c>
      <c r="E52" s="389">
        <v>0</v>
      </c>
      <c r="F52" s="387">
        <v>500000</v>
      </c>
      <c r="G52" s="1231">
        <v>500000</v>
      </c>
      <c r="I52" s="19"/>
      <c r="N52" s="30"/>
    </row>
    <row r="53" spans="1:15" s="31" customFormat="1">
      <c r="A53" s="19"/>
      <c r="B53" s="39" t="s">
        <v>396</v>
      </c>
      <c r="C53" s="32" t="s">
        <v>484</v>
      </c>
      <c r="D53" s="32" t="s">
        <v>61</v>
      </c>
      <c r="E53" s="389">
        <v>500000</v>
      </c>
      <c r="F53" s="387">
        <v>-500000</v>
      </c>
      <c r="G53" s="1231">
        <v>0</v>
      </c>
      <c r="H53" s="41">
        <v>2</v>
      </c>
      <c r="I53" s="19"/>
    </row>
    <row r="54" spans="1:15" s="31" customFormat="1" ht="15.75">
      <c r="A54" s="40"/>
      <c r="B54" s="39" t="s">
        <v>62</v>
      </c>
      <c r="C54" s="32" t="s">
        <v>63</v>
      </c>
      <c r="D54" s="32" t="s">
        <v>61</v>
      </c>
      <c r="E54" s="389">
        <v>97595.16</v>
      </c>
      <c r="F54" s="387">
        <v>767</v>
      </c>
      <c r="G54" s="1231">
        <v>98362.16</v>
      </c>
      <c r="I54" s="19"/>
      <c r="M54" s="390" t="s">
        <v>1236</v>
      </c>
      <c r="N54" s="1390">
        <f>G38</f>
        <v>5000000</v>
      </c>
    </row>
    <row r="55" spans="1:15" s="31" customFormat="1" ht="15.75">
      <c r="A55" s="40"/>
      <c r="B55" s="39" t="s">
        <v>1057</v>
      </c>
      <c r="C55" s="32" t="s">
        <v>1058</v>
      </c>
      <c r="D55" s="32" t="s">
        <v>61</v>
      </c>
      <c r="E55" s="389">
        <v>200000</v>
      </c>
      <c r="F55" s="387">
        <v>0</v>
      </c>
      <c r="G55" s="1231">
        <v>200000</v>
      </c>
      <c r="I55" s="19"/>
    </row>
    <row r="56" spans="1:15" s="31" customFormat="1" ht="15.75">
      <c r="A56" s="40"/>
      <c r="B56" s="39" t="s">
        <v>1231</v>
      </c>
      <c r="C56" s="32" t="s">
        <v>1490</v>
      </c>
      <c r="D56" s="32" t="s">
        <v>61</v>
      </c>
      <c r="E56" s="389"/>
      <c r="F56" s="387">
        <v>2500000</v>
      </c>
      <c r="G56" s="1231">
        <v>2500000</v>
      </c>
      <c r="I56" s="19"/>
    </row>
    <row r="57" spans="1:15" s="31" customFormat="1">
      <c r="A57" s="19"/>
      <c r="B57" s="29" t="s">
        <v>64</v>
      </c>
      <c r="C57" s="28" t="s">
        <v>65</v>
      </c>
      <c r="D57" s="32" t="s">
        <v>61</v>
      </c>
      <c r="E57" s="389">
        <v>700000</v>
      </c>
      <c r="F57" s="387">
        <v>0</v>
      </c>
      <c r="G57" s="1231">
        <v>700000</v>
      </c>
      <c r="I57" s="30"/>
    </row>
    <row r="58" spans="1:15" s="31" customFormat="1">
      <c r="A58" s="19"/>
      <c r="B58" s="29" t="s">
        <v>66</v>
      </c>
      <c r="C58" s="28" t="s">
        <v>67</v>
      </c>
      <c r="D58" s="32" t="s">
        <v>61</v>
      </c>
      <c r="E58" s="389">
        <v>78350</v>
      </c>
      <c r="F58" s="387">
        <v>-28350</v>
      </c>
      <c r="G58" s="1231">
        <v>50000</v>
      </c>
      <c r="I58" s="19"/>
    </row>
    <row r="59" spans="1:15" s="31" customFormat="1">
      <c r="A59" s="19"/>
      <c r="B59" s="29" t="s">
        <v>69</v>
      </c>
      <c r="C59" s="32" t="s">
        <v>70</v>
      </c>
      <c r="D59" s="32" t="s">
        <v>61</v>
      </c>
      <c r="E59" s="389">
        <v>25000</v>
      </c>
      <c r="F59" s="387">
        <v>0</v>
      </c>
      <c r="G59" s="1231">
        <v>25000</v>
      </c>
      <c r="I59" s="19"/>
    </row>
    <row r="60" spans="1:15" s="31" customFormat="1">
      <c r="A60" s="19"/>
      <c r="B60" s="29" t="s">
        <v>69</v>
      </c>
      <c r="C60" s="32" t="s">
        <v>71</v>
      </c>
      <c r="D60" s="32" t="s">
        <v>61</v>
      </c>
      <c r="E60" s="389">
        <v>250000</v>
      </c>
      <c r="F60" s="387">
        <v>-200000</v>
      </c>
      <c r="G60" s="1231">
        <v>50000</v>
      </c>
      <c r="I60" s="19"/>
      <c r="L60" s="36">
        <f>SUM(L5:L59)</f>
        <v>0</v>
      </c>
      <c r="M60" s="36"/>
      <c r="N60" s="36">
        <f>SUM(N5:N59)</f>
        <v>61119672.159999996</v>
      </c>
    </row>
    <row r="61" spans="1:15" s="31" customFormat="1">
      <c r="A61" s="19"/>
      <c r="B61" s="29" t="s">
        <v>69</v>
      </c>
      <c r="C61" s="32" t="s">
        <v>1232</v>
      </c>
      <c r="D61" s="32" t="s">
        <v>61</v>
      </c>
      <c r="E61" s="389">
        <v>0</v>
      </c>
      <c r="F61" s="387">
        <v>30000</v>
      </c>
      <c r="G61" s="1231">
        <v>30000</v>
      </c>
      <c r="I61" s="19"/>
      <c r="M61" s="19"/>
      <c r="N61" s="19"/>
    </row>
    <row r="62" spans="1:15">
      <c r="B62" s="29" t="s">
        <v>72</v>
      </c>
      <c r="C62" s="28" t="s">
        <v>73</v>
      </c>
      <c r="D62" s="32" t="s">
        <v>61</v>
      </c>
      <c r="E62" s="389">
        <v>250000</v>
      </c>
      <c r="F62" s="387">
        <v>-250000</v>
      </c>
      <c r="G62" s="1231">
        <v>0</v>
      </c>
      <c r="L62" s="31"/>
      <c r="M62" s="30"/>
    </row>
    <row r="63" spans="1:15">
      <c r="B63" s="29"/>
      <c r="C63" s="35" t="s">
        <v>74</v>
      </c>
      <c r="D63" s="32"/>
      <c r="E63" s="1234">
        <v>3050945.16</v>
      </c>
      <c r="F63" s="1239">
        <v>1552417</v>
      </c>
      <c r="G63" s="1236">
        <v>4603362.16</v>
      </c>
      <c r="L63" s="31"/>
    </row>
    <row r="64" spans="1:15" ht="17.25">
      <c r="A64" s="43"/>
      <c r="B64" s="44"/>
      <c r="C64" s="388"/>
      <c r="D64" s="388"/>
      <c r="E64" s="45"/>
      <c r="F64" s="1240"/>
      <c r="G64" s="1241"/>
      <c r="L64"/>
      <c r="M64"/>
      <c r="N64"/>
      <c r="O64"/>
    </row>
    <row r="65" spans="1:15" ht="18" thickBot="1">
      <c r="A65" s="40" t="s">
        <v>75</v>
      </c>
      <c r="B65" s="46"/>
      <c r="C65" s="388"/>
      <c r="D65" s="388"/>
      <c r="E65" s="1242">
        <v>55919706.159999996</v>
      </c>
      <c r="F65" s="1243">
        <v>1149966.2280000001</v>
      </c>
      <c r="G65" s="1244">
        <v>57069672.387999997</v>
      </c>
      <c r="H65" s="43"/>
      <c r="I65" s="43"/>
      <c r="L65"/>
      <c r="M65"/>
      <c r="N65"/>
      <c r="O65"/>
    </row>
    <row r="66" spans="1:15" ht="18" thickTop="1">
      <c r="A66" s="47"/>
      <c r="B66" s="48"/>
      <c r="C66" s="28"/>
      <c r="D66" s="28"/>
      <c r="E66" s="1245"/>
      <c r="F66" s="1245"/>
      <c r="G66" s="1245"/>
      <c r="H66" s="49"/>
      <c r="I66" s="49"/>
      <c r="L66"/>
      <c r="M66"/>
      <c r="N66"/>
      <c r="O66"/>
    </row>
    <row r="67" spans="1:15" ht="17.25">
      <c r="A67" s="49"/>
      <c r="B67" s="49"/>
      <c r="C67" s="1385" t="s">
        <v>1233</v>
      </c>
      <c r="D67" s="28"/>
      <c r="E67" s="1245">
        <v>3250000</v>
      </c>
      <c r="F67" s="1245">
        <v>800000</v>
      </c>
      <c r="G67" s="1245">
        <v>4050000</v>
      </c>
      <c r="H67" s="49"/>
      <c r="I67" s="49"/>
      <c r="L67"/>
      <c r="M67"/>
      <c r="N67"/>
      <c r="O67"/>
    </row>
    <row r="68" spans="1:15" ht="17.25">
      <c r="A68" s="47"/>
      <c r="B68" s="49"/>
      <c r="C68" s="28"/>
      <c r="D68" s="28"/>
      <c r="E68" s="1245"/>
      <c r="F68" s="1245"/>
      <c r="G68" s="1245"/>
      <c r="H68" s="49"/>
      <c r="I68" s="49"/>
      <c r="L68"/>
      <c r="M68"/>
      <c r="N68"/>
      <c r="O68"/>
    </row>
    <row r="69" spans="1:15" ht="17.25">
      <c r="A69" s="47"/>
      <c r="B69" s="48"/>
      <c r="C69" s="28"/>
      <c r="D69" s="28"/>
      <c r="E69" s="1245">
        <v>59169706.159999996</v>
      </c>
      <c r="F69" s="1245" t="s">
        <v>485</v>
      </c>
      <c r="G69" s="1245">
        <v>61119672.387999997</v>
      </c>
      <c r="H69" s="49"/>
      <c r="I69" s="49"/>
      <c r="L69"/>
      <c r="M69"/>
      <c r="N69"/>
      <c r="O69"/>
    </row>
    <row r="70" spans="1:15" ht="17.25">
      <c r="A70" s="47"/>
      <c r="B70" s="48"/>
      <c r="C70" s="28"/>
      <c r="D70" s="28"/>
      <c r="E70" s="1245"/>
      <c r="F70" s="1245"/>
      <c r="G70" s="1245"/>
      <c r="H70" s="49"/>
      <c r="I70" s="49"/>
      <c r="L70"/>
      <c r="M70"/>
      <c r="N70"/>
      <c r="O70"/>
    </row>
    <row r="71" spans="1:15" ht="17.25">
      <c r="A71" s="47"/>
      <c r="B71" s="50"/>
      <c r="C71" s="49"/>
      <c r="D71" s="49"/>
      <c r="E71" s="1386"/>
      <c r="F71" s="1386"/>
      <c r="G71" s="1386"/>
      <c r="H71" s="49"/>
      <c r="I71" s="49"/>
      <c r="L71"/>
      <c r="M71"/>
      <c r="N71"/>
      <c r="O71"/>
    </row>
    <row r="72" spans="1:15" ht="17.25">
      <c r="A72" s="47">
        <v>1</v>
      </c>
      <c r="B72" s="48" t="s">
        <v>76</v>
      </c>
      <c r="E72" s="1387"/>
      <c r="F72" s="1388"/>
      <c r="L72"/>
      <c r="M72"/>
      <c r="N72"/>
      <c r="O72"/>
    </row>
    <row r="73" spans="1:15" ht="17.25">
      <c r="A73" s="19">
        <v>2</v>
      </c>
      <c r="B73" s="48" t="s">
        <v>1234</v>
      </c>
      <c r="E73" s="1387"/>
      <c r="F73" s="1388"/>
      <c r="L73"/>
      <c r="M73"/>
      <c r="N73"/>
      <c r="O73"/>
    </row>
    <row r="74" spans="1:15" ht="17.25">
      <c r="E74" s="1387"/>
      <c r="F74" s="1388"/>
      <c r="L74"/>
      <c r="M74"/>
      <c r="N74"/>
      <c r="O74"/>
    </row>
    <row r="75" spans="1:15" ht="17.25">
      <c r="E75" s="1387"/>
      <c r="F75" s="1388"/>
      <c r="L75"/>
      <c r="M75"/>
      <c r="N75"/>
      <c r="O75"/>
    </row>
    <row r="76" spans="1:15" ht="17.25">
      <c r="E76" s="1387"/>
      <c r="F76" s="1388"/>
      <c r="L76"/>
      <c r="M76"/>
      <c r="N76"/>
      <c r="O76"/>
    </row>
    <row r="77" spans="1:15" ht="17.25">
      <c r="L77"/>
      <c r="M77"/>
      <c r="N77"/>
      <c r="O77"/>
    </row>
    <row r="78" spans="1:15" ht="17.25">
      <c r="L78"/>
      <c r="M78"/>
      <c r="N78"/>
      <c r="O78"/>
    </row>
    <row r="79" spans="1:15" ht="17.25">
      <c r="L79"/>
      <c r="M79"/>
      <c r="N79"/>
      <c r="O79"/>
    </row>
    <row r="80" spans="1:15" ht="17.25">
      <c r="L80"/>
      <c r="M80"/>
      <c r="N80"/>
      <c r="O80"/>
    </row>
    <row r="81" spans="1:15" s="43" customFormat="1" ht="17.25">
      <c r="A81" s="19"/>
      <c r="B81" s="51"/>
      <c r="C81" s="19"/>
      <c r="D81" s="19"/>
      <c r="E81" s="31"/>
      <c r="F81" s="19"/>
      <c r="G81" s="19"/>
      <c r="H81" s="19"/>
      <c r="I81" s="19"/>
      <c r="L81"/>
      <c r="M81"/>
      <c r="N81"/>
      <c r="O81"/>
    </row>
    <row r="82" spans="1:15" s="49" customFormat="1" ht="17.25">
      <c r="A82" s="19"/>
      <c r="B82" s="51"/>
      <c r="C82" s="19"/>
      <c r="D82" s="19"/>
      <c r="E82" s="31"/>
      <c r="F82" s="19"/>
      <c r="G82" s="19"/>
      <c r="H82" s="19"/>
      <c r="I82" s="19"/>
      <c r="L82"/>
      <c r="M82"/>
      <c r="N82"/>
      <c r="O82"/>
    </row>
    <row r="83" spans="1:15" s="49" customFormat="1" ht="17.25">
      <c r="A83" s="19"/>
      <c r="B83" s="51"/>
      <c r="C83" s="19"/>
      <c r="D83" s="19"/>
      <c r="E83" s="31"/>
      <c r="F83" s="19"/>
      <c r="G83" s="19"/>
      <c r="H83" s="19"/>
      <c r="I83" s="19"/>
      <c r="L83"/>
      <c r="M83"/>
      <c r="N83"/>
      <c r="O83"/>
    </row>
    <row r="84" spans="1:15" s="49" customFormat="1" ht="17.25">
      <c r="A84" s="19"/>
      <c r="B84" s="51"/>
      <c r="C84" s="19"/>
      <c r="D84" s="19"/>
      <c r="E84" s="31"/>
      <c r="F84" s="19"/>
      <c r="G84" s="19"/>
      <c r="H84" s="19"/>
      <c r="I84" s="19"/>
      <c r="L84"/>
      <c r="M84"/>
      <c r="N84"/>
      <c r="O84"/>
    </row>
    <row r="85" spans="1:15" s="49" customFormat="1" ht="17.25">
      <c r="A85" s="19"/>
      <c r="B85" s="51"/>
      <c r="C85" s="19"/>
      <c r="D85" s="19"/>
      <c r="E85" s="31"/>
      <c r="F85" s="19"/>
      <c r="G85" s="19"/>
      <c r="H85" s="19"/>
      <c r="I85" s="19"/>
      <c r="L85"/>
      <c r="M85"/>
      <c r="N85"/>
      <c r="O85"/>
    </row>
    <row r="86" spans="1:15" s="49" customFormat="1" ht="17.25">
      <c r="A86" s="19"/>
      <c r="B86" s="51"/>
      <c r="C86" s="19"/>
      <c r="D86" s="19"/>
      <c r="E86" s="31"/>
      <c r="F86" s="19"/>
      <c r="G86" s="19"/>
      <c r="H86" s="19"/>
      <c r="I86" s="19"/>
      <c r="L86"/>
      <c r="M86"/>
      <c r="N86"/>
      <c r="O86"/>
    </row>
    <row r="87" spans="1:15" s="49" customFormat="1" ht="17.25">
      <c r="A87" s="19"/>
      <c r="B87" s="51"/>
      <c r="C87" s="19"/>
      <c r="D87" s="19"/>
      <c r="E87" s="31"/>
      <c r="F87" s="19"/>
      <c r="G87" s="19"/>
      <c r="H87" s="19"/>
      <c r="I87" s="19"/>
      <c r="L87"/>
      <c r="M87"/>
      <c r="N87"/>
      <c r="O87"/>
    </row>
    <row r="88" spans="1:15" ht="17.25">
      <c r="L88"/>
      <c r="M88"/>
      <c r="N88"/>
      <c r="O88"/>
    </row>
    <row r="89" spans="1:15" ht="17.25">
      <c r="L89"/>
      <c r="M89"/>
      <c r="N89"/>
      <c r="O89"/>
    </row>
    <row r="90" spans="1:15" ht="17.25">
      <c r="L90"/>
      <c r="M90"/>
      <c r="N90"/>
      <c r="O90"/>
    </row>
    <row r="91" spans="1:15" ht="17.25">
      <c r="L91"/>
      <c r="M91"/>
      <c r="N91"/>
      <c r="O91"/>
    </row>
    <row r="92" spans="1:15" ht="17.25">
      <c r="L92"/>
      <c r="M92"/>
      <c r="N92"/>
      <c r="O92"/>
    </row>
    <row r="93" spans="1:15" ht="17.25">
      <c r="L93"/>
      <c r="M93"/>
      <c r="N93"/>
      <c r="O93"/>
    </row>
    <row r="94" spans="1:15" ht="17.25">
      <c r="L94"/>
      <c r="M94"/>
      <c r="N94"/>
      <c r="O94"/>
    </row>
    <row r="95" spans="1:15" ht="17.25">
      <c r="L95"/>
      <c r="M95"/>
      <c r="N95"/>
      <c r="O95"/>
    </row>
    <row r="96" spans="1:15" ht="17.25">
      <c r="L96"/>
      <c r="M96"/>
      <c r="N96"/>
      <c r="O96"/>
    </row>
    <row r="97" spans="12:15" ht="17.25">
      <c r="L97"/>
      <c r="M97"/>
      <c r="N97"/>
      <c r="O97"/>
    </row>
  </sheetData>
  <mergeCells count="5">
    <mergeCell ref="A1:G1"/>
    <mergeCell ref="A2:G2"/>
    <mergeCell ref="A3:G3"/>
    <mergeCell ref="M4:N4"/>
    <mergeCell ref="L3:N3"/>
  </mergeCells>
  <pageMargins left="0.75" right="0.75" top="1" bottom="1" header="0.5" footer="0.5"/>
  <pageSetup orientation="portrait" horizontalDpi="4294967292" verticalDpi="4294967292"/>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67"/>
  <sheetViews>
    <sheetView workbookViewId="0">
      <selection activeCell="F68" sqref="F68"/>
    </sheetView>
  </sheetViews>
  <sheetFormatPr defaultColWidth="11" defaultRowHeight="15.75"/>
  <cols>
    <col min="1" max="1" width="34.875" customWidth="1"/>
    <col min="2" max="2" width="20" customWidth="1"/>
    <col min="3" max="3" width="31.625" customWidth="1"/>
    <col min="4" max="4" width="16.125" customWidth="1"/>
    <col min="7" max="7" width="24.625" customWidth="1"/>
    <col min="10" max="10" width="24.125" customWidth="1"/>
    <col min="12" max="12" width="9.5" customWidth="1"/>
  </cols>
  <sheetData>
    <row r="1" spans="1:12">
      <c r="A1" s="10" t="s">
        <v>377</v>
      </c>
      <c r="B1" s="296"/>
      <c r="C1" s="296"/>
      <c r="E1" s="297"/>
    </row>
    <row r="2" spans="1:12">
      <c r="A2" s="10" t="s">
        <v>378</v>
      </c>
      <c r="B2" s="298">
        <v>41968</v>
      </c>
      <c r="C2" s="296"/>
      <c r="E2" s="297"/>
      <c r="G2" t="s">
        <v>457</v>
      </c>
    </row>
    <row r="3" spans="1:12" ht="16.5" thickBot="1">
      <c r="A3" t="s">
        <v>379</v>
      </c>
      <c r="B3" s="296"/>
      <c r="C3" s="296"/>
      <c r="E3" s="297"/>
    </row>
    <row r="4" spans="1:12">
      <c r="A4" s="299" t="s">
        <v>380</v>
      </c>
      <c r="B4" s="300" t="s">
        <v>90</v>
      </c>
      <c r="C4" s="300" t="s">
        <v>381</v>
      </c>
      <c r="D4" s="300" t="s">
        <v>382</v>
      </c>
      <c r="E4" s="301" t="s">
        <v>383</v>
      </c>
      <c r="G4" s="301" t="s">
        <v>383</v>
      </c>
      <c r="J4" s="321" t="s">
        <v>397</v>
      </c>
      <c r="K4" s="322">
        <v>1.4E-2</v>
      </c>
      <c r="L4" s="17">
        <f>K4/K$11</f>
        <v>0.1891891891891892</v>
      </c>
    </row>
    <row r="5" spans="1:12">
      <c r="A5" s="302" t="s">
        <v>384</v>
      </c>
      <c r="B5" s="303" t="s">
        <v>385</v>
      </c>
      <c r="C5" s="303" t="s">
        <v>386</v>
      </c>
      <c r="D5" s="1644" t="s">
        <v>387</v>
      </c>
      <c r="E5" s="1649">
        <v>1.0999999999999999E-2</v>
      </c>
      <c r="G5" s="1649"/>
      <c r="J5" s="323" t="s">
        <v>181</v>
      </c>
      <c r="K5" s="324">
        <v>2.1999999999999999E-2</v>
      </c>
      <c r="L5" s="17">
        <f t="shared" ref="L5:L10" si="0">K5/K$11</f>
        <v>0.29729729729729731</v>
      </c>
    </row>
    <row r="6" spans="1:12">
      <c r="A6" s="304"/>
      <c r="B6" s="303"/>
      <c r="C6" s="303" t="s">
        <v>182</v>
      </c>
      <c r="D6" s="1645"/>
      <c r="E6" s="1645"/>
      <c r="G6" s="1645"/>
      <c r="J6" s="323" t="s">
        <v>14</v>
      </c>
      <c r="K6" s="324">
        <v>5.0000000000000001E-3</v>
      </c>
      <c r="L6" s="17">
        <f t="shared" si="0"/>
        <v>6.7567567567567571E-2</v>
      </c>
    </row>
    <row r="7" spans="1:12">
      <c r="A7" s="285"/>
      <c r="B7" s="303"/>
      <c r="C7" s="303" t="s">
        <v>388</v>
      </c>
      <c r="D7" s="1645"/>
      <c r="E7" s="1645"/>
      <c r="G7" s="1645"/>
      <c r="J7" s="323" t="s">
        <v>458</v>
      </c>
      <c r="K7" s="324">
        <v>5.0000000000000001E-3</v>
      </c>
      <c r="L7" s="17">
        <f t="shared" si="0"/>
        <v>6.7567567567567571E-2</v>
      </c>
    </row>
    <row r="8" spans="1:12">
      <c r="A8" s="285"/>
      <c r="B8" s="303"/>
      <c r="C8" s="303" t="s">
        <v>389</v>
      </c>
      <c r="D8" s="1645"/>
      <c r="E8" s="1645"/>
      <c r="G8" s="1645"/>
      <c r="J8" s="323" t="s">
        <v>433</v>
      </c>
      <c r="K8" s="324">
        <v>1.0999999999999999E-2</v>
      </c>
      <c r="L8" s="17">
        <f t="shared" si="0"/>
        <v>0.14864864864864866</v>
      </c>
    </row>
    <row r="9" spans="1:12">
      <c r="A9" s="285"/>
      <c r="B9" s="303"/>
      <c r="C9" s="303" t="s">
        <v>390</v>
      </c>
      <c r="D9" s="1646"/>
      <c r="E9" s="1646"/>
      <c r="G9" s="1646"/>
      <c r="J9" s="323" t="s">
        <v>459</v>
      </c>
      <c r="K9" s="324">
        <v>1.0999999999999999E-2</v>
      </c>
      <c r="L9" s="17">
        <f t="shared" si="0"/>
        <v>0.14864864864864866</v>
      </c>
    </row>
    <row r="10" spans="1:12" ht="30">
      <c r="A10" s="285"/>
      <c r="B10" s="303" t="s">
        <v>391</v>
      </c>
      <c r="C10" s="303" t="s">
        <v>392</v>
      </c>
      <c r="D10" s="305" t="s">
        <v>393</v>
      </c>
      <c r="E10" s="306">
        <v>1E-3</v>
      </c>
      <c r="G10" s="306"/>
      <c r="J10" s="323" t="s">
        <v>446</v>
      </c>
      <c r="K10" s="324">
        <v>6.0000000000000001E-3</v>
      </c>
      <c r="L10" s="17">
        <f t="shared" si="0"/>
        <v>8.1081081081081086E-2</v>
      </c>
    </row>
    <row r="11" spans="1:12" ht="16.5" thickBot="1">
      <c r="A11" s="285"/>
      <c r="B11" s="303"/>
      <c r="C11" s="303" t="s">
        <v>394</v>
      </c>
      <c r="D11" s="307" t="s">
        <v>395</v>
      </c>
      <c r="E11" s="306">
        <v>2E-3</v>
      </c>
      <c r="G11" s="306"/>
      <c r="J11" s="325"/>
      <c r="K11" s="326">
        <f>SUM(K4:K10)</f>
        <v>7.3999999999999996E-2</v>
      </c>
      <c r="L11" s="326">
        <f>SUM(L4:L10)</f>
        <v>1</v>
      </c>
    </row>
    <row r="12" spans="1:12">
      <c r="A12" s="285"/>
      <c r="B12" s="303"/>
      <c r="C12" s="303" t="s">
        <v>396</v>
      </c>
      <c r="D12" s="307" t="s">
        <v>395</v>
      </c>
      <c r="E12" s="306">
        <v>1.6E-2</v>
      </c>
      <c r="G12" s="306"/>
    </row>
    <row r="13" spans="1:12">
      <c r="A13" s="308"/>
      <c r="B13" s="309"/>
      <c r="C13" s="309"/>
      <c r="D13" s="233"/>
      <c r="E13" s="310"/>
      <c r="G13" s="310"/>
    </row>
    <row r="14" spans="1:12">
      <c r="A14" s="285" t="s">
        <v>397</v>
      </c>
      <c r="B14" s="303" t="s">
        <v>397</v>
      </c>
      <c r="C14" s="303" t="s">
        <v>398</v>
      </c>
      <c r="D14" s="1644" t="s">
        <v>395</v>
      </c>
      <c r="E14" s="1640">
        <v>1.4E-2</v>
      </c>
      <c r="G14" s="1640">
        <v>1.4E-2</v>
      </c>
    </row>
    <row r="15" spans="1:12">
      <c r="A15" s="285"/>
      <c r="B15" s="303"/>
      <c r="C15" s="303" t="s">
        <v>399</v>
      </c>
      <c r="D15" s="1645"/>
      <c r="E15" s="1650"/>
      <c r="G15" s="1650"/>
    </row>
    <row r="16" spans="1:12">
      <c r="A16" s="285"/>
      <c r="B16" s="303"/>
      <c r="C16" s="303" t="s">
        <v>400</v>
      </c>
      <c r="D16" s="1645"/>
      <c r="E16" s="1650"/>
      <c r="G16" s="1650"/>
    </row>
    <row r="17" spans="1:7">
      <c r="A17" s="285"/>
      <c r="B17" s="303"/>
      <c r="C17" s="303" t="s">
        <v>401</v>
      </c>
      <c r="D17" s="1646"/>
      <c r="E17" s="1643"/>
      <c r="G17" s="1643"/>
    </row>
    <row r="18" spans="1:7">
      <c r="A18" s="285"/>
      <c r="B18" s="303"/>
      <c r="C18" s="303" t="s">
        <v>402</v>
      </c>
      <c r="D18" s="303" t="s">
        <v>403</v>
      </c>
      <c r="E18" s="306">
        <v>1E-3</v>
      </c>
      <c r="G18" s="306"/>
    </row>
    <row r="19" spans="1:7">
      <c r="A19" s="308"/>
      <c r="B19" s="309"/>
      <c r="C19" s="309"/>
      <c r="D19" s="233"/>
      <c r="E19" s="311"/>
      <c r="G19" s="311"/>
    </row>
    <row r="20" spans="1:7">
      <c r="A20" s="285" t="s">
        <v>181</v>
      </c>
      <c r="B20" s="303" t="s">
        <v>66</v>
      </c>
      <c r="C20" s="303" t="s">
        <v>404</v>
      </c>
      <c r="D20" s="1644" t="s">
        <v>387</v>
      </c>
      <c r="E20" s="1640">
        <v>2.1999999999999999E-2</v>
      </c>
      <c r="G20" s="1640">
        <v>2.1999999999999999E-2</v>
      </c>
    </row>
    <row r="21" spans="1:7">
      <c r="A21" s="285"/>
      <c r="B21" s="303"/>
      <c r="C21" s="303" t="s">
        <v>405</v>
      </c>
      <c r="D21" s="1645"/>
      <c r="E21" s="1641"/>
      <c r="G21" s="1641"/>
    </row>
    <row r="22" spans="1:7">
      <c r="A22" s="285"/>
      <c r="B22" s="303"/>
      <c r="C22" s="303" t="s">
        <v>406</v>
      </c>
      <c r="D22" s="1645"/>
      <c r="E22" s="1641"/>
      <c r="G22" s="1641"/>
    </row>
    <row r="23" spans="1:7">
      <c r="A23" s="285"/>
      <c r="B23" s="303"/>
      <c r="C23" s="303" t="s">
        <v>407</v>
      </c>
      <c r="D23" s="1645"/>
      <c r="E23" s="1641"/>
      <c r="G23" s="1641"/>
    </row>
    <row r="24" spans="1:7">
      <c r="A24" s="285"/>
      <c r="B24" s="303"/>
      <c r="C24" s="303" t="s">
        <v>408</v>
      </c>
      <c r="D24" s="1646"/>
      <c r="E24" s="1642"/>
      <c r="G24" s="1642"/>
    </row>
    <row r="25" spans="1:7">
      <c r="A25" s="308"/>
      <c r="B25" s="309"/>
      <c r="C25" s="309"/>
      <c r="D25" s="233"/>
      <c r="E25" s="311"/>
      <c r="G25" s="311"/>
    </row>
    <row r="26" spans="1:7" ht="30">
      <c r="A26" s="285" t="s">
        <v>409</v>
      </c>
      <c r="B26" s="303" t="s">
        <v>409</v>
      </c>
      <c r="C26" s="303" t="s">
        <v>409</v>
      </c>
      <c r="D26" s="305" t="s">
        <v>410</v>
      </c>
      <c r="E26" s="306">
        <v>1.9E-2</v>
      </c>
      <c r="G26" s="306"/>
    </row>
    <row r="27" spans="1:7">
      <c r="A27" s="308"/>
      <c r="B27" s="309"/>
      <c r="C27" s="309"/>
      <c r="D27" s="233"/>
      <c r="E27" s="311"/>
      <c r="G27" s="311"/>
    </row>
    <row r="28" spans="1:7">
      <c r="A28" s="285" t="s">
        <v>411</v>
      </c>
      <c r="B28" s="303" t="s">
        <v>14</v>
      </c>
      <c r="C28" s="303" t="s">
        <v>14</v>
      </c>
      <c r="D28" s="303" t="s">
        <v>412</v>
      </c>
      <c r="E28" s="306">
        <v>5.0000000000000001E-3</v>
      </c>
      <c r="G28" s="306">
        <v>5.0000000000000001E-3</v>
      </c>
    </row>
    <row r="29" spans="1:7">
      <c r="A29" s="308"/>
      <c r="B29" s="309"/>
      <c r="C29" s="309"/>
      <c r="D29" s="233"/>
      <c r="E29" s="310"/>
      <c r="G29" s="310"/>
    </row>
    <row r="30" spans="1:7">
      <c r="A30" s="285" t="s">
        <v>413</v>
      </c>
      <c r="B30" s="303"/>
      <c r="C30" s="303" t="s">
        <v>414</v>
      </c>
      <c r="D30" s="1644" t="s">
        <v>395</v>
      </c>
      <c r="E30" s="1649">
        <v>1.0999999999999999E-2</v>
      </c>
      <c r="G30" s="1649"/>
    </row>
    <row r="31" spans="1:7">
      <c r="A31" s="285"/>
      <c r="B31" s="303"/>
      <c r="C31" s="303" t="s">
        <v>415</v>
      </c>
      <c r="D31" s="1645"/>
      <c r="E31" s="1651"/>
      <c r="G31" s="1651"/>
    </row>
    <row r="32" spans="1:7">
      <c r="A32" s="285"/>
      <c r="B32" s="303"/>
      <c r="C32" s="303" t="s">
        <v>416</v>
      </c>
      <c r="D32" s="1645"/>
      <c r="E32" s="1651"/>
      <c r="G32" s="1651"/>
    </row>
    <row r="33" spans="1:7">
      <c r="A33" s="285"/>
      <c r="B33" s="303"/>
      <c r="C33" s="303" t="s">
        <v>417</v>
      </c>
      <c r="D33" s="1646"/>
      <c r="E33" s="1652"/>
      <c r="G33" s="1652"/>
    </row>
    <row r="34" spans="1:7">
      <c r="A34" s="308"/>
      <c r="B34" s="309"/>
      <c r="C34" s="309"/>
      <c r="D34" s="233"/>
      <c r="E34" s="310"/>
      <c r="G34" s="310"/>
    </row>
    <row r="35" spans="1:7" ht="30">
      <c r="A35" s="285" t="s">
        <v>418</v>
      </c>
      <c r="B35" s="303" t="s">
        <v>419</v>
      </c>
      <c r="C35" s="303" t="s">
        <v>420</v>
      </c>
      <c r="D35" s="305" t="s">
        <v>421</v>
      </c>
      <c r="E35" s="306">
        <v>5.0000000000000001E-3</v>
      </c>
      <c r="G35" s="306">
        <v>5.0000000000000001E-3</v>
      </c>
    </row>
    <row r="36" spans="1:7">
      <c r="A36" s="308"/>
      <c r="B36" s="309"/>
      <c r="C36" s="309"/>
      <c r="D36" s="312"/>
      <c r="E36" s="310"/>
      <c r="G36" s="310"/>
    </row>
    <row r="37" spans="1:7">
      <c r="A37" s="285" t="s">
        <v>422</v>
      </c>
      <c r="B37" s="303" t="s">
        <v>68</v>
      </c>
      <c r="C37" s="303" t="s">
        <v>423</v>
      </c>
      <c r="D37" s="1644" t="s">
        <v>395</v>
      </c>
      <c r="E37" s="1649">
        <v>3.5999999999999997E-2</v>
      </c>
      <c r="G37" s="1649"/>
    </row>
    <row r="38" spans="1:7">
      <c r="A38" s="285"/>
      <c r="B38" s="303"/>
      <c r="C38" s="303" t="s">
        <v>424</v>
      </c>
      <c r="D38" s="1645"/>
      <c r="E38" s="1645"/>
      <c r="G38" s="1645"/>
    </row>
    <row r="39" spans="1:7">
      <c r="A39" s="285"/>
      <c r="B39" s="303"/>
      <c r="C39" s="303" t="s">
        <v>425</v>
      </c>
      <c r="D39" s="1646"/>
      <c r="E39" s="1646"/>
      <c r="G39" s="1646"/>
    </row>
    <row r="40" spans="1:7">
      <c r="A40" s="308"/>
      <c r="B40" s="309"/>
      <c r="C40" s="309"/>
      <c r="D40" s="233"/>
      <c r="E40" s="311"/>
      <c r="G40" s="311"/>
    </row>
    <row r="41" spans="1:7">
      <c r="A41" s="285" t="s">
        <v>426</v>
      </c>
      <c r="B41" s="303" t="s">
        <v>427</v>
      </c>
      <c r="C41" s="303" t="s">
        <v>428</v>
      </c>
      <c r="D41" s="1644" t="s">
        <v>395</v>
      </c>
      <c r="E41" s="1649">
        <v>6.0000000000000001E-3</v>
      </c>
      <c r="G41" s="1649"/>
    </row>
    <row r="42" spans="1:7">
      <c r="A42" s="285"/>
      <c r="B42" s="303"/>
      <c r="C42" s="303" t="s">
        <v>429</v>
      </c>
      <c r="D42" s="1645"/>
      <c r="E42" s="1651"/>
      <c r="G42" s="1651"/>
    </row>
    <row r="43" spans="1:7">
      <c r="A43" s="285"/>
      <c r="B43" s="303"/>
      <c r="C43" s="303" t="s">
        <v>430</v>
      </c>
      <c r="D43" s="1646"/>
      <c r="E43" s="1652"/>
      <c r="G43" s="1652"/>
    </row>
    <row r="44" spans="1:7">
      <c r="A44" s="308"/>
      <c r="B44" s="309"/>
      <c r="C44" s="309"/>
      <c r="D44" s="312"/>
      <c r="E44" s="310"/>
      <c r="G44" s="310"/>
    </row>
    <row r="45" spans="1:7">
      <c r="A45" s="313" t="s">
        <v>431</v>
      </c>
      <c r="B45" s="303" t="s">
        <v>432</v>
      </c>
      <c r="C45" s="303" t="s">
        <v>433</v>
      </c>
      <c r="D45" s="303" t="s">
        <v>387</v>
      </c>
      <c r="E45" s="306">
        <v>1.0999999999999999E-2</v>
      </c>
      <c r="G45" s="306">
        <v>1.0999999999999999E-2</v>
      </c>
    </row>
    <row r="46" spans="1:7">
      <c r="A46" s="285"/>
      <c r="B46" s="303" t="s">
        <v>434</v>
      </c>
      <c r="C46" s="303" t="s">
        <v>435</v>
      </c>
      <c r="D46" s="1644" t="s">
        <v>387</v>
      </c>
      <c r="E46" s="1640">
        <v>1.0999999999999999E-2</v>
      </c>
      <c r="G46" s="1640">
        <v>1.0999999999999999E-2</v>
      </c>
    </row>
    <row r="47" spans="1:7">
      <c r="A47" s="285"/>
      <c r="B47" s="303"/>
      <c r="C47" s="303" t="s">
        <v>436</v>
      </c>
      <c r="D47" s="1645"/>
      <c r="E47" s="1641"/>
      <c r="G47" s="1641"/>
    </row>
    <row r="48" spans="1:7">
      <c r="A48" s="285"/>
      <c r="B48" s="303"/>
      <c r="C48" s="303" t="s">
        <v>437</v>
      </c>
      <c r="D48" s="1645"/>
      <c r="E48" s="1641"/>
      <c r="G48" s="1641"/>
    </row>
    <row r="49" spans="1:7">
      <c r="A49" s="285"/>
      <c r="B49" s="303"/>
      <c r="C49" s="303" t="s">
        <v>438</v>
      </c>
      <c r="D49" s="1645"/>
      <c r="E49" s="1641"/>
      <c r="G49" s="1641"/>
    </row>
    <row r="50" spans="1:7">
      <c r="A50" s="285"/>
      <c r="B50" s="303"/>
      <c r="C50" s="303" t="s">
        <v>439</v>
      </c>
      <c r="D50" s="1645"/>
      <c r="E50" s="1641"/>
      <c r="G50" s="1641"/>
    </row>
    <row r="51" spans="1:7">
      <c r="A51" s="285"/>
      <c r="B51" s="303"/>
      <c r="C51" s="303" t="s">
        <v>440</v>
      </c>
      <c r="D51" s="1645"/>
      <c r="E51" s="1641"/>
      <c r="G51" s="1641"/>
    </row>
    <row r="52" spans="1:7">
      <c r="A52" s="285"/>
      <c r="B52" s="303" t="s">
        <v>69</v>
      </c>
      <c r="C52" s="303" t="s">
        <v>441</v>
      </c>
      <c r="D52" s="1645"/>
      <c r="E52" s="1641"/>
      <c r="G52" s="1641"/>
    </row>
    <row r="53" spans="1:7">
      <c r="A53" s="285"/>
      <c r="B53" s="303"/>
      <c r="C53" s="303" t="s">
        <v>442</v>
      </c>
      <c r="D53" s="1645"/>
      <c r="E53" s="1641"/>
      <c r="G53" s="1641"/>
    </row>
    <row r="54" spans="1:7">
      <c r="A54" s="285"/>
      <c r="B54" s="303"/>
      <c r="C54" s="303" t="s">
        <v>443</v>
      </c>
      <c r="D54" s="1645"/>
      <c r="E54" s="1641"/>
      <c r="G54" s="1641"/>
    </row>
    <row r="55" spans="1:7">
      <c r="A55" s="285"/>
      <c r="B55" s="303"/>
      <c r="C55" s="303" t="s">
        <v>444</v>
      </c>
      <c r="D55" s="1646"/>
      <c r="E55" s="1642"/>
      <c r="G55" s="1642"/>
    </row>
    <row r="56" spans="1:7">
      <c r="A56" s="308"/>
      <c r="B56" s="309"/>
      <c r="C56" s="309"/>
      <c r="D56" s="314"/>
      <c r="E56" s="315"/>
      <c r="G56" s="315"/>
    </row>
    <row r="57" spans="1:7">
      <c r="A57" s="285" t="s">
        <v>445</v>
      </c>
      <c r="B57" s="303" t="s">
        <v>446</v>
      </c>
      <c r="C57" s="303"/>
      <c r="D57" s="303" t="s">
        <v>387</v>
      </c>
      <c r="E57" s="306">
        <v>6.0000000000000001E-3</v>
      </c>
      <c r="G57" s="306">
        <v>6.0000000000000001E-3</v>
      </c>
    </row>
    <row r="58" spans="1:7">
      <c r="A58" s="1"/>
      <c r="B58" s="307" t="s">
        <v>72</v>
      </c>
      <c r="C58" s="307" t="s">
        <v>72</v>
      </c>
      <c r="D58" s="1647" t="s">
        <v>447</v>
      </c>
      <c r="E58" s="1640">
        <v>3.5999999999999997E-2</v>
      </c>
      <c r="G58" s="1640"/>
    </row>
    <row r="59" spans="1:7">
      <c r="A59" s="285"/>
      <c r="B59" s="307" t="s">
        <v>448</v>
      </c>
      <c r="C59" s="307" t="s">
        <v>449</v>
      </c>
      <c r="D59" s="1648"/>
      <c r="E59" s="1643"/>
      <c r="G59" s="1643"/>
    </row>
    <row r="60" spans="1:7">
      <c r="A60" s="308"/>
      <c r="B60" s="309"/>
      <c r="C60" s="309"/>
      <c r="D60" s="233"/>
      <c r="E60" s="311"/>
      <c r="G60" s="311"/>
    </row>
    <row r="61" spans="1:7">
      <c r="A61" s="285"/>
      <c r="B61" s="307" t="s">
        <v>450</v>
      </c>
      <c r="C61" s="307" t="s">
        <v>451</v>
      </c>
      <c r="D61" s="307" t="s">
        <v>395</v>
      </c>
      <c r="E61" s="316">
        <v>0.114</v>
      </c>
      <c r="G61" s="316"/>
    </row>
    <row r="62" spans="1:7">
      <c r="A62" s="1"/>
      <c r="B62" s="317"/>
      <c r="C62" s="317"/>
      <c r="D62" s="1"/>
      <c r="E62" s="318"/>
      <c r="G62" s="318"/>
    </row>
    <row r="63" spans="1:7">
      <c r="A63" s="1"/>
      <c r="B63" s="317"/>
      <c r="C63" s="303" t="s">
        <v>452</v>
      </c>
      <c r="D63" s="303" t="s">
        <v>453</v>
      </c>
      <c r="E63" s="306">
        <v>2.5000000000000001E-2</v>
      </c>
      <c r="G63" s="306"/>
    </row>
    <row r="64" spans="1:7">
      <c r="A64" s="1"/>
      <c r="B64" s="317"/>
      <c r="C64" s="303" t="s">
        <v>454</v>
      </c>
      <c r="D64" s="303" t="s">
        <v>453</v>
      </c>
      <c r="E64" s="306">
        <v>2.7E-2</v>
      </c>
      <c r="G64" s="306"/>
    </row>
    <row r="65" spans="1:7">
      <c r="A65" s="1"/>
      <c r="B65" s="317"/>
      <c r="C65" s="319" t="s">
        <v>455</v>
      </c>
      <c r="D65" s="319" t="s">
        <v>412</v>
      </c>
      <c r="E65" s="306">
        <v>2.5999999999999999E-2</v>
      </c>
      <c r="G65" s="306"/>
    </row>
    <row r="66" spans="1:7">
      <c r="A66" s="1"/>
      <c r="B66" s="317"/>
      <c r="C66" s="317"/>
      <c r="D66" s="1"/>
      <c r="E66" s="318"/>
      <c r="G66" s="318"/>
    </row>
    <row r="67" spans="1:7">
      <c r="A67" s="1"/>
      <c r="B67" s="317"/>
      <c r="C67" s="11" t="s">
        <v>456</v>
      </c>
      <c r="D67" s="1"/>
      <c r="E67" s="318"/>
      <c r="G67" s="320">
        <f>SUM(G5:G65)</f>
        <v>7.3999999999999996E-2</v>
      </c>
    </row>
  </sheetData>
  <mergeCells count="24">
    <mergeCell ref="D5:D9"/>
    <mergeCell ref="E5:E9"/>
    <mergeCell ref="D14:D17"/>
    <mergeCell ref="E14:E17"/>
    <mergeCell ref="D20:D24"/>
    <mergeCell ref="E20:E24"/>
    <mergeCell ref="G41:G43"/>
    <mergeCell ref="D30:D33"/>
    <mergeCell ref="E30:E33"/>
    <mergeCell ref="D37:D39"/>
    <mergeCell ref="E37:E39"/>
    <mergeCell ref="D41:D43"/>
    <mergeCell ref="E41:E43"/>
    <mergeCell ref="G5:G9"/>
    <mergeCell ref="G14:G17"/>
    <mergeCell ref="G20:G24"/>
    <mergeCell ref="G30:G33"/>
    <mergeCell ref="G37:G39"/>
    <mergeCell ref="G46:G55"/>
    <mergeCell ref="G58:G59"/>
    <mergeCell ref="D46:D55"/>
    <mergeCell ref="E46:E55"/>
    <mergeCell ref="D58:D59"/>
    <mergeCell ref="E58:E59"/>
  </mergeCells>
  <phoneticPr fontId="62" type="noConversion"/>
  <pageMargins left="0.75" right="0.75" top="1" bottom="1" header="0.5" footer="0.5"/>
  <pageSetup orientation="portrait" horizontalDpi="4294967292" verticalDpi="4294967292"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60"/>
  <sheetViews>
    <sheetView workbookViewId="0">
      <selection activeCell="G18" sqref="G18"/>
    </sheetView>
  </sheetViews>
  <sheetFormatPr defaultColWidth="11" defaultRowHeight="15.75"/>
  <cols>
    <col min="1" max="1" width="26.125" customWidth="1"/>
    <col min="3" max="3" width="40.5" customWidth="1"/>
    <col min="4" max="4" width="17.125" customWidth="1"/>
    <col min="5" max="5" width="15.5" customWidth="1"/>
  </cols>
  <sheetData>
    <row r="1" spans="1:6">
      <c r="A1" t="s">
        <v>1371</v>
      </c>
    </row>
    <row r="2" spans="1:6">
      <c r="A2" s="202" t="s">
        <v>1372</v>
      </c>
      <c r="B2" s="202"/>
      <c r="C2" s="202"/>
      <c r="D2" s="202"/>
      <c r="E2" s="202"/>
      <c r="F2" s="202"/>
    </row>
    <row r="3" spans="1:6">
      <c r="A3" s="202"/>
      <c r="B3" s="202"/>
      <c r="C3" s="202"/>
      <c r="D3" s="202"/>
      <c r="E3" s="202"/>
      <c r="F3" s="202"/>
    </row>
    <row r="4" spans="1:6">
      <c r="A4" s="202"/>
      <c r="B4" s="265" t="s">
        <v>1107</v>
      </c>
      <c r="C4" s="265" t="s">
        <v>562</v>
      </c>
      <c r="D4" s="265" t="s">
        <v>563</v>
      </c>
      <c r="E4" s="265" t="s">
        <v>1355</v>
      </c>
      <c r="F4" s="202"/>
    </row>
    <row r="5" spans="1:6">
      <c r="A5" s="214" t="s">
        <v>122</v>
      </c>
      <c r="B5" s="63">
        <v>9233475</v>
      </c>
      <c r="C5" s="452"/>
      <c r="D5" s="452"/>
      <c r="E5" s="205">
        <f>B5+SUM(D6:D14)</f>
        <v>8368314</v>
      </c>
      <c r="F5" s="202"/>
    </row>
    <row r="6" spans="1:6">
      <c r="A6" s="213"/>
      <c r="B6" s="68"/>
      <c r="C6" s="69" t="s">
        <v>1358</v>
      </c>
      <c r="D6" s="453">
        <f>138888+3131</f>
        <v>142019</v>
      </c>
      <c r="E6" s="453"/>
      <c r="F6" s="202"/>
    </row>
    <row r="7" spans="1:6">
      <c r="A7" s="213"/>
      <c r="B7" s="68"/>
      <c r="C7" s="69" t="s">
        <v>1359</v>
      </c>
      <c r="D7" s="453">
        <v>109872</v>
      </c>
      <c r="E7" s="453"/>
      <c r="F7" s="202"/>
    </row>
    <row r="8" spans="1:6">
      <c r="A8" s="213"/>
      <c r="B8" s="68"/>
      <c r="C8" s="69" t="s">
        <v>1356</v>
      </c>
      <c r="D8" s="453">
        <f>-994831-13712</f>
        <v>-1008543</v>
      </c>
      <c r="E8" s="453"/>
      <c r="F8" s="202"/>
    </row>
    <row r="9" spans="1:6">
      <c r="A9" s="213"/>
      <c r="B9" s="68"/>
      <c r="C9" s="69"/>
      <c r="D9" s="453"/>
      <c r="E9" s="453"/>
      <c r="F9" s="202"/>
    </row>
    <row r="10" spans="1:6">
      <c r="A10" s="213"/>
      <c r="B10" s="68"/>
      <c r="C10" s="453" t="s">
        <v>1357</v>
      </c>
      <c r="D10" s="453">
        <v>13712</v>
      </c>
      <c r="E10" s="453"/>
      <c r="F10" s="202"/>
    </row>
    <row r="11" spans="1:6">
      <c r="A11" s="213"/>
      <c r="B11" s="68"/>
      <c r="C11" s="453" t="s">
        <v>1360</v>
      </c>
      <c r="D11" s="453">
        <v>-452436</v>
      </c>
      <c r="E11" s="453"/>
      <c r="F11" s="202"/>
    </row>
    <row r="12" spans="1:6">
      <c r="A12" s="213"/>
      <c r="B12" s="68"/>
      <c r="C12" s="453" t="s">
        <v>1361</v>
      </c>
      <c r="D12" s="453">
        <v>232983</v>
      </c>
      <c r="E12" s="453"/>
      <c r="F12" s="202"/>
    </row>
    <row r="13" spans="1:6">
      <c r="A13" s="213"/>
      <c r="B13" s="68"/>
      <c r="C13" s="453" t="s">
        <v>1362</v>
      </c>
      <c r="D13" s="453">
        <v>72232</v>
      </c>
      <c r="E13" s="453"/>
      <c r="F13" s="202"/>
    </row>
    <row r="14" spans="1:6">
      <c r="A14" s="213"/>
      <c r="B14" s="68"/>
      <c r="C14" s="453" t="s">
        <v>1363</v>
      </c>
      <c r="D14" s="453">
        <v>25000</v>
      </c>
      <c r="E14" s="453"/>
      <c r="F14" s="202"/>
    </row>
    <row r="15" spans="1:6">
      <c r="A15" s="213"/>
      <c r="B15" s="68"/>
      <c r="C15" s="453"/>
      <c r="D15" s="453"/>
      <c r="E15" s="453"/>
      <c r="F15" s="202"/>
    </row>
    <row r="16" spans="1:6">
      <c r="A16" s="1361" t="s">
        <v>124</v>
      </c>
      <c r="B16" s="267">
        <v>896838</v>
      </c>
      <c r="C16" s="1494"/>
      <c r="D16" s="455"/>
      <c r="E16" s="455">
        <f>B16+SUM(D17:D20)</f>
        <v>777386</v>
      </c>
      <c r="F16" s="202"/>
    </row>
    <row r="17" spans="1:6">
      <c r="A17" s="76"/>
      <c r="B17" s="78"/>
      <c r="C17" s="69" t="s">
        <v>1358</v>
      </c>
      <c r="D17" s="453">
        <f>10090+2547</f>
        <v>12637</v>
      </c>
      <c r="E17" s="453"/>
      <c r="F17" s="202"/>
    </row>
    <row r="18" spans="1:6">
      <c r="A18" s="76"/>
      <c r="B18" s="78"/>
      <c r="C18" s="69" t="s">
        <v>1359</v>
      </c>
      <c r="D18" s="453">
        <v>41086</v>
      </c>
      <c r="E18" s="453"/>
      <c r="F18" s="202"/>
    </row>
    <row r="19" spans="1:6">
      <c r="A19" s="76"/>
      <c r="B19" s="78"/>
      <c r="C19" s="453" t="s">
        <v>1360</v>
      </c>
      <c r="D19" s="453">
        <v>-194601</v>
      </c>
      <c r="E19" s="453"/>
      <c r="F19" s="202"/>
    </row>
    <row r="20" spans="1:6">
      <c r="A20" s="76"/>
      <c r="B20" s="78"/>
      <c r="C20" s="454" t="s">
        <v>1364</v>
      </c>
      <c r="D20" s="453">
        <v>21426</v>
      </c>
      <c r="E20" s="453"/>
      <c r="F20" s="202"/>
    </row>
    <row r="21" spans="1:6">
      <c r="A21" s="76"/>
      <c r="B21" s="78"/>
      <c r="C21" s="454"/>
      <c r="D21" s="454"/>
      <c r="E21" s="216"/>
      <c r="F21" s="202"/>
    </row>
    <row r="22" spans="1:6">
      <c r="A22" s="214" t="s">
        <v>564</v>
      </c>
      <c r="B22" s="63">
        <v>2047562</v>
      </c>
      <c r="C22" s="452"/>
      <c r="D22" s="452"/>
      <c r="E22" s="455">
        <f>B22+SUM(D23:D24)</f>
        <v>2048710</v>
      </c>
      <c r="F22" s="202"/>
    </row>
    <row r="23" spans="1:6">
      <c r="A23" s="202"/>
      <c r="B23" s="202"/>
      <c r="C23" s="202" t="s">
        <v>1363</v>
      </c>
      <c r="D23" s="202">
        <v>1148</v>
      </c>
      <c r="E23" s="202"/>
      <c r="F23" s="202"/>
    </row>
    <row r="24" spans="1:6">
      <c r="A24" s="202"/>
      <c r="B24" s="202"/>
      <c r="C24" s="202"/>
      <c r="D24" s="202"/>
      <c r="E24" s="202"/>
      <c r="F24" s="202"/>
    </row>
    <row r="25" spans="1:6">
      <c r="A25" s="202"/>
      <c r="B25" s="202"/>
      <c r="C25" s="202"/>
      <c r="D25" s="202"/>
      <c r="E25" s="202"/>
      <c r="F25" s="202"/>
    </row>
    <row r="26" spans="1:6">
      <c r="A26" s="202"/>
      <c r="B26" s="202"/>
      <c r="C26" s="202"/>
      <c r="D26" s="202"/>
      <c r="E26" s="202"/>
      <c r="F26" s="202"/>
    </row>
    <row r="27" spans="1:6" ht="26.25">
      <c r="A27" s="275" t="s">
        <v>1365</v>
      </c>
      <c r="B27" s="275"/>
      <c r="C27" s="461" t="s">
        <v>567</v>
      </c>
      <c r="D27" s="465">
        <v>615804</v>
      </c>
      <c r="E27" s="465"/>
      <c r="F27" s="202"/>
    </row>
    <row r="28" spans="1:6">
      <c r="A28" s="462"/>
      <c r="B28" s="462"/>
      <c r="C28" s="462" t="s">
        <v>565</v>
      </c>
      <c r="D28" s="454">
        <f>14133+1458+14877</f>
        <v>30468</v>
      </c>
      <c r="E28" s="454">
        <f>D27+D28</f>
        <v>646272</v>
      </c>
      <c r="F28" s="202"/>
    </row>
    <row r="29" spans="1:6">
      <c r="A29" s="462"/>
      <c r="B29" s="462"/>
      <c r="C29" s="462" t="s">
        <v>566</v>
      </c>
      <c r="D29" s="454">
        <f>858+73512</f>
        <v>74370</v>
      </c>
      <c r="E29" s="454">
        <f t="shared" ref="E29:E41" si="0">E28+D29</f>
        <v>720642</v>
      </c>
      <c r="F29" s="202"/>
    </row>
    <row r="30" spans="1:6">
      <c r="A30" s="462"/>
      <c r="B30" s="462"/>
      <c r="C30" s="462" t="s">
        <v>568</v>
      </c>
      <c r="D30" s="454">
        <f>-12034-9774</f>
        <v>-21808</v>
      </c>
      <c r="E30" s="454">
        <f t="shared" si="0"/>
        <v>698834</v>
      </c>
      <c r="F30" s="202"/>
    </row>
    <row r="31" spans="1:6">
      <c r="A31" s="462"/>
      <c r="B31" s="462"/>
      <c r="C31" s="462" t="s">
        <v>569</v>
      </c>
      <c r="D31" s="454">
        <v>50000</v>
      </c>
      <c r="E31" s="454">
        <f t="shared" si="0"/>
        <v>748834</v>
      </c>
      <c r="F31" s="202"/>
    </row>
    <row r="32" spans="1:6">
      <c r="A32" s="462"/>
      <c r="B32" s="462"/>
      <c r="C32" s="462" t="s">
        <v>570</v>
      </c>
      <c r="D32" s="454">
        <v>-180000</v>
      </c>
      <c r="E32" s="454">
        <f t="shared" si="0"/>
        <v>568834</v>
      </c>
      <c r="F32" s="202"/>
    </row>
    <row r="33" spans="1:6" ht="39">
      <c r="A33" s="462"/>
      <c r="B33" s="462"/>
      <c r="C33" s="463" t="s">
        <v>571</v>
      </c>
      <c r="D33" s="454">
        <v>826600</v>
      </c>
      <c r="E33" s="454">
        <f t="shared" si="0"/>
        <v>1395434</v>
      </c>
      <c r="F33" s="202"/>
    </row>
    <row r="34" spans="1:6">
      <c r="A34" s="462"/>
      <c r="B34" s="462"/>
      <c r="C34" s="462" t="s">
        <v>572</v>
      </c>
      <c r="D34" s="454">
        <v>-13954</v>
      </c>
      <c r="E34" s="454">
        <f t="shared" si="0"/>
        <v>1381480</v>
      </c>
      <c r="F34" s="202"/>
    </row>
    <row r="35" spans="1:6" ht="39">
      <c r="A35" s="462"/>
      <c r="B35" s="462"/>
      <c r="C35" s="463" t="s">
        <v>573</v>
      </c>
      <c r="D35" s="454">
        <f>232477</f>
        <v>232477</v>
      </c>
      <c r="E35" s="454">
        <f t="shared" si="0"/>
        <v>1613957</v>
      </c>
      <c r="F35" s="202"/>
    </row>
    <row r="36" spans="1:6">
      <c r="A36" s="462"/>
      <c r="B36" s="462"/>
      <c r="C36" s="462" t="s">
        <v>574</v>
      </c>
      <c r="D36" s="454">
        <v>75000</v>
      </c>
      <c r="E36" s="454">
        <f t="shared" si="0"/>
        <v>1688957</v>
      </c>
      <c r="F36" s="202"/>
    </row>
    <row r="37" spans="1:6">
      <c r="A37" s="462"/>
      <c r="B37" s="462"/>
      <c r="C37" s="463" t="s">
        <v>1366</v>
      </c>
      <c r="D37" s="454">
        <v>266220</v>
      </c>
      <c r="E37" s="454">
        <f t="shared" si="0"/>
        <v>1955177</v>
      </c>
      <c r="F37" s="202"/>
    </row>
    <row r="38" spans="1:6">
      <c r="A38" s="462"/>
      <c r="B38" s="462"/>
      <c r="C38" s="463" t="s">
        <v>1367</v>
      </c>
      <c r="D38" s="454">
        <v>-180000</v>
      </c>
      <c r="E38" s="454">
        <f t="shared" si="0"/>
        <v>1775177</v>
      </c>
      <c r="F38" s="202"/>
    </row>
    <row r="39" spans="1:6">
      <c r="A39" s="462"/>
      <c r="B39" s="462"/>
      <c r="C39" s="463" t="s">
        <v>1368</v>
      </c>
      <c r="D39" s="454">
        <f>4930-7545</f>
        <v>-2615</v>
      </c>
      <c r="E39" s="454">
        <f t="shared" si="0"/>
        <v>1772562</v>
      </c>
      <c r="F39" s="202"/>
    </row>
    <row r="40" spans="1:6">
      <c r="A40" s="462"/>
      <c r="B40" s="462"/>
      <c r="C40" s="463" t="s">
        <v>1369</v>
      </c>
      <c r="D40" s="454">
        <v>275000</v>
      </c>
      <c r="E40" s="454">
        <f t="shared" si="0"/>
        <v>2047562</v>
      </c>
      <c r="F40" s="202"/>
    </row>
    <row r="41" spans="1:6" ht="16.5" thickBot="1">
      <c r="A41" s="464"/>
      <c r="B41" s="464"/>
      <c r="C41" s="464" t="s">
        <v>1370</v>
      </c>
      <c r="D41" s="1495">
        <v>1148</v>
      </c>
      <c r="E41" s="1495">
        <f t="shared" si="0"/>
        <v>2048710</v>
      </c>
      <c r="F41" s="202"/>
    </row>
    <row r="42" spans="1:6" ht="16.5" thickTop="1">
      <c r="A42" s="202"/>
      <c r="B42" s="202"/>
      <c r="C42" s="202"/>
      <c r="D42" s="202"/>
      <c r="E42" s="202"/>
      <c r="F42" s="202"/>
    </row>
    <row r="43" spans="1:6">
      <c r="A43" s="202"/>
      <c r="B43" s="202"/>
      <c r="C43" s="202"/>
      <c r="D43" s="202"/>
      <c r="E43" s="202"/>
      <c r="F43" s="202"/>
    </row>
    <row r="44" spans="1:6">
      <c r="A44" s="202"/>
      <c r="B44" s="202"/>
      <c r="C44" s="202"/>
      <c r="D44" s="202"/>
      <c r="E44" s="202"/>
      <c r="F44" s="202"/>
    </row>
    <row r="45" spans="1:6">
      <c r="A45" s="202"/>
      <c r="B45" s="202"/>
      <c r="C45" s="202"/>
      <c r="D45" s="202"/>
      <c r="E45" s="202"/>
      <c r="F45" s="202"/>
    </row>
    <row r="46" spans="1:6">
      <c r="A46" s="202"/>
      <c r="B46" s="202"/>
      <c r="C46" s="202"/>
      <c r="D46" s="202"/>
      <c r="E46" s="202"/>
      <c r="F46" s="202"/>
    </row>
    <row r="47" spans="1:6">
      <c r="A47" s="202"/>
      <c r="B47" s="202"/>
      <c r="C47" s="202"/>
      <c r="D47" s="202"/>
      <c r="E47" s="202"/>
      <c r="F47" s="202"/>
    </row>
    <row r="48" spans="1:6">
      <c r="A48" s="202"/>
      <c r="B48" s="202"/>
      <c r="C48" s="202"/>
      <c r="D48" s="202"/>
      <c r="E48" s="202"/>
      <c r="F48" s="202"/>
    </row>
    <row r="49" spans="1:6">
      <c r="A49" s="202"/>
      <c r="B49" s="202"/>
      <c r="C49" s="202"/>
      <c r="D49" s="202"/>
      <c r="E49" s="202"/>
      <c r="F49" s="202"/>
    </row>
    <row r="50" spans="1:6">
      <c r="A50" s="202"/>
      <c r="B50" s="202"/>
      <c r="C50" s="202"/>
      <c r="D50" s="202"/>
      <c r="E50" s="202"/>
      <c r="F50" s="202"/>
    </row>
    <row r="51" spans="1:6">
      <c r="A51" s="202"/>
      <c r="B51" s="202"/>
      <c r="C51" s="202"/>
      <c r="D51" s="202"/>
      <c r="E51" s="202"/>
      <c r="F51" s="202"/>
    </row>
    <row r="52" spans="1:6">
      <c r="A52" s="202"/>
      <c r="B52" s="202"/>
      <c r="C52" s="202"/>
      <c r="D52" s="202"/>
      <c r="E52" s="202"/>
      <c r="F52" s="202"/>
    </row>
    <row r="53" spans="1:6">
      <c r="A53" s="202"/>
      <c r="B53" s="202"/>
      <c r="C53" s="202"/>
      <c r="D53" s="202"/>
      <c r="E53" s="202"/>
      <c r="F53" s="202"/>
    </row>
    <row r="54" spans="1:6">
      <c r="A54" s="202"/>
      <c r="B54" s="202"/>
      <c r="C54" s="202"/>
      <c r="D54" s="202"/>
      <c r="E54" s="202"/>
      <c r="F54" s="202"/>
    </row>
    <row r="55" spans="1:6">
      <c r="F55" s="202"/>
    </row>
    <row r="56" spans="1:6">
      <c r="F56" s="202"/>
    </row>
    <row r="57" spans="1:6">
      <c r="F57" s="202"/>
    </row>
    <row r="58" spans="1:6">
      <c r="F58" s="202"/>
    </row>
    <row r="59" spans="1:6">
      <c r="F59" s="202"/>
    </row>
    <row r="60" spans="1:6">
      <c r="F60" s="202"/>
    </row>
  </sheetData>
  <pageMargins left="0.75" right="0.75" top="1" bottom="1" header="0.5" footer="0.5"/>
  <pageSetup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48"/>
  <sheetViews>
    <sheetView workbookViewId="0">
      <selection activeCell="A23" sqref="A23"/>
    </sheetView>
  </sheetViews>
  <sheetFormatPr defaultColWidth="8.875" defaultRowHeight="15.75"/>
  <cols>
    <col min="1" max="1" width="31.875" customWidth="1"/>
    <col min="2" max="2" width="28.625" customWidth="1"/>
    <col min="3" max="3" width="13.375" bestFit="1" customWidth="1"/>
    <col min="4" max="4" width="12.875" customWidth="1"/>
  </cols>
  <sheetData>
    <row r="1" spans="1:4">
      <c r="A1" s="1653" t="s">
        <v>18</v>
      </c>
      <c r="B1" s="1653"/>
      <c r="C1" s="1653"/>
      <c r="D1" s="1653"/>
    </row>
    <row r="2" spans="1:4">
      <c r="A2" s="1653" t="s">
        <v>1190</v>
      </c>
      <c r="B2" s="1653"/>
      <c r="C2" s="1653"/>
      <c r="D2" s="1653"/>
    </row>
    <row r="3" spans="1:4">
      <c r="A3" s="1653" t="s">
        <v>1191</v>
      </c>
      <c r="B3" s="1653"/>
      <c r="C3" s="1653"/>
      <c r="D3" s="1653"/>
    </row>
    <row r="4" spans="1:4">
      <c r="A4" s="42"/>
      <c r="B4" s="66"/>
    </row>
    <row r="5" spans="1:4">
      <c r="B5" s="1381" t="s">
        <v>556</v>
      </c>
      <c r="C5" s="1488"/>
      <c r="D5" s="1488" t="s">
        <v>1192</v>
      </c>
    </row>
    <row r="6" spans="1:4">
      <c r="A6" s="67"/>
      <c r="B6" s="459"/>
      <c r="C6" s="1382"/>
      <c r="D6" s="42"/>
    </row>
    <row r="7" spans="1:4">
      <c r="A7" s="76" t="s">
        <v>102</v>
      </c>
      <c r="B7" s="459">
        <v>843760</v>
      </c>
      <c r="C7" s="1382"/>
      <c r="D7" s="42" t="s">
        <v>1193</v>
      </c>
    </row>
    <row r="8" spans="1:4">
      <c r="A8" s="76"/>
      <c r="B8" s="459">
        <v>1598265</v>
      </c>
      <c r="C8" s="1382"/>
      <c r="D8" s="42" t="s">
        <v>1194</v>
      </c>
    </row>
    <row r="9" spans="1:4">
      <c r="A9" s="67"/>
      <c r="B9" s="459"/>
      <c r="C9" s="1382"/>
      <c r="D9" s="42"/>
    </row>
    <row r="10" spans="1:4">
      <c r="A10" s="76" t="s">
        <v>105</v>
      </c>
      <c r="B10" s="459">
        <v>95520</v>
      </c>
      <c r="C10" s="1382"/>
      <c r="D10" s="42" t="s">
        <v>1195</v>
      </c>
    </row>
    <row r="11" spans="1:4">
      <c r="A11" s="76"/>
      <c r="B11" s="459">
        <v>619180</v>
      </c>
      <c r="C11" s="1382"/>
      <c r="D11" s="42" t="s">
        <v>1196</v>
      </c>
    </row>
    <row r="12" spans="1:4">
      <c r="A12" s="67"/>
      <c r="B12" s="459"/>
      <c r="C12" s="1382"/>
      <c r="D12" s="42"/>
    </row>
    <row r="13" spans="1:4">
      <c r="A13" s="76"/>
      <c r="B13" s="459"/>
      <c r="C13" s="1382"/>
    </row>
    <row r="14" spans="1:4">
      <c r="A14" s="76" t="s">
        <v>108</v>
      </c>
      <c r="B14" s="459">
        <v>75000</v>
      </c>
      <c r="C14" s="1382"/>
      <c r="D14" s="42" t="s">
        <v>1197</v>
      </c>
    </row>
    <row r="15" spans="1:4">
      <c r="A15" s="76"/>
      <c r="B15" s="459"/>
      <c r="C15" s="1382"/>
      <c r="D15" s="42"/>
    </row>
    <row r="16" spans="1:4">
      <c r="A16" s="76" t="s">
        <v>1198</v>
      </c>
      <c r="B16" s="459">
        <v>10875</v>
      </c>
      <c r="C16" s="1382"/>
      <c r="D16" s="42" t="s">
        <v>1199</v>
      </c>
    </row>
    <row r="17" spans="1:4">
      <c r="A17" s="76"/>
      <c r="B17" s="459"/>
      <c r="C17" s="1382"/>
    </row>
    <row r="18" spans="1:4">
      <c r="A18" s="67" t="s">
        <v>112</v>
      </c>
      <c r="B18" s="459">
        <v>-48085</v>
      </c>
      <c r="C18" s="1382"/>
      <c r="D18" s="42" t="s">
        <v>1200</v>
      </c>
    </row>
    <row r="19" spans="1:4">
      <c r="A19" s="67"/>
    </row>
    <row r="20" spans="1:4">
      <c r="A20" s="69" t="s">
        <v>1201</v>
      </c>
      <c r="B20" s="459">
        <v>20000</v>
      </c>
      <c r="C20" s="1382"/>
      <c r="D20" s="42" t="s">
        <v>557</v>
      </c>
    </row>
    <row r="21" spans="1:4">
      <c r="A21" s="66"/>
      <c r="B21" s="459"/>
      <c r="C21" s="1382"/>
    </row>
    <row r="22" spans="1:4">
      <c r="A22" s="66" t="s">
        <v>123</v>
      </c>
      <c r="B22" s="459">
        <v>26585</v>
      </c>
      <c r="C22" s="1382"/>
      <c r="D22" t="s">
        <v>1202</v>
      </c>
    </row>
    <row r="23" spans="1:4">
      <c r="A23" s="66"/>
      <c r="B23" s="459"/>
      <c r="C23" s="1382"/>
    </row>
    <row r="24" spans="1:4">
      <c r="A24" s="42" t="s">
        <v>1203</v>
      </c>
      <c r="B24" s="459">
        <v>300000</v>
      </c>
      <c r="C24" s="1382"/>
      <c r="D24" s="42" t="s">
        <v>558</v>
      </c>
    </row>
    <row r="25" spans="1:4">
      <c r="B25" s="459">
        <v>55000</v>
      </c>
      <c r="C25" s="1382"/>
      <c r="D25" s="42" t="s">
        <v>560</v>
      </c>
    </row>
    <row r="26" spans="1:4">
      <c r="B26" s="459">
        <v>20000</v>
      </c>
      <c r="C26" s="1382"/>
      <c r="D26" s="42" t="s">
        <v>561</v>
      </c>
    </row>
    <row r="27" spans="1:4">
      <c r="B27" s="459">
        <v>5500000</v>
      </c>
      <c r="C27" s="1382"/>
      <c r="D27" s="42" t="s">
        <v>396</v>
      </c>
    </row>
    <row r="28" spans="1:4">
      <c r="B28" s="459">
        <v>25000</v>
      </c>
      <c r="C28" s="1382"/>
      <c r="D28" s="42" t="s">
        <v>1204</v>
      </c>
    </row>
    <row r="29" spans="1:4">
      <c r="B29" s="459"/>
      <c r="C29" s="1382"/>
      <c r="D29" s="42"/>
    </row>
    <row r="30" spans="1:4">
      <c r="A30" s="42" t="s">
        <v>1205</v>
      </c>
      <c r="B30" s="459">
        <v>150000</v>
      </c>
      <c r="C30" s="1382"/>
      <c r="D30" s="42" t="s">
        <v>1206</v>
      </c>
    </row>
    <row r="31" spans="1:4">
      <c r="B31" s="459"/>
      <c r="C31" s="1382"/>
      <c r="D31" s="42"/>
    </row>
    <row r="32" spans="1:4">
      <c r="A32" s="42" t="s">
        <v>1207</v>
      </c>
      <c r="B32" s="459">
        <v>80000</v>
      </c>
      <c r="C32" s="1382"/>
      <c r="D32" s="42" t="s">
        <v>558</v>
      </c>
    </row>
    <row r="33" spans="1:4">
      <c r="B33" s="459">
        <v>950000</v>
      </c>
      <c r="C33" s="1382"/>
      <c r="D33" s="42" t="s">
        <v>1208</v>
      </c>
    </row>
    <row r="34" spans="1:4">
      <c r="B34" s="66"/>
    </row>
    <row r="35" spans="1:4">
      <c r="A35" t="s">
        <v>1209</v>
      </c>
      <c r="B35" s="459">
        <v>100000</v>
      </c>
      <c r="D35" t="s">
        <v>1210</v>
      </c>
    </row>
    <row r="36" spans="1:4">
      <c r="B36" s="459">
        <v>327000</v>
      </c>
      <c r="D36" t="s">
        <v>559</v>
      </c>
    </row>
    <row r="37" spans="1:4">
      <c r="B37" s="459"/>
    </row>
    <row r="38" spans="1:4">
      <c r="A38" s="42" t="s">
        <v>115</v>
      </c>
      <c r="B38" s="459">
        <v>722370</v>
      </c>
      <c r="D38" s="460" t="s">
        <v>1211</v>
      </c>
    </row>
    <row r="39" spans="1:4">
      <c r="A39" s="42"/>
      <c r="B39" s="459">
        <v>72357</v>
      </c>
      <c r="D39" s="460" t="s">
        <v>1212</v>
      </c>
    </row>
    <row r="40" spans="1:4">
      <c r="B40" s="66"/>
    </row>
    <row r="41" spans="1:4">
      <c r="A41" s="69" t="s">
        <v>1213</v>
      </c>
      <c r="B41" s="459">
        <v>40000</v>
      </c>
      <c r="C41" s="1382"/>
      <c r="D41" s="42" t="s">
        <v>1214</v>
      </c>
    </row>
    <row r="42" spans="1:4">
      <c r="A42" s="69"/>
      <c r="B42" s="459"/>
      <c r="C42" s="1382"/>
      <c r="D42" s="42"/>
    </row>
    <row r="43" spans="1:4">
      <c r="A43" s="69" t="s">
        <v>1215</v>
      </c>
      <c r="B43" s="459">
        <v>172820</v>
      </c>
      <c r="C43" s="1382"/>
      <c r="D43" s="42" t="s">
        <v>1216</v>
      </c>
    </row>
    <row r="44" spans="1:4">
      <c r="A44" s="69"/>
      <c r="B44" s="459">
        <v>116900</v>
      </c>
      <c r="C44" s="1382"/>
      <c r="D44" s="42" t="s">
        <v>1217</v>
      </c>
    </row>
    <row r="45" spans="1:4">
      <c r="A45" s="69"/>
      <c r="B45" s="459"/>
      <c r="C45" s="1382"/>
      <c r="D45" s="42"/>
    </row>
    <row r="46" spans="1:4">
      <c r="A46" s="66"/>
      <c r="B46" s="459"/>
      <c r="C46" s="1382"/>
    </row>
    <row r="47" spans="1:4" ht="16.5" thickBot="1">
      <c r="A47" s="42" t="s">
        <v>1218</v>
      </c>
      <c r="B47" s="1383">
        <f>SUM(B6:B46)</f>
        <v>11872547</v>
      </c>
      <c r="C47" s="1384"/>
    </row>
    <row r="48" spans="1:4" ht="16.5" thickTop="1"/>
  </sheetData>
  <mergeCells count="3">
    <mergeCell ref="A1:D1"/>
    <mergeCell ref="A2:D2"/>
    <mergeCell ref="A3: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50"/>
  <sheetViews>
    <sheetView workbookViewId="0">
      <selection activeCell="E25" sqref="E25"/>
    </sheetView>
  </sheetViews>
  <sheetFormatPr defaultColWidth="11" defaultRowHeight="15.75"/>
  <cols>
    <col min="1" max="1" width="38.5" customWidth="1"/>
    <col min="2" max="2" width="5.625" customWidth="1"/>
    <col min="3" max="3" width="16.125" customWidth="1"/>
  </cols>
  <sheetData>
    <row r="1" spans="1:10">
      <c r="A1" s="1496"/>
      <c r="B1" s="1496"/>
      <c r="C1" s="1497" t="s">
        <v>81</v>
      </c>
      <c r="D1" s="1496"/>
      <c r="E1" s="1496"/>
      <c r="F1" s="1496"/>
      <c r="G1" s="1496"/>
      <c r="H1" s="1496"/>
      <c r="I1" s="1496"/>
      <c r="J1" s="1496"/>
    </row>
    <row r="2" spans="1:10">
      <c r="A2" s="1496"/>
      <c r="B2" s="1496"/>
      <c r="C2" s="1498" t="s">
        <v>93</v>
      </c>
      <c r="D2" s="1496"/>
      <c r="E2" s="1496"/>
      <c r="F2" s="1496"/>
      <c r="G2" s="1496"/>
      <c r="H2" s="1496"/>
      <c r="I2" s="1496"/>
      <c r="J2" s="1496"/>
    </row>
    <row r="3" spans="1:10">
      <c r="A3" s="1496"/>
      <c r="B3" s="1496"/>
      <c r="C3" s="1496"/>
      <c r="D3" s="1496"/>
      <c r="E3" s="1496"/>
      <c r="F3" s="1496"/>
      <c r="G3" s="1496"/>
      <c r="H3" s="1496"/>
      <c r="I3" s="1496"/>
      <c r="J3" s="1496"/>
    </row>
    <row r="4" spans="1:10">
      <c r="A4" s="1499" t="s">
        <v>90</v>
      </c>
      <c r="B4" s="1496"/>
      <c r="C4" s="1500"/>
      <c r="D4" s="1496"/>
      <c r="E4" s="1496"/>
      <c r="F4" s="1496"/>
      <c r="G4" s="1496"/>
      <c r="H4" s="1496"/>
      <c r="I4" s="1496"/>
      <c r="J4" s="1496"/>
    </row>
    <row r="5" spans="1:10">
      <c r="A5" s="1501" t="s">
        <v>100</v>
      </c>
      <c r="B5" s="1502"/>
      <c r="C5" s="1502">
        <v>0</v>
      </c>
      <c r="D5" s="1496"/>
      <c r="E5" s="1496"/>
      <c r="F5" s="1496"/>
      <c r="G5" s="1496"/>
      <c r="H5" s="1496"/>
      <c r="I5" s="1496"/>
      <c r="J5" s="1496"/>
    </row>
    <row r="6" spans="1:10">
      <c r="A6" s="1503"/>
      <c r="B6" s="1500"/>
      <c r="C6" s="1500"/>
      <c r="D6" s="1496"/>
      <c r="E6" s="1496"/>
      <c r="F6" s="1496"/>
      <c r="G6" s="1496"/>
      <c r="H6" s="1496"/>
      <c r="I6" s="1496"/>
      <c r="J6" s="1496"/>
    </row>
    <row r="7" spans="1:10">
      <c r="A7" s="1504" t="s">
        <v>101</v>
      </c>
      <c r="B7" s="1505"/>
      <c r="C7" s="1505"/>
      <c r="D7" s="1496"/>
      <c r="E7" s="1496"/>
      <c r="F7" s="1496"/>
      <c r="G7" s="1496"/>
      <c r="H7" s="1496"/>
      <c r="I7" s="1496"/>
      <c r="J7" s="1496"/>
    </row>
    <row r="8" spans="1:10">
      <c r="A8" s="1506" t="s">
        <v>102</v>
      </c>
      <c r="B8" s="1502"/>
      <c r="C8" s="1502">
        <v>811814</v>
      </c>
      <c r="D8" s="1496"/>
      <c r="E8" s="1496" t="s">
        <v>1376</v>
      </c>
      <c r="F8" s="1496"/>
      <c r="G8" s="1496"/>
      <c r="H8" s="1496"/>
      <c r="I8" s="1496"/>
      <c r="J8" s="1496"/>
    </row>
    <row r="9" spans="1:10">
      <c r="A9" s="1507" t="s">
        <v>103</v>
      </c>
      <c r="B9" s="1508"/>
      <c r="C9" s="1508">
        <v>0</v>
      </c>
      <c r="D9" s="1496"/>
      <c r="E9" s="1496"/>
      <c r="F9" s="1496"/>
      <c r="G9" s="1496"/>
      <c r="H9" s="1496"/>
      <c r="I9" s="1496"/>
      <c r="J9" s="1496"/>
    </row>
    <row r="10" spans="1:10">
      <c r="A10" s="1509" t="s">
        <v>104</v>
      </c>
      <c r="B10" s="1508"/>
      <c r="C10" s="1508">
        <v>7041395</v>
      </c>
      <c r="D10" s="1496"/>
      <c r="E10" s="1496" t="s">
        <v>1373</v>
      </c>
      <c r="F10" s="1496"/>
      <c r="G10" s="1496"/>
      <c r="H10" s="1496"/>
      <c r="I10" s="1496"/>
      <c r="J10" s="1496"/>
    </row>
    <row r="11" spans="1:10">
      <c r="A11" s="1506" t="s">
        <v>105</v>
      </c>
      <c r="B11" s="1502"/>
      <c r="C11" s="1502">
        <v>1743717</v>
      </c>
      <c r="D11" s="1496"/>
      <c r="E11" s="1505" t="s">
        <v>509</v>
      </c>
      <c r="F11" s="1496"/>
      <c r="G11" s="1496"/>
      <c r="H11" s="1496"/>
      <c r="I11" s="1496"/>
      <c r="J11" s="1496"/>
    </row>
    <row r="12" spans="1:10">
      <c r="A12" s="1507" t="s">
        <v>106</v>
      </c>
      <c r="B12" s="1508"/>
      <c r="C12" s="1508">
        <v>0</v>
      </c>
      <c r="D12" s="1496"/>
      <c r="E12" s="1496"/>
      <c r="F12" s="1496"/>
      <c r="G12" s="1496"/>
      <c r="H12" s="1496"/>
      <c r="I12" s="1496"/>
      <c r="J12" s="1496"/>
    </row>
    <row r="13" spans="1:10">
      <c r="A13" s="1509" t="s">
        <v>107</v>
      </c>
      <c r="B13" s="1508"/>
      <c r="C13" s="1508">
        <v>0</v>
      </c>
      <c r="D13" s="1496"/>
      <c r="E13" s="1496"/>
      <c r="F13" s="1496"/>
      <c r="G13" s="1496"/>
      <c r="H13" s="1496"/>
      <c r="I13" s="1496"/>
      <c r="J13" s="1496"/>
    </row>
    <row r="14" spans="1:10">
      <c r="A14" s="1506" t="s">
        <v>108</v>
      </c>
      <c r="B14" s="1502"/>
      <c r="C14" s="1502">
        <v>0</v>
      </c>
      <c r="D14" s="1496"/>
      <c r="E14" s="1496"/>
      <c r="F14" s="1496"/>
      <c r="G14" s="1496"/>
      <c r="H14" s="1496"/>
      <c r="I14" s="1496"/>
      <c r="J14" s="1496"/>
    </row>
    <row r="15" spans="1:10">
      <c r="A15" s="1509" t="s">
        <v>109</v>
      </c>
      <c r="B15" s="1508"/>
      <c r="C15" s="1508">
        <v>581740</v>
      </c>
      <c r="D15" s="1496"/>
      <c r="E15" s="1507" t="s">
        <v>575</v>
      </c>
      <c r="F15" s="1496"/>
      <c r="G15" s="1496"/>
      <c r="H15" s="1496"/>
      <c r="I15" s="1496"/>
      <c r="J15" s="1496"/>
    </row>
    <row r="16" spans="1:10">
      <c r="A16" s="1509" t="s">
        <v>110</v>
      </c>
      <c r="B16" s="1508"/>
      <c r="C16" s="1508">
        <v>1098365</v>
      </c>
      <c r="D16" s="1496"/>
      <c r="E16" s="1496" t="s">
        <v>576</v>
      </c>
      <c r="F16" s="1496"/>
      <c r="G16" s="1496"/>
      <c r="H16" s="1496"/>
      <c r="I16" s="1496"/>
      <c r="J16" s="1496"/>
    </row>
    <row r="17" spans="1:10">
      <c r="A17" s="1506" t="s">
        <v>111</v>
      </c>
      <c r="B17" s="1502"/>
      <c r="C17" s="1502">
        <v>0</v>
      </c>
      <c r="D17" s="1496"/>
      <c r="E17" s="1496"/>
      <c r="F17" s="1496"/>
      <c r="G17" s="1496"/>
      <c r="H17" s="1496"/>
      <c r="I17" s="1496"/>
      <c r="J17" s="1496"/>
    </row>
    <row r="18" spans="1:10">
      <c r="A18" s="1509" t="s">
        <v>112</v>
      </c>
      <c r="B18" s="1508"/>
      <c r="C18" s="1508">
        <v>4966751</v>
      </c>
      <c r="D18" s="1496"/>
      <c r="E18" s="1496" t="s">
        <v>577</v>
      </c>
      <c r="F18" s="1496"/>
      <c r="G18" s="1496"/>
      <c r="H18" s="1496"/>
      <c r="I18" s="1496"/>
      <c r="J18" s="1496"/>
    </row>
    <row r="19" spans="1:10">
      <c r="A19" s="1509" t="s">
        <v>113</v>
      </c>
      <c r="B19" s="1508"/>
      <c r="C19" s="1508">
        <v>0</v>
      </c>
      <c r="D19" s="1496"/>
      <c r="E19" s="1496"/>
      <c r="F19" s="1496"/>
      <c r="G19" s="1496"/>
      <c r="H19" s="1496"/>
      <c r="I19" s="1496"/>
      <c r="J19" s="1496"/>
    </row>
    <row r="20" spans="1:10">
      <c r="A20" s="1506" t="s">
        <v>114</v>
      </c>
      <c r="B20" s="1502"/>
      <c r="C20" s="1502">
        <v>0</v>
      </c>
      <c r="D20" s="1496"/>
      <c r="E20" s="1496"/>
      <c r="F20" s="1496"/>
      <c r="G20" s="1496"/>
      <c r="H20" s="1496"/>
      <c r="I20" s="1496"/>
      <c r="J20" s="1496"/>
    </row>
    <row r="21" spans="1:10">
      <c r="A21" s="1507" t="s">
        <v>116</v>
      </c>
      <c r="B21" s="1508"/>
      <c r="C21" s="1508">
        <v>0</v>
      </c>
      <c r="D21" s="1496"/>
      <c r="E21" s="1496"/>
      <c r="F21" s="1496"/>
      <c r="G21" s="1496"/>
      <c r="H21" s="1496"/>
      <c r="I21" s="1496"/>
      <c r="J21" s="1496"/>
    </row>
    <row r="22" spans="1:10">
      <c r="A22" s="1509" t="s">
        <v>117</v>
      </c>
      <c r="B22" s="1508"/>
      <c r="C22" s="1508">
        <v>0</v>
      </c>
      <c r="D22" s="1496"/>
      <c r="E22" s="1496"/>
      <c r="F22" s="1496"/>
      <c r="G22" s="1496"/>
      <c r="H22" s="1496"/>
      <c r="I22" s="1496"/>
      <c r="J22" s="1496"/>
    </row>
    <row r="23" spans="1:10">
      <c r="A23" s="1510" t="s">
        <v>1161</v>
      </c>
      <c r="B23" s="1502"/>
      <c r="C23" s="1502">
        <v>0</v>
      </c>
      <c r="D23" s="1496"/>
      <c r="E23" s="1496"/>
      <c r="F23" s="1496"/>
      <c r="G23" s="1496"/>
      <c r="H23" s="1496"/>
      <c r="I23" s="1496"/>
      <c r="J23" s="1496"/>
    </row>
    <row r="24" spans="1:10">
      <c r="A24" s="1509" t="s">
        <v>118</v>
      </c>
      <c r="B24" s="1508"/>
      <c r="C24" s="1508">
        <v>47475</v>
      </c>
      <c r="D24" s="1496"/>
      <c r="E24" s="1496" t="s">
        <v>578</v>
      </c>
      <c r="F24" s="1496"/>
      <c r="G24" s="1496"/>
      <c r="H24" s="1496"/>
      <c r="I24" s="1496"/>
      <c r="J24" s="1496"/>
    </row>
    <row r="25" spans="1:10">
      <c r="A25" s="1509" t="s">
        <v>119</v>
      </c>
      <c r="B25" s="1508">
        <f>SUM(B6:B24)</f>
        <v>0</v>
      </c>
      <c r="C25" s="1508">
        <v>595458</v>
      </c>
      <c r="D25" s="1496"/>
      <c r="E25" s="1496" t="s">
        <v>1375</v>
      </c>
      <c r="F25" s="1496"/>
      <c r="G25" s="1496"/>
      <c r="H25" s="1496"/>
      <c r="I25" s="1496"/>
      <c r="J25" s="1496"/>
    </row>
    <row r="26" spans="1:10">
      <c r="A26" s="1511" t="s">
        <v>1162</v>
      </c>
      <c r="B26" s="1512"/>
      <c r="C26" s="1512"/>
      <c r="D26" s="1496"/>
      <c r="E26" s="1496"/>
      <c r="F26" s="1496"/>
      <c r="G26" s="1496"/>
      <c r="H26" s="1496"/>
      <c r="I26" s="1496"/>
      <c r="J26" s="1496"/>
    </row>
    <row r="27" spans="1:10">
      <c r="A27" s="1513" t="s">
        <v>120</v>
      </c>
      <c r="B27" s="1514"/>
      <c r="C27" s="1514">
        <v>16886715</v>
      </c>
      <c r="D27" s="1496"/>
      <c r="E27" s="1496"/>
      <c r="F27" s="1496"/>
      <c r="G27" s="1496"/>
      <c r="H27" s="1496"/>
      <c r="I27" s="1496"/>
      <c r="J27" s="1496"/>
    </row>
    <row r="28" spans="1:10">
      <c r="A28" s="1509"/>
      <c r="B28" s="1508"/>
      <c r="C28" s="1508"/>
      <c r="D28" s="1496"/>
      <c r="E28" s="1496"/>
      <c r="F28" s="1496"/>
      <c r="G28" s="1496"/>
      <c r="H28" s="1496"/>
      <c r="I28" s="1496"/>
      <c r="J28" s="1496"/>
    </row>
    <row r="29" spans="1:10">
      <c r="A29" s="1515" t="s">
        <v>1163</v>
      </c>
      <c r="B29" s="1500"/>
      <c r="C29" s="1500"/>
      <c r="D29" s="1496"/>
      <c r="E29" s="1496"/>
      <c r="F29" s="1496"/>
      <c r="G29" s="1496"/>
      <c r="H29" s="1496"/>
      <c r="I29" s="1496"/>
      <c r="J29" s="1496"/>
    </row>
    <row r="30" spans="1:10">
      <c r="A30" s="1511" t="s">
        <v>122</v>
      </c>
      <c r="B30" s="1512"/>
      <c r="C30" s="1512">
        <v>0</v>
      </c>
      <c r="D30" s="1496"/>
      <c r="E30" s="1496"/>
      <c r="F30" s="1496"/>
      <c r="G30" s="1496"/>
      <c r="H30" s="1496"/>
      <c r="I30" s="1496"/>
      <c r="J30" s="1496"/>
    </row>
    <row r="31" spans="1:10">
      <c r="A31" s="1509" t="s">
        <v>123</v>
      </c>
      <c r="B31" s="1508"/>
      <c r="C31" s="1508">
        <v>0</v>
      </c>
      <c r="D31" s="1496"/>
      <c r="E31" s="1496"/>
      <c r="F31" s="1496"/>
      <c r="G31" s="1496"/>
      <c r="H31" s="1496"/>
      <c r="I31" s="1496"/>
      <c r="J31" s="1496"/>
    </row>
    <row r="32" spans="1:10">
      <c r="A32" s="1509" t="s">
        <v>124</v>
      </c>
      <c r="B32" s="1508"/>
      <c r="C32" s="1508">
        <v>0</v>
      </c>
      <c r="D32" s="1496"/>
      <c r="E32" s="1496"/>
      <c r="F32" s="1496"/>
      <c r="G32" s="1496"/>
      <c r="H32" s="1496"/>
      <c r="I32" s="1496"/>
      <c r="J32" s="1496"/>
    </row>
    <row r="33" spans="1:10">
      <c r="A33" s="1511" t="s">
        <v>125</v>
      </c>
      <c r="B33" s="1512"/>
      <c r="C33" s="1512">
        <v>0</v>
      </c>
      <c r="D33" s="1496"/>
      <c r="E33" s="1496"/>
      <c r="F33" s="1496"/>
      <c r="G33" s="1496"/>
      <c r="H33" s="1496"/>
      <c r="I33" s="1496"/>
      <c r="J33" s="1496"/>
    </row>
    <row r="34" spans="1:10">
      <c r="A34" s="1509" t="s">
        <v>126</v>
      </c>
      <c r="B34" s="1508"/>
      <c r="C34" s="1508"/>
      <c r="D34" s="1496"/>
      <c r="E34" s="1496"/>
      <c r="F34" s="1496"/>
      <c r="G34" s="1496"/>
      <c r="H34" s="1496"/>
      <c r="I34" s="1496"/>
      <c r="J34" s="1496"/>
    </row>
    <row r="35" spans="1:10">
      <c r="A35" s="1509" t="s">
        <v>519</v>
      </c>
      <c r="B35" s="1508"/>
      <c r="C35" s="1508"/>
      <c r="D35" s="1496"/>
      <c r="E35" s="1496"/>
      <c r="F35" s="1496"/>
      <c r="G35" s="1496"/>
      <c r="H35" s="1496"/>
      <c r="I35" s="1496"/>
      <c r="J35" s="1496"/>
    </row>
    <row r="36" spans="1:10">
      <c r="A36" s="1511" t="s">
        <v>127</v>
      </c>
      <c r="B36" s="1512"/>
      <c r="C36" s="1512">
        <v>0</v>
      </c>
      <c r="D36" s="1496"/>
      <c r="E36" s="1496"/>
      <c r="F36" s="1496"/>
      <c r="G36" s="1496"/>
      <c r="H36" s="1496"/>
      <c r="I36" s="1496"/>
      <c r="J36" s="1496"/>
    </row>
    <row r="37" spans="1:10">
      <c r="A37" s="1509" t="s">
        <v>128</v>
      </c>
      <c r="B37" s="1508"/>
      <c r="C37" s="1508">
        <v>0</v>
      </c>
      <c r="D37" s="1496"/>
      <c r="E37" s="1496"/>
      <c r="F37" s="1496"/>
      <c r="G37" s="1496"/>
      <c r="H37" s="1496"/>
      <c r="I37" s="1496"/>
      <c r="J37" s="1496"/>
    </row>
    <row r="38" spans="1:10">
      <c r="A38" s="1509" t="s">
        <v>525</v>
      </c>
      <c r="B38" s="1508"/>
      <c r="C38" s="1508">
        <v>0</v>
      </c>
      <c r="D38" s="1496"/>
      <c r="E38" s="1496"/>
      <c r="F38" s="1496"/>
      <c r="G38" s="1496"/>
      <c r="H38" s="1496"/>
      <c r="I38" s="1496"/>
      <c r="J38" s="1496"/>
    </row>
    <row r="39" spans="1:10">
      <c r="A39" s="1511" t="s">
        <v>115</v>
      </c>
      <c r="B39" s="1512"/>
      <c r="C39" s="1512">
        <v>0</v>
      </c>
      <c r="D39" s="1496"/>
      <c r="E39" s="1496"/>
      <c r="F39" s="1496"/>
      <c r="G39" s="1496"/>
      <c r="H39" s="1496"/>
      <c r="I39" s="1496"/>
      <c r="J39" s="1496"/>
    </row>
    <row r="40" spans="1:10">
      <c r="A40" s="1509" t="s">
        <v>129</v>
      </c>
      <c r="B40" s="1508"/>
      <c r="C40" s="1508">
        <v>0</v>
      </c>
      <c r="D40" s="1496"/>
      <c r="E40" s="1496"/>
      <c r="F40" s="1496"/>
      <c r="G40" s="1496"/>
      <c r="H40" s="1496"/>
      <c r="I40" s="1496"/>
      <c r="J40" s="1496"/>
    </row>
    <row r="41" spans="1:10">
      <c r="A41" s="1509" t="s">
        <v>130</v>
      </c>
      <c r="B41" s="1508"/>
      <c r="C41" s="1508">
        <v>70448</v>
      </c>
      <c r="D41" s="1496"/>
      <c r="E41" s="1496" t="s">
        <v>1374</v>
      </c>
      <c r="F41" s="1496"/>
      <c r="G41" s="1496"/>
      <c r="H41" s="1496"/>
      <c r="I41" s="1496"/>
      <c r="J41" s="1496"/>
    </row>
    <row r="42" spans="1:10">
      <c r="A42" s="1511" t="s">
        <v>131</v>
      </c>
      <c r="B42" s="1512"/>
      <c r="C42" s="1512">
        <v>0</v>
      </c>
      <c r="D42" s="1496"/>
      <c r="E42" s="1496"/>
      <c r="F42" s="1496"/>
      <c r="G42" s="1496"/>
      <c r="H42" s="1496"/>
      <c r="I42" s="1496"/>
      <c r="J42" s="1496"/>
    </row>
    <row r="43" spans="1:10">
      <c r="A43" s="1509" t="s">
        <v>132</v>
      </c>
      <c r="B43" s="1508"/>
      <c r="C43" s="1508">
        <v>0</v>
      </c>
      <c r="D43" s="1496"/>
      <c r="E43" s="1496"/>
      <c r="F43" s="1496"/>
      <c r="G43" s="1496"/>
      <c r="H43" s="1496"/>
      <c r="I43" s="1496"/>
      <c r="J43" s="1496"/>
    </row>
    <row r="44" spans="1:10">
      <c r="A44" s="1509" t="s">
        <v>520</v>
      </c>
      <c r="B44" s="1508"/>
      <c r="C44" s="1508">
        <v>0</v>
      </c>
      <c r="D44" s="1496"/>
      <c r="E44" s="1496"/>
      <c r="F44" s="1496"/>
      <c r="G44" s="1496"/>
      <c r="H44" s="1496"/>
      <c r="I44" s="1496"/>
      <c r="J44" s="1496"/>
    </row>
    <row r="45" spans="1:10">
      <c r="A45" s="1516" t="s">
        <v>1164</v>
      </c>
      <c r="B45" s="1512"/>
      <c r="C45" s="1512">
        <v>0</v>
      </c>
      <c r="D45" s="1496"/>
      <c r="E45" s="1496"/>
      <c r="F45" s="1496"/>
      <c r="G45" s="1496"/>
      <c r="H45" s="1496"/>
      <c r="I45" s="1496"/>
      <c r="J45" s="1496"/>
    </row>
    <row r="46" spans="1:10">
      <c r="A46" s="1509" t="s">
        <v>522</v>
      </c>
      <c r="B46" s="1508"/>
      <c r="C46" s="1508">
        <v>0</v>
      </c>
      <c r="D46" s="1496"/>
      <c r="E46" s="1496"/>
      <c r="F46" s="1496"/>
      <c r="G46" s="1496"/>
      <c r="H46" s="1496"/>
      <c r="I46" s="1496"/>
      <c r="J46" s="1496"/>
    </row>
    <row r="47" spans="1:10">
      <c r="A47" s="1509" t="s">
        <v>134</v>
      </c>
      <c r="B47" s="1508">
        <f>SUM(B29:B46)</f>
        <v>0</v>
      </c>
      <c r="C47" s="1508">
        <v>0</v>
      </c>
      <c r="D47" s="1496"/>
      <c r="E47" s="1496"/>
      <c r="F47" s="1496"/>
      <c r="G47" s="1496"/>
      <c r="H47" s="1496"/>
      <c r="I47" s="1496"/>
      <c r="J47" s="1496"/>
    </row>
    <row r="48" spans="1:10">
      <c r="A48" s="1517" t="s">
        <v>135</v>
      </c>
      <c r="B48" s="1518"/>
      <c r="C48" s="1518">
        <v>70448</v>
      </c>
      <c r="D48" s="1496"/>
      <c r="E48" s="1496"/>
      <c r="F48" s="1496"/>
      <c r="G48" s="1496"/>
      <c r="H48" s="1496"/>
      <c r="I48" s="1496"/>
      <c r="J48" s="1496"/>
    </row>
    <row r="49" spans="1:10" ht="16.5" thickBot="1">
      <c r="A49" s="1513" t="s">
        <v>136</v>
      </c>
      <c r="B49" s="1519"/>
      <c r="C49" s="1519">
        <v>16957163</v>
      </c>
      <c r="D49" s="1496"/>
      <c r="E49" s="1496"/>
      <c r="F49" s="1496"/>
      <c r="G49" s="1496"/>
      <c r="H49" s="1496"/>
      <c r="I49" s="1496"/>
      <c r="J49" s="1496"/>
    </row>
    <row r="50" spans="1:10" ht="16.5" thickTop="1">
      <c r="A50" s="1496"/>
      <c r="B50" s="1496"/>
      <c r="C50" s="1496"/>
      <c r="D50" s="1496"/>
      <c r="E50" s="1496"/>
      <c r="F50" s="1496"/>
      <c r="G50" s="1496"/>
      <c r="H50" s="1496"/>
      <c r="I50" s="1496"/>
      <c r="J50" s="1496"/>
    </row>
  </sheetData>
  <pageMargins left="0.75" right="0.75" top="1" bottom="1" header="0.5" footer="0.5"/>
  <pageSetup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83"/>
  <sheetViews>
    <sheetView topLeftCell="G1" workbookViewId="0">
      <selection activeCell="E10" sqref="E10"/>
    </sheetView>
  </sheetViews>
  <sheetFormatPr defaultColWidth="11" defaultRowHeight="15.75"/>
  <cols>
    <col min="1" max="1" width="36.875" customWidth="1"/>
    <col min="2" max="2" width="14.125" customWidth="1"/>
    <col min="3" max="3" width="15.5" customWidth="1"/>
    <col min="4" max="4" width="14.375" customWidth="1"/>
    <col min="5" max="5" width="13.875" customWidth="1"/>
    <col min="6" max="6" width="12.5" customWidth="1"/>
    <col min="8" max="8" width="13.625" bestFit="1" customWidth="1"/>
    <col min="9" max="9" width="5.875" customWidth="1"/>
    <col min="10" max="10" width="33.375" customWidth="1"/>
    <col min="11" max="12" width="13.625" customWidth="1"/>
    <col min="13" max="13" width="12.5" customWidth="1"/>
    <col min="15" max="15" width="13.625" customWidth="1"/>
  </cols>
  <sheetData>
    <row r="1" spans="1:16">
      <c r="A1" s="10" t="s">
        <v>873</v>
      </c>
      <c r="J1" s="10" t="s">
        <v>874</v>
      </c>
    </row>
    <row r="2" spans="1:16">
      <c r="J2" t="s">
        <v>1061</v>
      </c>
    </row>
    <row r="3" spans="1:16">
      <c r="C3" s="1249"/>
    </row>
    <row r="4" spans="1:16" ht="51">
      <c r="A4" s="1324" t="s">
        <v>90</v>
      </c>
      <c r="B4" s="1325" t="s">
        <v>1115</v>
      </c>
      <c r="C4" s="1325" t="s">
        <v>1116</v>
      </c>
      <c r="D4" s="1325" t="s">
        <v>1117</v>
      </c>
      <c r="E4" s="1325" t="s">
        <v>1118</v>
      </c>
      <c r="F4" s="1325" t="s">
        <v>1119</v>
      </c>
      <c r="G4" s="1325" t="s">
        <v>1120</v>
      </c>
      <c r="J4" s="1324" t="s">
        <v>90</v>
      </c>
      <c r="K4" s="1325" t="s">
        <v>1115</v>
      </c>
      <c r="L4" s="1325" t="s">
        <v>1116</v>
      </c>
      <c r="M4" s="1325" t="s">
        <v>1117</v>
      </c>
      <c r="N4" s="1325" t="s">
        <v>1118</v>
      </c>
      <c r="O4" s="1325" t="s">
        <v>1119</v>
      </c>
      <c r="P4" s="1325"/>
    </row>
    <row r="5" spans="1:16">
      <c r="A5" s="181" t="s">
        <v>100</v>
      </c>
      <c r="B5" s="470"/>
      <c r="C5" s="470"/>
      <c r="D5" s="470"/>
      <c r="E5" s="470"/>
      <c r="F5" s="470"/>
      <c r="G5" s="470"/>
      <c r="J5" s="181" t="s">
        <v>100</v>
      </c>
      <c r="K5" s="470"/>
      <c r="L5" s="470"/>
      <c r="M5" s="470"/>
      <c r="N5" s="470"/>
      <c r="O5" s="470"/>
      <c r="P5" s="470"/>
    </row>
    <row r="6" spans="1:16">
      <c r="A6" s="202"/>
      <c r="B6" s="255"/>
      <c r="C6" s="255"/>
      <c r="D6" s="255"/>
      <c r="E6" s="255"/>
      <c r="F6" s="255"/>
      <c r="G6" s="255"/>
      <c r="J6" s="202"/>
      <c r="K6" s="255"/>
      <c r="L6" s="255"/>
      <c r="M6" s="255"/>
      <c r="N6" s="255"/>
      <c r="O6" s="255"/>
      <c r="P6" s="255"/>
    </row>
    <row r="7" spans="1:16">
      <c r="A7" s="1326" t="s">
        <v>101</v>
      </c>
      <c r="B7" s="255"/>
      <c r="C7" s="255"/>
      <c r="D7" s="255"/>
      <c r="E7" s="255"/>
      <c r="F7" s="255"/>
      <c r="G7" s="255"/>
      <c r="J7" s="1326" t="s">
        <v>101</v>
      </c>
      <c r="K7" s="255"/>
      <c r="L7" s="255"/>
      <c r="M7" s="255"/>
      <c r="N7" s="255"/>
      <c r="O7" s="255"/>
      <c r="P7" s="255"/>
    </row>
    <row r="8" spans="1:16" ht="15.95" customHeight="1">
      <c r="A8" s="1326" t="s">
        <v>101</v>
      </c>
      <c r="B8" s="255"/>
      <c r="C8" s="255"/>
      <c r="D8" s="255"/>
      <c r="E8" s="255"/>
      <c r="F8" s="255"/>
      <c r="G8" s="255"/>
      <c r="H8" s="1323"/>
      <c r="J8" s="1326" t="s">
        <v>101</v>
      </c>
      <c r="K8" s="255"/>
      <c r="L8" s="255"/>
      <c r="M8" s="255"/>
      <c r="N8" s="255"/>
      <c r="O8" s="255"/>
      <c r="P8" s="255"/>
    </row>
    <row r="9" spans="1:16">
      <c r="A9" s="214" t="s">
        <v>102</v>
      </c>
      <c r="B9" s="1206"/>
      <c r="C9" s="1206"/>
      <c r="D9" s="1206"/>
      <c r="E9" s="1206"/>
      <c r="F9" s="1206"/>
      <c r="G9" s="1206"/>
      <c r="H9" s="1323"/>
      <c r="J9" s="214" t="s">
        <v>102</v>
      </c>
      <c r="K9" s="1206"/>
      <c r="L9" s="1206"/>
      <c r="M9" s="1206"/>
      <c r="N9" s="1206"/>
      <c r="O9" s="1206"/>
      <c r="P9" s="1206"/>
    </row>
    <row r="10" spans="1:16">
      <c r="A10" s="213" t="s">
        <v>103</v>
      </c>
      <c r="B10" s="471">
        <f>1854647+235000</f>
        <v>2089647</v>
      </c>
      <c r="C10" s="471">
        <v>1270014</v>
      </c>
      <c r="D10" s="471">
        <f>-0.1*B10-0.04*C10</f>
        <v>-259765.26</v>
      </c>
      <c r="E10" s="471">
        <f>-0.07*B10-0.06*54*G10</f>
        <v>-160914.09600000002</v>
      </c>
      <c r="F10" s="471">
        <f>SUM(B10:E10)</f>
        <v>2938981.6440000003</v>
      </c>
      <c r="G10" s="79">
        <f>4303*1.05</f>
        <v>4518.1500000000005</v>
      </c>
      <c r="H10" s="1344"/>
      <c r="J10" s="213" t="s">
        <v>103</v>
      </c>
      <c r="K10" s="471">
        <v>826410</v>
      </c>
      <c r="L10" s="471">
        <v>280096</v>
      </c>
      <c r="M10" s="471">
        <f>-0.1*K10-0.04*L10</f>
        <v>-93844.84</v>
      </c>
      <c r="N10" s="471">
        <f t="shared" ref="N10:N14" si="0">-0.07*K10-0.06*L10</f>
        <v>-74654.460000000006</v>
      </c>
      <c r="O10" s="471">
        <f>SUM(K10:N10)</f>
        <v>938006.70000000007</v>
      </c>
      <c r="P10" s="79"/>
    </row>
    <row r="11" spans="1:16">
      <c r="A11" s="213" t="s">
        <v>104</v>
      </c>
      <c r="B11" s="471">
        <f>4025364+5129757</f>
        <v>9155121</v>
      </c>
      <c r="C11" s="471">
        <v>2048123</v>
      </c>
      <c r="D11" s="471">
        <f>-0.1*B11-0.04*C11</f>
        <v>-997437.02000000014</v>
      </c>
      <c r="E11" s="471">
        <f t="shared" ref="E11:E13" si="1">-0.07*B11-0.06*C11</f>
        <v>-763745.85000000009</v>
      </c>
      <c r="F11" s="471">
        <f t="shared" ref="F11:F13" si="2">SUM(B11:E11)</f>
        <v>9442061.1300000008</v>
      </c>
      <c r="G11" s="79"/>
      <c r="H11" s="1344"/>
      <c r="J11" s="213" t="s">
        <v>104</v>
      </c>
      <c r="K11" s="471">
        <f>5355514+1432263+1143365</f>
        <v>7931142</v>
      </c>
      <c r="L11" s="471">
        <v>67479</v>
      </c>
      <c r="M11" s="471">
        <f>-0.1*K11-0.04*L11</f>
        <v>-795813.3600000001</v>
      </c>
      <c r="N11" s="471">
        <f t="shared" si="0"/>
        <v>-559228.68000000005</v>
      </c>
      <c r="O11" s="471">
        <f t="shared" ref="O11:O14" si="3">SUM(K11:N11)</f>
        <v>6643578.96</v>
      </c>
      <c r="P11" s="79"/>
    </row>
    <row r="12" spans="1:16">
      <c r="A12" s="214" t="s">
        <v>105</v>
      </c>
      <c r="B12" s="470">
        <v>144434</v>
      </c>
      <c r="C12" s="470"/>
      <c r="D12" s="470">
        <f>-0.1*B12-0.04*C12</f>
        <v>-14443.400000000001</v>
      </c>
      <c r="E12" s="470">
        <f t="shared" si="1"/>
        <v>-10110.380000000001</v>
      </c>
      <c r="F12" s="470">
        <f t="shared" si="2"/>
        <v>119880.22</v>
      </c>
      <c r="G12" s="1216"/>
      <c r="H12" s="1343"/>
      <c r="J12" s="214" t="s">
        <v>105</v>
      </c>
      <c r="K12" s="470"/>
      <c r="L12" s="470"/>
      <c r="M12" s="470">
        <f>-0.1*K12-0.04*L12</f>
        <v>0</v>
      </c>
      <c r="N12" s="470">
        <f t="shared" si="0"/>
        <v>0</v>
      </c>
      <c r="O12" s="470">
        <f t="shared" si="3"/>
        <v>0</v>
      </c>
      <c r="P12" s="1216"/>
    </row>
    <row r="13" spans="1:16">
      <c r="A13" s="213" t="s">
        <v>106</v>
      </c>
      <c r="B13" s="471">
        <v>155361</v>
      </c>
      <c r="C13" s="471"/>
      <c r="D13" s="471">
        <f>-0.1*B13-0.04*C13</f>
        <v>-15536.1</v>
      </c>
      <c r="E13" s="471">
        <f t="shared" si="1"/>
        <v>-10875.27</v>
      </c>
      <c r="F13" s="471">
        <f t="shared" si="2"/>
        <v>128949.62999999999</v>
      </c>
      <c r="G13" s="79"/>
      <c r="H13" s="1323"/>
      <c r="J13" s="213" t="s">
        <v>106</v>
      </c>
      <c r="K13" s="471"/>
      <c r="L13" s="471">
        <v>18610</v>
      </c>
      <c r="M13" s="471">
        <f>-0.1*K13-0.04*L13</f>
        <v>-744.4</v>
      </c>
      <c r="N13" s="471">
        <f t="shared" si="0"/>
        <v>-1116.5999999999999</v>
      </c>
      <c r="O13" s="471">
        <f t="shared" si="3"/>
        <v>16749</v>
      </c>
      <c r="P13" s="79"/>
    </row>
    <row r="14" spans="1:16">
      <c r="A14" s="213" t="s">
        <v>107</v>
      </c>
      <c r="B14" s="255"/>
      <c r="C14" s="255"/>
      <c r="D14" s="255"/>
      <c r="E14" s="255"/>
      <c r="F14" s="255"/>
      <c r="G14" s="229"/>
      <c r="H14" s="1323"/>
      <c r="J14" s="213" t="s">
        <v>107</v>
      </c>
      <c r="K14" s="255"/>
      <c r="L14" s="255">
        <v>880691</v>
      </c>
      <c r="M14" s="255">
        <f>-0.1*K14-0.04*L14</f>
        <v>-35227.64</v>
      </c>
      <c r="N14" s="255">
        <f t="shared" si="0"/>
        <v>-52841.46</v>
      </c>
      <c r="O14" s="255">
        <f t="shared" si="3"/>
        <v>792621.9</v>
      </c>
      <c r="P14" s="229"/>
    </row>
    <row r="15" spans="1:16">
      <c r="A15" s="214" t="s">
        <v>108</v>
      </c>
      <c r="B15" s="470"/>
      <c r="C15" s="470"/>
      <c r="D15" s="470"/>
      <c r="E15" s="470"/>
      <c r="F15" s="470"/>
      <c r="G15" s="1216"/>
      <c r="H15" s="1323"/>
      <c r="J15" s="214" t="s">
        <v>108</v>
      </c>
      <c r="K15" s="470"/>
      <c r="L15" s="470"/>
      <c r="M15" s="470"/>
      <c r="N15" s="470"/>
      <c r="O15" s="470"/>
      <c r="P15" s="1216"/>
    </row>
    <row r="16" spans="1:16">
      <c r="A16" s="213" t="s">
        <v>109</v>
      </c>
      <c r="B16" s="460"/>
      <c r="C16" s="460"/>
      <c r="D16" s="460"/>
      <c r="E16" s="460"/>
      <c r="F16" s="460"/>
      <c r="G16" s="229"/>
      <c r="H16" s="1323"/>
      <c r="J16" s="213" t="s">
        <v>109</v>
      </c>
      <c r="K16" s="460"/>
      <c r="L16" s="460"/>
      <c r="M16" s="460"/>
      <c r="N16" s="460"/>
      <c r="O16" s="460"/>
      <c r="P16" s="229"/>
    </row>
    <row r="17" spans="1:16">
      <c r="A17" s="213" t="s">
        <v>110</v>
      </c>
      <c r="B17" s="255"/>
      <c r="C17" s="255">
        <v>3767039</v>
      </c>
      <c r="D17" s="255">
        <f>-0.1*B17-0.04*C17</f>
        <v>-150681.56</v>
      </c>
      <c r="E17" s="255">
        <f>-0.07*B17-0.06*54*G17</f>
        <v>-57843.719999999994</v>
      </c>
      <c r="F17" s="255">
        <f>SUM(B17:E17)</f>
        <v>3558513.7199999997</v>
      </c>
      <c r="G17" s="229">
        <v>17853</v>
      </c>
      <c r="H17" s="1323"/>
      <c r="J17" s="213" t="s">
        <v>110</v>
      </c>
      <c r="K17" s="255"/>
      <c r="L17" s="255"/>
      <c r="M17" s="255">
        <f>-0.1*K17-0.04*L17</f>
        <v>0</v>
      </c>
      <c r="N17" s="255">
        <f>-0.07*K17-0.06*54*P17</f>
        <v>0</v>
      </c>
      <c r="O17" s="255">
        <f>SUM(K17:N17)</f>
        <v>0</v>
      </c>
      <c r="P17" s="229"/>
    </row>
    <row r="18" spans="1:16">
      <c r="A18" s="214" t="s">
        <v>111</v>
      </c>
      <c r="B18" s="470"/>
      <c r="C18" s="470"/>
      <c r="D18" s="470"/>
      <c r="E18" s="470"/>
      <c r="F18" s="470"/>
      <c r="G18" s="1216"/>
      <c r="H18" s="1323"/>
      <c r="J18" s="214" t="s">
        <v>111</v>
      </c>
      <c r="K18" s="470"/>
      <c r="L18" s="470">
        <v>8926</v>
      </c>
      <c r="M18" s="470"/>
      <c r="N18" s="470"/>
      <c r="O18" s="470"/>
      <c r="P18" s="1216"/>
    </row>
    <row r="19" spans="1:16">
      <c r="A19" s="213" t="s">
        <v>112</v>
      </c>
      <c r="B19" s="255"/>
      <c r="C19" s="255">
        <v>3313975</v>
      </c>
      <c r="D19" s="255">
        <f>-0.1*B19-0.04*C19</f>
        <v>-132559</v>
      </c>
      <c r="E19" s="255">
        <f>-0.07*B19-0.06*54*G19</f>
        <v>-44711.999999999993</v>
      </c>
      <c r="F19" s="255">
        <f>SUM(B19:E19)</f>
        <v>3136704</v>
      </c>
      <c r="G19" s="229">
        <f>12000*1.15</f>
        <v>13799.999999999998</v>
      </c>
      <c r="J19" s="213" t="s">
        <v>112</v>
      </c>
      <c r="K19" s="255"/>
      <c r="L19" s="255"/>
      <c r="M19" s="255">
        <f>-0.1*K19-0.04*L19</f>
        <v>0</v>
      </c>
      <c r="N19" s="255">
        <f>-0.07*K19-0.06*54*P19</f>
        <v>0</v>
      </c>
      <c r="O19" s="255">
        <f>SUM(K19:N19)</f>
        <v>0</v>
      </c>
      <c r="P19" s="229"/>
    </row>
    <row r="20" spans="1:16">
      <c r="A20" s="213" t="s">
        <v>113</v>
      </c>
      <c r="B20" s="255"/>
      <c r="C20" s="255"/>
      <c r="D20" s="255"/>
      <c r="E20" s="255"/>
      <c r="F20" s="255"/>
      <c r="G20" s="229"/>
      <c r="J20" s="213" t="s">
        <v>113</v>
      </c>
      <c r="K20" s="255"/>
      <c r="L20" s="255"/>
      <c r="M20" s="255"/>
      <c r="N20" s="255"/>
      <c r="O20" s="255"/>
      <c r="P20" s="229"/>
    </row>
    <row r="21" spans="1:16">
      <c r="A21" s="214" t="s">
        <v>114</v>
      </c>
      <c r="B21" s="470">
        <v>1499500</v>
      </c>
      <c r="C21" s="470"/>
      <c r="D21" s="470">
        <f>-0.1*B21-0.04*C21</f>
        <v>-149950</v>
      </c>
      <c r="E21" s="470">
        <f>-0.07*B21-0.06*C21</f>
        <v>-104965.00000000001</v>
      </c>
      <c r="F21" s="470">
        <f>SUM(B21:E21)</f>
        <v>1244585</v>
      </c>
      <c r="G21" s="470"/>
      <c r="J21" s="214" t="s">
        <v>114</v>
      </c>
      <c r="K21" s="470"/>
      <c r="L21" s="470"/>
      <c r="M21" s="470">
        <f>-0.1*K21-0.04*L21</f>
        <v>0</v>
      </c>
      <c r="N21" s="470">
        <f>-0.07*K21-0.06*L21</f>
        <v>0</v>
      </c>
      <c r="O21" s="470">
        <f>SUM(K21:N21)</f>
        <v>0</v>
      </c>
      <c r="P21" s="470"/>
    </row>
    <row r="22" spans="1:16">
      <c r="A22" s="213" t="s">
        <v>116</v>
      </c>
      <c r="B22" s="255"/>
      <c r="C22" s="255"/>
      <c r="D22" s="255"/>
      <c r="E22" s="255"/>
      <c r="F22" s="255"/>
      <c r="G22" s="255"/>
      <c r="J22" s="213" t="s">
        <v>116</v>
      </c>
      <c r="K22" s="255"/>
      <c r="L22" s="255"/>
      <c r="M22" s="255"/>
      <c r="N22" s="255"/>
      <c r="O22" s="255"/>
      <c r="P22" s="255"/>
    </row>
    <row r="23" spans="1:16">
      <c r="A23" s="213" t="s">
        <v>117</v>
      </c>
      <c r="B23" s="255"/>
      <c r="C23" s="255"/>
      <c r="D23" s="255"/>
      <c r="E23" s="255"/>
      <c r="F23" s="255"/>
      <c r="G23" s="255"/>
      <c r="J23" s="213" t="s">
        <v>117</v>
      </c>
      <c r="K23" s="255"/>
      <c r="L23" s="255"/>
      <c r="M23" s="255"/>
      <c r="N23" s="255"/>
      <c r="O23" s="255"/>
      <c r="P23" s="255"/>
    </row>
    <row r="24" spans="1:16">
      <c r="A24" s="438" t="s">
        <v>523</v>
      </c>
      <c r="B24" s="470"/>
      <c r="C24" s="470"/>
      <c r="D24" s="470"/>
      <c r="E24" s="470"/>
      <c r="F24" s="470"/>
      <c r="G24" s="470"/>
      <c r="J24" s="438" t="s">
        <v>523</v>
      </c>
      <c r="K24" s="470"/>
      <c r="L24" s="470"/>
      <c r="M24" s="470"/>
      <c r="N24" s="470"/>
      <c r="O24" s="470"/>
      <c r="P24" s="470"/>
    </row>
    <row r="25" spans="1:16">
      <c r="A25" s="437" t="s">
        <v>524</v>
      </c>
      <c r="B25" s="255"/>
      <c r="C25" s="255"/>
      <c r="D25" s="255"/>
      <c r="E25" s="255"/>
      <c r="F25" s="255"/>
      <c r="G25" s="255"/>
      <c r="J25" s="437" t="s">
        <v>524</v>
      </c>
      <c r="K25" s="255"/>
      <c r="L25" s="255"/>
      <c r="M25" s="255"/>
      <c r="N25" s="255"/>
      <c r="O25" s="255"/>
      <c r="P25" s="255"/>
    </row>
    <row r="26" spans="1:16">
      <c r="A26" s="213" t="s">
        <v>118</v>
      </c>
      <c r="B26" s="255"/>
      <c r="C26" s="255"/>
      <c r="D26" s="255"/>
      <c r="E26" s="255"/>
      <c r="F26" s="255"/>
      <c r="G26" s="255"/>
      <c r="J26" s="213" t="s">
        <v>118</v>
      </c>
      <c r="K26" s="255"/>
      <c r="L26" s="255"/>
      <c r="M26" s="255"/>
      <c r="N26" s="255"/>
      <c r="O26" s="255"/>
      <c r="P26" s="255"/>
    </row>
    <row r="27" spans="1:16">
      <c r="A27" s="438" t="s">
        <v>119</v>
      </c>
      <c r="B27" s="470"/>
      <c r="C27" s="470"/>
      <c r="D27" s="470"/>
      <c r="E27" s="470"/>
      <c r="F27" s="470"/>
      <c r="G27" s="470"/>
      <c r="J27" s="438" t="s">
        <v>119</v>
      </c>
      <c r="K27" s="470"/>
      <c r="L27" s="470"/>
      <c r="M27" s="470"/>
      <c r="N27" s="470"/>
      <c r="O27" s="470"/>
      <c r="P27" s="470"/>
    </row>
    <row r="28" spans="1:16">
      <c r="A28" s="445" t="s">
        <v>120</v>
      </c>
      <c r="B28" s="472">
        <f>SUM(B9:B27)</f>
        <v>13044063</v>
      </c>
      <c r="C28" s="472">
        <f>SUM(C9:C27)</f>
        <v>10399151</v>
      </c>
      <c r="D28" s="472">
        <f>SUM(D9:D27)</f>
        <v>-1720372.3400000003</v>
      </c>
      <c r="E28" s="472">
        <f>SUM(E9:E27)</f>
        <v>-1153166.3160000001</v>
      </c>
      <c r="F28" s="472">
        <f>SUM(F9:F27)</f>
        <v>20569675.344000001</v>
      </c>
      <c r="G28" s="472"/>
      <c r="J28" s="445" t="s">
        <v>120</v>
      </c>
      <c r="K28" s="472">
        <f>SUM(K9:K27)</f>
        <v>8757552</v>
      </c>
      <c r="L28" s="472">
        <f>SUM(L9:L27)</f>
        <v>1255802</v>
      </c>
      <c r="M28" s="472">
        <f>SUM(M9:M27)</f>
        <v>-925630.24000000011</v>
      </c>
      <c r="N28" s="472">
        <f>SUM(N9:N27)</f>
        <v>-687841.2</v>
      </c>
      <c r="O28" s="472">
        <f>SUM(O9:O27)</f>
        <v>8390956.5600000005</v>
      </c>
      <c r="P28" s="472"/>
    </row>
    <row r="29" spans="1:16">
      <c r="A29" s="213"/>
      <c r="B29" s="255"/>
      <c r="C29" s="255"/>
      <c r="D29" s="255"/>
      <c r="E29" s="255"/>
      <c r="F29" s="255"/>
      <c r="G29" s="255"/>
      <c r="J29" s="213"/>
      <c r="K29" s="255"/>
      <c r="L29" s="255"/>
      <c r="M29" s="255"/>
      <c r="N29" s="255"/>
      <c r="O29" s="255"/>
      <c r="P29" s="255"/>
    </row>
    <row r="30" spans="1:16">
      <c r="A30" s="203"/>
      <c r="B30" s="255"/>
      <c r="C30" s="255"/>
      <c r="D30" s="255"/>
      <c r="E30" s="255"/>
      <c r="F30" s="255"/>
      <c r="G30" s="255"/>
      <c r="J30" s="203"/>
      <c r="K30" s="255"/>
      <c r="L30" s="255"/>
      <c r="M30" s="255"/>
      <c r="N30" s="255"/>
      <c r="O30" s="255"/>
      <c r="P30" s="255"/>
    </row>
    <row r="31" spans="1:16">
      <c r="A31" s="213" t="s">
        <v>121</v>
      </c>
      <c r="B31" s="255"/>
      <c r="C31" s="255"/>
      <c r="D31" s="255"/>
      <c r="E31" s="255"/>
      <c r="F31" s="255"/>
      <c r="G31" s="255"/>
      <c r="J31" s="213" t="s">
        <v>121</v>
      </c>
      <c r="K31" s="255"/>
      <c r="L31" s="255"/>
      <c r="M31" s="255"/>
      <c r="N31" s="255"/>
      <c r="O31" s="255"/>
      <c r="P31" s="255"/>
    </row>
    <row r="32" spans="1:16">
      <c r="A32" s="214" t="s">
        <v>122</v>
      </c>
      <c r="B32" s="214"/>
      <c r="C32" s="214"/>
      <c r="D32" s="214"/>
      <c r="E32" s="214"/>
      <c r="F32" s="214"/>
      <c r="G32" s="214"/>
      <c r="J32" s="214" t="s">
        <v>122</v>
      </c>
      <c r="K32" s="214"/>
      <c r="L32" s="214"/>
      <c r="M32" s="214"/>
      <c r="N32" s="214"/>
      <c r="O32" s="214"/>
      <c r="P32" s="214"/>
    </row>
    <row r="33" spans="1:16">
      <c r="A33" s="213" t="s">
        <v>123</v>
      </c>
      <c r="B33" s="213"/>
      <c r="C33" s="213"/>
      <c r="D33" s="213"/>
      <c r="E33" s="213"/>
      <c r="F33" s="213"/>
      <c r="G33" s="213"/>
      <c r="J33" s="213" t="s">
        <v>123</v>
      </c>
      <c r="K33" s="213"/>
      <c r="L33" s="213"/>
      <c r="M33" s="213"/>
      <c r="N33" s="213"/>
      <c r="O33" s="213"/>
      <c r="P33" s="213"/>
    </row>
    <row r="34" spans="1:16">
      <c r="A34" s="213" t="s">
        <v>124</v>
      </c>
      <c r="B34" s="213"/>
      <c r="C34" s="213"/>
      <c r="D34" s="213"/>
      <c r="E34" s="213"/>
      <c r="F34" s="213"/>
      <c r="G34" s="213"/>
      <c r="J34" s="213" t="s">
        <v>124</v>
      </c>
      <c r="K34" s="213"/>
      <c r="L34" s="213"/>
      <c r="M34" s="213"/>
      <c r="N34" s="213"/>
      <c r="O34" s="213"/>
      <c r="P34" s="213"/>
    </row>
    <row r="35" spans="1:16">
      <c r="A35" s="214" t="s">
        <v>125</v>
      </c>
      <c r="B35" s="214"/>
      <c r="C35" s="214"/>
      <c r="D35" s="214"/>
      <c r="E35" s="214"/>
      <c r="F35" s="214"/>
      <c r="G35" s="214"/>
      <c r="J35" s="214" t="s">
        <v>125</v>
      </c>
      <c r="K35" s="214"/>
      <c r="L35" s="214"/>
      <c r="M35" s="214"/>
      <c r="N35" s="214"/>
      <c r="O35" s="214"/>
      <c r="P35" s="214"/>
    </row>
    <row r="36" spans="1:16">
      <c r="A36" s="213" t="s">
        <v>126</v>
      </c>
      <c r="B36" s="213"/>
      <c r="C36" s="213"/>
      <c r="D36" s="213"/>
      <c r="E36" s="213"/>
      <c r="F36" s="213"/>
      <c r="G36" s="213"/>
      <c r="J36" s="213" t="s">
        <v>126</v>
      </c>
      <c r="K36" s="213"/>
      <c r="L36" s="213"/>
      <c r="M36" s="213"/>
      <c r="N36" s="213"/>
      <c r="O36" s="213"/>
      <c r="P36" s="213"/>
    </row>
    <row r="37" spans="1:16">
      <c r="A37" s="437" t="s">
        <v>552</v>
      </c>
      <c r="B37" s="437"/>
      <c r="C37" s="437"/>
      <c r="D37" s="437"/>
      <c r="E37" s="437"/>
      <c r="F37" s="437"/>
      <c r="G37" s="437"/>
      <c r="J37" s="437" t="s">
        <v>552</v>
      </c>
      <c r="K37" s="437"/>
      <c r="L37" s="437"/>
      <c r="M37" s="437"/>
      <c r="N37" s="437"/>
      <c r="O37" s="437"/>
      <c r="P37" s="437"/>
    </row>
    <row r="38" spans="1:16">
      <c r="A38" s="213" t="s">
        <v>127</v>
      </c>
      <c r="B38" s="213"/>
      <c r="C38" s="213"/>
      <c r="D38" s="213"/>
      <c r="E38" s="213"/>
      <c r="F38" s="213"/>
      <c r="G38" s="213"/>
      <c r="J38" s="213" t="s">
        <v>127</v>
      </c>
      <c r="K38" s="213"/>
      <c r="L38" s="213"/>
      <c r="M38" s="213"/>
      <c r="N38" s="213"/>
      <c r="O38" s="213"/>
      <c r="P38" s="213"/>
    </row>
    <row r="39" spans="1:16">
      <c r="A39" s="214" t="s">
        <v>128</v>
      </c>
      <c r="B39" s="214"/>
      <c r="C39" s="214"/>
      <c r="D39" s="214"/>
      <c r="E39" s="214"/>
      <c r="F39" s="214"/>
      <c r="G39" s="214"/>
      <c r="J39" s="214" t="s">
        <v>128</v>
      </c>
      <c r="K39" s="214"/>
      <c r="L39" s="214"/>
      <c r="M39" s="214"/>
      <c r="N39" s="214"/>
      <c r="O39" s="214"/>
      <c r="P39" s="214"/>
    </row>
    <row r="40" spans="1:16">
      <c r="A40" s="213" t="s">
        <v>553</v>
      </c>
      <c r="B40" s="213"/>
      <c r="C40" s="213"/>
      <c r="D40" s="213"/>
      <c r="E40" s="213"/>
      <c r="F40" s="213"/>
      <c r="G40" s="213"/>
      <c r="J40" s="213" t="s">
        <v>553</v>
      </c>
      <c r="K40" s="213"/>
      <c r="L40" s="213"/>
      <c r="M40" s="213"/>
      <c r="N40" s="213"/>
      <c r="O40" s="213"/>
      <c r="P40" s="213"/>
    </row>
    <row r="41" spans="1:16">
      <c r="A41" s="76" t="s">
        <v>115</v>
      </c>
      <c r="B41" s="76"/>
      <c r="C41" s="76"/>
      <c r="D41" s="76"/>
      <c r="E41" s="76"/>
      <c r="F41" s="76"/>
      <c r="G41" s="76"/>
      <c r="J41" s="76" t="s">
        <v>115</v>
      </c>
      <c r="K41" s="76"/>
      <c r="L41" s="76"/>
      <c r="M41" s="76"/>
      <c r="N41" s="76"/>
      <c r="O41" s="76"/>
      <c r="P41" s="76"/>
    </row>
    <row r="42" spans="1:16">
      <c r="A42" s="438" t="s">
        <v>129</v>
      </c>
      <c r="B42" s="438"/>
      <c r="C42" s="438"/>
      <c r="D42" s="438"/>
      <c r="E42" s="438"/>
      <c r="F42" s="438"/>
      <c r="G42" s="438"/>
      <c r="J42" s="438" t="s">
        <v>129</v>
      </c>
      <c r="K42" s="438"/>
      <c r="L42" s="438"/>
      <c r="M42" s="438"/>
      <c r="N42" s="438"/>
      <c r="O42" s="438"/>
      <c r="P42" s="438"/>
    </row>
    <row r="43" spans="1:16">
      <c r="A43" s="213" t="s">
        <v>130</v>
      </c>
      <c r="B43" s="213"/>
      <c r="C43" s="213"/>
      <c r="D43" s="213"/>
      <c r="E43" s="213"/>
      <c r="F43" s="213"/>
      <c r="G43" s="213"/>
      <c r="J43" s="213" t="s">
        <v>130</v>
      </c>
      <c r="K43" s="213"/>
      <c r="L43" s="213"/>
      <c r="M43" s="213"/>
      <c r="N43" s="213"/>
      <c r="O43" s="213"/>
      <c r="P43" s="213"/>
    </row>
    <row r="44" spans="1:16">
      <c r="A44" s="213" t="s">
        <v>131</v>
      </c>
      <c r="B44" s="213"/>
      <c r="C44" s="213"/>
      <c r="D44" s="213"/>
      <c r="E44" s="213"/>
      <c r="F44" s="213"/>
      <c r="G44" s="213"/>
      <c r="J44" s="213" t="s">
        <v>131</v>
      </c>
      <c r="K44" s="213"/>
      <c r="L44" s="213"/>
      <c r="M44" s="213"/>
      <c r="N44" s="213"/>
      <c r="O44" s="213"/>
      <c r="P44" s="213"/>
    </row>
    <row r="45" spans="1:16">
      <c r="A45" s="438" t="s">
        <v>132</v>
      </c>
      <c r="B45" s="438"/>
      <c r="C45" s="438"/>
      <c r="D45" s="438"/>
      <c r="E45" s="438"/>
      <c r="F45" s="438"/>
      <c r="G45" s="438"/>
      <c r="J45" s="438" t="s">
        <v>132</v>
      </c>
      <c r="K45" s="438"/>
      <c r="L45" s="438"/>
      <c r="M45" s="438"/>
      <c r="N45" s="438"/>
      <c r="O45" s="438"/>
      <c r="P45" s="438"/>
    </row>
    <row r="46" spans="1:16">
      <c r="A46" s="213" t="s">
        <v>133</v>
      </c>
      <c r="B46" s="213"/>
      <c r="C46" s="213"/>
      <c r="D46" s="213"/>
      <c r="E46" s="213"/>
      <c r="F46" s="213"/>
      <c r="G46" s="213"/>
      <c r="J46" s="213" t="s">
        <v>133</v>
      </c>
      <c r="K46" s="213"/>
      <c r="L46" s="213"/>
      <c r="M46" s="213"/>
      <c r="N46" s="213"/>
      <c r="O46" s="213"/>
      <c r="P46" s="213"/>
    </row>
    <row r="47" spans="1:16">
      <c r="A47" s="213" t="s">
        <v>521</v>
      </c>
      <c r="B47" s="213"/>
      <c r="C47" s="213"/>
      <c r="D47" s="213"/>
      <c r="E47" s="213"/>
      <c r="F47" s="213"/>
      <c r="G47" s="213"/>
      <c r="J47" s="213" t="s">
        <v>521</v>
      </c>
      <c r="K47" s="213"/>
      <c r="L47" s="213"/>
      <c r="M47" s="213"/>
      <c r="N47" s="213"/>
      <c r="O47" s="213"/>
      <c r="P47" s="213"/>
    </row>
    <row r="48" spans="1:16">
      <c r="A48" s="457" t="s">
        <v>554</v>
      </c>
      <c r="B48" s="457"/>
      <c r="C48" s="457"/>
      <c r="D48" s="457"/>
      <c r="E48" s="457"/>
      <c r="F48" s="457"/>
      <c r="G48" s="457"/>
      <c r="J48" s="457" t="s">
        <v>554</v>
      </c>
      <c r="K48" s="457"/>
      <c r="L48" s="457"/>
      <c r="M48" s="457"/>
      <c r="N48" s="457"/>
      <c r="O48" s="457"/>
      <c r="P48" s="457"/>
    </row>
    <row r="49" spans="1:16">
      <c r="A49" s="213" t="s">
        <v>134</v>
      </c>
      <c r="B49" s="213"/>
      <c r="C49" s="213"/>
      <c r="D49" s="213"/>
      <c r="E49" s="213"/>
      <c r="F49" s="213"/>
      <c r="G49" s="213"/>
      <c r="J49" s="213" t="s">
        <v>134</v>
      </c>
      <c r="K49" s="213"/>
      <c r="L49" s="213"/>
      <c r="M49" s="213"/>
      <c r="N49" s="213"/>
      <c r="O49" s="213"/>
      <c r="P49" s="213"/>
    </row>
    <row r="50" spans="1:16">
      <c r="A50" s="445" t="s">
        <v>135</v>
      </c>
      <c r="B50" s="445">
        <v>0</v>
      </c>
      <c r="C50" s="445"/>
      <c r="D50" s="445">
        <v>0</v>
      </c>
      <c r="E50" s="445"/>
      <c r="F50" s="445">
        <v>0</v>
      </c>
      <c r="G50" s="445"/>
      <c r="J50" s="445" t="s">
        <v>135</v>
      </c>
      <c r="K50" s="445">
        <v>0</v>
      </c>
      <c r="L50" s="445"/>
      <c r="M50" s="445">
        <v>0</v>
      </c>
      <c r="N50" s="445"/>
      <c r="O50" s="445">
        <v>0</v>
      </c>
      <c r="P50" s="445"/>
    </row>
    <row r="51" spans="1:16">
      <c r="A51" s="447" t="s">
        <v>136</v>
      </c>
      <c r="B51" s="470">
        <f>B28</f>
        <v>13044063</v>
      </c>
      <c r="C51" s="470"/>
      <c r="D51" s="470">
        <f>D28</f>
        <v>-1720372.3400000003</v>
      </c>
      <c r="E51" s="470"/>
      <c r="F51" s="470">
        <f>F28</f>
        <v>20569675.344000001</v>
      </c>
      <c r="G51" s="470"/>
      <c r="J51" s="447" t="s">
        <v>136</v>
      </c>
      <c r="K51" s="470">
        <f>K28</f>
        <v>8757552</v>
      </c>
      <c r="L51" s="470"/>
      <c r="M51" s="470">
        <f>M28</f>
        <v>-925630.24000000011</v>
      </c>
      <c r="N51" s="470"/>
      <c r="O51" s="470">
        <f>O28</f>
        <v>8390956.5600000005</v>
      </c>
      <c r="P51" s="470"/>
    </row>
    <row r="73" spans="6:8">
      <c r="F73" s="1654" t="s">
        <v>579</v>
      </c>
      <c r="G73" s="1654"/>
      <c r="H73" s="1654"/>
    </row>
    <row r="74" spans="6:8">
      <c r="F74" s="1654"/>
      <c r="G74" s="1654"/>
      <c r="H74" s="1654"/>
    </row>
    <row r="75" spans="6:8">
      <c r="F75" s="1654"/>
      <c r="G75" s="1654"/>
      <c r="H75" s="1654"/>
    </row>
    <row r="76" spans="6:8">
      <c r="F76" s="1654"/>
      <c r="G76" s="1654"/>
      <c r="H76" s="1654"/>
    </row>
    <row r="77" spans="6:8">
      <c r="F77" s="1654"/>
      <c r="G77" s="1654"/>
      <c r="H77" s="1654"/>
    </row>
    <row r="78" spans="6:8">
      <c r="F78" s="1654"/>
      <c r="G78" s="1654"/>
      <c r="H78" s="1654"/>
    </row>
    <row r="79" spans="6:8">
      <c r="F79" s="1654"/>
      <c r="G79" s="1654"/>
      <c r="H79" s="1654"/>
    </row>
    <row r="80" spans="6:8">
      <c r="F80" s="1654"/>
      <c r="G80" s="1654"/>
      <c r="H80" s="1654"/>
    </row>
    <row r="81" spans="6:8">
      <c r="F81" s="1654"/>
      <c r="G81" s="1654"/>
      <c r="H81" s="1654"/>
    </row>
    <row r="82" spans="6:8">
      <c r="F82" s="1654"/>
      <c r="G82" s="1654"/>
      <c r="H82" s="1654"/>
    </row>
    <row r="83" spans="6:8">
      <c r="F83" s="1654"/>
      <c r="G83" s="1654"/>
      <c r="H83" s="1654"/>
    </row>
  </sheetData>
  <mergeCells count="1">
    <mergeCell ref="F73:H83"/>
  </mergeCells>
  <pageMargins left="0.75" right="0.75" top="1" bottom="1" header="0.5" footer="0.5"/>
  <pageSetup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47"/>
  <sheetViews>
    <sheetView workbookViewId="0">
      <selection activeCell="I22" sqref="I22"/>
    </sheetView>
  </sheetViews>
  <sheetFormatPr defaultColWidth="11" defaultRowHeight="15.75"/>
  <cols>
    <col min="1" max="1" width="21" customWidth="1"/>
    <col min="2" max="2" width="18.875" customWidth="1"/>
    <col min="4" max="4" width="19.375" customWidth="1"/>
  </cols>
  <sheetData>
    <row r="1" spans="1:4">
      <c r="A1" t="s">
        <v>282</v>
      </c>
    </row>
    <row r="3" spans="1:4">
      <c r="A3" t="s">
        <v>283</v>
      </c>
      <c r="B3">
        <f>COUNT(B9:B75)</f>
        <v>55</v>
      </c>
      <c r="D3" t="s">
        <v>1378</v>
      </c>
    </row>
    <row r="4" spans="1:4">
      <c r="A4" s="253" t="s">
        <v>284</v>
      </c>
      <c r="B4" s="254">
        <f>SUM(B9:B74)</f>
        <v>3673680</v>
      </c>
      <c r="D4" t="s">
        <v>1379</v>
      </c>
    </row>
    <row r="8" spans="1:4" ht="16.5" thickBot="1">
      <c r="A8" s="183" t="s">
        <v>226</v>
      </c>
      <c r="B8" s="183"/>
    </row>
    <row r="9" spans="1:4" ht="16.5" thickTop="1">
      <c r="A9" s="245" t="s">
        <v>227</v>
      </c>
      <c r="B9" s="246">
        <v>58116</v>
      </c>
    </row>
    <row r="10" spans="1:4">
      <c r="A10" s="245" t="s">
        <v>228</v>
      </c>
      <c r="B10" s="246">
        <v>47689</v>
      </c>
    </row>
    <row r="11" spans="1:4">
      <c r="A11" s="245" t="s">
        <v>229</v>
      </c>
      <c r="B11" s="246">
        <v>84020</v>
      </c>
    </row>
    <row r="12" spans="1:4">
      <c r="A12" s="245" t="s">
        <v>230</v>
      </c>
      <c r="B12" s="246">
        <v>57957</v>
      </c>
    </row>
    <row r="13" spans="1:4">
      <c r="A13" s="245" t="s">
        <v>231</v>
      </c>
      <c r="B13" s="246">
        <v>97000</v>
      </c>
    </row>
    <row r="14" spans="1:4">
      <c r="A14" s="245" t="s">
        <v>232</v>
      </c>
      <c r="B14" s="246">
        <v>23019</v>
      </c>
    </row>
    <row r="15" spans="1:4">
      <c r="A15" s="245" t="s">
        <v>233</v>
      </c>
      <c r="B15" s="246">
        <v>29426</v>
      </c>
      <c r="C15" s="91"/>
      <c r="D15" s="91"/>
    </row>
    <row r="16" spans="1:4">
      <c r="A16" s="245" t="s">
        <v>234</v>
      </c>
      <c r="B16" s="246">
        <v>27329</v>
      </c>
      <c r="C16" s="91"/>
      <c r="D16" s="91"/>
    </row>
    <row r="17" spans="1:4" ht="24">
      <c r="A17" s="245" t="s">
        <v>235</v>
      </c>
      <c r="B17" s="246">
        <v>153057</v>
      </c>
      <c r="C17" s="245"/>
      <c r="D17" s="246"/>
    </row>
    <row r="18" spans="1:4">
      <c r="A18" s="245" t="s">
        <v>236</v>
      </c>
      <c r="B18" s="246">
        <v>37792</v>
      </c>
      <c r="C18" s="91"/>
      <c r="D18" s="91"/>
    </row>
    <row r="19" spans="1:4">
      <c r="A19" s="245" t="s">
        <v>237</v>
      </c>
      <c r="B19" s="246">
        <v>37329</v>
      </c>
      <c r="C19" s="91"/>
      <c r="D19" s="91"/>
    </row>
    <row r="20" spans="1:4">
      <c r="A20" s="245" t="s">
        <v>238</v>
      </c>
      <c r="B20" s="246">
        <v>20816</v>
      </c>
      <c r="C20" s="91"/>
      <c r="D20" s="91"/>
    </row>
    <row r="21" spans="1:4">
      <c r="A21" s="245" t="s">
        <v>239</v>
      </c>
      <c r="B21" s="246">
        <v>64455</v>
      </c>
      <c r="C21" s="91"/>
      <c r="D21" s="91"/>
    </row>
    <row r="22" spans="1:4">
      <c r="A22" s="245" t="s">
        <v>240</v>
      </c>
      <c r="B22" s="246">
        <v>44144</v>
      </c>
      <c r="C22" s="91"/>
      <c r="D22" s="91"/>
    </row>
    <row r="23" spans="1:4">
      <c r="A23" s="245" t="s">
        <v>241</v>
      </c>
      <c r="B23" s="246">
        <v>11673</v>
      </c>
      <c r="C23" s="91"/>
      <c r="D23" s="91"/>
    </row>
    <row r="24" spans="1:4">
      <c r="A24" s="245" t="s">
        <v>242</v>
      </c>
      <c r="B24" s="246">
        <v>83148</v>
      </c>
      <c r="C24" s="91"/>
      <c r="D24" s="91"/>
    </row>
    <row r="25" spans="1:4">
      <c r="A25" s="245" t="s">
        <v>243</v>
      </c>
      <c r="B25" s="246">
        <v>39011</v>
      </c>
      <c r="C25" s="91"/>
      <c r="D25" s="91"/>
    </row>
    <row r="26" spans="1:4">
      <c r="A26" s="245" t="s">
        <v>244</v>
      </c>
      <c r="B26" s="246">
        <v>211077</v>
      </c>
      <c r="C26" s="91"/>
      <c r="D26" s="91"/>
    </row>
    <row r="27" spans="1:4">
      <c r="A27" s="245" t="s">
        <v>245</v>
      </c>
      <c r="B27" s="246">
        <v>58600</v>
      </c>
      <c r="C27" s="91"/>
      <c r="D27" s="91"/>
    </row>
    <row r="28" spans="1:4">
      <c r="A28" s="245" t="s">
        <v>246</v>
      </c>
      <c r="B28" s="246">
        <v>55341</v>
      </c>
      <c r="C28" s="91"/>
      <c r="D28" s="91"/>
    </row>
    <row r="29" spans="1:4" ht="24">
      <c r="A29" s="245" t="s">
        <v>247</v>
      </c>
      <c r="B29" s="246">
        <v>23502</v>
      </c>
      <c r="C29" s="91"/>
      <c r="D29" s="91"/>
    </row>
    <row r="30" spans="1:4">
      <c r="A30" s="245" t="s">
        <v>248</v>
      </c>
      <c r="B30" s="246">
        <v>105456</v>
      </c>
      <c r="C30" s="91"/>
      <c r="D30" s="91"/>
    </row>
    <row r="31" spans="1:4">
      <c r="A31" s="245" t="s">
        <v>249</v>
      </c>
      <c r="B31" s="248">
        <v>63167</v>
      </c>
      <c r="C31" s="91"/>
      <c r="D31" s="91"/>
    </row>
    <row r="32" spans="1:4">
      <c r="A32" s="245" t="s">
        <v>250</v>
      </c>
      <c r="B32" s="248">
        <v>24144</v>
      </c>
      <c r="C32" s="91"/>
      <c r="D32" s="91"/>
    </row>
    <row r="33" spans="1:4">
      <c r="A33" s="245" t="s">
        <v>251</v>
      </c>
      <c r="B33" s="248">
        <v>40032</v>
      </c>
      <c r="C33" s="91"/>
      <c r="D33" s="91"/>
    </row>
    <row r="34" spans="1:4">
      <c r="A34" s="245" t="s">
        <v>252</v>
      </c>
      <c r="B34" s="248">
        <v>41374</v>
      </c>
      <c r="C34" s="91"/>
      <c r="D34" s="91"/>
    </row>
    <row r="35" spans="1:4">
      <c r="A35" s="245" t="s">
        <v>253</v>
      </c>
      <c r="B35" s="248">
        <v>76008</v>
      </c>
      <c r="C35" s="91"/>
      <c r="D35" s="91"/>
    </row>
    <row r="36" spans="1:4">
      <c r="A36" s="245" t="s">
        <v>254</v>
      </c>
      <c r="B36" s="248">
        <v>342000</v>
      </c>
      <c r="C36" s="91"/>
      <c r="D36" s="91"/>
    </row>
    <row r="37" spans="1:4">
      <c r="A37" s="245" t="s">
        <v>255</v>
      </c>
      <c r="B37" s="248">
        <v>21819</v>
      </c>
      <c r="C37" s="91"/>
      <c r="D37" s="91"/>
    </row>
    <row r="38" spans="1:4" ht="24">
      <c r="A38" s="245" t="s">
        <v>256</v>
      </c>
      <c r="B38" s="248">
        <v>115991</v>
      </c>
      <c r="C38" s="91"/>
      <c r="D38" s="91"/>
    </row>
    <row r="39" spans="1:4" ht="24">
      <c r="A39" s="245" t="s">
        <v>257</v>
      </c>
      <c r="B39" s="248">
        <v>139078</v>
      </c>
      <c r="C39" s="91"/>
      <c r="D39" s="91"/>
    </row>
    <row r="40" spans="1:4" ht="24">
      <c r="A40" s="245" t="s">
        <v>258</v>
      </c>
      <c r="B40" s="248">
        <v>46011</v>
      </c>
      <c r="C40" s="91"/>
      <c r="D40" s="91"/>
    </row>
    <row r="41" spans="1:4">
      <c r="A41" s="245"/>
      <c r="B41" s="248"/>
      <c r="C41" s="91"/>
      <c r="D41" s="91"/>
    </row>
    <row r="42" spans="1:4">
      <c r="A42" s="245" t="s">
        <v>259</v>
      </c>
      <c r="B42" s="248">
        <v>54909</v>
      </c>
      <c r="C42" s="91"/>
      <c r="D42" s="91"/>
    </row>
    <row r="43" spans="1:4" ht="24">
      <c r="A43" s="245" t="s">
        <v>260</v>
      </c>
      <c r="B43" s="248">
        <v>17588</v>
      </c>
      <c r="C43" s="91"/>
      <c r="D43" s="91"/>
    </row>
    <row r="44" spans="1:4" ht="24">
      <c r="A44" s="245" t="s">
        <v>261</v>
      </c>
      <c r="B44" s="248">
        <v>60635</v>
      </c>
      <c r="C44" s="91"/>
      <c r="D44" s="91"/>
    </row>
    <row r="45" spans="1:4">
      <c r="A45" s="245" t="s">
        <v>262</v>
      </c>
      <c r="B45" s="248">
        <v>236227</v>
      </c>
      <c r="C45" s="91"/>
      <c r="D45" s="91"/>
    </row>
    <row r="46" spans="1:4">
      <c r="A46" s="245" t="s">
        <v>263</v>
      </c>
      <c r="B46" s="248">
        <v>80368</v>
      </c>
      <c r="C46" s="91"/>
      <c r="D46" s="91"/>
    </row>
    <row r="47" spans="1:4">
      <c r="A47" s="245" t="s">
        <v>264</v>
      </c>
      <c r="B47" s="248">
        <v>182437</v>
      </c>
      <c r="C47" s="91"/>
      <c r="D47" s="91"/>
    </row>
    <row r="48" spans="1:4">
      <c r="A48" s="245" t="s">
        <v>265</v>
      </c>
      <c r="B48" s="248">
        <v>109698</v>
      </c>
      <c r="C48" s="91"/>
      <c r="D48" s="91"/>
    </row>
    <row r="49" spans="1:4">
      <c r="A49" s="245" t="s">
        <v>266</v>
      </c>
      <c r="B49" s="248">
        <v>2040</v>
      </c>
      <c r="C49" s="91"/>
      <c r="D49" s="91"/>
    </row>
    <row r="50" spans="1:4">
      <c r="A50" s="245" t="s">
        <v>267</v>
      </c>
      <c r="B50" s="248">
        <v>16188</v>
      </c>
      <c r="C50" s="91"/>
      <c r="D50" s="91"/>
    </row>
    <row r="51" spans="1:4">
      <c r="A51" s="245" t="s">
        <v>268</v>
      </c>
      <c r="B51" s="248">
        <v>87486</v>
      </c>
      <c r="C51" s="91"/>
      <c r="D51" s="91"/>
    </row>
    <row r="52" spans="1:4">
      <c r="A52" s="245" t="s">
        <v>269</v>
      </c>
      <c r="B52" s="248">
        <v>37946</v>
      </c>
      <c r="C52" s="91"/>
      <c r="D52" s="91"/>
    </row>
    <row r="53" spans="1:4">
      <c r="A53" s="245" t="s">
        <v>270</v>
      </c>
      <c r="B53" s="248">
        <v>5551</v>
      </c>
      <c r="C53" s="91"/>
      <c r="D53" s="91"/>
    </row>
    <row r="54" spans="1:4">
      <c r="A54" s="245" t="s">
        <v>271</v>
      </c>
      <c r="B54" s="248">
        <v>15364</v>
      </c>
      <c r="C54" s="91"/>
      <c r="D54" s="91"/>
    </row>
    <row r="55" spans="1:4">
      <c r="A55" s="245" t="s">
        <v>272</v>
      </c>
      <c r="B55" s="249">
        <v>107213</v>
      </c>
      <c r="C55" s="91"/>
      <c r="D55" s="91"/>
    </row>
    <row r="56" spans="1:4">
      <c r="A56" s="245" t="s">
        <v>273</v>
      </c>
      <c r="B56" s="249">
        <v>73704</v>
      </c>
      <c r="C56" s="91"/>
      <c r="D56" s="91"/>
    </row>
    <row r="57" spans="1:4">
      <c r="A57" s="245" t="s">
        <v>274</v>
      </c>
      <c r="B57" s="248">
        <v>96322</v>
      </c>
      <c r="C57" s="91"/>
      <c r="D57" s="91"/>
    </row>
    <row r="58" spans="1:4">
      <c r="A58" s="245" t="s">
        <v>275</v>
      </c>
      <c r="B58" s="248">
        <v>28380</v>
      </c>
      <c r="C58" s="91"/>
      <c r="D58" s="91"/>
    </row>
    <row r="59" spans="1:4">
      <c r="A59" s="245" t="s">
        <v>276</v>
      </c>
      <c r="B59" s="248">
        <v>13893</v>
      </c>
      <c r="C59" s="91"/>
      <c r="D59" s="91"/>
    </row>
    <row r="60" spans="1:4">
      <c r="A60" s="245" t="s">
        <v>277</v>
      </c>
      <c r="B60" s="248">
        <v>13628</v>
      </c>
      <c r="C60" s="91"/>
      <c r="D60" s="91"/>
    </row>
    <row r="61" spans="1:4" ht="24">
      <c r="A61" s="245" t="s">
        <v>278</v>
      </c>
      <c r="B61" s="248">
        <v>8283</v>
      </c>
      <c r="C61" s="91"/>
      <c r="D61" s="91"/>
    </row>
    <row r="62" spans="1:4">
      <c r="A62" s="245" t="s">
        <v>279</v>
      </c>
      <c r="B62" s="248">
        <v>2943</v>
      </c>
      <c r="C62" s="91"/>
      <c r="D62" s="91"/>
    </row>
    <row r="63" spans="1:4">
      <c r="A63" s="245" t="s">
        <v>280</v>
      </c>
      <c r="B63" s="248">
        <v>103976</v>
      </c>
      <c r="C63" s="91"/>
      <c r="D63" s="91"/>
    </row>
    <row r="64" spans="1:4">
      <c r="A64" s="245" t="s">
        <v>281</v>
      </c>
      <c r="B64" s="248">
        <v>39320</v>
      </c>
      <c r="C64" s="91"/>
      <c r="D64" s="91"/>
    </row>
    <row r="65" spans="1:4">
      <c r="A65" s="247"/>
      <c r="B65" s="245"/>
      <c r="C65" s="91"/>
      <c r="D65" s="91"/>
    </row>
    <row r="66" spans="1:4">
      <c r="A66" s="245" t="s">
        <v>285</v>
      </c>
      <c r="B66" s="245"/>
      <c r="C66" s="91"/>
      <c r="D66" s="91"/>
    </row>
    <row r="67" spans="1:4">
      <c r="A67" s="245" t="s">
        <v>286</v>
      </c>
      <c r="B67" s="245"/>
      <c r="C67" s="91"/>
      <c r="D67" s="91"/>
    </row>
    <row r="68" spans="1:4">
      <c r="A68" s="245" t="s">
        <v>287</v>
      </c>
      <c r="B68" s="245"/>
      <c r="C68" s="91"/>
      <c r="D68" s="91"/>
    </row>
    <row r="69" spans="1:4">
      <c r="A69" s="245"/>
      <c r="B69" s="245"/>
      <c r="C69" s="91"/>
      <c r="D69" s="91"/>
    </row>
    <row r="70" spans="1:4">
      <c r="A70" s="91"/>
      <c r="B70" s="91"/>
      <c r="C70" s="91"/>
      <c r="D70" s="91"/>
    </row>
    <row r="71" spans="1:4">
      <c r="A71" s="91"/>
      <c r="B71" s="91"/>
      <c r="C71" s="91"/>
      <c r="D71" s="91"/>
    </row>
    <row r="72" spans="1:4">
      <c r="A72" s="91"/>
      <c r="B72" s="91"/>
      <c r="C72" s="91"/>
      <c r="D72" s="91"/>
    </row>
    <row r="73" spans="1:4">
      <c r="A73" s="91"/>
      <c r="B73" s="91"/>
      <c r="C73" s="91"/>
      <c r="D73" s="91"/>
    </row>
    <row r="74" spans="1:4">
      <c r="A74" s="91"/>
      <c r="B74" s="91"/>
      <c r="C74" s="91"/>
      <c r="D74" s="91"/>
    </row>
    <row r="75" spans="1:4">
      <c r="A75" s="91"/>
      <c r="B75" s="91"/>
      <c r="C75" s="91"/>
      <c r="D75" s="91"/>
    </row>
    <row r="76" spans="1:4">
      <c r="A76" s="91"/>
      <c r="B76" s="91"/>
      <c r="C76" s="91"/>
      <c r="D76" s="91"/>
    </row>
    <row r="77" spans="1:4">
      <c r="A77" s="91"/>
      <c r="B77" s="91"/>
      <c r="C77" s="91"/>
      <c r="D77" s="91"/>
    </row>
    <row r="78" spans="1:4">
      <c r="A78" s="247"/>
      <c r="B78" s="247"/>
      <c r="C78" s="91"/>
      <c r="D78" s="91"/>
    </row>
    <row r="79" spans="1:4">
      <c r="A79" s="247"/>
      <c r="B79" s="247"/>
      <c r="C79" s="91"/>
      <c r="D79" s="91"/>
    </row>
    <row r="80" spans="1:4">
      <c r="A80" s="247"/>
      <c r="B80" s="247"/>
      <c r="C80" s="91"/>
      <c r="D80" s="91"/>
    </row>
    <row r="81" spans="1:4">
      <c r="A81" s="247"/>
      <c r="B81" s="247"/>
      <c r="C81" s="91"/>
      <c r="D81" s="91"/>
    </row>
    <row r="82" spans="1:4">
      <c r="A82" s="247"/>
      <c r="B82" s="247"/>
      <c r="C82" s="91"/>
      <c r="D82" s="91"/>
    </row>
    <row r="83" spans="1:4">
      <c r="A83" s="247"/>
      <c r="B83" s="247"/>
      <c r="C83" s="91"/>
      <c r="D83" s="91"/>
    </row>
    <row r="84" spans="1:4">
      <c r="A84" s="247"/>
      <c r="B84" s="247"/>
      <c r="C84" s="91"/>
      <c r="D84" s="91"/>
    </row>
    <row r="85" spans="1:4">
      <c r="A85" s="247"/>
      <c r="B85" s="247"/>
      <c r="C85" s="91"/>
      <c r="D85" s="91"/>
    </row>
    <row r="86" spans="1:4">
      <c r="A86" s="247"/>
      <c r="B86" s="247"/>
      <c r="C86" s="91"/>
      <c r="D86" s="91"/>
    </row>
    <row r="87" spans="1:4">
      <c r="A87" s="247"/>
      <c r="B87" s="247"/>
      <c r="C87" s="91"/>
      <c r="D87" s="91"/>
    </row>
    <row r="88" spans="1:4">
      <c r="A88" s="247"/>
      <c r="B88" s="247"/>
      <c r="C88" s="91"/>
      <c r="D88" s="91"/>
    </row>
    <row r="89" spans="1:4">
      <c r="A89" s="247"/>
      <c r="B89" s="247"/>
      <c r="C89" s="91"/>
      <c r="D89" s="91"/>
    </row>
    <row r="90" spans="1:4">
      <c r="A90" s="247"/>
      <c r="B90" s="247"/>
      <c r="C90" s="91"/>
      <c r="D90" s="91"/>
    </row>
    <row r="91" spans="1:4">
      <c r="A91" s="247"/>
      <c r="B91" s="247"/>
      <c r="C91" s="91"/>
      <c r="D91" s="91"/>
    </row>
    <row r="92" spans="1:4">
      <c r="A92" s="247"/>
      <c r="B92" s="247"/>
      <c r="C92" s="91"/>
      <c r="D92" s="91"/>
    </row>
    <row r="93" spans="1:4">
      <c r="A93" s="247"/>
      <c r="B93" s="247"/>
      <c r="C93" s="91"/>
      <c r="D93" s="91"/>
    </row>
    <row r="94" spans="1:4">
      <c r="A94" s="247"/>
      <c r="B94" s="247"/>
      <c r="C94" s="91"/>
      <c r="D94" s="91"/>
    </row>
    <row r="95" spans="1:4">
      <c r="A95" s="91"/>
      <c r="B95" s="91"/>
      <c r="C95" s="91"/>
      <c r="D95" s="91"/>
    </row>
    <row r="96" spans="1:4">
      <c r="A96" s="91"/>
      <c r="B96" s="91"/>
      <c r="C96" s="91"/>
      <c r="D96" s="91"/>
    </row>
    <row r="97" spans="1:4">
      <c r="A97" s="247"/>
      <c r="B97" s="247"/>
      <c r="C97" s="91"/>
      <c r="D97" s="91"/>
    </row>
    <row r="98" spans="1:4">
      <c r="A98" s="247"/>
      <c r="B98" s="247"/>
      <c r="C98" s="91"/>
      <c r="D98" s="91"/>
    </row>
    <row r="99" spans="1:4">
      <c r="A99" s="91"/>
      <c r="B99" s="91"/>
      <c r="C99" s="91"/>
      <c r="D99" s="91"/>
    </row>
    <row r="100" spans="1:4">
      <c r="A100" s="91"/>
      <c r="B100" s="91"/>
      <c r="C100" s="91"/>
      <c r="D100" s="91"/>
    </row>
    <row r="101" spans="1:4">
      <c r="A101" s="91"/>
      <c r="B101" s="91"/>
      <c r="C101" s="91"/>
      <c r="D101" s="91"/>
    </row>
    <row r="102" spans="1:4">
      <c r="A102" s="91"/>
      <c r="B102" s="91"/>
      <c r="C102" s="91"/>
      <c r="D102" s="91"/>
    </row>
    <row r="103" spans="1:4">
      <c r="A103" s="247"/>
      <c r="B103" s="247"/>
      <c r="C103" s="91"/>
      <c r="D103" s="91"/>
    </row>
    <row r="104" spans="1:4">
      <c r="A104" s="247"/>
      <c r="B104" s="247"/>
      <c r="C104" s="91"/>
      <c r="D104" s="91"/>
    </row>
    <row r="105" spans="1:4">
      <c r="A105" s="247"/>
      <c r="B105" s="247"/>
      <c r="C105" s="91"/>
      <c r="D105" s="91"/>
    </row>
    <row r="106" spans="1:4">
      <c r="A106" s="247"/>
      <c r="B106" s="247"/>
      <c r="C106" s="91"/>
      <c r="D106" s="91"/>
    </row>
    <row r="107" spans="1:4">
      <c r="A107" s="247"/>
      <c r="B107" s="247"/>
      <c r="C107" s="91"/>
      <c r="D107" s="91"/>
    </row>
    <row r="108" spans="1:4">
      <c r="A108" s="247"/>
      <c r="B108" s="247"/>
      <c r="C108" s="91"/>
      <c r="D108" s="91"/>
    </row>
    <row r="109" spans="1:4">
      <c r="A109" s="247"/>
      <c r="B109" s="247"/>
      <c r="C109" s="91"/>
      <c r="D109" s="91"/>
    </row>
    <row r="110" spans="1:4">
      <c r="A110" s="247"/>
      <c r="B110" s="247"/>
      <c r="C110" s="91"/>
      <c r="D110" s="91"/>
    </row>
    <row r="111" spans="1:4">
      <c r="A111" s="247"/>
      <c r="B111" s="247"/>
      <c r="C111" s="91"/>
      <c r="D111" s="91"/>
    </row>
    <row r="112" spans="1:4">
      <c r="A112" s="247"/>
      <c r="B112" s="247"/>
      <c r="C112" s="91"/>
      <c r="D112" s="91"/>
    </row>
    <row r="113" spans="1:4">
      <c r="A113" s="247"/>
      <c r="B113" s="247"/>
      <c r="C113" s="91"/>
      <c r="D113" s="91"/>
    </row>
    <row r="114" spans="1:4">
      <c r="A114" s="247"/>
      <c r="B114" s="247"/>
      <c r="C114" s="91"/>
      <c r="D114" s="91"/>
    </row>
    <row r="115" spans="1:4">
      <c r="A115" s="247"/>
      <c r="B115" s="247"/>
      <c r="C115" s="91"/>
      <c r="D115" s="91"/>
    </row>
    <row r="116" spans="1:4">
      <c r="A116" s="247"/>
      <c r="B116" s="247"/>
      <c r="C116" s="91"/>
      <c r="D116" s="91"/>
    </row>
    <row r="117" spans="1:4">
      <c r="A117" s="91"/>
      <c r="B117" s="91"/>
      <c r="C117" s="91"/>
      <c r="D117" s="91"/>
    </row>
    <row r="118" spans="1:4">
      <c r="A118" s="247"/>
      <c r="B118" s="247"/>
      <c r="C118" s="91"/>
      <c r="D118" s="91"/>
    </row>
    <row r="119" spans="1:4">
      <c r="A119" s="91"/>
      <c r="B119" s="91"/>
      <c r="C119" s="91"/>
      <c r="D119" s="91"/>
    </row>
    <row r="120" spans="1:4">
      <c r="A120" s="91"/>
      <c r="B120" s="91"/>
      <c r="C120" s="91"/>
      <c r="D120" s="91"/>
    </row>
    <row r="121" spans="1:4">
      <c r="A121" s="247"/>
      <c r="B121" s="247"/>
      <c r="C121" s="91"/>
      <c r="D121" s="91"/>
    </row>
    <row r="122" spans="1:4">
      <c r="A122" s="247"/>
      <c r="B122" s="247"/>
      <c r="C122" s="91"/>
      <c r="D122" s="91"/>
    </row>
    <row r="123" spans="1:4">
      <c r="A123" s="247"/>
      <c r="B123" s="247"/>
      <c r="C123" s="91"/>
      <c r="D123" s="91"/>
    </row>
    <row r="124" spans="1:4">
      <c r="A124" s="247"/>
      <c r="B124" s="247"/>
      <c r="C124" s="91"/>
      <c r="D124" s="91"/>
    </row>
    <row r="125" spans="1:4">
      <c r="A125" s="247"/>
      <c r="B125" s="247"/>
      <c r="C125" s="91"/>
      <c r="D125" s="91"/>
    </row>
    <row r="126" spans="1:4">
      <c r="A126" s="91"/>
      <c r="B126" s="91"/>
      <c r="C126" s="91"/>
      <c r="D126" s="91"/>
    </row>
    <row r="127" spans="1:4">
      <c r="A127" s="91"/>
      <c r="B127" s="91"/>
      <c r="C127" s="91"/>
      <c r="D127" s="91"/>
    </row>
    <row r="128" spans="1:4">
      <c r="A128" s="91"/>
      <c r="B128" s="91"/>
      <c r="C128" s="91"/>
      <c r="D128" s="91"/>
    </row>
    <row r="129" spans="1:4">
      <c r="A129" s="91"/>
      <c r="B129" s="91"/>
      <c r="C129" s="91"/>
      <c r="D129" s="91"/>
    </row>
    <row r="130" spans="1:4">
      <c r="A130" s="91"/>
      <c r="B130" s="91"/>
      <c r="C130" s="91"/>
      <c r="D130" s="91"/>
    </row>
    <row r="131" spans="1:4">
      <c r="A131" s="91"/>
      <c r="B131" s="91"/>
      <c r="C131" s="91"/>
      <c r="D131" s="91"/>
    </row>
    <row r="132" spans="1:4">
      <c r="A132" s="91"/>
      <c r="B132" s="91"/>
      <c r="C132" s="91"/>
      <c r="D132" s="91"/>
    </row>
    <row r="133" spans="1:4">
      <c r="A133" s="91"/>
      <c r="B133" s="91"/>
      <c r="C133" s="91"/>
      <c r="D133" s="91"/>
    </row>
    <row r="134" spans="1:4">
      <c r="A134" s="91"/>
      <c r="B134" s="91"/>
      <c r="C134" s="91"/>
      <c r="D134" s="91"/>
    </row>
    <row r="135" spans="1:4">
      <c r="A135" s="91"/>
      <c r="B135" s="91"/>
      <c r="C135" s="91"/>
      <c r="D135" s="91"/>
    </row>
    <row r="136" spans="1:4">
      <c r="A136" s="91"/>
      <c r="B136" s="91"/>
      <c r="C136" s="91"/>
      <c r="D136" s="91"/>
    </row>
    <row r="137" spans="1:4">
      <c r="A137" s="91"/>
      <c r="B137" s="91"/>
      <c r="C137" s="91"/>
      <c r="D137" s="91"/>
    </row>
    <row r="138" spans="1:4">
      <c r="A138" s="91"/>
      <c r="B138" s="91"/>
      <c r="C138" s="91"/>
      <c r="D138" s="91"/>
    </row>
    <row r="139" spans="1:4">
      <c r="A139" s="91"/>
      <c r="B139" s="91"/>
      <c r="C139" s="91"/>
      <c r="D139" s="91"/>
    </row>
    <row r="140" spans="1:4">
      <c r="A140" s="91"/>
      <c r="B140" s="91"/>
      <c r="C140" s="91"/>
      <c r="D140" s="91"/>
    </row>
    <row r="141" spans="1:4">
      <c r="A141" s="91"/>
      <c r="B141" s="91"/>
      <c r="C141" s="91"/>
      <c r="D141" s="91"/>
    </row>
    <row r="142" spans="1:4">
      <c r="A142" s="91"/>
      <c r="B142" s="91"/>
      <c r="C142" s="91"/>
      <c r="D142" s="91"/>
    </row>
    <row r="143" spans="1:4">
      <c r="A143" s="91"/>
      <c r="B143" s="91"/>
      <c r="C143" s="91"/>
      <c r="D143" s="91"/>
    </row>
    <row r="144" spans="1:4">
      <c r="A144" s="91"/>
      <c r="B144" s="91"/>
      <c r="C144" s="91"/>
      <c r="D144" s="91"/>
    </row>
    <row r="145" spans="1:4">
      <c r="A145" s="91"/>
      <c r="B145" s="91"/>
      <c r="C145" s="91"/>
      <c r="D145" s="91"/>
    </row>
    <row r="146" spans="1:4">
      <c r="A146" s="91"/>
      <c r="B146" s="91"/>
      <c r="C146" s="91"/>
      <c r="D146" s="91"/>
    </row>
    <row r="147" spans="1:4">
      <c r="A147" s="91"/>
      <c r="B147" s="91"/>
      <c r="C147" s="91"/>
      <c r="D147" s="91"/>
    </row>
  </sheetData>
  <pageMargins left="0.75" right="0.75" top="1" bottom="1" header="0.5" footer="0.5"/>
  <pageSetup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112"/>
  <sheetViews>
    <sheetView workbookViewId="0">
      <selection activeCell="F2" sqref="F2"/>
    </sheetView>
  </sheetViews>
  <sheetFormatPr defaultColWidth="11" defaultRowHeight="15.75"/>
  <cols>
    <col min="2" max="2" width="36.625" customWidth="1"/>
    <col min="9" max="9" width="26.375" customWidth="1"/>
    <col min="11" max="11" width="11.625" customWidth="1"/>
    <col min="20" max="20" width="19.875" customWidth="1"/>
  </cols>
  <sheetData>
    <row r="1" spans="2:14">
      <c r="B1" t="s">
        <v>304</v>
      </c>
      <c r="I1" t="s">
        <v>1043</v>
      </c>
    </row>
    <row r="3" spans="2:14">
      <c r="B3" t="s">
        <v>1310</v>
      </c>
      <c r="I3" t="s">
        <v>1311</v>
      </c>
    </row>
    <row r="5" spans="2:14">
      <c r="B5" s="10" t="s">
        <v>1312</v>
      </c>
      <c r="C5" s="460"/>
      <c r="D5" s="460"/>
      <c r="E5" s="460"/>
      <c r="F5" s="460"/>
      <c r="G5" s="460"/>
      <c r="I5" s="10" t="s">
        <v>1038</v>
      </c>
      <c r="J5" s="460"/>
      <c r="K5" s="460"/>
      <c r="L5" s="460"/>
      <c r="M5" s="460"/>
      <c r="N5" s="460"/>
    </row>
    <row r="6" spans="2:14" ht="31.5">
      <c r="B6" s="555"/>
      <c r="C6" s="1198" t="s">
        <v>1039</v>
      </c>
      <c r="D6" s="1198" t="s">
        <v>948</v>
      </c>
      <c r="E6" s="1198" t="s">
        <v>1040</v>
      </c>
      <c r="F6" s="1198" t="s">
        <v>1041</v>
      </c>
      <c r="G6" s="1199" t="s">
        <v>887</v>
      </c>
      <c r="I6" s="555"/>
      <c r="J6" s="1198" t="s">
        <v>1039</v>
      </c>
      <c r="K6" s="1198" t="s">
        <v>948</v>
      </c>
      <c r="L6" s="1198" t="s">
        <v>1040</v>
      </c>
      <c r="M6" s="1198" t="s">
        <v>1041</v>
      </c>
      <c r="N6" s="1199" t="s">
        <v>887</v>
      </c>
    </row>
    <row r="7" spans="2:14">
      <c r="B7" s="1202" t="s">
        <v>628</v>
      </c>
      <c r="C7" s="1200">
        <v>0.73825523572651897</v>
      </c>
      <c r="D7" s="1200">
        <v>1.3814582627890051</v>
      </c>
      <c r="E7" s="1200">
        <v>2.729632612875367</v>
      </c>
      <c r="F7" s="1200">
        <v>2.9165348264629047</v>
      </c>
      <c r="G7" s="1200"/>
      <c r="I7" s="1202" t="s">
        <v>628</v>
      </c>
      <c r="J7" s="1200">
        <v>0.94285804588777133</v>
      </c>
      <c r="K7" s="1479">
        <v>1.35</v>
      </c>
      <c r="L7" s="1479">
        <v>2.65</v>
      </c>
      <c r="M7" s="1479">
        <v>3.25</v>
      </c>
      <c r="N7" s="460"/>
    </row>
    <row r="8" spans="2:14">
      <c r="B8" s="1202" t="s">
        <v>6</v>
      </c>
      <c r="C8" s="1200">
        <v>0.61576638800854122</v>
      </c>
      <c r="D8" s="1200">
        <v>0.92029535976171861</v>
      </c>
      <c r="E8" s="1200">
        <v>1.7073273464509895</v>
      </c>
      <c r="F8" s="1200">
        <v>4.1733890097133033</v>
      </c>
      <c r="G8" s="1200"/>
      <c r="I8" s="1202" t="s">
        <v>6</v>
      </c>
      <c r="J8" s="1200">
        <v>0.75960672057781731</v>
      </c>
      <c r="K8" s="1479">
        <v>1</v>
      </c>
      <c r="L8" s="1479">
        <v>2.0499999999999998</v>
      </c>
      <c r="M8" s="1479">
        <v>4.95</v>
      </c>
      <c r="N8" s="460"/>
    </row>
    <row r="9" spans="2:14">
      <c r="B9" s="1202" t="s">
        <v>8</v>
      </c>
      <c r="C9" s="1200">
        <v>0.78234378161025708</v>
      </c>
      <c r="D9" s="1200">
        <v>0.93742665362039157</v>
      </c>
      <c r="E9" s="1200">
        <v>1.4597833437439227</v>
      </c>
      <c r="F9" s="1200">
        <v>2.5274364485170504</v>
      </c>
      <c r="G9" s="1200"/>
      <c r="I9" s="1202" t="s">
        <v>8</v>
      </c>
      <c r="J9" s="1200">
        <v>0.85916654384777491</v>
      </c>
      <c r="K9" s="1479">
        <v>1.1000000000000001</v>
      </c>
      <c r="L9" s="1479">
        <v>1.6</v>
      </c>
      <c r="M9" s="1479">
        <v>2.9</v>
      </c>
      <c r="N9" s="460"/>
    </row>
    <row r="10" spans="2:14">
      <c r="B10" s="1203" t="s">
        <v>2</v>
      </c>
      <c r="C10" s="1480">
        <v>0.68615868064819785</v>
      </c>
      <c r="D10" s="1541">
        <v>1.3839999999999999</v>
      </c>
      <c r="E10" s="1480">
        <v>2.5215181068519161</v>
      </c>
      <c r="F10" s="1480">
        <v>2.5357100841546707</v>
      </c>
      <c r="G10" s="1480"/>
      <c r="I10" s="1203" t="s">
        <v>2</v>
      </c>
      <c r="J10" s="1480">
        <v>1.1220789127479602</v>
      </c>
      <c r="K10" s="1481">
        <v>1.5</v>
      </c>
      <c r="L10" s="1481">
        <v>2.7</v>
      </c>
      <c r="M10" s="1481">
        <v>2.7</v>
      </c>
      <c r="N10" s="1206"/>
    </row>
    <row r="11" spans="2:14">
      <c r="B11" s="1202" t="s">
        <v>1476</v>
      </c>
      <c r="C11" s="1200"/>
      <c r="D11" s="1200"/>
      <c r="E11" s="1200">
        <v>5.8710151352874629</v>
      </c>
      <c r="F11" s="1200">
        <v>3.1256203051170219</v>
      </c>
      <c r="G11" s="1541">
        <v>8.2690000000000001</v>
      </c>
      <c r="I11" s="1202" t="s">
        <v>10</v>
      </c>
      <c r="J11" s="1200"/>
      <c r="K11" s="1479"/>
      <c r="L11" s="460"/>
      <c r="M11" s="1479">
        <v>4.9000000000000004</v>
      </c>
      <c r="N11" s="1479">
        <v>9.3000000000000007</v>
      </c>
    </row>
    <row r="12" spans="2:14">
      <c r="B12" s="1202" t="s">
        <v>4</v>
      </c>
      <c r="C12" s="1200">
        <v>0.7842708946636604</v>
      </c>
      <c r="D12" s="1200">
        <v>1.1402031631853178</v>
      </c>
      <c r="E12" s="1200">
        <v>2.5189298202715129</v>
      </c>
      <c r="F12" s="1200">
        <v>2.9906187797930048</v>
      </c>
      <c r="G12" s="1200"/>
      <c r="I12" s="1202" t="s">
        <v>4</v>
      </c>
      <c r="J12" s="1200">
        <v>0.95885221991185321</v>
      </c>
      <c r="K12" s="1479">
        <v>1.4</v>
      </c>
      <c r="L12" s="1479">
        <v>2.75</v>
      </c>
      <c r="M12" s="1479">
        <v>3.35</v>
      </c>
      <c r="N12" s="460"/>
    </row>
    <row r="13" spans="2:14">
      <c r="B13" s="1202" t="s">
        <v>14</v>
      </c>
      <c r="C13" s="1200"/>
      <c r="D13" s="1200"/>
      <c r="E13" s="1200">
        <v>2.6585575928061984</v>
      </c>
      <c r="F13" s="1200">
        <v>2.8753859676822429</v>
      </c>
      <c r="G13" s="1200"/>
      <c r="I13" s="1202" t="s">
        <v>14</v>
      </c>
      <c r="J13" s="1200">
        <v>0.99455274247883108</v>
      </c>
      <c r="K13" s="1479">
        <v>1.25</v>
      </c>
      <c r="L13" s="1479">
        <v>2.9</v>
      </c>
      <c r="M13" s="1479">
        <v>3.1</v>
      </c>
      <c r="N13" s="460"/>
    </row>
    <row r="14" spans="2:14">
      <c r="B14" s="1203" t="s">
        <v>17</v>
      </c>
      <c r="C14" s="1480">
        <v>0.62524737129045094</v>
      </c>
      <c r="D14" s="1480">
        <v>0.9661071118879152</v>
      </c>
      <c r="E14" s="1480">
        <v>2.0712334710740294</v>
      </c>
      <c r="F14" s="1480">
        <v>3.1926454095378611</v>
      </c>
      <c r="G14" s="1480"/>
      <c r="I14" s="1203" t="s">
        <v>17</v>
      </c>
      <c r="J14" s="1480">
        <v>0.75288725579887528</v>
      </c>
      <c r="K14" s="1481">
        <v>1.1000000000000001</v>
      </c>
      <c r="L14" s="1481">
        <v>2.4</v>
      </c>
      <c r="M14" s="1481">
        <v>3.6</v>
      </c>
      <c r="N14" s="1206"/>
    </row>
    <row r="15" spans="2:14">
      <c r="B15" s="1202" t="s">
        <v>1477</v>
      </c>
      <c r="C15" s="1200"/>
      <c r="D15" s="1200"/>
      <c r="E15" s="1200">
        <v>2.3077760272136798</v>
      </c>
      <c r="F15" s="1200">
        <v>0</v>
      </c>
      <c r="G15" s="1541">
        <v>12.77</v>
      </c>
      <c r="I15" s="1202" t="s">
        <v>376</v>
      </c>
      <c r="J15" s="1200"/>
      <c r="K15" s="1479"/>
      <c r="L15" s="460"/>
      <c r="M15" s="1479"/>
      <c r="N15" s="1479">
        <v>14.45</v>
      </c>
    </row>
    <row r="16" spans="2:14">
      <c r="B16" s="1202" t="s">
        <v>7</v>
      </c>
      <c r="C16" s="1200">
        <v>0.92433615746192432</v>
      </c>
      <c r="D16" s="1200">
        <v>1.3839999999999999</v>
      </c>
      <c r="E16" s="1200">
        <v>2.5832720468437356</v>
      </c>
      <c r="F16" s="1200">
        <v>3.0883153658922646</v>
      </c>
      <c r="G16" s="1200"/>
      <c r="I16" s="1202" t="s">
        <v>7</v>
      </c>
      <c r="J16" s="1200">
        <v>1.2710391272693993</v>
      </c>
      <c r="K16" s="1479">
        <v>1.6</v>
      </c>
      <c r="L16" s="1479">
        <v>3.05</v>
      </c>
      <c r="M16" s="1479">
        <v>3.4</v>
      </c>
      <c r="N16" s="460"/>
    </row>
    <row r="17" spans="2:14">
      <c r="B17" s="1202" t="s">
        <v>9</v>
      </c>
      <c r="C17" s="1200">
        <v>0.60760924440702391</v>
      </c>
      <c r="D17" s="1200">
        <v>0.88220300342126901</v>
      </c>
      <c r="E17" s="1200">
        <v>2.2323857203999244</v>
      </c>
      <c r="F17" s="1200">
        <v>3.0089142683525476</v>
      </c>
      <c r="G17" s="1200"/>
      <c r="I17" s="1202" t="s">
        <v>9</v>
      </c>
      <c r="J17" s="1200">
        <v>0.76698652424036284</v>
      </c>
      <c r="K17" s="1479">
        <v>1.05</v>
      </c>
      <c r="L17" s="1479">
        <v>2.65</v>
      </c>
      <c r="M17" s="1479">
        <v>4.25</v>
      </c>
      <c r="N17" s="460"/>
    </row>
    <row r="18" spans="2:14">
      <c r="B18" s="1203" t="s">
        <v>5</v>
      </c>
      <c r="C18" s="1480">
        <v>0.68584674669160639</v>
      </c>
      <c r="D18" s="1541">
        <v>1.3843882959939655</v>
      </c>
      <c r="E18" s="1480">
        <v>2.768615670287919</v>
      </c>
      <c r="F18" s="1480">
        <v>2.9612257167589449</v>
      </c>
      <c r="G18" s="1480"/>
      <c r="I18" s="1203" t="s">
        <v>5</v>
      </c>
      <c r="J18" s="1480">
        <v>1.0217612541626939</v>
      </c>
      <c r="K18" s="1481">
        <v>1.5</v>
      </c>
      <c r="L18" s="1481">
        <v>2.9</v>
      </c>
      <c r="M18" s="1481">
        <v>3.4</v>
      </c>
      <c r="N18" s="1206"/>
    </row>
    <row r="19" spans="2:14">
      <c r="B19" s="1202"/>
      <c r="C19" s="1200"/>
      <c r="D19" s="1200"/>
      <c r="E19" s="1200"/>
      <c r="F19" s="1200"/>
      <c r="G19" s="1200"/>
      <c r="I19" s="1202"/>
      <c r="J19" s="460"/>
      <c r="K19" s="460"/>
      <c r="L19" s="460"/>
      <c r="M19" s="460"/>
      <c r="N19" s="460"/>
    </row>
    <row r="20" spans="2:14">
      <c r="B20" s="1202" t="s">
        <v>631</v>
      </c>
      <c r="C20" s="1200"/>
      <c r="D20" s="1200"/>
      <c r="E20" s="1200"/>
      <c r="F20" s="1200"/>
      <c r="G20" s="1200"/>
      <c r="I20" s="1202" t="s">
        <v>631</v>
      </c>
      <c r="J20" s="460"/>
      <c r="K20" s="460"/>
      <c r="L20" s="460"/>
      <c r="M20" s="460"/>
      <c r="N20" s="460"/>
    </row>
    <row r="21" spans="2:14">
      <c r="B21" s="1202" t="s">
        <v>657</v>
      </c>
      <c r="C21" s="1200"/>
      <c r="D21" s="1200"/>
      <c r="E21" s="1200"/>
      <c r="F21" s="1200"/>
      <c r="G21" s="1200"/>
      <c r="I21" s="1202" t="s">
        <v>657</v>
      </c>
      <c r="J21" s="460"/>
      <c r="K21" s="460"/>
      <c r="L21" s="460"/>
      <c r="M21" s="460"/>
      <c r="N21" s="460"/>
    </row>
    <row r="22" spans="2:14">
      <c r="B22" s="1203" t="s">
        <v>633</v>
      </c>
      <c r="C22" s="1480"/>
      <c r="D22" s="1480"/>
      <c r="E22" s="1480"/>
      <c r="F22" s="1480"/>
      <c r="G22" s="1480"/>
      <c r="I22" s="1203" t="s">
        <v>633</v>
      </c>
      <c r="J22" s="1206"/>
      <c r="K22" s="1206"/>
      <c r="L22" s="1206"/>
      <c r="M22" s="1206"/>
      <c r="N22" s="1206"/>
    </row>
    <row r="23" spans="2:14">
      <c r="B23" s="1202" t="s">
        <v>656</v>
      </c>
      <c r="C23" s="460"/>
      <c r="D23" s="460"/>
      <c r="E23" s="460"/>
      <c r="F23" s="460"/>
      <c r="G23" s="460"/>
      <c r="I23" s="1202" t="s">
        <v>656</v>
      </c>
      <c r="J23" s="460"/>
      <c r="K23" s="460"/>
      <c r="L23" s="460"/>
      <c r="M23" s="460"/>
      <c r="N23" s="460"/>
    </row>
    <row r="24" spans="2:14">
      <c r="B24" s="1204" t="s">
        <v>635</v>
      </c>
      <c r="C24" s="460"/>
      <c r="D24" s="1200"/>
      <c r="E24" s="460"/>
      <c r="F24" s="460"/>
      <c r="G24" s="460"/>
      <c r="I24" s="1204" t="s">
        <v>635</v>
      </c>
      <c r="J24" s="460"/>
      <c r="K24" s="1200"/>
      <c r="L24" s="460"/>
      <c r="M24" s="460"/>
      <c r="N24" s="460"/>
    </row>
    <row r="25" spans="2:14">
      <c r="B25" s="1204" t="s">
        <v>1064</v>
      </c>
      <c r="C25" s="1210">
        <v>0.70499999999999996</v>
      </c>
      <c r="D25" s="1210">
        <v>1.0169999999999999</v>
      </c>
      <c r="E25" s="1210">
        <v>2.0489999999999999</v>
      </c>
      <c r="F25" s="1210">
        <v>2.8679999999999999</v>
      </c>
      <c r="G25" s="1210"/>
      <c r="I25" s="1204" t="s">
        <v>889</v>
      </c>
      <c r="J25" s="1197">
        <v>0.96891636886764676</v>
      </c>
      <c r="K25" s="1197">
        <v>1.3798349028343588</v>
      </c>
      <c r="L25" s="1197">
        <v>2.736877276549627</v>
      </c>
      <c r="M25" s="1197">
        <v>3.4678006112961137</v>
      </c>
      <c r="N25" s="460"/>
    </row>
    <row r="26" spans="2:14" ht="16.5" thickBot="1">
      <c r="B26" s="1205" t="s">
        <v>890</v>
      </c>
      <c r="C26" s="1476">
        <f>C25/$C25</f>
        <v>1</v>
      </c>
      <c r="D26" s="1476">
        <f>D25/$C25</f>
        <v>1.4425531914893617</v>
      </c>
      <c r="E26" s="1476">
        <f>E25/$C25</f>
        <v>2.9063829787234043</v>
      </c>
      <c r="F26" s="1476">
        <f>F25/$C25</f>
        <v>4.0680851063829788</v>
      </c>
      <c r="G26" s="1476"/>
      <c r="I26" s="1205" t="s">
        <v>890</v>
      </c>
      <c r="J26" s="1482">
        <v>1</v>
      </c>
      <c r="K26" s="1482">
        <v>1.4241011372807586</v>
      </c>
      <c r="L26" s="1482">
        <v>2.8246785424299943</v>
      </c>
      <c r="M26" s="1482">
        <v>3.5790504967408725</v>
      </c>
      <c r="N26" s="1483"/>
    </row>
    <row r="27" spans="2:14" ht="16.5" thickTop="1">
      <c r="B27" s="1204"/>
      <c r="C27" s="1197"/>
      <c r="D27" s="1197"/>
      <c r="E27" s="1197"/>
      <c r="F27" s="1201"/>
      <c r="G27" s="460"/>
      <c r="I27" s="1204"/>
      <c r="J27" s="1197"/>
      <c r="K27" s="1197"/>
      <c r="L27" s="1197"/>
      <c r="M27" s="1201"/>
      <c r="N27" s="460"/>
    </row>
    <row r="28" spans="2:14">
      <c r="B28" s="1204" t="s">
        <v>1478</v>
      </c>
      <c r="C28" s="1197"/>
      <c r="D28" s="1197"/>
      <c r="E28" s="1197"/>
      <c r="F28" s="1201"/>
      <c r="G28" s="460"/>
      <c r="I28" s="1204"/>
      <c r="J28" s="1197"/>
      <c r="K28" s="1197"/>
      <c r="L28" s="1197"/>
      <c r="M28" s="1201"/>
      <c r="N28" s="460"/>
    </row>
    <row r="29" spans="2:14">
      <c r="B29" s="1204"/>
      <c r="C29" s="1197"/>
      <c r="D29" s="1197"/>
      <c r="E29" s="1197"/>
      <c r="F29" s="1201"/>
      <c r="G29" s="460"/>
      <c r="I29" s="1204"/>
      <c r="J29" s="1197"/>
      <c r="K29" s="1197"/>
      <c r="L29" s="1197"/>
      <c r="M29" s="1201"/>
      <c r="N29" s="460"/>
    </row>
    <row r="30" spans="2:14">
      <c r="B30" s="460"/>
      <c r="C30" s="460"/>
      <c r="D30" s="460"/>
      <c r="E30" s="460"/>
      <c r="F30" s="460"/>
      <c r="G30" s="460"/>
      <c r="I30" s="460"/>
      <c r="J30" s="460"/>
      <c r="K30" s="460"/>
      <c r="L30" s="460"/>
      <c r="M30" s="460"/>
      <c r="N30" s="460"/>
    </row>
    <row r="31" spans="2:14">
      <c r="B31" s="10" t="s">
        <v>1042</v>
      </c>
      <c r="C31" s="460"/>
      <c r="D31" s="460"/>
      <c r="E31" s="460"/>
      <c r="F31" s="460"/>
      <c r="G31" s="460"/>
      <c r="I31" s="10" t="s">
        <v>1042</v>
      </c>
      <c r="J31" s="460"/>
      <c r="K31" s="460"/>
      <c r="L31" s="460"/>
      <c r="M31" s="460"/>
      <c r="N31" s="460"/>
    </row>
    <row r="32" spans="2:14" ht="31.5">
      <c r="B32" s="555"/>
      <c r="C32" s="1198" t="s">
        <v>1039</v>
      </c>
      <c r="D32" s="1198" t="s">
        <v>948</v>
      </c>
      <c r="E32" s="1198" t="s">
        <v>1040</v>
      </c>
      <c r="F32" s="1198" t="s">
        <v>1041</v>
      </c>
      <c r="G32" s="1199" t="s">
        <v>887</v>
      </c>
      <c r="I32" s="555"/>
      <c r="J32" s="1198" t="s">
        <v>1039</v>
      </c>
      <c r="K32" s="1198" t="s">
        <v>948</v>
      </c>
      <c r="L32" s="1198" t="s">
        <v>1040</v>
      </c>
      <c r="M32" s="1198" t="s">
        <v>1041</v>
      </c>
      <c r="N32" s="1199" t="s">
        <v>887</v>
      </c>
    </row>
    <row r="33" spans="2:14">
      <c r="B33" s="1202" t="s">
        <v>628</v>
      </c>
      <c r="C33" s="1210">
        <v>0.73825523572651897</v>
      </c>
      <c r="D33" s="1210">
        <v>1.3814582627890051</v>
      </c>
      <c r="E33" s="1210">
        <v>2.729632612875367</v>
      </c>
      <c r="F33" s="1210">
        <v>2.9165348264629047</v>
      </c>
      <c r="I33" s="1202" t="s">
        <v>628</v>
      </c>
      <c r="J33" s="1200">
        <v>0.94285804588777133</v>
      </c>
      <c r="K33" s="1479">
        <v>1.3407809193387978</v>
      </c>
      <c r="L33" s="1479">
        <v>2.6300648209599804</v>
      </c>
      <c r="M33" s="1479">
        <v>3.2639308854039055</v>
      </c>
      <c r="N33" s="460"/>
    </row>
    <row r="34" spans="2:14">
      <c r="B34" s="1202" t="s">
        <v>6</v>
      </c>
      <c r="C34" s="1210">
        <v>0.61576638800854122</v>
      </c>
      <c r="D34" s="1210">
        <v>0.92029535976171861</v>
      </c>
      <c r="E34" s="1210">
        <v>1.7073273464509895</v>
      </c>
      <c r="F34" s="1210">
        <v>4.1733890097133033</v>
      </c>
      <c r="I34" s="1202" t="s">
        <v>6</v>
      </c>
      <c r="J34" s="1200">
        <v>0.75960672057781731</v>
      </c>
      <c r="K34" s="1479">
        <v>1.095289464847611</v>
      </c>
      <c r="L34" s="1479">
        <v>2.0581388225675101</v>
      </c>
      <c r="M34" s="1479">
        <v>4.927099921914424</v>
      </c>
      <c r="N34" s="460"/>
    </row>
    <row r="35" spans="2:14">
      <c r="B35" s="1202" t="s">
        <v>8</v>
      </c>
      <c r="C35" s="1210">
        <v>0.78234378161025708</v>
      </c>
      <c r="D35" s="1210">
        <v>0.93742665362039157</v>
      </c>
      <c r="E35" s="1210">
        <v>1.4597833437439227</v>
      </c>
      <c r="F35" s="1210">
        <v>2.5274364485170504</v>
      </c>
      <c r="I35" s="1202" t="s">
        <v>8</v>
      </c>
      <c r="J35" s="1200">
        <v>0.85916654384777491</v>
      </c>
      <c r="K35" s="1479">
        <v>1.0874667332630468</v>
      </c>
      <c r="L35" s="1479">
        <v>1.6204811898325242</v>
      </c>
      <c r="M35" s="1479">
        <v>2.880841782963143</v>
      </c>
      <c r="N35" s="460"/>
    </row>
    <row r="36" spans="2:14">
      <c r="B36" s="1203" t="s">
        <v>2</v>
      </c>
      <c r="C36" s="1210">
        <v>0.68615868064819785</v>
      </c>
      <c r="D36" s="1210">
        <v>1.4036009447027349</v>
      </c>
      <c r="E36" s="1210">
        <v>2.5215181068519161</v>
      </c>
      <c r="F36" s="1210">
        <v>2.5357100841546707</v>
      </c>
      <c r="I36" s="1203" t="s">
        <v>2</v>
      </c>
      <c r="J36" s="1480">
        <v>1.1220789127479602</v>
      </c>
      <c r="K36" s="1481">
        <v>1.5504630786109876</v>
      </c>
      <c r="L36" s="1481">
        <v>2.6845233031755829</v>
      </c>
      <c r="M36" s="1481">
        <v>2.6942983040516668</v>
      </c>
      <c r="N36" s="1206"/>
    </row>
    <row r="37" spans="2:14">
      <c r="B37" s="1202" t="s">
        <v>10</v>
      </c>
      <c r="C37" s="1210"/>
      <c r="D37" s="1210"/>
      <c r="E37" s="1210">
        <v>5.8710151352874629</v>
      </c>
      <c r="F37" s="1210">
        <v>3.1256203051170219</v>
      </c>
      <c r="G37" s="1210">
        <v>9.4342542433612468</v>
      </c>
      <c r="I37" s="1202" t="s">
        <v>10</v>
      </c>
      <c r="J37" s="1200">
        <v>0</v>
      </c>
      <c r="K37" s="1479">
        <v>0</v>
      </c>
      <c r="L37" s="1479">
        <v>3.0823126567560544</v>
      </c>
      <c r="M37" s="1479">
        <v>4.925426056173082</v>
      </c>
      <c r="N37" s="1479">
        <v>10.874000000000001</v>
      </c>
    </row>
    <row r="38" spans="2:14">
      <c r="B38" s="1202" t="s">
        <v>4</v>
      </c>
      <c r="C38" s="1210">
        <v>0.7842708946636604</v>
      </c>
      <c r="D38" s="1210">
        <v>1.1402031631853178</v>
      </c>
      <c r="E38" s="1210">
        <v>2.5189298202715129</v>
      </c>
      <c r="F38" s="1210">
        <v>2.9906187797930048</v>
      </c>
      <c r="I38" s="1202" t="s">
        <v>4</v>
      </c>
      <c r="J38" s="1200">
        <v>0.95885221991185321</v>
      </c>
      <c r="K38" s="1479">
        <v>1.3980557150498409</v>
      </c>
      <c r="L38" s="1479">
        <v>2.7510914015416006</v>
      </c>
      <c r="M38" s="1479">
        <v>3.3435832985798775</v>
      </c>
      <c r="N38" s="460"/>
    </row>
    <row r="39" spans="2:14">
      <c r="B39" s="1202" t="s">
        <v>14</v>
      </c>
      <c r="C39" s="1210"/>
      <c r="D39" s="1210"/>
      <c r="E39" s="1210">
        <v>2.6585575928061984</v>
      </c>
      <c r="F39" s="1210">
        <v>2.8753859676822429</v>
      </c>
      <c r="I39" s="1202" t="s">
        <v>14</v>
      </c>
      <c r="J39" s="1200">
        <v>0.99455274247883108</v>
      </c>
      <c r="K39" s="1479">
        <v>1.2293137213562211</v>
      </c>
      <c r="L39" s="1479">
        <v>2.9232029168587954</v>
      </c>
      <c r="M39" s="1479">
        <v>3.1048995088671143</v>
      </c>
      <c r="N39" s="460"/>
    </row>
    <row r="40" spans="2:14">
      <c r="B40" s="1203" t="s">
        <v>17</v>
      </c>
      <c r="C40" s="1210">
        <v>0.62524737129045094</v>
      </c>
      <c r="D40" s="1210">
        <v>0.9661071118879152</v>
      </c>
      <c r="E40" s="1210">
        <v>2.0712334710740294</v>
      </c>
      <c r="F40" s="1210">
        <v>3.1926454095378611</v>
      </c>
      <c r="I40" s="1203" t="s">
        <v>17</v>
      </c>
      <c r="J40" s="1480">
        <v>0.75288725579887528</v>
      </c>
      <c r="K40" s="1481">
        <v>1.0924846195687061</v>
      </c>
      <c r="L40" s="1481">
        <v>2.3756699049635035</v>
      </c>
      <c r="M40" s="1481">
        <v>3.6163052484029703</v>
      </c>
      <c r="N40" s="1206"/>
    </row>
    <row r="41" spans="2:14">
      <c r="B41" s="1202" t="s">
        <v>376</v>
      </c>
      <c r="C41" s="1210"/>
      <c r="D41" s="1210"/>
      <c r="E41" s="1210">
        <v>2.3077760272136798</v>
      </c>
      <c r="F41" s="1210">
        <v>0</v>
      </c>
      <c r="G41" s="1210">
        <v>14.151</v>
      </c>
      <c r="I41" s="1202" t="s">
        <v>376</v>
      </c>
      <c r="J41" s="1200">
        <v>0</v>
      </c>
      <c r="K41" s="1479">
        <v>0</v>
      </c>
      <c r="L41" s="1479">
        <v>3.0823126567560544</v>
      </c>
      <c r="M41" s="1479">
        <v>0</v>
      </c>
      <c r="N41" s="1479">
        <v>16.309999999999999</v>
      </c>
    </row>
    <row r="42" spans="2:14">
      <c r="B42" s="1202" t="s">
        <v>7</v>
      </c>
      <c r="C42" s="1210">
        <v>0.92433615746192432</v>
      </c>
      <c r="D42" s="1210">
        <v>1.5303368435282048</v>
      </c>
      <c r="E42" s="1210">
        <v>2.5832720468437356</v>
      </c>
      <c r="F42" s="1210">
        <v>3.0883153658922646</v>
      </c>
      <c r="I42" s="1202" t="s">
        <v>7</v>
      </c>
      <c r="J42" s="1200">
        <v>1.2710391272693993</v>
      </c>
      <c r="K42" s="1479">
        <v>1.8382483138752463</v>
      </c>
      <c r="L42" s="1479">
        <v>3.3176593233855471</v>
      </c>
      <c r="M42" s="1479">
        <v>3.684480453401294</v>
      </c>
      <c r="N42" s="460"/>
    </row>
    <row r="43" spans="2:14">
      <c r="B43" s="1202" t="s">
        <v>9</v>
      </c>
      <c r="C43" s="1210">
        <v>0.60760924440702391</v>
      </c>
      <c r="D43" s="1210">
        <v>0.88220300342126901</v>
      </c>
      <c r="E43" s="1210">
        <v>2.2323857203999244</v>
      </c>
      <c r="F43" s="1210">
        <v>3.0089142683525476</v>
      </c>
      <c r="I43" s="1202" t="s">
        <v>9</v>
      </c>
      <c r="J43" s="1200">
        <v>0.76698652424036284</v>
      </c>
      <c r="K43" s="1479">
        <v>1.0439324562208154</v>
      </c>
      <c r="L43" s="1479">
        <v>2.9344933543446268</v>
      </c>
      <c r="M43" s="1479">
        <v>4.2466945853158435</v>
      </c>
      <c r="N43" s="460"/>
    </row>
    <row r="44" spans="2:14">
      <c r="B44" s="1203" t="s">
        <v>5</v>
      </c>
      <c r="C44" s="1210">
        <v>0.68584674669160639</v>
      </c>
      <c r="D44" s="1210">
        <v>1.3843882959939655</v>
      </c>
      <c r="E44" s="1210">
        <v>2.768615670287919</v>
      </c>
      <c r="F44" s="1210">
        <v>2.9612257167589449</v>
      </c>
      <c r="I44" s="1203" t="s">
        <v>5</v>
      </c>
      <c r="J44" s="1480">
        <v>1.0217612541626939</v>
      </c>
      <c r="K44" s="1481">
        <v>1.476692150907926</v>
      </c>
      <c r="L44" s="1481">
        <v>2.8784730052560046</v>
      </c>
      <c r="M44" s="1481">
        <v>3.3784307193020222</v>
      </c>
      <c r="N44" s="1206"/>
    </row>
    <row r="45" spans="2:14">
      <c r="B45" s="1202"/>
      <c r="C45" s="460"/>
      <c r="D45" s="460"/>
      <c r="E45" s="460"/>
      <c r="F45" s="460"/>
      <c r="G45" s="460"/>
      <c r="I45" s="1202"/>
      <c r="J45" s="460"/>
      <c r="K45" s="460"/>
      <c r="L45" s="460"/>
      <c r="M45" s="460"/>
      <c r="N45" s="460"/>
    </row>
    <row r="46" spans="2:14">
      <c r="B46" s="1202" t="s">
        <v>631</v>
      </c>
      <c r="C46" s="460"/>
      <c r="D46" s="460"/>
      <c r="E46" s="460"/>
      <c r="F46" s="460"/>
      <c r="G46" s="460"/>
      <c r="I46" s="1202" t="s">
        <v>631</v>
      </c>
      <c r="J46" s="460"/>
      <c r="K46" s="460"/>
      <c r="L46" s="460"/>
      <c r="M46" s="460"/>
      <c r="N46" s="460"/>
    </row>
    <row r="47" spans="2:14">
      <c r="B47" s="1202" t="s">
        <v>657</v>
      </c>
      <c r="C47" s="460"/>
      <c r="D47" s="460"/>
      <c r="E47" s="460"/>
      <c r="F47" s="460"/>
      <c r="G47" s="460"/>
      <c r="I47" s="1202" t="s">
        <v>657</v>
      </c>
      <c r="J47" s="460"/>
      <c r="K47" s="460"/>
      <c r="L47" s="460"/>
      <c r="M47" s="460"/>
      <c r="N47" s="460"/>
    </row>
    <row r="48" spans="2:14">
      <c r="B48" s="1203" t="s">
        <v>633</v>
      </c>
      <c r="C48" s="1206"/>
      <c r="D48" s="1206"/>
      <c r="E48" s="1206"/>
      <c r="F48" s="1206"/>
      <c r="G48" s="1206"/>
      <c r="I48" s="1203" t="s">
        <v>633</v>
      </c>
      <c r="J48" s="1206"/>
      <c r="K48" s="1206"/>
      <c r="L48" s="1206"/>
      <c r="M48" s="1206"/>
      <c r="N48" s="1206"/>
    </row>
    <row r="49" spans="1:14">
      <c r="B49" s="1202" t="s">
        <v>656</v>
      </c>
      <c r="C49" s="460"/>
      <c r="D49" s="460"/>
      <c r="E49" s="460"/>
      <c r="F49" s="460"/>
      <c r="G49" s="460"/>
      <c r="I49" s="1202" t="s">
        <v>656</v>
      </c>
      <c r="J49" s="460"/>
      <c r="K49" s="460"/>
      <c r="L49" s="460"/>
      <c r="M49" s="460"/>
      <c r="N49" s="460"/>
    </row>
    <row r="50" spans="1:14">
      <c r="B50" s="1204" t="s">
        <v>635</v>
      </c>
      <c r="C50" s="460"/>
      <c r="D50" s="1200"/>
      <c r="E50" s="460"/>
      <c r="F50" s="460"/>
      <c r="G50" s="460"/>
      <c r="I50" s="1204" t="s">
        <v>635</v>
      </c>
      <c r="J50" s="460"/>
      <c r="K50" s="1200"/>
      <c r="L50" s="460"/>
      <c r="M50" s="460"/>
      <c r="N50" s="460"/>
    </row>
    <row r="51" spans="1:14" ht="16.5" thickBot="1">
      <c r="B51" s="1477" t="s">
        <v>889</v>
      </c>
      <c r="C51" s="1478">
        <v>0.73850856210006643</v>
      </c>
      <c r="D51" s="1478">
        <v>1.1811318964529236</v>
      </c>
      <c r="E51" s="1478">
        <v>2.3354326125608131</v>
      </c>
      <c r="F51" s="1478">
        <v>2.9719656338531162</v>
      </c>
      <c r="G51" s="1478">
        <v>11.282282533303981</v>
      </c>
      <c r="I51" s="1477" t="s">
        <v>889</v>
      </c>
      <c r="J51" s="1482">
        <v>0.96891636886764676</v>
      </c>
      <c r="K51" s="1482">
        <v>1.3798349028343588</v>
      </c>
      <c r="L51" s="1482">
        <v>2.736877276549627</v>
      </c>
      <c r="M51" s="1482">
        <v>3.4678006112961137</v>
      </c>
      <c r="N51" s="1483"/>
    </row>
    <row r="52" spans="1:14" ht="16.5" thickTop="1"/>
    <row r="56" spans="1:14">
      <c r="A56" t="s">
        <v>1467</v>
      </c>
    </row>
    <row r="58" spans="1:14">
      <c r="C58" s="1520" t="s">
        <v>1380</v>
      </c>
      <c r="D58" s="1520"/>
      <c r="E58" s="1520"/>
      <c r="F58" s="1520"/>
    </row>
    <row r="59" spans="1:14">
      <c r="C59" s="91"/>
      <c r="D59" s="91"/>
      <c r="E59" s="91"/>
      <c r="F59" s="91"/>
      <c r="G59" s="91"/>
    </row>
    <row r="60" spans="1:14">
      <c r="C60" s="15" t="s">
        <v>1381</v>
      </c>
      <c r="D60" s="15" t="s">
        <v>1382</v>
      </c>
      <c r="E60" s="15"/>
      <c r="F60" s="15"/>
      <c r="G60" s="15"/>
    </row>
    <row r="61" spans="1:14" ht="16.5" thickBot="1">
      <c r="A61" s="1655" t="s">
        <v>1383</v>
      </c>
      <c r="B61" s="1655"/>
      <c r="C61" s="1539" t="s">
        <v>1384</v>
      </c>
      <c r="D61" s="1539" t="s">
        <v>1385</v>
      </c>
      <c r="E61" s="1539" t="s">
        <v>1386</v>
      </c>
      <c r="F61" s="1539" t="s">
        <v>1387</v>
      </c>
      <c r="G61" s="1540" t="s">
        <v>13</v>
      </c>
    </row>
    <row r="62" spans="1:14" ht="16.5" thickTop="1">
      <c r="A62" s="1521"/>
      <c r="B62" s="1522" t="s">
        <v>1388</v>
      </c>
      <c r="C62" s="1523">
        <v>0.70466666666666666</v>
      </c>
      <c r="D62" s="1523">
        <v>1.0170000000000001</v>
      </c>
      <c r="E62" s="1523">
        <v>2.0489999999999999</v>
      </c>
      <c r="F62" s="1523">
        <v>2.8679999999999999</v>
      </c>
      <c r="G62" s="1523">
        <v>1.1013333333333333</v>
      </c>
    </row>
    <row r="63" spans="1:14">
      <c r="A63" s="1521"/>
      <c r="B63" s="1521"/>
      <c r="C63" s="227"/>
      <c r="D63" s="227"/>
      <c r="E63" s="227"/>
      <c r="F63" s="227"/>
      <c r="G63" s="227"/>
    </row>
    <row r="64" spans="1:14">
      <c r="A64" s="1524" t="s">
        <v>1389</v>
      </c>
      <c r="B64" t="s">
        <v>1390</v>
      </c>
      <c r="C64" s="1214">
        <v>0.78234378161025708</v>
      </c>
      <c r="D64" s="1214">
        <v>1.3990184844936182</v>
      </c>
      <c r="E64" s="1214">
        <v>2.9323789664798681</v>
      </c>
      <c r="F64" s="1214">
        <v>3.1256203051170219</v>
      </c>
      <c r="G64" s="1523">
        <v>1.5413700060461275</v>
      </c>
    </row>
    <row r="65" spans="1:13">
      <c r="A65" s="1524" t="s">
        <v>1391</v>
      </c>
      <c r="B65" s="10" t="s">
        <v>628</v>
      </c>
      <c r="C65" s="227"/>
      <c r="D65" s="227"/>
      <c r="E65" s="227"/>
      <c r="F65" s="227"/>
      <c r="G65" s="227"/>
      <c r="J65" s="1538" t="s">
        <v>1384</v>
      </c>
      <c r="K65" s="1538" t="s">
        <v>1385</v>
      </c>
      <c r="L65" s="1538" t="s">
        <v>1386</v>
      </c>
      <c r="M65" s="1538" t="s">
        <v>1387</v>
      </c>
    </row>
    <row r="66" spans="1:13">
      <c r="A66" s="1524" t="s">
        <v>1392</v>
      </c>
      <c r="B66" t="s">
        <v>1393</v>
      </c>
      <c r="C66" s="1214">
        <v>0.63224723725967402</v>
      </c>
      <c r="D66" s="1214">
        <v>1.3990184844936182</v>
      </c>
      <c r="E66" s="1214">
        <v>2.5199534078431221</v>
      </c>
      <c r="F66" s="1214">
        <v>2.52743644851705</v>
      </c>
      <c r="G66" s="1523">
        <v>1.3104504496550402</v>
      </c>
      <c r="I66" t="s">
        <v>1468</v>
      </c>
      <c r="J66" s="1214">
        <v>0.49833754031692484</v>
      </c>
      <c r="K66" s="1214">
        <v>0.79823198386182959</v>
      </c>
      <c r="L66" s="1214">
        <v>1.4597833437439225</v>
      </c>
      <c r="M66" s="1214">
        <v>1.8707653952520968</v>
      </c>
    </row>
    <row r="67" spans="1:13">
      <c r="A67" s="1524" t="s">
        <v>1394</v>
      </c>
      <c r="B67" t="s">
        <v>1395</v>
      </c>
      <c r="C67" s="1523"/>
      <c r="D67" s="1523"/>
      <c r="E67" s="1523"/>
      <c r="F67" s="1523"/>
      <c r="G67" s="1523"/>
      <c r="I67" t="s">
        <v>1469</v>
      </c>
      <c r="J67" s="1214">
        <v>0.63224723725967402</v>
      </c>
      <c r="K67" s="1214">
        <v>0.87675021181139867</v>
      </c>
      <c r="L67" s="1214">
        <v>1.6767731178102689</v>
      </c>
      <c r="M67" s="1214">
        <v>2.1690939740010453</v>
      </c>
    </row>
    <row r="68" spans="1:13">
      <c r="A68" s="1525" t="s">
        <v>1396</v>
      </c>
      <c r="B68" s="1526" t="s">
        <v>1397</v>
      </c>
      <c r="C68" s="1214">
        <v>0.71321963924010312</v>
      </c>
      <c r="D68" s="1214">
        <v>1.2290874621750383</v>
      </c>
      <c r="E68" s="1214">
        <v>2.9323789664798681</v>
      </c>
      <c r="F68" s="1214">
        <v>4.237064838539232</v>
      </c>
      <c r="G68" s="1523">
        <v>1.1669969512300551</v>
      </c>
      <c r="I68" t="s">
        <v>1470</v>
      </c>
      <c r="J68" s="1214">
        <v>0.71321963924010312</v>
      </c>
      <c r="K68" s="1214">
        <v>0.93742665362039157</v>
      </c>
      <c r="L68" s="1214">
        <v>2.0601293423722637</v>
      </c>
      <c r="M68" s="1214">
        <v>2.52743644851705</v>
      </c>
    </row>
    <row r="69" spans="1:13">
      <c r="A69" s="1527" t="s">
        <v>1398</v>
      </c>
      <c r="B69" t="s">
        <v>1399</v>
      </c>
      <c r="C69" s="1214">
        <v>0.63224723725967402</v>
      </c>
      <c r="D69" s="1214">
        <v>0.93742665362039157</v>
      </c>
      <c r="E69" s="1214">
        <v>2.3077760272136798</v>
      </c>
      <c r="F69" s="1214">
        <v>2.7676156747716441</v>
      </c>
      <c r="G69" s="1523">
        <v>0.90800722509918552</v>
      </c>
      <c r="I69" t="s">
        <v>1471</v>
      </c>
      <c r="J69" s="1214">
        <v>0.78234378161025708</v>
      </c>
      <c r="K69" s="1214">
        <v>1.0845788255249693</v>
      </c>
      <c r="L69" s="1214">
        <v>2.3077760272136798</v>
      </c>
      <c r="M69" s="1214">
        <v>2.7676156747716441</v>
      </c>
    </row>
    <row r="70" spans="1:13">
      <c r="A70" s="1524" t="s">
        <v>1400</v>
      </c>
      <c r="B70" t="s">
        <v>1401</v>
      </c>
      <c r="C70" s="227"/>
      <c r="D70" s="227"/>
      <c r="E70" s="227"/>
      <c r="F70" s="227"/>
      <c r="G70" s="227"/>
      <c r="I70" t="s">
        <v>1472</v>
      </c>
      <c r="J70" s="1214">
        <v>0.84813424045353047</v>
      </c>
      <c r="K70" s="1214">
        <v>1.2290874621750383</v>
      </c>
      <c r="L70" s="1214">
        <v>2.5199534078431221</v>
      </c>
      <c r="M70" s="1214">
        <v>2.9381764558602566</v>
      </c>
    </row>
    <row r="71" spans="1:13">
      <c r="A71" s="1524" t="s">
        <v>1402</v>
      </c>
      <c r="B71" s="10" t="s">
        <v>1403</v>
      </c>
      <c r="C71" s="1214">
        <v>0.63224723725967402</v>
      </c>
      <c r="D71" s="1214">
        <v>1.2290874621750383</v>
      </c>
      <c r="E71" s="1214">
        <v>2.0601293423722637</v>
      </c>
      <c r="F71" s="1214">
        <v>2.9381764558602566</v>
      </c>
      <c r="G71" s="1523">
        <v>1.1714559244664122</v>
      </c>
      <c r="I71" t="s">
        <v>1473</v>
      </c>
      <c r="J71" s="1214">
        <v>0.90246668300703736</v>
      </c>
      <c r="K71" s="1214">
        <v>1.3990184844936182</v>
      </c>
      <c r="L71" s="1214">
        <v>2.731844947613955</v>
      </c>
      <c r="M71" s="1214">
        <v>3.1256203051170219</v>
      </c>
    </row>
    <row r="72" spans="1:13">
      <c r="A72" s="1524" t="s">
        <v>1404</v>
      </c>
      <c r="B72" s="10" t="s">
        <v>8</v>
      </c>
      <c r="C72" s="1214">
        <v>0.78234378161025708</v>
      </c>
      <c r="D72" s="1214">
        <v>0.93742665362039157</v>
      </c>
      <c r="E72" s="1214">
        <v>1.4597833437439225</v>
      </c>
      <c r="F72" s="1214">
        <v>2.52743644851705</v>
      </c>
      <c r="G72" s="1523">
        <v>1.1598899108014258</v>
      </c>
      <c r="I72" t="s">
        <v>1474</v>
      </c>
      <c r="J72" s="1214">
        <v>1.0389631366630352</v>
      </c>
      <c r="K72" s="1214">
        <v>1.4726783625889173</v>
      </c>
      <c r="L72" s="1214">
        <v>2.9323789664798681</v>
      </c>
      <c r="M72" s="1214">
        <v>4.237064838539232</v>
      </c>
    </row>
    <row r="73" spans="1:13">
      <c r="A73" s="1525" t="s">
        <v>1405</v>
      </c>
      <c r="B73" s="1528" t="s">
        <v>7</v>
      </c>
      <c r="C73" s="1529">
        <v>1.0389631366630352</v>
      </c>
      <c r="D73" s="1529">
        <v>1.649477614717145</v>
      </c>
      <c r="E73" s="1529">
        <v>2.731844947613955</v>
      </c>
      <c r="F73" s="1214">
        <v>3.1256203051170219</v>
      </c>
      <c r="G73" s="1523">
        <v>1.8481153967045978</v>
      </c>
      <c r="I73" t="s">
        <v>1475</v>
      </c>
      <c r="J73" s="1214">
        <v>1.153656551813852</v>
      </c>
      <c r="K73" s="1214">
        <v>1.649477614717145</v>
      </c>
      <c r="L73" s="1214">
        <v>3.399324882240542</v>
      </c>
      <c r="M73" s="1214">
        <v>4.9330213205456088</v>
      </c>
    </row>
    <row r="74" spans="1:13">
      <c r="A74" s="1524" t="s">
        <v>1406</v>
      </c>
      <c r="B74" s="10" t="s">
        <v>1407</v>
      </c>
      <c r="C74" s="1523"/>
      <c r="D74" s="1523"/>
      <c r="E74" s="1523"/>
      <c r="F74" s="1523"/>
      <c r="G74" s="1523"/>
    </row>
    <row r="75" spans="1:13">
      <c r="A75" s="1527" t="s">
        <v>1408</v>
      </c>
      <c r="B75" t="s">
        <v>1409</v>
      </c>
      <c r="C75" s="1214">
        <v>0.71321963924010312</v>
      </c>
      <c r="D75" s="1214">
        <v>0.93742665362039157</v>
      </c>
      <c r="E75" s="1214">
        <v>2.0601293423722637</v>
      </c>
      <c r="F75" s="1214">
        <v>2.52743644851705</v>
      </c>
      <c r="G75" s="1523">
        <v>0.89601951442286965</v>
      </c>
    </row>
    <row r="76" spans="1:13">
      <c r="A76" s="1524" t="s">
        <v>1410</v>
      </c>
      <c r="B76" t="s">
        <v>1411</v>
      </c>
      <c r="C76" s="1214">
        <v>0.49833754031692484</v>
      </c>
      <c r="D76" s="1214">
        <v>0.79823198386182959</v>
      </c>
      <c r="E76" s="1214">
        <v>2.9323789664798681</v>
      </c>
      <c r="F76" s="1214">
        <v>3.1256203051170219</v>
      </c>
      <c r="G76" s="1523">
        <v>0.78180915303086307</v>
      </c>
    </row>
    <row r="77" spans="1:13">
      <c r="A77" s="1524" t="s">
        <v>1412</v>
      </c>
      <c r="B77" t="s">
        <v>1413</v>
      </c>
      <c r="C77" s="1523"/>
      <c r="D77" s="1523"/>
      <c r="E77" s="1523"/>
      <c r="F77" s="1523"/>
      <c r="G77" s="1523"/>
    </row>
    <row r="78" spans="1:13">
      <c r="A78" s="1527" t="s">
        <v>1414</v>
      </c>
      <c r="B78" s="1526" t="s">
        <v>1415</v>
      </c>
      <c r="C78" s="1214">
        <v>0.78234378161025708</v>
      </c>
      <c r="D78" s="1214">
        <v>0.87675021181139867</v>
      </c>
      <c r="E78" s="1214">
        <v>2.3077760272136798</v>
      </c>
      <c r="F78" s="1529">
        <v>2.1690939740010453</v>
      </c>
      <c r="G78" s="1523">
        <v>0.88951800221345834</v>
      </c>
    </row>
    <row r="79" spans="1:13">
      <c r="A79" s="1524" t="s">
        <v>1416</v>
      </c>
      <c r="B79" t="s">
        <v>1417</v>
      </c>
      <c r="C79" s="1529">
        <v>1.153656551813852</v>
      </c>
      <c r="D79" s="1529">
        <v>1.4726783625889173</v>
      </c>
      <c r="E79" s="1214">
        <v>2.5199534078431221</v>
      </c>
      <c r="F79" s="1529">
        <v>1.8707653952520968</v>
      </c>
      <c r="G79" s="1523">
        <v>1.3583122960142826</v>
      </c>
    </row>
    <row r="80" spans="1:13">
      <c r="A80" s="1524" t="s">
        <v>1418</v>
      </c>
      <c r="B80" t="s">
        <v>1419</v>
      </c>
      <c r="C80" s="1523"/>
      <c r="D80" s="1523"/>
      <c r="E80" s="1523"/>
      <c r="F80" s="1523"/>
      <c r="G80" s="1523"/>
    </row>
    <row r="81" spans="1:7">
      <c r="A81" s="1527" t="s">
        <v>1420</v>
      </c>
      <c r="B81" s="10" t="s">
        <v>1421</v>
      </c>
      <c r="C81" s="1214">
        <v>0.78234378161025708</v>
      </c>
      <c r="D81" s="1214">
        <v>1.0845788255249693</v>
      </c>
      <c r="E81" s="1214">
        <v>2.9323789664798681</v>
      </c>
      <c r="F81" s="1214">
        <v>2.9381764558602566</v>
      </c>
      <c r="G81" s="1523">
        <v>1.1580666848798811</v>
      </c>
    </row>
    <row r="82" spans="1:7">
      <c r="A82" s="1527" t="s">
        <v>1422</v>
      </c>
      <c r="B82" s="10" t="s">
        <v>1423</v>
      </c>
      <c r="C82" s="1214">
        <v>0.63224723725967402</v>
      </c>
      <c r="D82" s="1214">
        <v>0.93742665362039157</v>
      </c>
      <c r="E82" s="1214">
        <v>2.3077760272136798</v>
      </c>
      <c r="F82" s="1214">
        <v>3.1256203051170219</v>
      </c>
      <c r="G82" s="1523">
        <v>0.77831219357074288</v>
      </c>
    </row>
    <row r="83" spans="1:7">
      <c r="A83" s="1525" t="s">
        <v>1424</v>
      </c>
      <c r="B83" s="1526" t="s">
        <v>1425</v>
      </c>
      <c r="C83" s="227"/>
      <c r="D83" s="227"/>
      <c r="E83" s="227"/>
      <c r="F83" s="227"/>
      <c r="G83" s="227"/>
    </row>
    <row r="84" spans="1:7">
      <c r="A84" s="1524" t="s">
        <v>1426</v>
      </c>
      <c r="B84" t="s">
        <v>1427</v>
      </c>
      <c r="C84" s="227"/>
      <c r="D84" s="227"/>
      <c r="E84" s="227"/>
      <c r="F84" s="227"/>
      <c r="G84" s="227"/>
    </row>
    <row r="85" spans="1:7">
      <c r="A85" s="1524" t="s">
        <v>1428</v>
      </c>
      <c r="B85" t="s">
        <v>1429</v>
      </c>
      <c r="C85" s="1214">
        <v>0.84813424045353047</v>
      </c>
      <c r="D85" s="1214">
        <v>1.0845788255249693</v>
      </c>
      <c r="E85" s="1214">
        <v>2.9323789664798681</v>
      </c>
      <c r="F85" s="1214">
        <v>4.237064838539232</v>
      </c>
      <c r="G85" s="1523">
        <v>1.138314500837696</v>
      </c>
    </row>
    <row r="86" spans="1:7">
      <c r="A86" s="1524" t="s">
        <v>1430</v>
      </c>
      <c r="B86" t="s">
        <v>1431</v>
      </c>
      <c r="C86" s="1214">
        <v>0.63224723725967402</v>
      </c>
      <c r="D86" s="1214">
        <v>0.79823198386182959</v>
      </c>
      <c r="E86" s="1214">
        <v>1.6767731178102689</v>
      </c>
      <c r="F86" s="1214">
        <v>2.52743644851705</v>
      </c>
      <c r="G86" s="1523">
        <v>0.79733509325429863</v>
      </c>
    </row>
    <row r="87" spans="1:7">
      <c r="A87" s="1524" t="s">
        <v>1432</v>
      </c>
      <c r="B87" t="s">
        <v>1433</v>
      </c>
      <c r="C87" s="227"/>
      <c r="D87" s="227"/>
      <c r="E87" s="227"/>
      <c r="F87" s="227"/>
      <c r="G87" s="227"/>
    </row>
    <row r="88" spans="1:7">
      <c r="A88" s="1525" t="s">
        <v>1434</v>
      </c>
      <c r="B88" s="1526" t="s">
        <v>1435</v>
      </c>
      <c r="C88" s="227"/>
      <c r="D88" s="227"/>
      <c r="E88" s="227"/>
      <c r="F88" s="227"/>
      <c r="G88" s="227"/>
    </row>
    <row r="89" spans="1:7">
      <c r="A89" s="1530" t="s">
        <v>1436</v>
      </c>
      <c r="B89" t="s">
        <v>1437</v>
      </c>
      <c r="C89" s="1214">
        <v>0.63224723725967402</v>
      </c>
      <c r="D89" s="1214">
        <v>0.87675021181139867</v>
      </c>
      <c r="E89" s="1214">
        <v>2.9323789664798681</v>
      </c>
      <c r="F89" s="1214">
        <v>2.7676156747716441</v>
      </c>
      <c r="G89" s="1523">
        <v>0.82159493756605451</v>
      </c>
    </row>
    <row r="90" spans="1:7">
      <c r="A90" s="1527" t="s">
        <v>1438</v>
      </c>
      <c r="B90" s="10" t="s">
        <v>1439</v>
      </c>
      <c r="C90" s="1214">
        <v>0.84813424045353047</v>
      </c>
      <c r="D90" s="1214">
        <v>1.3990184844936182</v>
      </c>
      <c r="E90" s="1529">
        <v>3.399324882240542</v>
      </c>
      <c r="F90" s="1214">
        <v>2.9381764558602566</v>
      </c>
      <c r="G90" s="1523">
        <v>1.1704739044778132</v>
      </c>
    </row>
    <row r="91" spans="1:7">
      <c r="A91" s="1524" t="s">
        <v>1440</v>
      </c>
      <c r="B91" s="10" t="s">
        <v>1441</v>
      </c>
      <c r="C91" s="227"/>
      <c r="D91" s="227"/>
      <c r="E91" s="227"/>
      <c r="F91" s="227"/>
      <c r="G91" s="227"/>
    </row>
    <row r="92" spans="1:7">
      <c r="A92" s="1524" t="s">
        <v>1442</v>
      </c>
      <c r="B92" t="s">
        <v>1443</v>
      </c>
      <c r="C92" s="1214">
        <v>0.49833754031692484</v>
      </c>
      <c r="D92" s="1214">
        <v>0.79823198386182959</v>
      </c>
      <c r="E92" s="1214">
        <v>2.9323789664798681</v>
      </c>
      <c r="F92" s="1214">
        <v>2.9381764558602566</v>
      </c>
      <c r="G92" s="1523">
        <v>0.85698226307429737</v>
      </c>
    </row>
    <row r="93" spans="1:7">
      <c r="A93" s="1525" t="s">
        <v>1444</v>
      </c>
      <c r="B93" s="1526" t="s">
        <v>1445</v>
      </c>
      <c r="C93" s="1523"/>
      <c r="D93" s="1523"/>
      <c r="E93" s="1523"/>
      <c r="F93" s="1523"/>
      <c r="G93" s="1523"/>
    </row>
    <row r="94" spans="1:7">
      <c r="A94" s="1524" t="s">
        <v>1446</v>
      </c>
      <c r="B94" t="s">
        <v>1447</v>
      </c>
      <c r="C94" s="1214">
        <v>0.84813424045353047</v>
      </c>
      <c r="D94" s="1214">
        <v>1.0845788255249693</v>
      </c>
      <c r="E94" s="1214">
        <v>1.4597833437439225</v>
      </c>
      <c r="F94" s="1214">
        <v>3.1256203051170219</v>
      </c>
      <c r="G94" s="1523">
        <v>1.2759667811134687</v>
      </c>
    </row>
    <row r="95" spans="1:7">
      <c r="A95" s="1527" t="s">
        <v>1448</v>
      </c>
      <c r="B95" t="s">
        <v>1449</v>
      </c>
      <c r="C95" s="1214">
        <v>0.49833754031692484</v>
      </c>
      <c r="D95" s="1214">
        <v>0.87675021181139867</v>
      </c>
      <c r="E95" s="1214">
        <v>2.3077760272136798</v>
      </c>
      <c r="F95" s="1214">
        <v>3.1256203051170219</v>
      </c>
      <c r="G95" s="1523">
        <v>0.79438001297309957</v>
      </c>
    </row>
    <row r="96" spans="1:7">
      <c r="A96" s="1530" t="s">
        <v>1450</v>
      </c>
      <c r="B96" t="s">
        <v>1451</v>
      </c>
      <c r="C96" s="1529">
        <v>0.90246668300703736</v>
      </c>
      <c r="D96" s="1214">
        <v>1.3990184844936182</v>
      </c>
      <c r="E96" s="1214">
        <v>2.9323789664798681</v>
      </c>
      <c r="F96" s="1214">
        <v>2.9381764558602566</v>
      </c>
      <c r="G96" s="1523">
        <v>1.3079248656898801</v>
      </c>
    </row>
    <row r="97" spans="1:7">
      <c r="A97" s="1524" t="s">
        <v>1452</v>
      </c>
      <c r="B97" s="10" t="s">
        <v>1453</v>
      </c>
      <c r="C97" s="1214">
        <v>0.78234378161025708</v>
      </c>
      <c r="D97" s="1214">
        <v>1.2290874621750383</v>
      </c>
      <c r="E97" s="1214">
        <v>2.3077760272136798</v>
      </c>
      <c r="F97" s="1214">
        <v>3.1256203051170219</v>
      </c>
      <c r="G97" s="1523">
        <v>1.7471224394562539</v>
      </c>
    </row>
    <row r="98" spans="1:7">
      <c r="A98" s="1531" t="s">
        <v>1454</v>
      </c>
      <c r="B98" s="1532" t="s">
        <v>10</v>
      </c>
      <c r="C98" s="227"/>
      <c r="D98" s="227"/>
      <c r="E98" s="227">
        <v>9.4339999999999993</v>
      </c>
      <c r="F98" s="227"/>
      <c r="G98" s="227"/>
    </row>
    <row r="99" spans="1:7">
      <c r="A99" s="1533" t="s">
        <v>1455</v>
      </c>
      <c r="B99" s="1534" t="s">
        <v>1456</v>
      </c>
      <c r="C99" s="227"/>
      <c r="D99" s="227"/>
      <c r="E99" s="227">
        <v>14.151</v>
      </c>
      <c r="F99" s="227"/>
      <c r="G99" s="227"/>
    </row>
    <row r="100" spans="1:7">
      <c r="A100" s="1527" t="s">
        <v>1457</v>
      </c>
      <c r="B100" t="s">
        <v>1458</v>
      </c>
      <c r="C100" s="1214">
        <v>0.63224723725967402</v>
      </c>
      <c r="D100" s="1214">
        <v>0.93742665362039157</v>
      </c>
      <c r="E100" s="1214">
        <v>1.6767731178102689</v>
      </c>
      <c r="F100" s="1529">
        <v>4.9330213205456088</v>
      </c>
      <c r="G100" s="1523">
        <v>0.95396807828885888</v>
      </c>
    </row>
    <row r="101" spans="1:7">
      <c r="A101" s="1535" t="s">
        <v>1459</v>
      </c>
      <c r="B101" s="227" t="s">
        <v>1460</v>
      </c>
      <c r="C101" s="1214">
        <v>0.49833754031692484</v>
      </c>
      <c r="D101" s="1214">
        <v>0.87675021181139867</v>
      </c>
      <c r="E101" s="1214">
        <v>2.3077760272136798</v>
      </c>
      <c r="F101" s="1214">
        <v>2.9381764558602566</v>
      </c>
      <c r="G101" s="1523">
        <v>0.79497927069157726</v>
      </c>
    </row>
    <row r="102" spans="1:7" ht="16.5" thickBot="1">
      <c r="A102" s="1536" t="s">
        <v>1461</v>
      </c>
      <c r="B102" s="433" t="s">
        <v>1462</v>
      </c>
      <c r="C102" s="433"/>
      <c r="D102" s="433"/>
      <c r="E102" s="433"/>
      <c r="F102" s="433"/>
      <c r="G102" s="433"/>
    </row>
    <row r="103" spans="1:7" ht="16.5" thickTop="1"/>
    <row r="104" spans="1:7">
      <c r="B104" t="s">
        <v>1463</v>
      </c>
      <c r="C104" s="1210">
        <f>AVERAGE(C64:C101)</f>
        <v>0.7248636708942261</v>
      </c>
      <c r="D104" s="1210">
        <f t="shared" ref="D104:F104" si="0">AVERAGE(D64:D101)</f>
        <v>1.0936691185547331</v>
      </c>
      <c r="E104" s="1210">
        <v>2.4529223395214443</v>
      </c>
      <c r="F104" s="1210">
        <f t="shared" si="0"/>
        <v>3.0250161825612256</v>
      </c>
    </row>
    <row r="105" spans="1:7">
      <c r="B105" t="s">
        <v>1464</v>
      </c>
      <c r="C105" s="1210">
        <f>MEDIAN(C64:C101)</f>
        <v>0.71321963924010312</v>
      </c>
      <c r="D105" s="1210">
        <f t="shared" ref="D105:F105" si="1">MEDIAN(D64:D101)</f>
        <v>1.0110027395726804</v>
      </c>
      <c r="E105" s="1210">
        <v>2.4138647175284009</v>
      </c>
      <c r="F105" s="1210">
        <f t="shared" si="1"/>
        <v>2.9381764558602566</v>
      </c>
    </row>
    <row r="106" spans="1:7">
      <c r="B106" t="s">
        <v>1465</v>
      </c>
      <c r="C106" s="1210">
        <f>STDEV(C64:C101)</f>
        <v>0.16703859217858863</v>
      </c>
      <c r="D106" s="1210">
        <f t="shared" ref="D106:F106" si="2">STDEV(D64:D101)</f>
        <v>0.25133637650496665</v>
      </c>
      <c r="E106" s="1210">
        <v>0.52890099045332473</v>
      </c>
      <c r="F106" s="1210">
        <f t="shared" si="2"/>
        <v>0.65549359985849098</v>
      </c>
    </row>
    <row r="107" spans="1:7">
      <c r="B107" s="1537" t="s">
        <v>1466</v>
      </c>
      <c r="C107" s="1210">
        <f>C105+2*C106</f>
        <v>1.0472968235972804</v>
      </c>
      <c r="D107" s="1210">
        <f>D105+2*D106</f>
        <v>1.5136754925826137</v>
      </c>
      <c r="E107" s="1210">
        <f>E105+2*E106</f>
        <v>3.4716666984350502</v>
      </c>
      <c r="F107" s="1210">
        <f>F105+2*F106</f>
        <v>4.2491636555772381</v>
      </c>
    </row>
    <row r="108" spans="1:7">
      <c r="B108" s="1537"/>
      <c r="C108" s="1210"/>
      <c r="D108" s="1210"/>
      <c r="E108" s="1210"/>
      <c r="F108" s="1210"/>
    </row>
    <row r="109" spans="1:7">
      <c r="B109" t="s">
        <v>1463</v>
      </c>
      <c r="C109" s="1210">
        <f>AVERAGE(C64:C101)</f>
        <v>0.7248636708942261</v>
      </c>
      <c r="D109" s="1210">
        <f t="shared" ref="D109:F109" si="3">AVERAGE(D64:D101)</f>
        <v>1.0936691185547331</v>
      </c>
      <c r="E109" s="1210">
        <f t="shared" si="3"/>
        <v>3.1713513903274868</v>
      </c>
      <c r="F109" s="1210">
        <f t="shared" si="3"/>
        <v>3.0250161825612256</v>
      </c>
    </row>
    <row r="110" spans="1:7">
      <c r="B110" t="s">
        <v>1464</v>
      </c>
      <c r="C110" s="1210">
        <f>MEDIAN(C64:C101)</f>
        <v>0.71321963924010312</v>
      </c>
      <c r="D110" s="1210">
        <f t="shared" ref="D110:F110" si="4">MEDIAN(D64:D101)</f>
        <v>1.0110027395726804</v>
      </c>
      <c r="E110" s="1210">
        <f t="shared" si="4"/>
        <v>2.5199534078431221</v>
      </c>
      <c r="F110" s="1210">
        <f t="shared" si="4"/>
        <v>2.9381764558602566</v>
      </c>
    </row>
    <row r="111" spans="1:7">
      <c r="B111" t="s">
        <v>1465</v>
      </c>
      <c r="C111" s="1210">
        <f>STDEV(C64:C101)</f>
        <v>0.16703859217858863</v>
      </c>
      <c r="D111" s="1210">
        <f t="shared" ref="D111:F111" si="5">STDEV(D64:D101)</f>
        <v>0.25133637650496665</v>
      </c>
      <c r="E111" s="1210">
        <f t="shared" si="5"/>
        <v>2.672786952619187</v>
      </c>
      <c r="F111" s="1210">
        <f t="shared" si="5"/>
        <v>0.65549359985849098</v>
      </c>
    </row>
    <row r="112" spans="1:7">
      <c r="C112" s="1210">
        <f>C110+2*C111</f>
        <v>1.0472968235972804</v>
      </c>
      <c r="D112" s="1210">
        <f t="shared" ref="D112:F112" si="6">D110+2*D111</f>
        <v>1.5136754925826137</v>
      </c>
      <c r="E112" s="1210">
        <f t="shared" si="6"/>
        <v>7.865527313081496</v>
      </c>
      <c r="F112" s="1210">
        <f t="shared" si="6"/>
        <v>4.2491636555772381</v>
      </c>
    </row>
  </sheetData>
  <mergeCells count="1">
    <mergeCell ref="A61:B61"/>
  </mergeCells>
  <phoneticPr fontId="62" type="noConversion"/>
  <pageMargins left="0.75" right="0.75" top="1" bottom="1" header="0.5" footer="0.5"/>
  <pageSetup scale="77" orientation="portrait" horizontalDpi="4294967292" verticalDpi="429496729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60"/>
  <sheetViews>
    <sheetView workbookViewId="0">
      <selection activeCell="R41" sqref="R41"/>
    </sheetView>
  </sheetViews>
  <sheetFormatPr defaultColWidth="11" defaultRowHeight="15.75"/>
  <cols>
    <col min="1" max="1" width="48" customWidth="1"/>
    <col min="16" max="16" width="13.125" bestFit="1" customWidth="1"/>
    <col min="18" max="18" width="13.5" customWidth="1"/>
  </cols>
  <sheetData>
    <row r="1" spans="1:18">
      <c r="A1" s="10" t="s">
        <v>859</v>
      </c>
      <c r="B1" t="s">
        <v>860</v>
      </c>
    </row>
    <row r="5" spans="1:18" ht="31.5">
      <c r="A5" s="804" t="s">
        <v>812</v>
      </c>
      <c r="B5" s="805"/>
      <c r="C5" s="805"/>
      <c r="D5" s="805"/>
      <c r="E5" s="805"/>
      <c r="F5" s="805"/>
      <c r="G5" s="805"/>
      <c r="H5" s="805"/>
      <c r="I5" s="805"/>
      <c r="J5" s="805"/>
      <c r="K5" s="805"/>
      <c r="L5" s="805"/>
      <c r="M5" s="805"/>
      <c r="N5" s="805"/>
      <c r="O5" s="10" t="s">
        <v>813</v>
      </c>
      <c r="P5" s="10"/>
      <c r="Q5" s="10"/>
      <c r="R5" s="806">
        <v>5</v>
      </c>
    </row>
    <row r="6" spans="1:18" ht="31.5">
      <c r="A6" s="804" t="s">
        <v>814</v>
      </c>
      <c r="B6" s="805"/>
      <c r="C6" s="805"/>
      <c r="D6" s="805"/>
      <c r="E6" s="805"/>
      <c r="F6" s="805"/>
      <c r="G6" s="805"/>
      <c r="H6" s="805"/>
      <c r="I6" s="805"/>
      <c r="J6" s="805"/>
      <c r="K6" s="805"/>
      <c r="L6" s="805"/>
      <c r="M6" s="805"/>
      <c r="N6" s="805"/>
    </row>
    <row r="7" spans="1:18" ht="16.5" thickBot="1"/>
    <row r="8" spans="1:18" ht="15" customHeight="1">
      <c r="A8" s="807"/>
      <c r="B8" s="1658" t="s">
        <v>815</v>
      </c>
      <c r="C8" s="1659"/>
      <c r="D8" s="1658" t="s">
        <v>816</v>
      </c>
      <c r="E8" s="1659"/>
      <c r="F8" s="1658" t="s">
        <v>817</v>
      </c>
      <c r="G8" s="1659"/>
      <c r="H8" s="808" t="s">
        <v>818</v>
      </c>
      <c r="I8" s="808" t="s">
        <v>819</v>
      </c>
      <c r="J8" s="1660" t="s">
        <v>820</v>
      </c>
      <c r="K8" s="809"/>
      <c r="L8" s="1662" t="s">
        <v>821</v>
      </c>
      <c r="M8" s="1656" t="s">
        <v>822</v>
      </c>
      <c r="O8" s="1656" t="s">
        <v>823</v>
      </c>
      <c r="P8" s="1656" t="s">
        <v>824</v>
      </c>
      <c r="R8" s="1656" t="s">
        <v>861</v>
      </c>
    </row>
    <row r="9" spans="1:18" ht="15" customHeight="1">
      <c r="A9" s="810" t="s">
        <v>825</v>
      </c>
      <c r="B9" s="811" t="s">
        <v>826</v>
      </c>
      <c r="C9" s="812" t="s">
        <v>827</v>
      </c>
      <c r="D9" s="811" t="s">
        <v>828</v>
      </c>
      <c r="E9" s="812" t="s">
        <v>829</v>
      </c>
      <c r="F9" s="811" t="s">
        <v>830</v>
      </c>
      <c r="G9" s="812" t="s">
        <v>831</v>
      </c>
      <c r="H9" s="813" t="s">
        <v>465</v>
      </c>
      <c r="I9" s="813" t="s">
        <v>465</v>
      </c>
      <c r="J9" s="1661"/>
      <c r="K9" s="814" t="s">
        <v>832</v>
      </c>
      <c r="L9" s="1663"/>
      <c r="M9" s="1664"/>
      <c r="O9" s="1657"/>
      <c r="P9" s="1657"/>
      <c r="R9" s="1657"/>
    </row>
    <row r="10" spans="1:18">
      <c r="A10" s="815" t="s">
        <v>833</v>
      </c>
      <c r="B10" s="816"/>
      <c r="C10" s="816"/>
      <c r="D10" s="816"/>
      <c r="E10" s="816"/>
      <c r="F10" s="816"/>
      <c r="G10" s="816"/>
      <c r="H10" s="816"/>
      <c r="I10" s="816"/>
      <c r="J10" s="816"/>
      <c r="K10" s="816"/>
      <c r="L10" s="816"/>
      <c r="M10" s="816"/>
      <c r="O10" s="816"/>
      <c r="P10" s="816"/>
      <c r="R10" s="816"/>
    </row>
    <row r="11" spans="1:18">
      <c r="A11" s="815" t="s">
        <v>834</v>
      </c>
      <c r="B11" s="817">
        <v>114390.2243</v>
      </c>
      <c r="C11" s="817">
        <v>107406</v>
      </c>
      <c r="D11" s="817">
        <v>34994.056900000003</v>
      </c>
      <c r="E11" s="817">
        <v>45490.592138738131</v>
      </c>
      <c r="F11" s="817">
        <v>162220.80329999997</v>
      </c>
      <c r="G11" s="817">
        <v>186273.5</v>
      </c>
      <c r="H11" s="817">
        <v>311605.0845</v>
      </c>
      <c r="I11" s="817">
        <v>339170.09213873814</v>
      </c>
      <c r="J11" s="818">
        <v>-8.1271928974983476E-2</v>
      </c>
      <c r="K11" s="817">
        <v>0</v>
      </c>
      <c r="L11" s="819">
        <v>108430.8722</v>
      </c>
      <c r="M11" s="820">
        <v>420035.95670000004</v>
      </c>
      <c r="O11" s="820">
        <f>F11-G11</f>
        <v>-24052.69670000003</v>
      </c>
      <c r="P11" s="820">
        <f>O11*R$5</f>
        <v>-120263.48350000015</v>
      </c>
      <c r="R11" s="820">
        <f>0</f>
        <v>0</v>
      </c>
    </row>
    <row r="12" spans="1:18">
      <c r="A12" s="821"/>
      <c r="B12" s="822"/>
      <c r="C12" s="823"/>
      <c r="D12" s="822"/>
      <c r="E12" s="823"/>
      <c r="F12" s="822"/>
      <c r="G12" s="823"/>
      <c r="H12" s="823"/>
      <c r="I12" s="824"/>
      <c r="J12" s="825"/>
      <c r="K12" s="826"/>
      <c r="L12" s="823"/>
      <c r="M12" s="827"/>
      <c r="O12" s="827"/>
      <c r="P12" s="827"/>
      <c r="R12" s="827"/>
    </row>
    <row r="13" spans="1:18">
      <c r="A13" s="828" t="s">
        <v>835</v>
      </c>
      <c r="B13" s="829"/>
      <c r="C13" s="829"/>
      <c r="D13" s="829"/>
      <c r="E13" s="829"/>
      <c r="F13" s="829"/>
      <c r="G13" s="829"/>
      <c r="H13" s="829"/>
      <c r="I13" s="829"/>
      <c r="J13" s="829"/>
      <c r="K13" s="829"/>
      <c r="L13" s="829"/>
      <c r="M13" s="829"/>
      <c r="O13" s="829"/>
      <c r="P13" s="829"/>
      <c r="R13" s="829"/>
    </row>
    <row r="14" spans="1:18">
      <c r="A14" s="830" t="s">
        <v>836</v>
      </c>
      <c r="B14" s="831">
        <v>16487.25</v>
      </c>
      <c r="C14" s="832">
        <v>23887</v>
      </c>
      <c r="D14" s="833">
        <v>2813</v>
      </c>
      <c r="E14" s="832">
        <v>0</v>
      </c>
      <c r="F14" s="834">
        <v>0</v>
      </c>
      <c r="G14" s="832">
        <v>4448.5</v>
      </c>
      <c r="H14" s="835">
        <v>19300.25</v>
      </c>
      <c r="I14" s="836">
        <v>28335.5</v>
      </c>
      <c r="J14" s="837">
        <v>-0.31886679253939409</v>
      </c>
      <c r="K14" s="838">
        <v>0</v>
      </c>
      <c r="L14" s="832">
        <v>7441.52</v>
      </c>
      <c r="M14" s="839">
        <v>26741.77</v>
      </c>
      <c r="O14" s="839">
        <f>F14-G14</f>
        <v>-4448.5</v>
      </c>
      <c r="P14" s="839">
        <f>O14*R$5</f>
        <v>-22242.5</v>
      </c>
      <c r="R14" s="820">
        <f>0</f>
        <v>0</v>
      </c>
    </row>
    <row r="15" spans="1:18">
      <c r="A15" s="821"/>
      <c r="B15" s="822"/>
      <c r="C15" s="823"/>
      <c r="D15" s="822"/>
      <c r="E15" s="823"/>
      <c r="F15" s="822"/>
      <c r="G15" s="823"/>
      <c r="H15" s="823"/>
      <c r="I15" s="824"/>
      <c r="J15" s="825"/>
      <c r="K15" s="826"/>
      <c r="L15" s="823"/>
      <c r="M15" s="827"/>
      <c r="O15" s="827"/>
      <c r="P15" s="827"/>
      <c r="R15" s="827"/>
    </row>
    <row r="16" spans="1:18">
      <c r="A16" s="840" t="s">
        <v>837</v>
      </c>
      <c r="B16" s="841"/>
      <c r="C16" s="841"/>
      <c r="D16" s="841"/>
      <c r="E16" s="841"/>
      <c r="F16" s="841"/>
      <c r="G16" s="841"/>
      <c r="H16" s="841"/>
      <c r="I16" s="841"/>
      <c r="J16" s="841"/>
      <c r="K16" s="841"/>
      <c r="L16" s="841"/>
      <c r="M16" s="841"/>
      <c r="O16" s="841"/>
      <c r="P16" s="841"/>
      <c r="R16" s="841"/>
    </row>
    <row r="17" spans="1:18">
      <c r="A17" s="842" t="s">
        <v>838</v>
      </c>
      <c r="B17" s="843">
        <v>16687</v>
      </c>
      <c r="C17" s="843">
        <v>15345</v>
      </c>
      <c r="D17" s="843">
        <v>1315</v>
      </c>
      <c r="E17" s="843">
        <v>472.24813432835816</v>
      </c>
      <c r="F17" s="843">
        <v>0</v>
      </c>
      <c r="G17" s="843">
        <v>5145</v>
      </c>
      <c r="H17" s="843">
        <v>18002</v>
      </c>
      <c r="I17" s="843">
        <v>20962.248134328358</v>
      </c>
      <c r="J17" s="844">
        <v>-0.14121806570358142</v>
      </c>
      <c r="K17" s="845">
        <v>0</v>
      </c>
      <c r="L17" s="846">
        <v>4585</v>
      </c>
      <c r="M17" s="847">
        <v>22587</v>
      </c>
      <c r="O17" s="847">
        <f>F17-G17</f>
        <v>-5145</v>
      </c>
      <c r="P17" s="847">
        <f>O17*R$5</f>
        <v>-25725</v>
      </c>
      <c r="R17" s="820">
        <f>0</f>
        <v>0</v>
      </c>
    </row>
    <row r="18" spans="1:18">
      <c r="A18" s="821"/>
      <c r="B18" s="822"/>
      <c r="C18" s="823"/>
      <c r="D18" s="822"/>
      <c r="E18" s="823"/>
      <c r="F18" s="822"/>
      <c r="G18" s="823"/>
      <c r="H18" s="823"/>
      <c r="I18" s="824"/>
      <c r="J18" s="825"/>
      <c r="K18" s="826"/>
      <c r="L18" s="823"/>
      <c r="M18" s="827"/>
      <c r="O18" s="827"/>
      <c r="P18" s="827"/>
      <c r="R18" s="827"/>
    </row>
    <row r="19" spans="1:18">
      <c r="A19" s="848" t="s">
        <v>839</v>
      </c>
      <c r="B19" s="849"/>
      <c r="C19" s="849"/>
      <c r="D19" s="849"/>
      <c r="E19" s="849"/>
      <c r="F19" s="849"/>
      <c r="G19" s="849"/>
      <c r="H19" s="849"/>
      <c r="I19" s="849"/>
      <c r="J19" s="849"/>
      <c r="K19" s="849"/>
      <c r="L19" s="849"/>
      <c r="M19" s="849"/>
      <c r="O19" s="849"/>
      <c r="P19" s="849"/>
      <c r="R19" s="849"/>
    </row>
    <row r="20" spans="1:18">
      <c r="A20" s="850" t="s">
        <v>840</v>
      </c>
      <c r="B20" s="851">
        <v>104167.5098</v>
      </c>
      <c r="C20" s="851">
        <v>85765.5</v>
      </c>
      <c r="D20" s="851">
        <v>52452.338100000001</v>
      </c>
      <c r="E20" s="851">
        <v>54928.969131614649</v>
      </c>
      <c r="F20" s="851">
        <v>63419.772799999999</v>
      </c>
      <c r="G20" s="851">
        <v>144965</v>
      </c>
      <c r="H20" s="851">
        <v>220039.6207</v>
      </c>
      <c r="I20" s="851">
        <v>285659.46913161466</v>
      </c>
      <c r="J20" s="852">
        <v>-0.22971354190041215</v>
      </c>
      <c r="K20" s="851">
        <v>146.35130000000001</v>
      </c>
      <c r="L20" s="851">
        <v>66010.582599999994</v>
      </c>
      <c r="M20" s="853">
        <v>286196.55460000003</v>
      </c>
      <c r="O20" s="853">
        <f>F20-G20</f>
        <v>-81545.227199999994</v>
      </c>
      <c r="P20" s="853">
        <f>O20*R$5</f>
        <v>-407726.13599999994</v>
      </c>
      <c r="R20" s="820">
        <f>0</f>
        <v>0</v>
      </c>
    </row>
    <row r="21" spans="1:18">
      <c r="A21" s="821"/>
      <c r="B21" s="822"/>
      <c r="C21" s="823"/>
      <c r="D21" s="822"/>
      <c r="E21" s="823"/>
      <c r="F21" s="822"/>
      <c r="G21" s="823"/>
      <c r="H21" s="823"/>
      <c r="I21" s="824"/>
      <c r="J21" s="825"/>
      <c r="K21" s="826"/>
      <c r="L21" s="823"/>
      <c r="M21" s="827"/>
      <c r="O21" s="827"/>
      <c r="P21" s="827"/>
      <c r="R21" s="827"/>
    </row>
    <row r="22" spans="1:18">
      <c r="A22" s="854" t="s">
        <v>841</v>
      </c>
      <c r="B22" s="855"/>
      <c r="C22" s="855"/>
      <c r="D22" s="855"/>
      <c r="E22" s="855"/>
      <c r="F22" s="855"/>
      <c r="G22" s="855"/>
      <c r="H22" s="855"/>
      <c r="I22" s="855"/>
      <c r="J22" s="855"/>
      <c r="K22" s="855"/>
      <c r="L22" s="855"/>
      <c r="M22" s="855"/>
      <c r="O22" s="855"/>
      <c r="P22" s="855"/>
      <c r="R22" s="855"/>
    </row>
    <row r="23" spans="1:18">
      <c r="A23" s="854" t="s">
        <v>842</v>
      </c>
      <c r="B23" s="856">
        <v>14971.5</v>
      </c>
      <c r="C23" s="856">
        <v>42571.25</v>
      </c>
      <c r="D23" s="856">
        <v>12459</v>
      </c>
      <c r="E23" s="856">
        <v>13863.583361601086</v>
      </c>
      <c r="F23" s="856">
        <v>53424</v>
      </c>
      <c r="G23" s="856">
        <v>74417.5</v>
      </c>
      <c r="H23" s="856">
        <v>105414.5</v>
      </c>
      <c r="I23" s="856">
        <v>130852.33336160108</v>
      </c>
      <c r="J23" s="857">
        <v>-0.19440106804443025</v>
      </c>
      <c r="K23" s="856">
        <v>0</v>
      </c>
      <c r="L23" s="856">
        <v>44965.599999999999</v>
      </c>
      <c r="M23" s="858">
        <v>150380.1</v>
      </c>
      <c r="O23" s="858">
        <f>F23-G23</f>
        <v>-20993.5</v>
      </c>
      <c r="P23" s="858">
        <f>O23*R$5</f>
        <v>-104967.5</v>
      </c>
      <c r="R23" s="820">
        <f>0</f>
        <v>0</v>
      </c>
    </row>
    <row r="24" spans="1:18">
      <c r="A24" s="859"/>
      <c r="B24" s="860"/>
      <c r="C24" s="860"/>
      <c r="D24" s="860"/>
      <c r="E24" s="860"/>
      <c r="F24" s="860"/>
      <c r="G24" s="860"/>
      <c r="H24" s="860"/>
      <c r="I24" s="860"/>
      <c r="J24" s="860"/>
      <c r="K24" s="860"/>
      <c r="L24" s="860"/>
      <c r="M24" s="860"/>
      <c r="O24" s="860"/>
      <c r="P24" s="860"/>
      <c r="R24" s="860"/>
    </row>
    <row r="25" spans="1:18">
      <c r="A25" s="861" t="s">
        <v>843</v>
      </c>
      <c r="B25" s="862"/>
      <c r="C25" s="862"/>
      <c r="D25" s="862"/>
      <c r="E25" s="862"/>
      <c r="F25" s="862"/>
      <c r="G25" s="862"/>
      <c r="H25" s="862"/>
      <c r="I25" s="862"/>
      <c r="J25" s="862"/>
      <c r="K25" s="862"/>
      <c r="L25" s="862"/>
      <c r="M25" s="862"/>
      <c r="O25" s="862"/>
      <c r="P25" s="862"/>
      <c r="R25" s="862"/>
    </row>
    <row r="26" spans="1:18">
      <c r="A26" s="863" t="s">
        <v>844</v>
      </c>
      <c r="B26" s="864">
        <v>50252.142500000002</v>
      </c>
      <c r="C26" s="864">
        <v>59589.5</v>
      </c>
      <c r="D26" s="864">
        <v>18979.125</v>
      </c>
      <c r="E26" s="864">
        <v>30667.26912313432</v>
      </c>
      <c r="F26" s="864">
        <v>16714.655299999999</v>
      </c>
      <c r="G26" s="864">
        <v>42091</v>
      </c>
      <c r="H26" s="864">
        <v>85945.9228</v>
      </c>
      <c r="I26" s="864">
        <v>132347.76912313432</v>
      </c>
      <c r="J26" s="865">
        <v>-0.35060542864128486</v>
      </c>
      <c r="K26" s="864">
        <v>0</v>
      </c>
      <c r="L26" s="864">
        <v>111131.30170000001</v>
      </c>
      <c r="M26" s="866">
        <v>197077.22449999998</v>
      </c>
      <c r="O26" s="866">
        <f>F26-G26</f>
        <v>-25376.344700000001</v>
      </c>
      <c r="P26" s="866">
        <f>O26*R$5</f>
        <v>-126881.72350000001</v>
      </c>
      <c r="R26" s="820">
        <f>0</f>
        <v>0</v>
      </c>
    </row>
    <row r="27" spans="1:18">
      <c r="A27" s="867"/>
      <c r="B27" s="868"/>
      <c r="C27" s="868"/>
      <c r="D27" s="868"/>
      <c r="E27" s="868"/>
      <c r="F27" s="868"/>
      <c r="G27" s="868"/>
      <c r="H27" s="868"/>
      <c r="I27" s="868"/>
      <c r="J27" s="869"/>
      <c r="K27" s="868"/>
      <c r="L27" s="868"/>
      <c r="M27" s="868"/>
      <c r="O27" s="868"/>
      <c r="P27" s="868"/>
      <c r="R27" s="868"/>
    </row>
    <row r="28" spans="1:18">
      <c r="A28" s="870" t="s">
        <v>845</v>
      </c>
      <c r="B28" s="871"/>
      <c r="C28" s="871"/>
      <c r="D28" s="871"/>
      <c r="E28" s="871"/>
      <c r="F28" s="871"/>
      <c r="G28" s="871"/>
      <c r="H28" s="871"/>
      <c r="I28" s="871"/>
      <c r="J28" s="871"/>
      <c r="K28" s="871"/>
      <c r="L28" s="871"/>
      <c r="M28" s="871"/>
      <c r="O28" s="871"/>
      <c r="P28" s="871"/>
      <c r="R28" s="871"/>
    </row>
    <row r="29" spans="1:18">
      <c r="A29" s="872" t="s">
        <v>846</v>
      </c>
      <c r="B29" s="873">
        <v>59032.596000000005</v>
      </c>
      <c r="C29" s="873">
        <v>71094.25</v>
      </c>
      <c r="D29" s="873">
        <v>35376.195999999996</v>
      </c>
      <c r="E29" s="873">
        <v>6195.5139077340573</v>
      </c>
      <c r="F29" s="873">
        <v>2610</v>
      </c>
      <c r="G29" s="874">
        <v>26525.25</v>
      </c>
      <c r="H29" s="874">
        <v>97018.791999999987</v>
      </c>
      <c r="I29" s="874">
        <v>103815.01390773406</v>
      </c>
      <c r="J29" s="875">
        <v>-6.5464730503954183E-2</v>
      </c>
      <c r="K29" s="874">
        <v>21</v>
      </c>
      <c r="L29" s="874">
        <v>35834.008300000001</v>
      </c>
      <c r="M29" s="876">
        <v>132873.8003</v>
      </c>
      <c r="O29" s="876">
        <f>F29-G29</f>
        <v>-23915.25</v>
      </c>
      <c r="P29" s="876">
        <f>O29*R$5</f>
        <v>-119576.25</v>
      </c>
      <c r="R29" s="820">
        <f>0</f>
        <v>0</v>
      </c>
    </row>
    <row r="30" spans="1:18">
      <c r="A30" s="821"/>
      <c r="B30" s="822"/>
      <c r="C30" s="823"/>
      <c r="D30" s="822"/>
      <c r="E30" s="823"/>
      <c r="F30" s="822"/>
      <c r="G30" s="823"/>
      <c r="H30" s="823"/>
      <c r="I30" s="824"/>
      <c r="J30" s="825"/>
      <c r="K30" s="826"/>
      <c r="L30" s="823"/>
      <c r="M30" s="827"/>
      <c r="O30" s="827"/>
      <c r="P30" s="827"/>
      <c r="R30" s="827"/>
    </row>
    <row r="31" spans="1:18">
      <c r="A31" s="877" t="s">
        <v>847</v>
      </c>
      <c r="B31" s="878"/>
      <c r="C31" s="878"/>
      <c r="D31" s="878"/>
      <c r="E31" s="878"/>
      <c r="F31" s="878"/>
      <c r="G31" s="878"/>
      <c r="H31" s="878"/>
      <c r="I31" s="878"/>
      <c r="J31" s="878"/>
      <c r="K31" s="878"/>
      <c r="L31" s="878"/>
      <c r="M31" s="878"/>
      <c r="O31" s="878"/>
      <c r="P31" s="878"/>
      <c r="R31" s="878"/>
    </row>
    <row r="32" spans="1:18">
      <c r="A32" s="879" t="s">
        <v>848</v>
      </c>
      <c r="B32" s="880">
        <v>47172.862300000001</v>
      </c>
      <c r="C32" s="880">
        <v>48077.25</v>
      </c>
      <c r="D32" s="880">
        <v>10356.656800000001</v>
      </c>
      <c r="E32" s="880">
        <v>14936.50356173677</v>
      </c>
      <c r="F32" s="880">
        <v>46689.627499999995</v>
      </c>
      <c r="G32" s="880">
        <v>106145</v>
      </c>
      <c r="H32" s="880">
        <v>104219.14660000001</v>
      </c>
      <c r="I32" s="880">
        <v>169158.75356173678</v>
      </c>
      <c r="J32" s="881">
        <v>-0.3838974075795385</v>
      </c>
      <c r="K32" s="880">
        <v>526</v>
      </c>
      <c r="L32" s="880">
        <v>25041.861700000001</v>
      </c>
      <c r="M32" s="880">
        <v>129787.0083</v>
      </c>
      <c r="O32" s="880">
        <f>F32-G32</f>
        <v>-59455.372500000005</v>
      </c>
      <c r="P32" s="880">
        <f>O32*R$5</f>
        <v>-297276.86250000005</v>
      </c>
      <c r="R32" s="820">
        <f>0</f>
        <v>0</v>
      </c>
    </row>
    <row r="33" spans="1:18">
      <c r="A33" s="859"/>
      <c r="B33" s="860"/>
      <c r="C33" s="860"/>
      <c r="D33" s="860"/>
      <c r="E33" s="860"/>
      <c r="F33" s="860"/>
      <c r="G33" s="860"/>
      <c r="H33" s="860"/>
      <c r="I33" s="860"/>
      <c r="J33" s="860"/>
      <c r="K33" s="860"/>
      <c r="L33" s="860"/>
      <c r="M33" s="860"/>
      <c r="O33" s="860"/>
      <c r="P33" s="860"/>
      <c r="R33" s="860"/>
    </row>
    <row r="34" spans="1:18">
      <c r="A34" s="882" t="s">
        <v>849</v>
      </c>
      <c r="B34" s="883"/>
      <c r="C34" s="883"/>
      <c r="D34" s="883"/>
      <c r="E34" s="883"/>
      <c r="F34" s="883"/>
      <c r="G34" s="883"/>
      <c r="H34" s="883"/>
      <c r="I34" s="883"/>
      <c r="J34" s="883"/>
      <c r="K34" s="883"/>
      <c r="L34" s="883"/>
      <c r="M34" s="883"/>
      <c r="O34" s="883"/>
      <c r="P34" s="883"/>
      <c r="R34" s="883"/>
    </row>
    <row r="35" spans="1:18">
      <c r="A35" s="884" t="s">
        <v>850</v>
      </c>
      <c r="B35" s="831">
        <v>7264.04</v>
      </c>
      <c r="C35" s="832">
        <v>15397.750000000002</v>
      </c>
      <c r="D35" s="833">
        <v>2422</v>
      </c>
      <c r="E35" s="832">
        <v>12650.41977611939</v>
      </c>
      <c r="F35" s="833">
        <v>17210.394700000001</v>
      </c>
      <c r="G35" s="832">
        <v>28315.000000000004</v>
      </c>
      <c r="H35" s="885">
        <v>26896.434700000002</v>
      </c>
      <c r="I35" s="886">
        <v>56363.169776119394</v>
      </c>
      <c r="J35" s="887">
        <v>-0.52280124047608489</v>
      </c>
      <c r="K35" s="838">
        <v>49</v>
      </c>
      <c r="L35" s="832">
        <v>2460</v>
      </c>
      <c r="M35" s="839">
        <v>29405.434700000002</v>
      </c>
      <c r="O35" s="839">
        <f>F35-G35</f>
        <v>-11104.605300000003</v>
      </c>
      <c r="P35" s="839">
        <f>O35*R$5</f>
        <v>-55523.026500000014</v>
      </c>
      <c r="R35" s="820">
        <f>0</f>
        <v>0</v>
      </c>
    </row>
    <row r="36" spans="1:18">
      <c r="A36" s="859"/>
      <c r="B36" s="860"/>
      <c r="C36" s="860"/>
      <c r="D36" s="860"/>
      <c r="E36" s="860"/>
      <c r="F36" s="860"/>
      <c r="G36" s="860"/>
      <c r="H36" s="860"/>
      <c r="I36" s="860"/>
      <c r="J36" s="860"/>
      <c r="K36" s="860"/>
      <c r="L36" s="860"/>
      <c r="M36" s="860"/>
      <c r="O36" s="860"/>
      <c r="P36" s="860"/>
      <c r="R36" s="860"/>
    </row>
    <row r="37" spans="1:18">
      <c r="A37" s="888" t="s">
        <v>851</v>
      </c>
      <c r="B37" s="889"/>
      <c r="C37" s="889"/>
      <c r="D37" s="889"/>
      <c r="E37" s="889"/>
      <c r="F37" s="889"/>
      <c r="G37" s="889"/>
      <c r="H37" s="889"/>
      <c r="I37" s="889"/>
      <c r="J37" s="889"/>
      <c r="K37" s="889"/>
      <c r="L37" s="889"/>
      <c r="M37" s="889"/>
      <c r="O37" s="889"/>
      <c r="P37" s="889"/>
      <c r="R37" s="889"/>
    </row>
    <row r="38" spans="1:18">
      <c r="A38" s="890" t="s">
        <v>852</v>
      </c>
      <c r="B38" s="891">
        <v>82006.090300000011</v>
      </c>
      <c r="C38" s="891">
        <v>64635.25</v>
      </c>
      <c r="D38" s="891">
        <v>57964.2497</v>
      </c>
      <c r="E38" s="891">
        <v>110256.39734565807</v>
      </c>
      <c r="F38" s="891">
        <v>160316.85129999998</v>
      </c>
      <c r="G38" s="892">
        <v>120758.25</v>
      </c>
      <c r="H38" s="892">
        <v>300287.19129999995</v>
      </c>
      <c r="I38" s="892">
        <v>295649.89734565804</v>
      </c>
      <c r="J38" s="893">
        <v>1.5685085623149186E-2</v>
      </c>
      <c r="K38" s="892">
        <v>42.84</v>
      </c>
      <c r="L38" s="892">
        <v>51246.244900000005</v>
      </c>
      <c r="M38" s="894">
        <v>351576.27620000002</v>
      </c>
      <c r="O38" s="894">
        <f>F38-G38</f>
        <v>39558.60129999998</v>
      </c>
      <c r="P38" s="894">
        <f>O38*R$5</f>
        <v>197793.0064999999</v>
      </c>
      <c r="R38" s="820">
        <f>0</f>
        <v>0</v>
      </c>
    </row>
    <row r="39" spans="1:18">
      <c r="A39" s="859"/>
      <c r="B39" s="860"/>
      <c r="C39" s="860"/>
      <c r="D39" s="860"/>
      <c r="E39" s="860"/>
      <c r="F39" s="860"/>
      <c r="G39" s="860"/>
      <c r="H39" s="860"/>
      <c r="I39" s="860"/>
      <c r="J39" s="860"/>
      <c r="K39" s="860"/>
      <c r="L39" s="860"/>
      <c r="M39" s="860"/>
      <c r="O39" s="860"/>
      <c r="P39" s="860"/>
      <c r="R39" s="860"/>
    </row>
    <row r="40" spans="1:18">
      <c r="A40" s="895" t="s">
        <v>853</v>
      </c>
      <c r="B40" s="896"/>
      <c r="C40" s="896"/>
      <c r="D40" s="896"/>
      <c r="E40" s="896"/>
      <c r="F40" s="896"/>
      <c r="G40" s="896"/>
      <c r="H40" s="896"/>
      <c r="I40" s="896"/>
      <c r="J40" s="896"/>
      <c r="K40" s="896"/>
      <c r="L40" s="896"/>
      <c r="M40" s="896"/>
      <c r="O40" s="896"/>
      <c r="P40" s="896"/>
      <c r="R40" s="896"/>
    </row>
    <row r="41" spans="1:18">
      <c r="A41" s="897" t="s">
        <v>854</v>
      </c>
      <c r="B41" s="898">
        <v>20699</v>
      </c>
      <c r="C41" s="899">
        <v>27043.500000000004</v>
      </c>
      <c r="D41" s="900">
        <v>17042</v>
      </c>
      <c r="E41" s="899">
        <v>22248.134328358203</v>
      </c>
      <c r="F41" s="900">
        <v>22460</v>
      </c>
      <c r="G41" s="899">
        <v>31045</v>
      </c>
      <c r="H41" s="901">
        <v>60201</v>
      </c>
      <c r="I41" s="902">
        <v>80336.63432835821</v>
      </c>
      <c r="J41" s="903">
        <v>-0.25064075059527968</v>
      </c>
      <c r="K41" s="904">
        <v>0</v>
      </c>
      <c r="L41" s="899">
        <v>21508</v>
      </c>
      <c r="M41" s="905">
        <v>81709</v>
      </c>
      <c r="O41" s="905">
        <f>F41-G41</f>
        <v>-8585</v>
      </c>
      <c r="P41" s="905">
        <f>O41*R$5</f>
        <v>-42925</v>
      </c>
      <c r="R41" s="820">
        <f>0</f>
        <v>0</v>
      </c>
    </row>
    <row r="42" spans="1:18">
      <c r="A42" s="859"/>
      <c r="B42" s="860"/>
      <c r="C42" s="860"/>
      <c r="D42" s="860"/>
      <c r="E42" s="860"/>
      <c r="F42" s="860"/>
      <c r="G42" s="860"/>
      <c r="H42" s="860"/>
      <c r="I42" s="906"/>
      <c r="J42" s="860"/>
      <c r="K42" s="860"/>
      <c r="L42" s="860"/>
      <c r="M42" s="860"/>
      <c r="O42" s="860"/>
      <c r="P42" s="860"/>
      <c r="R42" s="860"/>
    </row>
    <row r="43" spans="1:18">
      <c r="A43" s="907" t="s">
        <v>855</v>
      </c>
      <c r="B43" s="908">
        <v>592162.8112</v>
      </c>
      <c r="C43" s="908">
        <v>631906.5</v>
      </c>
      <c r="D43" s="908">
        <v>281549.81849999994</v>
      </c>
      <c r="E43" s="908">
        <v>317905.14471675712</v>
      </c>
      <c r="F43" s="908">
        <v>547676.10489999992</v>
      </c>
      <c r="G43" s="908">
        <v>796654.25</v>
      </c>
      <c r="H43" s="908">
        <v>1421388.7345999999</v>
      </c>
      <c r="I43" s="908">
        <v>1746465.8947167571</v>
      </c>
      <c r="J43" s="909">
        <v>-0.18613427327733678</v>
      </c>
      <c r="K43" s="910">
        <v>806.19130000000007</v>
      </c>
      <c r="L43" s="908">
        <v>514488.99969999993</v>
      </c>
      <c r="M43" s="908">
        <v>1961243.9256</v>
      </c>
      <c r="O43" s="908">
        <f>SUM(O11:O41)</f>
        <v>-225062.89510000002</v>
      </c>
      <c r="P43" s="908">
        <f>SUM(P11:P41)</f>
        <v>-1125314.4755000002</v>
      </c>
      <c r="R43" s="908">
        <f>SUM(R11:R41)</f>
        <v>0</v>
      </c>
    </row>
    <row r="44" spans="1:18">
      <c r="A44" s="911"/>
      <c r="B44" s="868"/>
      <c r="C44" s="868"/>
      <c r="D44" s="868"/>
      <c r="E44" s="868"/>
      <c r="F44" s="868"/>
      <c r="G44" s="868"/>
      <c r="H44" s="868"/>
      <c r="I44" s="868"/>
      <c r="J44" s="912"/>
      <c r="K44" s="868"/>
      <c r="L44" s="868"/>
      <c r="M44" s="868"/>
    </row>
    <row r="45" spans="1:18">
      <c r="A45" s="913"/>
      <c r="B45" s="914"/>
      <c r="C45" s="914">
        <v>39743.688800000004</v>
      </c>
      <c r="D45" s="914"/>
      <c r="E45" s="914">
        <v>36355.326216757181</v>
      </c>
      <c r="F45" s="914"/>
      <c r="G45" s="914">
        <v>248978.14510000008</v>
      </c>
      <c r="H45" s="914"/>
      <c r="I45" s="914">
        <v>325077.16011675727</v>
      </c>
      <c r="J45" s="912"/>
      <c r="K45" s="914"/>
      <c r="L45" s="914"/>
      <c r="M45" s="914"/>
    </row>
    <row r="46" spans="1:18">
      <c r="A46" s="913"/>
      <c r="B46" s="914"/>
      <c r="C46" s="915">
        <v>0.12225924696070727</v>
      </c>
      <c r="D46" s="914"/>
      <c r="E46" s="915">
        <v>0.11183599058051177</v>
      </c>
      <c r="F46" s="914"/>
      <c r="G46" s="915">
        <v>0.76590476245878092</v>
      </c>
      <c r="H46" s="914"/>
      <c r="I46" s="914">
        <v>455108.02416346013</v>
      </c>
      <c r="J46" s="912"/>
      <c r="K46" s="914"/>
      <c r="L46" s="914"/>
      <c r="M46" s="914"/>
    </row>
    <row r="47" spans="1:18">
      <c r="A47" s="916" t="s">
        <v>856</v>
      </c>
      <c r="B47" s="860"/>
      <c r="C47" s="860"/>
      <c r="D47" s="860"/>
      <c r="E47" s="860"/>
      <c r="F47" s="860"/>
      <c r="G47" s="860"/>
      <c r="H47" s="860"/>
      <c r="I47" s="917"/>
      <c r="J47" s="860"/>
      <c r="K47" s="860"/>
      <c r="L47" s="860"/>
      <c r="M47" s="860"/>
    </row>
    <row r="48" spans="1:18">
      <c r="A48" s="916" t="s">
        <v>857</v>
      </c>
      <c r="B48" s="860"/>
      <c r="C48" s="860"/>
      <c r="D48" s="860"/>
      <c r="E48" s="860"/>
      <c r="F48" s="860"/>
      <c r="G48" s="860"/>
      <c r="H48" s="860"/>
      <c r="I48" s="860"/>
      <c r="J48" s="860"/>
      <c r="K48" s="860"/>
      <c r="L48" s="860"/>
      <c r="M48" s="860"/>
    </row>
    <row r="49" spans="1:13">
      <c r="A49" s="916" t="s">
        <v>858</v>
      </c>
      <c r="B49" s="860"/>
      <c r="C49" s="860"/>
      <c r="D49" s="860"/>
      <c r="E49" s="860"/>
      <c r="F49" s="860"/>
      <c r="G49" s="860"/>
      <c r="H49" s="860"/>
      <c r="I49" s="860"/>
      <c r="J49" s="860"/>
      <c r="K49" s="860"/>
      <c r="L49" s="860"/>
      <c r="M49" s="860"/>
    </row>
    <row r="50" spans="1:13">
      <c r="A50" s="860"/>
      <c r="B50" s="860"/>
      <c r="C50" s="860"/>
      <c r="D50" s="860"/>
      <c r="E50" s="860"/>
      <c r="F50" s="860"/>
      <c r="G50" s="860"/>
      <c r="H50" s="860"/>
      <c r="I50" s="860"/>
      <c r="J50" s="860"/>
      <c r="K50" s="860"/>
      <c r="L50" s="860"/>
      <c r="M50" s="860"/>
    </row>
    <row r="51" spans="1:13">
      <c r="A51" s="918"/>
      <c r="B51" s="919"/>
      <c r="C51" s="920"/>
      <c r="D51" s="921"/>
      <c r="E51" s="906"/>
      <c r="F51" s="921"/>
      <c r="G51" s="860"/>
      <c r="H51" s="860"/>
      <c r="I51" s="860"/>
      <c r="J51" s="860"/>
      <c r="K51" s="860"/>
      <c r="L51" s="860"/>
      <c r="M51" s="860"/>
    </row>
    <row r="52" spans="1:13">
      <c r="A52" s="918"/>
      <c r="B52" s="860"/>
      <c r="C52" s="860"/>
      <c r="D52" s="860"/>
      <c r="E52" s="860"/>
      <c r="F52" s="860"/>
      <c r="G52" s="860"/>
      <c r="H52" s="860"/>
      <c r="I52" s="860"/>
      <c r="J52" s="860"/>
      <c r="K52" s="860"/>
      <c r="L52" s="860"/>
      <c r="M52" s="860"/>
    </row>
    <row r="53" spans="1:13">
      <c r="A53" s="860"/>
      <c r="B53" s="860"/>
      <c r="C53" s="860"/>
      <c r="D53" s="860"/>
      <c r="E53" s="860"/>
      <c r="F53" s="860"/>
      <c r="G53" s="860"/>
      <c r="H53" s="860"/>
      <c r="I53" s="860"/>
      <c r="J53" s="860"/>
      <c r="K53" s="860"/>
      <c r="L53" s="860"/>
      <c r="M53" s="860"/>
    </row>
    <row r="54" spans="1:13">
      <c r="A54" s="860"/>
      <c r="B54" s="860"/>
      <c r="C54" s="860"/>
      <c r="D54" s="860"/>
      <c r="E54" s="860"/>
      <c r="F54" s="860"/>
      <c r="G54" s="860"/>
      <c r="H54" s="860"/>
      <c r="I54" s="860"/>
      <c r="J54" s="860"/>
      <c r="K54" s="860"/>
      <c r="L54" s="860"/>
      <c r="M54" s="860"/>
    </row>
    <row r="55" spans="1:13">
      <c r="A55" s="860"/>
      <c r="B55" s="860"/>
      <c r="C55" s="860"/>
      <c r="D55" s="860"/>
      <c r="E55" s="860"/>
      <c r="F55" s="860"/>
      <c r="G55" s="860"/>
      <c r="H55" s="860"/>
      <c r="I55" s="860"/>
      <c r="J55" s="860"/>
      <c r="K55" s="860"/>
      <c r="L55" s="860"/>
      <c r="M55" s="860"/>
    </row>
    <row r="56" spans="1:13">
      <c r="A56" s="860"/>
      <c r="B56" s="860"/>
      <c r="C56" s="860"/>
      <c r="D56" s="860"/>
      <c r="E56" s="860"/>
      <c r="F56" s="860"/>
      <c r="G56" s="860"/>
      <c r="H56" s="860"/>
      <c r="I56" s="860"/>
      <c r="J56" s="860"/>
      <c r="K56" s="860"/>
      <c r="L56" s="860"/>
      <c r="M56" s="860"/>
    </row>
    <row r="57" spans="1:13">
      <c r="A57" s="860"/>
      <c r="B57" s="860"/>
      <c r="C57" s="860"/>
      <c r="D57" s="860"/>
      <c r="E57" s="860"/>
      <c r="F57" s="860"/>
      <c r="G57" s="860"/>
      <c r="H57" s="860"/>
      <c r="I57" s="860"/>
      <c r="J57" s="860"/>
      <c r="K57" s="860"/>
      <c r="L57" s="860"/>
      <c r="M57" s="860"/>
    </row>
    <row r="58" spans="1:13">
      <c r="A58" s="860"/>
      <c r="B58" s="860"/>
      <c r="C58" s="860"/>
      <c r="D58" s="860"/>
      <c r="E58" s="860"/>
      <c r="F58" s="860"/>
      <c r="G58" s="860"/>
      <c r="H58" s="860"/>
      <c r="I58" s="860"/>
      <c r="J58" s="860"/>
      <c r="K58" s="860"/>
      <c r="L58" s="860"/>
      <c r="M58" s="860"/>
    </row>
    <row r="59" spans="1:13">
      <c r="A59" s="860"/>
      <c r="B59" s="860"/>
      <c r="C59" s="860"/>
      <c r="D59" s="860"/>
      <c r="E59" s="860"/>
      <c r="F59" s="860"/>
      <c r="G59" s="860"/>
      <c r="H59" s="860"/>
      <c r="I59" s="860"/>
      <c r="J59" s="860"/>
      <c r="K59" s="860"/>
      <c r="L59" s="860"/>
      <c r="M59" s="860"/>
    </row>
    <row r="60" spans="1:13">
      <c r="A60" s="860"/>
      <c r="B60" s="860"/>
      <c r="C60" s="860"/>
      <c r="D60" s="860"/>
      <c r="E60" s="860"/>
      <c r="F60" s="860"/>
      <c r="G60" s="860"/>
      <c r="H60" s="860"/>
      <c r="I60" s="860"/>
      <c r="J60" s="860"/>
      <c r="K60" s="860"/>
      <c r="L60" s="860"/>
      <c r="M60" s="860"/>
    </row>
  </sheetData>
  <mergeCells count="9">
    <mergeCell ref="O8:O9"/>
    <mergeCell ref="P8:P9"/>
    <mergeCell ref="R8:R9"/>
    <mergeCell ref="B8:C8"/>
    <mergeCell ref="D8:E8"/>
    <mergeCell ref="F8:G8"/>
    <mergeCell ref="J8:J9"/>
    <mergeCell ref="L8:L9"/>
    <mergeCell ref="M8:M9"/>
  </mergeCells>
  <pageMargins left="0.75" right="0.75" top="1" bottom="1" header="0.5" footer="0.5"/>
  <pageSetup orientation="portrait" horizontalDpi="4294967292" verticalDpi="4294967292"/>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M63"/>
  <sheetViews>
    <sheetView workbookViewId="0">
      <selection activeCell="J50" sqref="J50"/>
    </sheetView>
  </sheetViews>
  <sheetFormatPr defaultColWidth="11" defaultRowHeight="15.75"/>
  <cols>
    <col min="1" max="1" width="39.375" customWidth="1"/>
    <col min="2" max="2" width="11.375" bestFit="1" customWidth="1"/>
    <col min="3" max="3" width="5" customWidth="1"/>
    <col min="4" max="4" width="12.375" customWidth="1"/>
    <col min="6" max="6" width="11.875" customWidth="1"/>
    <col min="7" max="7" width="12.625" customWidth="1"/>
    <col min="8" max="8" width="12" customWidth="1"/>
    <col min="9" max="9" width="11.375" bestFit="1" customWidth="1"/>
    <col min="13" max="13" width="11.375" bestFit="1" customWidth="1"/>
  </cols>
  <sheetData>
    <row r="1" spans="1:9">
      <c r="A1" s="210" t="s">
        <v>77</v>
      </c>
      <c r="F1" t="s">
        <v>1354</v>
      </c>
    </row>
    <row r="2" spans="1:9">
      <c r="A2" s="210" t="s">
        <v>1173</v>
      </c>
      <c r="B2" s="210"/>
    </row>
    <row r="3" spans="1:9">
      <c r="A3" s="210"/>
      <c r="B3" s="210"/>
    </row>
    <row r="4" spans="1:9">
      <c r="A4" s="211"/>
      <c r="B4" s="1378" t="s">
        <v>1166</v>
      </c>
      <c r="D4" s="1378" t="s">
        <v>1244</v>
      </c>
      <c r="F4" s="1378" t="s">
        <v>1245</v>
      </c>
      <c r="G4" s="1378" t="s">
        <v>1247</v>
      </c>
      <c r="H4" s="1378" t="s">
        <v>1248</v>
      </c>
    </row>
    <row r="5" spans="1:9" ht="39">
      <c r="A5" s="221" t="s">
        <v>90</v>
      </c>
      <c r="B5" s="222" t="s">
        <v>217</v>
      </c>
      <c r="D5" s="222"/>
      <c r="F5" s="222"/>
      <c r="G5" s="222"/>
      <c r="H5" s="222"/>
    </row>
    <row r="6" spans="1:9">
      <c r="A6" s="212" t="s">
        <v>548</v>
      </c>
      <c r="B6" s="201"/>
      <c r="D6" s="201"/>
      <c r="F6" s="201"/>
      <c r="G6" s="201"/>
      <c r="H6" s="201"/>
    </row>
    <row r="7" spans="1:9">
      <c r="A7" s="212" t="s">
        <v>555</v>
      </c>
      <c r="B7" s="201"/>
      <c r="D7" s="201"/>
      <c r="F7" s="201"/>
      <c r="G7" s="201"/>
      <c r="H7" s="201"/>
    </row>
    <row r="8" spans="1:9">
      <c r="A8" s="212" t="s">
        <v>864</v>
      </c>
      <c r="B8" s="201"/>
      <c r="D8" s="201"/>
      <c r="F8" s="201"/>
      <c r="G8" s="201"/>
      <c r="H8" s="201"/>
    </row>
    <row r="9" spans="1:9">
      <c r="A9" s="212" t="s">
        <v>899</v>
      </c>
      <c r="B9" s="201"/>
      <c r="D9" s="201"/>
      <c r="F9" s="201"/>
      <c r="G9" s="201"/>
      <c r="H9" s="201"/>
    </row>
    <row r="10" spans="1:9">
      <c r="A10" s="212" t="s">
        <v>549</v>
      </c>
      <c r="B10" s="201"/>
      <c r="D10" s="201"/>
      <c r="F10" s="1393">
        <v>0.05</v>
      </c>
      <c r="G10" s="201">
        <f>F10*G$61</f>
        <v>2060000</v>
      </c>
      <c r="H10" s="201">
        <v>4373088</v>
      </c>
      <c r="I10" t="s">
        <v>1249</v>
      </c>
    </row>
    <row r="11" spans="1:9">
      <c r="A11" s="212" t="s">
        <v>550</v>
      </c>
      <c r="B11" s="201"/>
      <c r="D11" s="201"/>
      <c r="F11" s="201"/>
      <c r="G11" s="201"/>
      <c r="H11" s="201"/>
    </row>
    <row r="12" spans="1:9">
      <c r="A12" s="212" t="s">
        <v>551</v>
      </c>
      <c r="B12" s="201"/>
      <c r="D12" s="201"/>
      <c r="F12" s="201"/>
      <c r="G12" s="201"/>
      <c r="H12" s="201"/>
    </row>
    <row r="13" spans="1:9">
      <c r="A13" s="203"/>
      <c r="B13" s="203"/>
      <c r="D13" s="203"/>
      <c r="F13" s="203"/>
      <c r="G13" s="203"/>
      <c r="H13" s="203"/>
    </row>
    <row r="14" spans="1:9">
      <c r="A14" s="71" t="s">
        <v>101</v>
      </c>
      <c r="B14" s="202"/>
      <c r="D14" s="202"/>
      <c r="F14" s="202"/>
      <c r="G14" s="202"/>
      <c r="H14" s="202"/>
    </row>
    <row r="15" spans="1:9">
      <c r="A15" s="214" t="s">
        <v>102</v>
      </c>
      <c r="B15" s="62">
        <v>1900000</v>
      </c>
      <c r="D15" s="62">
        <f>B15</f>
        <v>1900000</v>
      </c>
      <c r="F15" s="1394"/>
      <c r="G15" s="62"/>
      <c r="H15" s="62">
        <f>B15</f>
        <v>1900000</v>
      </c>
    </row>
    <row r="16" spans="1:9">
      <c r="A16" s="76" t="s">
        <v>103</v>
      </c>
      <c r="B16" s="78">
        <v>2800</v>
      </c>
      <c r="D16" s="78">
        <f t="shared" ref="D16:D29" si="0">B16</f>
        <v>2800</v>
      </c>
      <c r="F16" s="1395"/>
      <c r="G16" s="78"/>
      <c r="H16" s="78">
        <f t="shared" ref="H16:H25" si="1">B16</f>
        <v>2800</v>
      </c>
    </row>
    <row r="17" spans="1:8">
      <c r="A17" s="213" t="s">
        <v>104</v>
      </c>
      <c r="B17" s="78">
        <v>2400000</v>
      </c>
      <c r="D17" s="78">
        <f t="shared" si="0"/>
        <v>2400000</v>
      </c>
      <c r="F17" s="1395"/>
      <c r="G17" s="78"/>
      <c r="H17" s="78">
        <f t="shared" si="1"/>
        <v>2400000</v>
      </c>
    </row>
    <row r="18" spans="1:8">
      <c r="A18" s="214" t="s">
        <v>105</v>
      </c>
      <c r="B18" s="62">
        <v>500000</v>
      </c>
      <c r="D18" s="62">
        <f t="shared" si="0"/>
        <v>500000</v>
      </c>
      <c r="F18" s="1394"/>
      <c r="G18" s="62"/>
      <c r="H18" s="62">
        <f t="shared" si="1"/>
        <v>500000</v>
      </c>
    </row>
    <row r="19" spans="1:8">
      <c r="A19" s="76" t="s">
        <v>106</v>
      </c>
      <c r="B19" s="78">
        <v>900000</v>
      </c>
      <c r="D19" s="78">
        <f t="shared" si="0"/>
        <v>900000</v>
      </c>
      <c r="F19" s="1395"/>
      <c r="G19" s="78"/>
      <c r="H19" s="78">
        <f t="shared" si="1"/>
        <v>900000</v>
      </c>
    </row>
    <row r="20" spans="1:8">
      <c r="A20" s="213" t="s">
        <v>107</v>
      </c>
      <c r="B20" s="78">
        <v>15786</v>
      </c>
      <c r="D20" s="78">
        <f t="shared" si="0"/>
        <v>15786</v>
      </c>
      <c r="F20" s="1395">
        <v>0.31</v>
      </c>
      <c r="G20" s="78">
        <f>F20*G$61</f>
        <v>12772000</v>
      </c>
      <c r="H20" s="78">
        <f t="shared" si="1"/>
        <v>15786</v>
      </c>
    </row>
    <row r="21" spans="1:8">
      <c r="A21" s="214" t="s">
        <v>108</v>
      </c>
      <c r="B21" s="62">
        <v>99500</v>
      </c>
      <c r="D21" s="62">
        <f t="shared" si="0"/>
        <v>99500</v>
      </c>
      <c r="F21" s="1394"/>
      <c r="G21" s="62"/>
      <c r="H21" s="62">
        <f t="shared" si="1"/>
        <v>99500</v>
      </c>
    </row>
    <row r="22" spans="1:8">
      <c r="A22" s="213" t="s">
        <v>109</v>
      </c>
      <c r="B22" s="78">
        <v>2900000</v>
      </c>
      <c r="D22" s="78">
        <f t="shared" si="0"/>
        <v>2900000</v>
      </c>
      <c r="F22" s="1395"/>
      <c r="G22" s="78"/>
      <c r="H22" s="78">
        <f t="shared" si="1"/>
        <v>2900000</v>
      </c>
    </row>
    <row r="23" spans="1:8">
      <c r="A23" s="213" t="s">
        <v>110</v>
      </c>
      <c r="B23" s="78">
        <v>200000</v>
      </c>
      <c r="D23" s="78">
        <f t="shared" si="0"/>
        <v>200000</v>
      </c>
      <c r="F23" s="1395"/>
      <c r="G23" s="78"/>
      <c r="H23" s="78">
        <f t="shared" si="1"/>
        <v>200000</v>
      </c>
    </row>
    <row r="24" spans="1:8">
      <c r="A24" s="214" t="s">
        <v>111</v>
      </c>
      <c r="B24" s="62">
        <v>780000</v>
      </c>
      <c r="D24" s="62">
        <f t="shared" si="0"/>
        <v>780000</v>
      </c>
      <c r="F24" s="1394"/>
      <c r="G24" s="62"/>
      <c r="H24" s="62">
        <f t="shared" si="1"/>
        <v>780000</v>
      </c>
    </row>
    <row r="25" spans="1:8">
      <c r="A25" s="213" t="s">
        <v>112</v>
      </c>
      <c r="B25" s="78">
        <v>125000</v>
      </c>
      <c r="D25" s="78">
        <f t="shared" si="0"/>
        <v>125000</v>
      </c>
      <c r="F25" s="1395"/>
      <c r="G25" s="78"/>
      <c r="H25" s="78">
        <f t="shared" si="1"/>
        <v>125000</v>
      </c>
    </row>
    <row r="26" spans="1:8">
      <c r="A26" s="213" t="s">
        <v>113</v>
      </c>
      <c r="B26" s="78">
        <v>0</v>
      </c>
      <c r="D26" s="78">
        <f t="shared" si="0"/>
        <v>0</v>
      </c>
      <c r="F26" s="1395"/>
      <c r="G26" s="78"/>
      <c r="H26" s="78"/>
    </row>
    <row r="27" spans="1:8">
      <c r="A27" s="214" t="s">
        <v>114</v>
      </c>
      <c r="B27" s="62">
        <v>0</v>
      </c>
      <c r="D27" s="62">
        <f t="shared" si="0"/>
        <v>0</v>
      </c>
      <c r="F27" s="1394"/>
      <c r="G27" s="62"/>
      <c r="H27" s="62"/>
    </row>
    <row r="28" spans="1:8">
      <c r="A28" s="76" t="s">
        <v>116</v>
      </c>
      <c r="B28" s="78">
        <v>0</v>
      </c>
      <c r="D28" s="78">
        <f t="shared" si="0"/>
        <v>0</v>
      </c>
      <c r="F28" s="1395"/>
      <c r="G28" s="78"/>
      <c r="H28" s="78"/>
    </row>
    <row r="29" spans="1:8">
      <c r="A29" s="213" t="s">
        <v>117</v>
      </c>
      <c r="B29" s="78">
        <v>3296000</v>
      </c>
      <c r="D29" s="78">
        <f t="shared" si="0"/>
        <v>3296000</v>
      </c>
      <c r="F29" s="1395">
        <v>0.08</v>
      </c>
      <c r="G29" s="78">
        <f>F29*G$61</f>
        <v>3296000</v>
      </c>
      <c r="H29" s="78">
        <f>B29</f>
        <v>3296000</v>
      </c>
    </row>
    <row r="30" spans="1:8">
      <c r="A30" s="438" t="s">
        <v>523</v>
      </c>
      <c r="B30" s="62"/>
      <c r="D30" s="62"/>
      <c r="F30" s="1394"/>
      <c r="G30" s="62"/>
      <c r="H30" s="62"/>
    </row>
    <row r="31" spans="1:8">
      <c r="A31" s="437" t="s">
        <v>524</v>
      </c>
      <c r="B31" s="78"/>
      <c r="D31" s="78"/>
      <c r="F31" s="1395"/>
      <c r="G31" s="78"/>
      <c r="H31" s="78"/>
    </row>
    <row r="32" spans="1:8">
      <c r="A32" s="213" t="s">
        <v>118</v>
      </c>
      <c r="B32" s="78">
        <v>2565873</v>
      </c>
      <c r="D32" s="78">
        <f t="shared" ref="D32" si="2">B32</f>
        <v>2565873</v>
      </c>
      <c r="F32" s="1395">
        <v>0.06</v>
      </c>
      <c r="G32" s="78">
        <f>F32*G$61</f>
        <v>2472000</v>
      </c>
      <c r="H32" s="78">
        <f>G32*M$40/M$39</f>
        <v>2467041.4615384615</v>
      </c>
    </row>
    <row r="33" spans="1:13">
      <c r="A33" s="438" t="s">
        <v>119</v>
      </c>
      <c r="B33" s="267">
        <v>3938294</v>
      </c>
      <c r="D33" s="62">
        <v>678800</v>
      </c>
      <c r="F33" s="1394"/>
      <c r="G33" s="62"/>
      <c r="H33" s="62">
        <f>D33</f>
        <v>678800</v>
      </c>
    </row>
    <row r="34" spans="1:13">
      <c r="A34" s="441" t="s">
        <v>120</v>
      </c>
      <c r="B34" s="442">
        <f>SUM(B15:B33)</f>
        <v>19623253</v>
      </c>
      <c r="D34" s="442">
        <f t="shared" ref="D34" si="3">SUM(D15:D33)</f>
        <v>16363759</v>
      </c>
      <c r="F34" s="1396">
        <f t="shared" ref="F34:H34" si="4">SUM(F15:F33)</f>
        <v>0.45</v>
      </c>
      <c r="G34" s="442">
        <f t="shared" si="4"/>
        <v>18540000</v>
      </c>
      <c r="H34" s="442">
        <f t="shared" si="4"/>
        <v>16264927.461538462</v>
      </c>
    </row>
    <row r="35" spans="1:13">
      <c r="A35" s="213"/>
      <c r="B35" s="66"/>
      <c r="D35" s="66"/>
      <c r="F35" s="1397"/>
      <c r="G35" s="66"/>
      <c r="H35" s="66"/>
    </row>
    <row r="36" spans="1:13">
      <c r="A36" s="203"/>
      <c r="F36" s="1037"/>
    </row>
    <row r="37" spans="1:13">
      <c r="A37" s="76" t="s">
        <v>121</v>
      </c>
      <c r="B37" s="78"/>
      <c r="D37" s="78"/>
      <c r="F37" s="1395"/>
      <c r="G37" s="78"/>
      <c r="H37" s="78"/>
    </row>
    <row r="38" spans="1:13">
      <c r="A38" s="214" t="s">
        <v>122</v>
      </c>
      <c r="B38" s="467"/>
      <c r="D38" s="467"/>
      <c r="F38" s="1394"/>
      <c r="G38" s="467"/>
      <c r="H38" s="467"/>
    </row>
    <row r="39" spans="1:13">
      <c r="A39" s="213" t="s">
        <v>123</v>
      </c>
      <c r="B39" s="459">
        <v>0</v>
      </c>
      <c r="D39" s="459">
        <f t="shared" ref="D39:D55" si="5">B39</f>
        <v>0</v>
      </c>
      <c r="F39" s="1397"/>
      <c r="G39" s="459"/>
      <c r="H39" s="459"/>
      <c r="J39" t="s">
        <v>1250</v>
      </c>
      <c r="M39" s="12">
        <f>G56+G32</f>
        <v>21424000</v>
      </c>
    </row>
    <row r="40" spans="1:13">
      <c r="A40" s="76" t="s">
        <v>124</v>
      </c>
      <c r="B40" s="454">
        <v>664415</v>
      </c>
      <c r="D40" s="78">
        <f t="shared" si="5"/>
        <v>664415</v>
      </c>
      <c r="F40" s="1395"/>
      <c r="G40" s="454"/>
      <c r="H40" s="454"/>
      <c r="J40" t="s">
        <v>1251</v>
      </c>
      <c r="M40" s="12">
        <f>G57-H10-SUM(H15:H29)-H33</f>
        <v>21381026</v>
      </c>
    </row>
    <row r="41" spans="1:13">
      <c r="A41" s="214" t="s">
        <v>125</v>
      </c>
      <c r="B41" s="467">
        <v>0</v>
      </c>
      <c r="D41" s="467">
        <f t="shared" si="5"/>
        <v>0</v>
      </c>
      <c r="F41" s="1394"/>
      <c r="G41" s="467"/>
      <c r="H41" s="467"/>
    </row>
    <row r="42" spans="1:13">
      <c r="A42" s="213" t="s">
        <v>126</v>
      </c>
      <c r="B42" s="459"/>
      <c r="D42" s="459">
        <f t="shared" si="5"/>
        <v>0</v>
      </c>
      <c r="F42" s="1397"/>
      <c r="G42" s="459"/>
      <c r="H42" s="459"/>
    </row>
    <row r="43" spans="1:13">
      <c r="A43" s="437" t="s">
        <v>552</v>
      </c>
      <c r="B43" s="459"/>
      <c r="D43" s="459">
        <f t="shared" si="5"/>
        <v>0</v>
      </c>
      <c r="F43" s="1397"/>
      <c r="G43" s="459"/>
      <c r="H43" s="459"/>
    </row>
    <row r="44" spans="1:13">
      <c r="A44" s="213" t="s">
        <v>127</v>
      </c>
      <c r="B44" s="459">
        <v>0</v>
      </c>
      <c r="D44" s="459">
        <f t="shared" si="5"/>
        <v>0</v>
      </c>
      <c r="F44" s="1397"/>
      <c r="G44" s="459"/>
      <c r="H44" s="459"/>
    </row>
    <row r="45" spans="1:13">
      <c r="A45" s="214" t="s">
        <v>128</v>
      </c>
      <c r="B45" s="467">
        <v>1825316</v>
      </c>
      <c r="D45" s="78">
        <f t="shared" si="5"/>
        <v>1825316</v>
      </c>
      <c r="F45" s="1394">
        <v>0.06</v>
      </c>
      <c r="G45" s="467">
        <f t="shared" ref="G45:G46" si="6">F45*G$61</f>
        <v>2472000</v>
      </c>
      <c r="H45" s="1404">
        <f t="shared" ref="H45:H55" si="7">G45*M$40/M$39</f>
        <v>2467041.4615384615</v>
      </c>
    </row>
    <row r="46" spans="1:13">
      <c r="A46" s="1571" t="s">
        <v>525</v>
      </c>
      <c r="B46" s="459">
        <v>0</v>
      </c>
      <c r="D46" s="78">
        <f t="shared" si="5"/>
        <v>0</v>
      </c>
      <c r="F46" s="1397">
        <v>0.01</v>
      </c>
      <c r="G46" s="459">
        <f t="shared" si="6"/>
        <v>412000</v>
      </c>
      <c r="H46" s="459">
        <f t="shared" si="7"/>
        <v>411173.57692307694</v>
      </c>
    </row>
    <row r="47" spans="1:13">
      <c r="A47" s="76" t="s">
        <v>115</v>
      </c>
      <c r="B47" s="454">
        <v>0</v>
      </c>
      <c r="D47" s="454">
        <f t="shared" si="5"/>
        <v>0</v>
      </c>
      <c r="F47" s="1395"/>
      <c r="G47" s="454"/>
      <c r="H47" s="454">
        <f t="shared" si="7"/>
        <v>0</v>
      </c>
    </row>
    <row r="48" spans="1:13">
      <c r="A48" s="438" t="s">
        <v>129</v>
      </c>
      <c r="B48" s="467">
        <v>2766971</v>
      </c>
      <c r="D48" s="78">
        <f t="shared" si="5"/>
        <v>2766971</v>
      </c>
      <c r="F48" s="1394">
        <v>0.08</v>
      </c>
      <c r="G48" s="467">
        <f>F48*G$61</f>
        <v>3296000</v>
      </c>
      <c r="H48" s="467">
        <f t="shared" si="7"/>
        <v>3289388.6153846155</v>
      </c>
    </row>
    <row r="49" spans="1:8">
      <c r="A49" s="213" t="s">
        <v>130</v>
      </c>
      <c r="B49" s="454">
        <v>0</v>
      </c>
      <c r="D49" s="454">
        <f t="shared" si="5"/>
        <v>0</v>
      </c>
      <c r="F49" s="1395"/>
      <c r="G49" s="454"/>
      <c r="H49" s="454">
        <f t="shared" si="7"/>
        <v>0</v>
      </c>
    </row>
    <row r="50" spans="1:8">
      <c r="A50" s="213" t="s">
        <v>131</v>
      </c>
      <c r="B50" s="459">
        <v>0</v>
      </c>
      <c r="D50" s="78">
        <f t="shared" si="5"/>
        <v>0</v>
      </c>
      <c r="F50" s="1397">
        <v>0.04</v>
      </c>
      <c r="G50" s="459">
        <f t="shared" ref="G50:G51" si="8">F50*G$61</f>
        <v>1648000</v>
      </c>
      <c r="H50" s="459">
        <f t="shared" si="7"/>
        <v>1644694.3076923077</v>
      </c>
    </row>
    <row r="51" spans="1:8">
      <c r="A51" s="438" t="s">
        <v>132</v>
      </c>
      <c r="B51" s="467">
        <v>963767</v>
      </c>
      <c r="D51" s="78">
        <f t="shared" si="5"/>
        <v>963767</v>
      </c>
      <c r="F51" s="1394">
        <v>0.04</v>
      </c>
      <c r="G51" s="467">
        <f t="shared" si="8"/>
        <v>1648000</v>
      </c>
      <c r="H51" s="467">
        <f t="shared" si="7"/>
        <v>1644694.3076923077</v>
      </c>
    </row>
    <row r="52" spans="1:8">
      <c r="A52" s="213" t="s">
        <v>133</v>
      </c>
      <c r="B52" s="454">
        <v>4719747</v>
      </c>
      <c r="D52" s="78">
        <f t="shared" si="5"/>
        <v>4719747</v>
      </c>
      <c r="F52" s="1395">
        <v>0.11</v>
      </c>
      <c r="G52" s="454">
        <f>F52*G$61</f>
        <v>4532000</v>
      </c>
      <c r="H52" s="454">
        <f t="shared" si="7"/>
        <v>4522909.346153846</v>
      </c>
    </row>
    <row r="53" spans="1:8">
      <c r="A53" s="213" t="s">
        <v>521</v>
      </c>
      <c r="B53" s="454">
        <v>0</v>
      </c>
      <c r="D53" s="454">
        <f t="shared" si="5"/>
        <v>0</v>
      </c>
      <c r="F53" s="1395"/>
      <c r="G53" s="454"/>
      <c r="H53" s="454">
        <f t="shared" si="7"/>
        <v>0</v>
      </c>
    </row>
    <row r="54" spans="1:8">
      <c r="A54" s="457" t="s">
        <v>554</v>
      </c>
      <c r="B54" s="467">
        <v>625823</v>
      </c>
      <c r="D54" s="78">
        <f t="shared" si="5"/>
        <v>625823</v>
      </c>
      <c r="F54" s="1394">
        <v>0.02</v>
      </c>
      <c r="G54" s="467">
        <f t="shared" ref="G54:G55" si="9">F54*G$61</f>
        <v>824000</v>
      </c>
      <c r="H54" s="467">
        <f t="shared" si="7"/>
        <v>822347.15384615387</v>
      </c>
    </row>
    <row r="55" spans="1:8">
      <c r="A55" s="213" t="s">
        <v>134</v>
      </c>
      <c r="B55" s="454">
        <v>3989620</v>
      </c>
      <c r="D55" s="78">
        <f t="shared" si="5"/>
        <v>3989620</v>
      </c>
      <c r="F55" s="1395">
        <v>0.1</v>
      </c>
      <c r="G55" s="454">
        <f t="shared" si="9"/>
        <v>4120000</v>
      </c>
      <c r="H55" s="454">
        <f t="shared" si="7"/>
        <v>4111735.769230769</v>
      </c>
    </row>
    <row r="56" spans="1:8">
      <c r="A56" s="445" t="s">
        <v>135</v>
      </c>
      <c r="B56" s="446">
        <f>SUM(B38:B55)</f>
        <v>15555659</v>
      </c>
      <c r="D56" s="446">
        <f>SUM(D38:D55)</f>
        <v>15555659</v>
      </c>
      <c r="F56" s="1398">
        <f>SUM(F38:F55)</f>
        <v>0.46000000000000008</v>
      </c>
      <c r="G56" s="446">
        <f>SUM(G38:G55)</f>
        <v>18952000</v>
      </c>
      <c r="H56" s="446">
        <f>SUM(H38:H55)</f>
        <v>18913984.53846154</v>
      </c>
    </row>
    <row r="57" spans="1:8" ht="16.5" thickBot="1">
      <c r="A57" s="447" t="s">
        <v>136</v>
      </c>
      <c r="B57" s="448">
        <f t="shared" ref="B57:D57" si="10">B6+B7+B8+B9+B10+B11+B12+B34+B56</f>
        <v>35178912</v>
      </c>
      <c r="D57" s="448">
        <f t="shared" si="10"/>
        <v>31919418</v>
      </c>
      <c r="F57" s="1399">
        <f>F6+F7+F8+F9+F10+F11+F12+F34+F56</f>
        <v>0.96000000000000008</v>
      </c>
      <c r="G57" s="448">
        <f t="shared" ref="G57:H57" si="11">G6+G7+G8+G9+G10+G11+G12+G34+G56</f>
        <v>39552000</v>
      </c>
      <c r="H57" s="448">
        <f t="shared" si="11"/>
        <v>39552000</v>
      </c>
    </row>
    <row r="58" spans="1:8" ht="16.5" thickTop="1">
      <c r="A58" s="1400"/>
      <c r="B58" s="1401"/>
      <c r="C58" s="66"/>
      <c r="D58" s="1401"/>
      <c r="E58" s="66"/>
      <c r="F58" s="1402"/>
      <c r="G58" s="935"/>
    </row>
    <row r="59" spans="1:8">
      <c r="A59" s="445" t="s">
        <v>1246</v>
      </c>
      <c r="B59" s="446"/>
      <c r="D59" s="446"/>
      <c r="F59" s="1398">
        <v>0.04</v>
      </c>
      <c r="G59" s="201">
        <f>F59*G$61</f>
        <v>1648000</v>
      </c>
      <c r="H59" s="12">
        <f>B57-SUM(B15:B29)-901905</f>
        <v>21157921</v>
      </c>
    </row>
    <row r="60" spans="1:8">
      <c r="A60" s="1400"/>
      <c r="B60" s="1401"/>
      <c r="C60" s="66"/>
      <c r="D60" s="1401"/>
      <c r="E60" s="66"/>
      <c r="F60" s="1401"/>
      <c r="G60" s="385">
        <f>G57+G59</f>
        <v>41200000</v>
      </c>
      <c r="H60" s="385">
        <f>H57+H59</f>
        <v>60709921</v>
      </c>
    </row>
    <row r="61" spans="1:8">
      <c r="G61" s="1403">
        <v>41200000</v>
      </c>
    </row>
    <row r="62" spans="1:8">
      <c r="B62" s="12">
        <f>SUM(B15:B29)+B33</f>
        <v>17057380</v>
      </c>
      <c r="D62" s="12">
        <f>SUM(B15:B29)+901905</f>
        <v>14020991</v>
      </c>
    </row>
    <row r="63" spans="1:8">
      <c r="B63" s="12">
        <f>B57-B62</f>
        <v>18121532</v>
      </c>
      <c r="D63" s="12">
        <f>B57-D62</f>
        <v>21157921</v>
      </c>
    </row>
  </sheetData>
  <pageMargins left="0.75" right="0.75" top="1" bottom="1" header="0.5" footer="0.5"/>
  <pageSetup orientation="portrait" horizontalDpi="4294967292" verticalDpi="429496729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72"/>
  <sheetViews>
    <sheetView workbookViewId="0">
      <selection activeCell="G28" sqref="G28"/>
    </sheetView>
  </sheetViews>
  <sheetFormatPr defaultColWidth="11" defaultRowHeight="15.75"/>
  <cols>
    <col min="1" max="1" width="33.625" customWidth="1"/>
    <col min="2" max="2" width="14.375" customWidth="1"/>
    <col min="3" max="3" width="11.5" customWidth="1"/>
    <col min="4" max="4" width="13.125" customWidth="1"/>
    <col min="5" max="5" width="11.625" customWidth="1"/>
    <col min="7" max="7" width="23.5" customWidth="1"/>
  </cols>
  <sheetData>
    <row r="1" spans="1:5" ht="18.75">
      <c r="A1" s="1125" t="s">
        <v>365</v>
      </c>
      <c r="B1" s="1126"/>
      <c r="C1" s="1126"/>
      <c r="D1" s="1126"/>
      <c r="E1" s="1126"/>
    </row>
    <row r="3" spans="1:5">
      <c r="A3" s="1001" t="s">
        <v>943</v>
      </c>
      <c r="B3" s="252"/>
      <c r="C3" s="252"/>
      <c r="D3" s="252"/>
      <c r="E3" s="252"/>
    </row>
    <row r="4" spans="1:5">
      <c r="A4" s="988" t="s">
        <v>939</v>
      </c>
      <c r="B4" s="1604" t="s">
        <v>901</v>
      </c>
      <c r="C4" s="1604"/>
      <c r="D4" s="1604" t="s">
        <v>902</v>
      </c>
      <c r="E4" s="1604"/>
    </row>
    <row r="5" spans="1:5">
      <c r="A5" s="964" t="s">
        <v>462</v>
      </c>
      <c r="B5" s="982"/>
      <c r="C5" s="334"/>
      <c r="D5" s="982"/>
      <c r="E5" s="334"/>
    </row>
    <row r="6" spans="1:5">
      <c r="A6" s="1006" t="s">
        <v>903</v>
      </c>
      <c r="B6" s="966">
        <f>'Foundation SCH'!J59/3</f>
        <v>281567.27100000007</v>
      </c>
      <c r="C6" s="983">
        <f t="shared" ref="C6:C11" si="0">B6/B$12</f>
        <v>0.23355136701167847</v>
      </c>
      <c r="D6" s="966">
        <f>('Foundation SCH'!F82+'Foundation SCH'!V16)/3</f>
        <v>408290</v>
      </c>
      <c r="E6" s="983">
        <f t="shared" ref="E6:E11" si="1">D6/D$12</f>
        <v>0.36511671172798943</v>
      </c>
    </row>
    <row r="7" spans="1:5">
      <c r="A7" s="1006" t="s">
        <v>904</v>
      </c>
      <c r="B7" s="966">
        <f>'Foundation SCH'!K59/3</f>
        <v>86462.289000000004</v>
      </c>
      <c r="C7" s="983">
        <f t="shared" si="0"/>
        <v>7.1717801998758615E-2</v>
      </c>
      <c r="D7" s="966">
        <f>'Foundation SCH'!G82/3</f>
        <v>99983.666666666672</v>
      </c>
      <c r="E7" s="983">
        <f t="shared" si="1"/>
        <v>8.9411221435354085E-2</v>
      </c>
    </row>
    <row r="8" spans="1:5">
      <c r="A8" s="1006" t="s">
        <v>905</v>
      </c>
      <c r="B8" s="966">
        <f>'Foundation SCH'!L59/3</f>
        <v>27257.846999999994</v>
      </c>
      <c r="C8" s="983">
        <f t="shared" si="0"/>
        <v>2.2609543382068636E-2</v>
      </c>
      <c r="D8" s="966">
        <f>'Foundation SCH'!H82/3</f>
        <v>15798.666666666666</v>
      </c>
      <c r="E8" s="983">
        <f t="shared" si="1"/>
        <v>1.4128088424942882E-2</v>
      </c>
    </row>
    <row r="9" spans="1:5">
      <c r="A9" s="1006" t="s">
        <v>300</v>
      </c>
      <c r="B9" s="966">
        <f>'Undergrad Completions'!L35/3</f>
        <v>269906.83091173682</v>
      </c>
      <c r="C9" s="983">
        <f t="shared" si="0"/>
        <v>0.22387939159742071</v>
      </c>
      <c r="D9" s="966">
        <f>('Undergrad Completions'!S35+'Undergrad Completions'!U35+'Undergrad Completions'!W35)/3</f>
        <v>237444.66666666666</v>
      </c>
      <c r="E9" s="983">
        <f t="shared" si="1"/>
        <v>0.21233685838664154</v>
      </c>
    </row>
    <row r="10" spans="1:5">
      <c r="A10" s="1006" t="s">
        <v>202</v>
      </c>
      <c r="B10" s="966">
        <f>'Graduate Completions'!L106/3</f>
        <v>302964.59292257146</v>
      </c>
      <c r="C10" s="983">
        <f t="shared" si="0"/>
        <v>0.25129978559618615</v>
      </c>
      <c r="D10" s="966">
        <f>('Graduate Completions'!S106+'Graduate Completions'!U106+'Graduate Completions'!W105+'Graduate Completions'!W106)/3</f>
        <v>119296.66666666667</v>
      </c>
      <c r="E10" s="983">
        <f t="shared" si="1"/>
        <v>0.10668203153014617</v>
      </c>
    </row>
    <row r="11" spans="1:5">
      <c r="A11" s="1006" t="s">
        <v>1334</v>
      </c>
      <c r="B11" s="966">
        <f>'Ecampus And Summer'!L202/3</f>
        <v>237431.50504208406</v>
      </c>
      <c r="C11" s="983">
        <f t="shared" si="0"/>
        <v>0.19694211041388737</v>
      </c>
      <c r="D11" s="966">
        <f>B11</f>
        <v>237431.50504208406</v>
      </c>
      <c r="E11" s="983">
        <f t="shared" si="1"/>
        <v>0.21232508849492585</v>
      </c>
    </row>
    <row r="12" spans="1:5">
      <c r="A12" s="233"/>
      <c r="B12" s="989">
        <f>SUM(B6:B11)</f>
        <v>1205590.3358763924</v>
      </c>
      <c r="C12" s="990">
        <f>SUM(C6:C11)</f>
        <v>1</v>
      </c>
      <c r="D12" s="989">
        <f>SUM(D6:D11)</f>
        <v>1118245.1717087508</v>
      </c>
      <c r="E12" s="990">
        <f>SUM(E6:E11)</f>
        <v>1</v>
      </c>
    </row>
    <row r="13" spans="1:5">
      <c r="A13" s="964"/>
      <c r="B13" s="966"/>
      <c r="C13" s="985"/>
      <c r="D13" s="334"/>
      <c r="E13" s="984"/>
    </row>
    <row r="14" spans="1:5">
      <c r="A14" s="991" t="s">
        <v>940</v>
      </c>
      <c r="B14" s="992"/>
      <c r="C14" s="993">
        <f>(B6+B7+B8)/B12</f>
        <v>0.32787871239250571</v>
      </c>
      <c r="D14" s="991"/>
      <c r="E14" s="993">
        <f>(D6+D7+D8)/D12</f>
        <v>0.46865602158828645</v>
      </c>
    </row>
    <row r="15" spans="1:5">
      <c r="A15" s="965" t="s">
        <v>941</v>
      </c>
      <c r="B15" s="984"/>
      <c r="C15" s="994">
        <f>(B6+B7+B9+0.9*B11)/B12</f>
        <v>0.70639645998035638</v>
      </c>
      <c r="D15" s="984"/>
      <c r="E15" s="994">
        <f>(D6+D7+D9+0.9*D11)/D12</f>
        <v>0.85795737119541837</v>
      </c>
    </row>
    <row r="16" spans="1:5">
      <c r="A16" s="995" t="s">
        <v>942</v>
      </c>
      <c r="B16" s="996"/>
      <c r="C16" s="997">
        <f>(B8+B10+0.1*B11)/B12</f>
        <v>0.29360354001964356</v>
      </c>
      <c r="D16" s="996"/>
      <c r="E16" s="997">
        <f>(D8+D10+0.1*D11)/D12</f>
        <v>0.14204262880458163</v>
      </c>
    </row>
    <row r="17" spans="1:5">
      <c r="A17" s="1"/>
      <c r="B17" s="1"/>
      <c r="C17" s="1"/>
      <c r="D17" s="1"/>
      <c r="E17" s="1"/>
    </row>
    <row r="18" spans="1:5">
      <c r="A18" s="988"/>
      <c r="B18" s="1604" t="s">
        <v>901</v>
      </c>
      <c r="C18" s="1604"/>
      <c r="D18" s="1604" t="s">
        <v>902</v>
      </c>
      <c r="E18" s="1604"/>
    </row>
    <row r="19" spans="1:5">
      <c r="A19" s="333" t="s">
        <v>906</v>
      </c>
      <c r="B19" s="986">
        <f>'Undergrad Completions'!L60/3</f>
        <v>5776.6572387981878</v>
      </c>
      <c r="C19" s="352">
        <f>B19/(B19+B20)</f>
        <v>0.64327113227135302</v>
      </c>
      <c r="D19" s="987">
        <f>('Undergrad Completions'!W60+'Undergrad Completions'!U60+'Undergrad Completions'!S60)/3</f>
        <v>5015</v>
      </c>
      <c r="E19" s="352">
        <f>D19/(D19+D20)</f>
        <v>0.78123377297746399</v>
      </c>
    </row>
    <row r="20" spans="1:5">
      <c r="A20" s="998" t="s">
        <v>907</v>
      </c>
      <c r="B20" s="999">
        <f>('Graduate Completions'!L35+'Graduate Completions'!L60+'Graduate Completions'!L83)/3</f>
        <v>3203.4709668639366</v>
      </c>
      <c r="C20" s="1000">
        <f>(1-C19)</f>
        <v>0.35672886772864698</v>
      </c>
      <c r="D20" s="999">
        <f>('Graduate Completions'!S35+'Graduate Completions'!U35+'Graduate Completions'!W35+'Graduate Completions'!S60+'Graduate Completions'!U60+'Graduate Completions'!W60+'Graduate Completions'!S83+'Graduate Completions'!U83+'Graduate Completions'!W83)/3</f>
        <v>1404.3333333333333</v>
      </c>
      <c r="E20" s="1000">
        <f>(1-E19)</f>
        <v>0.21876622702253601</v>
      </c>
    </row>
    <row r="21" spans="1:5">
      <c r="A21" s="1"/>
      <c r="B21" s="1"/>
      <c r="C21" s="1"/>
      <c r="D21" s="1"/>
      <c r="E21" s="1"/>
    </row>
    <row r="22" spans="1:5">
      <c r="A22" s="1"/>
      <c r="B22" s="1"/>
      <c r="C22" s="1"/>
      <c r="D22" s="1"/>
      <c r="E22" s="1"/>
    </row>
    <row r="23" spans="1:5">
      <c r="A23" s="1005" t="s">
        <v>944</v>
      </c>
      <c r="B23" s="1002"/>
      <c r="C23" s="1003"/>
      <c r="D23" s="1003"/>
      <c r="E23" s="1004"/>
    </row>
    <row r="24" spans="1:5" ht="16.5" thickBot="1">
      <c r="A24" s="977"/>
      <c r="B24" s="978"/>
      <c r="C24" s="979" t="s">
        <v>932</v>
      </c>
      <c r="D24" s="979" t="s">
        <v>933</v>
      </c>
      <c r="E24" s="1"/>
    </row>
    <row r="25" spans="1:5" ht="16.5" thickTop="1">
      <c r="A25" s="964" t="s">
        <v>927</v>
      </c>
      <c r="B25" s="966">
        <f>'Step 0 FY18 Revenue'!Q30+'Step 0 FY18 Revenue'!Q31+'Step 0 FY18 Revenue'!Q36+0.94*'Step 0 FY18 Revenue'!R42+0.83*('Step 0 FY18 Revenue'!L49+'Step 0 FY18 Revenue'!L50)</f>
        <v>203768232.49000001</v>
      </c>
      <c r="C25" s="352">
        <f t="shared" ref="C25:C35" si="2">B25/B$36</f>
        <v>0.36846984802728289</v>
      </c>
      <c r="D25" s="352">
        <f t="shared" ref="D25:D32" si="3">B25/B$37</f>
        <v>0.42012829219489395</v>
      </c>
      <c r="E25" s="1"/>
    </row>
    <row r="26" spans="1:5">
      <c r="A26" s="964" t="s">
        <v>928</v>
      </c>
      <c r="B26" s="966">
        <f>'Step 0 FY18 Revenue'!Q32+'Step 0 FY18 Revenue'!Q33+0.15*('Step 0 FY18 Revenue'!L49+'Step 0 FY18 Revenue'!L50)+0.06*'Step 0 FY18 Revenue'!R42</f>
        <v>43491272.769999996</v>
      </c>
      <c r="C26" s="352">
        <f t="shared" si="2"/>
        <v>7.8644362137564539E-2</v>
      </c>
      <c r="D26" s="352">
        <f t="shared" si="3"/>
        <v>8.967008218584363E-2</v>
      </c>
      <c r="E26" s="1"/>
    </row>
    <row r="27" spans="1:5">
      <c r="A27" s="1567" t="s">
        <v>1485</v>
      </c>
      <c r="B27" s="966">
        <f>'Step 0 FY18 Revenue'!Q34+'Step 0 FY18 Revenue'!Q35+0.02*('Step 0 FY18 Revenue'!L49+'Step 0 FY18 Revenue'!L50)</f>
        <v>16966925.739999998</v>
      </c>
      <c r="C27" s="352">
        <f t="shared" si="2"/>
        <v>3.0680938203725173E-2</v>
      </c>
      <c r="D27" s="352">
        <f t="shared" si="3"/>
        <v>3.498232009885844E-2</v>
      </c>
      <c r="E27" s="1"/>
    </row>
    <row r="28" spans="1:5">
      <c r="A28" s="964" t="s">
        <v>908</v>
      </c>
      <c r="B28" s="966">
        <f>0.9*('Step 0 FY18 Revenue'!Q38+'Step 0 FY18 Revenue'!Q39+'Step 0 FY18 Revenue'!Q40)</f>
        <v>96937796.700000003</v>
      </c>
      <c r="C28" s="352">
        <f t="shared" si="2"/>
        <v>0.17529059746789311</v>
      </c>
      <c r="D28" s="352">
        <f t="shared" si="3"/>
        <v>0.19986584993667003</v>
      </c>
      <c r="E28" s="1"/>
    </row>
    <row r="29" spans="1:5">
      <c r="A29" s="964" t="s">
        <v>909</v>
      </c>
      <c r="B29" s="966">
        <f>0.1*('Step 0 FY18 Revenue'!Q38+'Step 0 FY18 Revenue'!Q39+'Step 0 FY18 Revenue'!Q40)</f>
        <v>10770866.300000001</v>
      </c>
      <c r="C29" s="352">
        <f t="shared" si="2"/>
        <v>1.9476733051988122E-2</v>
      </c>
      <c r="D29" s="352">
        <f t="shared" si="3"/>
        <v>2.2207316659630005E-2</v>
      </c>
      <c r="E29" s="1"/>
    </row>
    <row r="30" spans="1:5">
      <c r="A30" s="964" t="s">
        <v>911</v>
      </c>
      <c r="B30" s="966">
        <f>0.77*('Step 0 FY18 Revenue'!L8+'Step 0 FY18 Revenue'!L9+'Step 0 FY18 Revenue'!L10+'Step 0 FY18 Revenue'!L11)+'Step 0 FY18 Revenue'!L25+'Step 0 FY18 Revenue'!L28</f>
        <v>78955525.680000007</v>
      </c>
      <c r="C30" s="352">
        <f t="shared" si="2"/>
        <v>0.14277363155540729</v>
      </c>
      <c r="D30" s="352">
        <f t="shared" si="3"/>
        <v>0.16279009616926621</v>
      </c>
      <c r="E30" s="1"/>
    </row>
    <row r="31" spans="1:5">
      <c r="A31" s="964" t="s">
        <v>910</v>
      </c>
      <c r="B31" s="966">
        <f>0.23*('Step 0 FY18 Revenue'!I8+'Step 0 FY18 Revenue'!I9+'Step 0 FY18 Revenue'!I10+'Step 0 FY18 Revenue'!I11)+'Step 0 FY18 Revenue'!L19+'Step 0 FY18 Revenue'!L15+'Step 0 FY18 Revenue'!L16</f>
        <v>28595176.32</v>
      </c>
      <c r="C31" s="352">
        <f t="shared" si="2"/>
        <v>5.1708061380278399E-2</v>
      </c>
      <c r="D31" s="352">
        <f t="shared" si="3"/>
        <v>5.89573872508466E-2</v>
      </c>
      <c r="E31" s="1"/>
    </row>
    <row r="32" spans="1:5">
      <c r="A32" s="965" t="s">
        <v>930</v>
      </c>
      <c r="B32" s="966">
        <f>'Step 0 FY18 Revenue'!L13+'Step 0 FY18 Revenue'!L18+'Step 0 FY18 Revenue'!L21+'Step 0 FY18 Revenue'!L24+'Step 0 FY18 Revenue'!L22</f>
        <v>5528511</v>
      </c>
      <c r="C32" s="352">
        <f t="shared" si="2"/>
        <v>9.9970912202280247E-3</v>
      </c>
      <c r="D32" s="352">
        <f t="shared" si="3"/>
        <v>1.1398655503991143E-2</v>
      </c>
      <c r="E32" s="1"/>
    </row>
    <row r="33" spans="1:5">
      <c r="A33" s="965" t="s">
        <v>931</v>
      </c>
      <c r="B33" s="966">
        <f>'Step 0 FY18 Revenue'!L40-'Allocation by Category'!B32-'Allocation by Category'!B31-'Allocation by Category'!B30</f>
        <v>5219973</v>
      </c>
      <c r="C33" s="352">
        <f t="shared" si="2"/>
        <v>9.4391683851451757E-3</v>
      </c>
      <c r="D33" s="352"/>
      <c r="E33" s="1"/>
    </row>
    <row r="34" spans="1:5">
      <c r="A34" s="965" t="s">
        <v>88</v>
      </c>
      <c r="B34" s="966">
        <f>'Step 0 FY18 Revenue'!L53+'Step 0 FY18 Revenue'!L54</f>
        <v>39552000</v>
      </c>
      <c r="C34" s="352">
        <f t="shared" si="2"/>
        <v>7.1521057286936543E-2</v>
      </c>
      <c r="D34" s="352"/>
      <c r="E34" s="1"/>
    </row>
    <row r="35" spans="1:5">
      <c r="A35" s="965" t="s">
        <v>912</v>
      </c>
      <c r="B35" s="966">
        <f>'Step 0 FY18 Revenue'!L55+'Step 0 FY18 Revenue'!L56+'Step 0 FY18 Revenue'!L57</f>
        <v>23225679</v>
      </c>
      <c r="C35" s="352">
        <f t="shared" si="2"/>
        <v>4.1998511283550741E-2</v>
      </c>
      <c r="D35" s="352"/>
      <c r="E35" s="1"/>
    </row>
    <row r="36" spans="1:5">
      <c r="A36" s="18"/>
      <c r="B36" s="980">
        <f>SUM(B25:B35)</f>
        <v>553011959</v>
      </c>
      <c r="C36" s="981">
        <f>SUM(C25:C35)</f>
        <v>1.0000000000000002</v>
      </c>
      <c r="D36" s="981">
        <f>SUM(D25:D35)</f>
        <v>1.0000000000000002</v>
      </c>
      <c r="E36" s="1"/>
    </row>
    <row r="37" spans="1:5">
      <c r="A37" s="965" t="s">
        <v>934</v>
      </c>
      <c r="B37" s="8">
        <f>B25+B26+B27+B28+B29+B30+B31+B32</f>
        <v>485014307</v>
      </c>
      <c r="C37" s="1"/>
      <c r="D37" s="1"/>
      <c r="E37" s="1"/>
    </row>
    <row r="38" spans="1:5">
      <c r="A38" s="1"/>
      <c r="B38" s="1"/>
      <c r="C38" s="1"/>
      <c r="D38" s="1"/>
      <c r="E38" s="1"/>
    </row>
    <row r="39" spans="1:5">
      <c r="A39" s="965" t="s">
        <v>913</v>
      </c>
      <c r="B39" s="1"/>
      <c r="C39" s="1"/>
      <c r="D39" s="1"/>
      <c r="E39" s="1"/>
    </row>
    <row r="40" spans="1:5">
      <c r="A40" s="965" t="s">
        <v>926</v>
      </c>
      <c r="B40" s="1"/>
      <c r="C40" s="1"/>
      <c r="D40" s="1"/>
      <c r="E40" s="1"/>
    </row>
    <row r="41" spans="1:5">
      <c r="A41" s="965" t="s">
        <v>929</v>
      </c>
      <c r="B41" s="1"/>
      <c r="C41" s="1"/>
      <c r="D41" s="1"/>
      <c r="E41" s="1"/>
    </row>
    <row r="42" spans="1:5">
      <c r="A42" s="1"/>
      <c r="B42" s="8"/>
      <c r="C42" s="1"/>
      <c r="D42" s="1"/>
      <c r="E42" s="1"/>
    </row>
    <row r="43" spans="1:5">
      <c r="A43" s="1012" t="s">
        <v>935</v>
      </c>
      <c r="B43" s="1013">
        <f>B25+B28+B30</f>
        <v>379661554.87</v>
      </c>
      <c r="C43" s="1014">
        <f>B43/B$47</f>
        <v>0.68653407705058334</v>
      </c>
      <c r="D43" s="1014">
        <f>B43/B$48</f>
        <v>0.78278423830083022</v>
      </c>
      <c r="E43" s="1"/>
    </row>
    <row r="44" spans="1:5">
      <c r="A44" s="965" t="s">
        <v>936</v>
      </c>
      <c r="B44" s="1015">
        <f>B26+B27+B29+B31</f>
        <v>99824241.129999995</v>
      </c>
      <c r="C44" s="1016">
        <f>B44/B$47</f>
        <v>0.18051009477355623</v>
      </c>
      <c r="D44" s="1016">
        <f>B44/B$48</f>
        <v>0.20581710619517868</v>
      </c>
      <c r="E44" s="1"/>
    </row>
    <row r="45" spans="1:5">
      <c r="A45" s="965" t="s">
        <v>937</v>
      </c>
      <c r="B45" s="1015">
        <f>B32</f>
        <v>5528511</v>
      </c>
      <c r="C45" s="1016">
        <f>B45/B$47</f>
        <v>9.9970912202280247E-3</v>
      </c>
      <c r="D45" s="1016">
        <f>B45/B$48</f>
        <v>1.1398655503991143E-2</v>
      </c>
      <c r="E45" s="1"/>
    </row>
    <row r="46" spans="1:5">
      <c r="A46" s="995" t="s">
        <v>938</v>
      </c>
      <c r="B46" s="751">
        <f>B33+B34+B35</f>
        <v>67997652</v>
      </c>
      <c r="C46" s="1000">
        <f>B46/B$47</f>
        <v>0.12295873695563246</v>
      </c>
      <c r="D46" s="1000"/>
      <c r="E46" s="1"/>
    </row>
    <row r="47" spans="1:5">
      <c r="A47" s="18"/>
      <c r="B47" s="980">
        <f>SUM(B43:B46)</f>
        <v>553011959</v>
      </c>
      <c r="C47" s="981">
        <f>SUM(C43:C46)</f>
        <v>1</v>
      </c>
      <c r="D47" s="981">
        <f>SUM(D43:D46)</f>
        <v>1</v>
      </c>
      <c r="E47" s="1"/>
    </row>
    <row r="48" spans="1:5">
      <c r="A48" s="965" t="s">
        <v>934</v>
      </c>
      <c r="B48" s="8">
        <f>B43+B44+B45</f>
        <v>485014307</v>
      </c>
      <c r="C48" s="1"/>
      <c r="D48" s="1"/>
      <c r="E48" s="1"/>
    </row>
    <row r="52" spans="1:5">
      <c r="A52" s="1005" t="s">
        <v>945</v>
      </c>
      <c r="B52" s="1002"/>
      <c r="C52" s="1003"/>
    </row>
    <row r="53" spans="1:5" ht="16.5" thickBot="1">
      <c r="A53" s="977"/>
      <c r="B53" s="978"/>
      <c r="C53" s="979" t="s">
        <v>932</v>
      </c>
    </row>
    <row r="54" spans="1:5" ht="16.5" thickTop="1">
      <c r="A54" s="964" t="s">
        <v>946</v>
      </c>
      <c r="B54" s="966"/>
      <c r="C54" s="352"/>
    </row>
    <row r="55" spans="1:5">
      <c r="A55" s="1006" t="s">
        <v>947</v>
      </c>
      <c r="B55" s="966">
        <f>'Foundation SCH'!F60*'Dashboard-Academic Allocation'!D30</f>
        <v>51087023.751958549</v>
      </c>
      <c r="C55" s="352">
        <f t="shared" ref="C55:C65" si="4">B55/B$66</f>
        <v>0.23347973356071827</v>
      </c>
      <c r="D55" s="1"/>
      <c r="E55" s="1"/>
    </row>
    <row r="56" spans="1:5">
      <c r="A56" s="1006" t="s">
        <v>948</v>
      </c>
      <c r="B56" s="966">
        <f>'Foundation SCH'!G60*'Dashboard-Academic Allocation'!D30</f>
        <v>18142006.786508195</v>
      </c>
      <c r="C56" s="352">
        <f t="shared" si="4"/>
        <v>8.291324488458357E-2</v>
      </c>
    </row>
    <row r="57" spans="1:5">
      <c r="A57" s="1007" t="s">
        <v>142</v>
      </c>
      <c r="B57" s="966">
        <f>'Foundation SCH'!H60*'Dashboard-Academic Allocation'!D30</f>
        <v>5775607.972165768</v>
      </c>
      <c r="C57" s="352">
        <f t="shared" si="4"/>
        <v>2.6395889042972999E-2</v>
      </c>
    </row>
    <row r="58" spans="1:5">
      <c r="A58" s="1007" t="s">
        <v>952</v>
      </c>
      <c r="B58" s="966">
        <f>'Dashboard-Academic Allocation'!D33+'Dashboard-Academic Allocation'!D49</f>
        <v>1666769.7446807225</v>
      </c>
      <c r="C58" s="352">
        <f t="shared" si="4"/>
        <v>7.61753038862833E-3</v>
      </c>
    </row>
    <row r="59" spans="1:5">
      <c r="A59" s="965" t="s">
        <v>949</v>
      </c>
      <c r="B59" s="966">
        <f>'Dashboard-Academic Allocation'!D34+'Dashboard-Academic Allocation'!D35</f>
        <v>41669243.617018059</v>
      </c>
      <c r="C59" s="352">
        <f t="shared" si="4"/>
        <v>0.19043825971570824</v>
      </c>
    </row>
    <row r="60" spans="1:5">
      <c r="A60" s="965" t="s">
        <v>302</v>
      </c>
      <c r="B60" s="966">
        <f>'Dashboard-Academic Allocation'!D36+'Dashboard-Academic Allocation'!D37</f>
        <v>33335394.893614449</v>
      </c>
      <c r="C60" s="352">
        <f t="shared" si="4"/>
        <v>0.15235060777256659</v>
      </c>
    </row>
    <row r="61" spans="1:5">
      <c r="A61" s="965" t="s">
        <v>950</v>
      </c>
      <c r="B61" s="966">
        <f>'Dashboard-Academic Allocation'!D38+0.9*'Dashboard-Academic Allocation'!D40</f>
        <v>44024041.549888454</v>
      </c>
      <c r="C61" s="352">
        <f t="shared" si="4"/>
        <v>0.20120024100914446</v>
      </c>
    </row>
    <row r="62" spans="1:5">
      <c r="A62" s="965" t="s">
        <v>951</v>
      </c>
      <c r="B62" s="966">
        <f>0.1*'Dashboard-Academic Allocation'!D40+'Dashboard-Academic Allocation'!D39</f>
        <v>8106085.4501115456</v>
      </c>
      <c r="C62" s="352">
        <f t="shared" si="4"/>
        <v>3.7046720128022743E-2</v>
      </c>
    </row>
    <row r="63" spans="1:5">
      <c r="A63" s="965" t="s">
        <v>458</v>
      </c>
      <c r="B63" s="966">
        <f>'Dashboard-Academic Allocation'!D42</f>
        <v>8333848.7234036122</v>
      </c>
      <c r="C63" s="352">
        <f t="shared" si="4"/>
        <v>3.8087651943141648E-2</v>
      </c>
    </row>
    <row r="64" spans="1:5">
      <c r="A64" s="965" t="s">
        <v>953</v>
      </c>
      <c r="B64" s="966">
        <f>'Strategic Populations'!S3*'Dashboard-Academic Allocation'!D43</f>
        <v>5441197.0469661746</v>
      </c>
      <c r="C64" s="352">
        <f t="shared" si="4"/>
        <v>2.4867552334722282E-2</v>
      </c>
    </row>
    <row r="65" spans="1:3">
      <c r="A65" s="965" t="s">
        <v>954</v>
      </c>
      <c r="B65" s="966">
        <f>'Dashboard-Academic Allocation'!D43*'Strategic Populations'!S4</f>
        <v>1225881.9317567158</v>
      </c>
      <c r="C65" s="352">
        <f t="shared" si="4"/>
        <v>5.6025692197910378E-3</v>
      </c>
    </row>
    <row r="66" spans="1:3">
      <c r="A66" s="251"/>
      <c r="B66" s="1010">
        <f>SUM(B55:B65)</f>
        <v>218807101.46807221</v>
      </c>
      <c r="C66" s="1011">
        <f>SUM(C55:C65)</f>
        <v>1.0000000000000002</v>
      </c>
    </row>
    <row r="68" spans="1:3">
      <c r="A68" s="1012" t="s">
        <v>957</v>
      </c>
      <c r="B68" s="15"/>
      <c r="C68" s="1017">
        <f>C55+C56+C57+C58</f>
        <v>0.3504063978769032</v>
      </c>
    </row>
    <row r="69" spans="1:3">
      <c r="A69" s="91"/>
      <c r="B69" s="91"/>
      <c r="C69" s="91"/>
    </row>
    <row r="70" spans="1:3">
      <c r="A70" s="965" t="s">
        <v>958</v>
      </c>
      <c r="B70" s="91"/>
      <c r="C70" s="377">
        <f>C55+C56+C59+C61+C64+C58</f>
        <v>0.74051656189350512</v>
      </c>
    </row>
    <row r="71" spans="1:3">
      <c r="A71" s="965" t="s">
        <v>959</v>
      </c>
      <c r="B71" s="91"/>
      <c r="C71" s="377">
        <f>C57+C60+C62+C65</f>
        <v>0.22139578616335337</v>
      </c>
    </row>
    <row r="72" spans="1:3">
      <c r="A72" s="995" t="s">
        <v>960</v>
      </c>
      <c r="B72" s="16"/>
      <c r="C72" s="1018">
        <f>C63</f>
        <v>3.8087651943141648E-2</v>
      </c>
    </row>
  </sheetData>
  <mergeCells count="4">
    <mergeCell ref="D4:E4"/>
    <mergeCell ref="B4:C4"/>
    <mergeCell ref="B18:C18"/>
    <mergeCell ref="D18:E18"/>
  </mergeCells>
  <pageMargins left="0.75" right="0.75" top="1" bottom="1" header="0.5" footer="0.5"/>
  <pageSetup orientation="portrait" horizontalDpi="4294967292" verticalDpi="429496729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37"/>
  <sheetViews>
    <sheetView workbookViewId="0">
      <selection activeCell="B3" sqref="B3"/>
    </sheetView>
  </sheetViews>
  <sheetFormatPr defaultColWidth="11" defaultRowHeight="15.75"/>
  <cols>
    <col min="2" max="2" width="24.375" customWidth="1"/>
    <col min="3" max="5" width="16.875" customWidth="1"/>
    <col min="7" max="7" width="15.125" customWidth="1"/>
    <col min="9" max="9" width="13.625" customWidth="1"/>
  </cols>
  <sheetData>
    <row r="1" spans="1:9">
      <c r="B1" t="s">
        <v>1287</v>
      </c>
    </row>
    <row r="3" spans="1:9" ht="16.5" thickBot="1"/>
    <row r="4" spans="1:9" ht="16.5" thickBot="1">
      <c r="C4" s="972" t="s">
        <v>378</v>
      </c>
      <c r="D4" s="1556" t="s">
        <v>1481</v>
      </c>
      <c r="E4" s="1553"/>
      <c r="G4" s="972" t="s">
        <v>1302</v>
      </c>
      <c r="I4" s="972" t="s">
        <v>1303</v>
      </c>
    </row>
    <row r="5" spans="1:9">
      <c r="A5" s="1665" t="s">
        <v>1291</v>
      </c>
      <c r="B5" s="967" t="s">
        <v>914</v>
      </c>
      <c r="C5" s="973">
        <v>30920975</v>
      </c>
      <c r="D5" s="1557">
        <v>771092</v>
      </c>
      <c r="E5" s="1554"/>
      <c r="G5" s="973">
        <v>31060143</v>
      </c>
      <c r="I5" s="973">
        <v>30993889</v>
      </c>
    </row>
    <row r="6" spans="1:9">
      <c r="A6" s="1666"/>
      <c r="B6" s="968" t="s">
        <v>915</v>
      </c>
      <c r="C6" s="974">
        <v>5641289</v>
      </c>
      <c r="D6" s="1558">
        <v>1223722</v>
      </c>
      <c r="E6" s="1554"/>
      <c r="G6" s="974">
        <v>5666679</v>
      </c>
      <c r="I6" s="974">
        <v>5654591</v>
      </c>
    </row>
    <row r="7" spans="1:9">
      <c r="A7" s="1666"/>
      <c r="B7" s="968" t="s">
        <v>916</v>
      </c>
      <c r="C7" s="974">
        <v>2170224</v>
      </c>
      <c r="D7" s="1558">
        <v>433601</v>
      </c>
      <c r="E7" s="1554"/>
      <c r="G7" s="974">
        <v>2179992</v>
      </c>
      <c r="I7" s="974">
        <v>2175342</v>
      </c>
    </row>
    <row r="8" spans="1:9">
      <c r="A8" s="1666"/>
      <c r="B8" s="968" t="s">
        <v>917</v>
      </c>
      <c r="C8" s="974">
        <v>3605206</v>
      </c>
      <c r="D8" s="1558">
        <v>0</v>
      </c>
      <c r="E8" s="1554"/>
      <c r="G8" s="974">
        <v>3565717</v>
      </c>
      <c r="I8" s="974">
        <v>3613708</v>
      </c>
    </row>
    <row r="9" spans="1:9">
      <c r="A9" s="1666"/>
      <c r="B9" s="968" t="s">
        <v>918</v>
      </c>
      <c r="C9" s="974">
        <v>1163010</v>
      </c>
      <c r="D9" s="1558">
        <v>0</v>
      </c>
      <c r="E9" s="1554"/>
      <c r="G9" s="974">
        <v>421390</v>
      </c>
      <c r="I9" s="974">
        <v>745261</v>
      </c>
    </row>
    <row r="10" spans="1:9">
      <c r="A10" s="1666"/>
      <c r="B10" s="968" t="s">
        <v>919</v>
      </c>
      <c r="C10" s="974">
        <v>204009</v>
      </c>
      <c r="D10" s="1558">
        <v>37242</v>
      </c>
      <c r="E10" s="1554"/>
      <c r="G10" s="974">
        <v>204927</v>
      </c>
      <c r="I10" s="974">
        <v>204490</v>
      </c>
    </row>
    <row r="11" spans="1:9">
      <c r="A11" s="1666"/>
      <c r="B11" s="969" t="s">
        <v>920</v>
      </c>
      <c r="C11" s="974">
        <v>3822665</v>
      </c>
      <c r="D11" s="1558">
        <v>61935</v>
      </c>
      <c r="E11" s="1554"/>
      <c r="G11" s="974">
        <v>3839870</v>
      </c>
      <c r="I11" s="974">
        <v>3831679</v>
      </c>
    </row>
    <row r="12" spans="1:9" ht="16.5" thickBot="1">
      <c r="A12" s="1666"/>
      <c r="B12" s="970" t="s">
        <v>921</v>
      </c>
      <c r="C12" s="975">
        <v>7231709</v>
      </c>
      <c r="D12" s="1559">
        <v>448027</v>
      </c>
      <c r="E12" s="1554"/>
      <c r="G12" s="975">
        <v>7264258</v>
      </c>
      <c r="I12" s="975">
        <v>7248763</v>
      </c>
    </row>
    <row r="13" spans="1:9" ht="16.5" thickBot="1">
      <c r="A13" s="1667"/>
      <c r="B13" s="971" t="s">
        <v>224</v>
      </c>
      <c r="C13" s="976">
        <v>54759087</v>
      </c>
      <c r="D13" s="1560">
        <v>2975619</v>
      </c>
      <c r="E13" s="1554"/>
      <c r="G13" s="976">
        <f>SUM(G5:G12)</f>
        <v>54202976</v>
      </c>
      <c r="I13" s="976">
        <f>SUM(I5:I12)</f>
        <v>54467723</v>
      </c>
    </row>
    <row r="14" spans="1:9">
      <c r="A14" s="1665" t="s">
        <v>1292</v>
      </c>
      <c r="B14" s="967" t="s">
        <v>922</v>
      </c>
      <c r="C14" s="973">
        <v>8629052</v>
      </c>
      <c r="D14" s="1557">
        <v>58872</v>
      </c>
      <c r="E14" s="1554"/>
      <c r="G14" s="973">
        <v>8720787</v>
      </c>
      <c r="I14" s="973">
        <v>8681988</v>
      </c>
    </row>
    <row r="15" spans="1:9">
      <c r="A15" s="1666"/>
      <c r="B15" s="968" t="s">
        <v>923</v>
      </c>
      <c r="C15" s="974">
        <v>20799658</v>
      </c>
      <c r="D15" s="1558">
        <v>916276</v>
      </c>
      <c r="E15" s="1554"/>
      <c r="G15" s="974">
        <v>21016594</v>
      </c>
      <c r="I15" s="974">
        <v>20927242</v>
      </c>
    </row>
    <row r="16" spans="1:9">
      <c r="A16" s="1666"/>
      <c r="B16" s="968" t="s">
        <v>924</v>
      </c>
      <c r="C16" s="974">
        <v>3428197</v>
      </c>
      <c r="D16" s="1558">
        <v>233236</v>
      </c>
      <c r="E16" s="1554"/>
      <c r="G16" s="974">
        <v>2264560</v>
      </c>
      <c r="I16" s="974">
        <v>2720346</v>
      </c>
    </row>
    <row r="17" spans="1:9" ht="16.5" thickBot="1">
      <c r="A17" s="1666"/>
      <c r="B17" s="712" t="s">
        <v>925</v>
      </c>
      <c r="C17" s="975">
        <v>5814997</v>
      </c>
      <c r="D17" s="1559">
        <v>0</v>
      </c>
      <c r="E17" s="1554"/>
      <c r="G17" s="975">
        <v>5746736</v>
      </c>
      <c r="I17" s="975">
        <v>5850282</v>
      </c>
    </row>
    <row r="18" spans="1:9" ht="16.5" thickBot="1">
      <c r="A18" s="1667"/>
      <c r="B18" s="971" t="s">
        <v>224</v>
      </c>
      <c r="C18" s="976">
        <v>38671904</v>
      </c>
      <c r="D18" s="1560">
        <v>1208384</v>
      </c>
      <c r="E18" s="1554"/>
      <c r="G18" s="976">
        <f>SUM(G14:G17)</f>
        <v>37748677</v>
      </c>
      <c r="I18" s="976">
        <f>SUM(I14:I17)</f>
        <v>38179858</v>
      </c>
    </row>
    <row r="19" spans="1:9">
      <c r="A19" s="1668" t="s">
        <v>1293</v>
      </c>
      <c r="B19" s="967" t="s">
        <v>1294</v>
      </c>
      <c r="C19" s="973">
        <v>0</v>
      </c>
      <c r="D19" s="1557">
        <v>2711986</v>
      </c>
      <c r="E19" s="1554"/>
      <c r="G19" s="973">
        <f>C19</f>
        <v>0</v>
      </c>
      <c r="I19" s="973"/>
    </row>
    <row r="20" spans="1:9">
      <c r="A20" s="1669"/>
      <c r="B20" s="968" t="s">
        <v>1295</v>
      </c>
      <c r="C20" s="974">
        <v>11158196</v>
      </c>
      <c r="D20" s="1558">
        <v>13892</v>
      </c>
      <c r="E20" s="1554"/>
      <c r="G20" s="974">
        <f>C20</f>
        <v>11158196</v>
      </c>
      <c r="I20" s="974">
        <f t="shared" ref="I20:I23" si="0">G20</f>
        <v>11158196</v>
      </c>
    </row>
    <row r="21" spans="1:9">
      <c r="A21" s="1669"/>
      <c r="B21" s="968" t="s">
        <v>1296</v>
      </c>
      <c r="C21" s="974">
        <v>2877182</v>
      </c>
      <c r="D21" s="1558">
        <v>0</v>
      </c>
      <c r="E21" s="1554"/>
      <c r="G21" s="974">
        <f>C21</f>
        <v>2877182</v>
      </c>
      <c r="I21" s="974">
        <f t="shared" si="0"/>
        <v>2877182</v>
      </c>
    </row>
    <row r="22" spans="1:9" ht="16.5" thickBot="1">
      <c r="A22" s="1669"/>
      <c r="B22" s="712" t="s">
        <v>1297</v>
      </c>
      <c r="C22" s="1449">
        <v>0</v>
      </c>
      <c r="D22" s="1561">
        <v>0</v>
      </c>
      <c r="E22" s="1555"/>
      <c r="G22" s="1449">
        <f>C22</f>
        <v>0</v>
      </c>
      <c r="I22" s="1449">
        <f t="shared" si="0"/>
        <v>0</v>
      </c>
    </row>
    <row r="23" spans="1:9" ht="16.5" thickBot="1">
      <c r="A23" s="1670"/>
      <c r="B23" s="1448" t="s">
        <v>1298</v>
      </c>
      <c r="C23" s="1450">
        <v>14035378</v>
      </c>
      <c r="D23" s="1562">
        <v>2725878</v>
      </c>
      <c r="E23" s="1554"/>
      <c r="G23" s="1450">
        <f>C23</f>
        <v>14035378</v>
      </c>
      <c r="I23" s="1450">
        <f t="shared" si="0"/>
        <v>14035378</v>
      </c>
    </row>
    <row r="24" spans="1:9">
      <c r="C24" s="1451">
        <v>0</v>
      </c>
      <c r="D24" s="1563">
        <v>0</v>
      </c>
      <c r="E24" s="1555"/>
      <c r="G24" s="1451"/>
      <c r="I24" s="1451"/>
    </row>
    <row r="25" spans="1:9">
      <c r="B25" t="s">
        <v>1299</v>
      </c>
      <c r="C25" s="1452">
        <v>107466369</v>
      </c>
      <c r="D25" s="1564">
        <v>6909881</v>
      </c>
      <c r="E25" s="1555"/>
      <c r="G25" s="1452">
        <f>SUM(G13,G18,G23)</f>
        <v>105987031</v>
      </c>
      <c r="I25" s="1452">
        <f>SUM(I13,I18,I23)</f>
        <v>106682959</v>
      </c>
    </row>
    <row r="26" spans="1:9">
      <c r="B26" t="s">
        <v>1300</v>
      </c>
      <c r="C26" s="1452">
        <f>-135705*C25/114376252</f>
        <v>-127506.57020257143</v>
      </c>
      <c r="D26" s="1452">
        <f>-135705*D25/114376252</f>
        <v>-8198.4274244709468</v>
      </c>
      <c r="E26" s="1555"/>
      <c r="G26" s="1452">
        <f>C26</f>
        <v>-127506.57020257143</v>
      </c>
      <c r="I26" s="1452">
        <f>G26</f>
        <v>-127506.57020257143</v>
      </c>
    </row>
    <row r="27" spans="1:9">
      <c r="B27" t="s">
        <v>1301</v>
      </c>
      <c r="C27" s="1452">
        <f>C25+C26</f>
        <v>107338862.42979743</v>
      </c>
      <c r="D27" s="1452">
        <f>D25+D26</f>
        <v>6901682.5725755291</v>
      </c>
      <c r="E27" s="1555"/>
      <c r="G27" s="1452">
        <f>G25+G26</f>
        <v>105859524.42979743</v>
      </c>
      <c r="I27" s="1452">
        <f>I25+I26</f>
        <v>106555452.42979743</v>
      </c>
    </row>
    <row r="32" spans="1:9">
      <c r="B32" t="s">
        <v>1288</v>
      </c>
      <c r="C32" s="226">
        <v>1070531</v>
      </c>
      <c r="D32" s="226"/>
      <c r="E32" s="226"/>
    </row>
    <row r="33" spans="2:5">
      <c r="B33" t="s">
        <v>1289</v>
      </c>
      <c r="C33" s="226">
        <v>3572814</v>
      </c>
      <c r="D33" s="226"/>
      <c r="E33" s="226"/>
    </row>
    <row r="34" spans="2:5">
      <c r="B34" t="s">
        <v>1290</v>
      </c>
      <c r="C34" s="226">
        <v>1268074</v>
      </c>
      <c r="D34" s="226"/>
      <c r="E34" s="226"/>
    </row>
    <row r="36" spans="2:5">
      <c r="B36" t="s">
        <v>1304</v>
      </c>
      <c r="C36" s="226">
        <f>C27-G27</f>
        <v>1479338</v>
      </c>
      <c r="D36" s="226"/>
      <c r="E36" s="226"/>
    </row>
    <row r="37" spans="2:5">
      <c r="B37" t="s">
        <v>1305</v>
      </c>
      <c r="C37" s="226">
        <f>C27-I27</f>
        <v>783410</v>
      </c>
      <c r="D37" s="226"/>
      <c r="E37" s="226"/>
    </row>
  </sheetData>
  <mergeCells count="3">
    <mergeCell ref="A5:A13"/>
    <mergeCell ref="A14:A18"/>
    <mergeCell ref="A19:A23"/>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55"/>
  <sheetViews>
    <sheetView topLeftCell="B1" workbookViewId="0">
      <selection activeCell="E12" sqref="E12"/>
    </sheetView>
  </sheetViews>
  <sheetFormatPr defaultColWidth="11" defaultRowHeight="15.75"/>
  <cols>
    <col min="1" max="1" width="43" customWidth="1"/>
    <col min="2" max="2" width="15.5" customWidth="1"/>
    <col min="3" max="3" width="14.375" customWidth="1"/>
    <col min="4" max="4" width="27.125" customWidth="1"/>
    <col min="5" max="8" width="14.5" customWidth="1"/>
    <col min="10" max="10" width="33.375" customWidth="1"/>
    <col min="11" max="11" width="14.125" bestFit="1" customWidth="1"/>
    <col min="13" max="13" width="12.5" bestFit="1" customWidth="1"/>
    <col min="15" max="15" width="9.5" customWidth="1"/>
    <col min="16" max="16" width="11.5" bestFit="1" customWidth="1"/>
  </cols>
  <sheetData>
    <row r="1" spans="1:15" ht="18.75">
      <c r="A1" s="1125" t="s">
        <v>1335</v>
      </c>
      <c r="B1" s="1126"/>
      <c r="C1" s="1126"/>
      <c r="D1" s="1126"/>
      <c r="E1" s="1126"/>
      <c r="F1" s="1126"/>
      <c r="G1" s="1126"/>
    </row>
    <row r="2" spans="1:15">
      <c r="A2" s="460"/>
      <c r="B2" s="460"/>
      <c r="C2" s="460"/>
    </row>
    <row r="3" spans="1:15">
      <c r="A3" s="235" t="s">
        <v>322</v>
      </c>
      <c r="B3" s="460"/>
      <c r="C3" s="460"/>
      <c r="D3" s="251" t="s">
        <v>969</v>
      </c>
      <c r="E3" s="1032" t="s">
        <v>972</v>
      </c>
      <c r="F3" s="1032" t="s">
        <v>461</v>
      </c>
      <c r="G3" s="1032" t="s">
        <v>298</v>
      </c>
    </row>
    <row r="4" spans="1:15">
      <c r="A4" s="1088" t="s">
        <v>323</v>
      </c>
      <c r="B4" s="1087">
        <f>'Step 0 FY18 Revenue'!L60-'Step 0 FY18 Revenue'!L47</f>
        <v>591508645</v>
      </c>
      <c r="C4" s="460"/>
      <c r="O4" s="1"/>
    </row>
    <row r="5" spans="1:15">
      <c r="A5" s="1088" t="s">
        <v>324</v>
      </c>
      <c r="B5" s="1087">
        <f>'Step 0 FY18 Revenue'!L47</f>
        <v>-38496686</v>
      </c>
      <c r="C5" s="460"/>
      <c r="D5" s="10" t="s">
        <v>970</v>
      </c>
      <c r="O5" s="8"/>
    </row>
    <row r="6" spans="1:15">
      <c r="A6" s="1088" t="s">
        <v>325</v>
      </c>
      <c r="B6" s="1087">
        <f>B4+B5</f>
        <v>553011959</v>
      </c>
      <c r="C6" s="460"/>
      <c r="D6" s="421" t="s">
        <v>141</v>
      </c>
      <c r="E6" s="1030">
        <f>0.8*B40*F6+0.8*G6*B48</f>
        <v>32513062.363724694</v>
      </c>
      <c r="F6" s="1031">
        <f>('Ecampus And Summer'!R84+'Ecampus And Summer'!S84+'Ecampus And Summer'!V84+'Ecampus And Summer'!R109+'Ecampus And Summer'!S109+'Ecampus And Summer'!V109+'Ecampus And Summer'!R132+'Ecampus And Summer'!S132+'Ecampus And Summer'!V132+'Ecampus And Summer'!R155+'Ecampus And Summer'!S155+'Ecampus And Summer'!V155)/3</f>
        <v>177809.47625350358</v>
      </c>
      <c r="G6" s="1031">
        <f>('Ecampus And Summer'!AA109+'Ecampus And Summer'!AB109+'Ecampus And Summer'!AC109+'Ecampus And Summer'!AA155+'Ecampus And Summer'!AB155+'Ecampus And Summer'!AC155)/3</f>
        <v>40660</v>
      </c>
      <c r="O6" s="1"/>
    </row>
    <row r="7" spans="1:15">
      <c r="A7" s="1029"/>
      <c r="B7" s="1029"/>
      <c r="C7" s="460"/>
      <c r="D7" s="421" t="s">
        <v>142</v>
      </c>
      <c r="E7" s="1030">
        <f>0.8*(F7*B44+G7*B52)</f>
        <v>5986584.8860445134</v>
      </c>
      <c r="F7" s="1031">
        <f>('Ecampus And Summer'!R177+'Ecampus And Summer'!S177+'Ecampus And Summer'!V177+'Ecampus And Summer'!R199+'Ecampus And Summer'!S199+'Ecampus And Summer'!V199)/3</f>
        <v>9661.3621219137931</v>
      </c>
      <c r="G7" s="1031">
        <f>('Ecampus And Summer'!AA199+'Ecampus And Summer'!AB199+'Ecampus And Summer'!AC199)/3</f>
        <v>8723</v>
      </c>
      <c r="O7" s="1"/>
    </row>
    <row r="8" spans="1:15">
      <c r="A8" s="1089" t="s">
        <v>326</v>
      </c>
      <c r="B8" s="1029"/>
      <c r="C8" s="460"/>
      <c r="E8" s="1030">
        <f>E6+E7</f>
        <v>38499647.249769211</v>
      </c>
      <c r="F8" s="1031"/>
      <c r="G8" s="1031"/>
      <c r="O8" s="8"/>
    </row>
    <row r="9" spans="1:15">
      <c r="A9" s="1088" t="s">
        <v>547</v>
      </c>
      <c r="B9" s="1090">
        <f>'Step 3 Dedicated Funds'!B6+'Step 3 Dedicated Funds'!B7</f>
        <v>1035850</v>
      </c>
      <c r="C9" s="460"/>
      <c r="D9" s="10" t="s">
        <v>971</v>
      </c>
      <c r="E9" s="1"/>
      <c r="F9" s="1031"/>
      <c r="G9" s="1031"/>
      <c r="O9" s="1"/>
    </row>
    <row r="10" spans="1:15">
      <c r="A10" s="1088" t="s">
        <v>791</v>
      </c>
      <c r="B10" s="1090">
        <f>'Step 3 Dedicated Funds'!B12</f>
        <v>22663752.16</v>
      </c>
      <c r="C10" s="460"/>
      <c r="D10" s="421" t="s">
        <v>141</v>
      </c>
      <c r="E10" s="1030">
        <f>E12*E6/E8</f>
        <v>44024041.549888454</v>
      </c>
      <c r="F10" s="1031">
        <f>'Ecampus And Summer'!V155+'Ecampus And Summer'!V132+'Ecampus And Summer'!V109+'Ecampus And Summer'!V84</f>
        <v>208048.42876051075</v>
      </c>
      <c r="G10" s="1031">
        <f>'Ecampus And Summer'!AC109+'Ecampus And Summer'!AC155</f>
        <v>40028</v>
      </c>
      <c r="O10" s="1"/>
    </row>
    <row r="11" spans="1:15">
      <c r="A11" s="1088" t="s">
        <v>795</v>
      </c>
      <c r="B11" s="1090">
        <f>'Step 3 Dedicated Funds'!B10</f>
        <v>21345070</v>
      </c>
      <c r="C11" s="460"/>
      <c r="D11" s="421" t="s">
        <v>142</v>
      </c>
      <c r="E11" s="1030">
        <f>E12-E10</f>
        <v>8106085.4501115456</v>
      </c>
      <c r="F11" s="1031">
        <f>'Ecampus And Summer'!V177+'Ecampus And Summer'!V199</f>
        <v>10768.086365741383</v>
      </c>
      <c r="G11" s="1031">
        <f>'Ecampus And Summer'!AC199</f>
        <v>7674</v>
      </c>
      <c r="O11" s="1"/>
    </row>
    <row r="12" spans="1:15" ht="16.5" thickBot="1">
      <c r="A12" s="1088" t="s">
        <v>794</v>
      </c>
      <c r="B12" s="1090">
        <f>'Step 3 Dedicated Funds'!B11</f>
        <v>4025000</v>
      </c>
      <c r="C12" s="460"/>
      <c r="D12" s="1322" t="s">
        <v>13</v>
      </c>
      <c r="E12" s="1033">
        <f>'Ecampus And Summer'!C36</f>
        <v>52130127</v>
      </c>
      <c r="F12" s="1034"/>
      <c r="G12" s="1034"/>
      <c r="O12" s="1"/>
    </row>
    <row r="13" spans="1:15" ht="16.5" thickTop="1">
      <c r="A13" s="1088" t="s">
        <v>871</v>
      </c>
      <c r="B13" s="1090">
        <f>'Step 3 Dedicated Funds'!C57</f>
        <v>11060239.18</v>
      </c>
      <c r="C13" s="460"/>
      <c r="O13" s="1"/>
    </row>
    <row r="14" spans="1:15">
      <c r="A14" s="1088" t="s">
        <v>872</v>
      </c>
      <c r="B14" s="1090">
        <f>'Step 3 Dedicated Funds'!D8</f>
        <v>16590358.77</v>
      </c>
      <c r="C14" s="782"/>
      <c r="D14" s="226"/>
      <c r="O14" s="1"/>
    </row>
    <row r="15" spans="1:15">
      <c r="A15" s="1088" t="s">
        <v>899</v>
      </c>
      <c r="B15" s="1090">
        <f>'Step 3 Dedicated Funds'!B9</f>
        <v>5000000</v>
      </c>
      <c r="C15" s="460"/>
      <c r="O15" s="1038"/>
    </row>
    <row r="16" spans="1:15">
      <c r="A16" s="1088" t="s">
        <v>796</v>
      </c>
      <c r="B16" s="1090">
        <f>'Step 3 Dedicated Funds'!D38+'Step 3 Dedicated Funds'!D40+'Step 3 Dedicated Funds'!D41</f>
        <v>11858786</v>
      </c>
      <c r="C16" s="460"/>
      <c r="O16" s="1"/>
    </row>
    <row r="17" spans="1:15">
      <c r="A17" s="1088" t="s">
        <v>792</v>
      </c>
      <c r="B17" s="1090">
        <f>SUM('Step 3 Dedicated Funds'!F57:R57)</f>
        <v>122759892.344</v>
      </c>
      <c r="C17" s="782"/>
      <c r="O17" s="1"/>
    </row>
    <row r="18" spans="1:15">
      <c r="A18" s="1091"/>
      <c r="B18" s="1092"/>
      <c r="C18" s="460"/>
      <c r="O18" s="1"/>
    </row>
    <row r="19" spans="1:15">
      <c r="A19" s="1093" t="s">
        <v>793</v>
      </c>
      <c r="B19" s="1087">
        <f>B6-SUM(B9:B17)</f>
        <v>336673010.546</v>
      </c>
      <c r="C19" s="460"/>
      <c r="O19" s="1"/>
    </row>
    <row r="20" spans="1:15">
      <c r="A20" s="1029"/>
      <c r="B20" s="1029"/>
      <c r="C20" s="460"/>
      <c r="O20" s="1"/>
    </row>
    <row r="21" spans="1:15">
      <c r="A21" s="1093" t="s">
        <v>327</v>
      </c>
      <c r="B21" s="1094">
        <f>'Dashboard-Academic Allocation'!C12</f>
        <v>0.65</v>
      </c>
      <c r="C21" s="460"/>
      <c r="O21" s="1"/>
    </row>
    <row r="22" spans="1:15">
      <c r="A22" s="1029"/>
      <c r="B22" s="1029"/>
      <c r="C22" s="460"/>
      <c r="O22" s="1"/>
    </row>
    <row r="23" spans="1:15">
      <c r="A23" s="1093" t="s">
        <v>328</v>
      </c>
      <c r="B23" s="1087">
        <f>B21*B19</f>
        <v>218837456.8549</v>
      </c>
      <c r="C23" s="460"/>
      <c r="O23" s="1"/>
    </row>
    <row r="24" spans="1:15">
      <c r="A24" s="1093" t="s">
        <v>329</v>
      </c>
      <c r="B24" s="1087">
        <f>B19-B23</f>
        <v>117835553.6911</v>
      </c>
      <c r="C24" s="460"/>
      <c r="O24" s="1"/>
    </row>
    <row r="25" spans="1:15">
      <c r="A25" s="460"/>
      <c r="B25" s="460"/>
      <c r="C25" s="460"/>
      <c r="O25" s="1"/>
    </row>
    <row r="26" spans="1:15">
      <c r="A26" s="460"/>
      <c r="B26" s="460"/>
      <c r="C26" s="460"/>
      <c r="O26" s="1"/>
    </row>
    <row r="27" spans="1:15" ht="15" customHeight="1" thickBot="1">
      <c r="A27" s="460"/>
      <c r="B27" s="460"/>
      <c r="C27" s="460"/>
      <c r="O27" s="1"/>
    </row>
    <row r="28" spans="1:15">
      <c r="A28" s="1102" t="s">
        <v>1336</v>
      </c>
      <c r="B28" s="1095"/>
      <c r="C28" s="460"/>
      <c r="O28" s="1"/>
    </row>
    <row r="29" spans="1:15" ht="15" customHeight="1">
      <c r="A29" s="1096"/>
      <c r="B29" s="1097"/>
      <c r="C29" s="460"/>
      <c r="O29" s="1"/>
    </row>
    <row r="30" spans="1:15">
      <c r="A30" s="1098" t="s">
        <v>1337</v>
      </c>
      <c r="B30" s="1099">
        <v>195</v>
      </c>
      <c r="C30" s="460"/>
      <c r="O30" s="1"/>
    </row>
    <row r="31" spans="1:15" ht="15" customHeight="1">
      <c r="A31" s="1098" t="s">
        <v>355</v>
      </c>
      <c r="B31" s="1099">
        <f>-0.1*B30</f>
        <v>-19.5</v>
      </c>
      <c r="C31" s="460"/>
      <c r="O31" s="1"/>
    </row>
    <row r="32" spans="1:15">
      <c r="A32" s="1098" t="s">
        <v>356</v>
      </c>
      <c r="B32" s="1099">
        <f>B30+B31</f>
        <v>175.5</v>
      </c>
      <c r="C32" s="460"/>
      <c r="O32" s="1"/>
    </row>
    <row r="33" spans="1:15" ht="15" customHeight="1">
      <c r="A33" s="1098"/>
      <c r="B33" s="1097"/>
      <c r="C33" s="460"/>
      <c r="O33" s="1"/>
    </row>
    <row r="34" spans="1:15">
      <c r="A34" s="1098" t="s">
        <v>1338</v>
      </c>
      <c r="B34" s="1099">
        <v>457</v>
      </c>
      <c r="C34" s="460"/>
      <c r="O34" s="1"/>
    </row>
    <row r="35" spans="1:15">
      <c r="A35" s="1098" t="s">
        <v>355</v>
      </c>
      <c r="B35" s="1099">
        <f>-0.1*B34</f>
        <v>-45.7</v>
      </c>
      <c r="C35" s="460"/>
      <c r="O35" s="1"/>
    </row>
    <row r="36" spans="1:15">
      <c r="A36" s="1098" t="s">
        <v>359</v>
      </c>
      <c r="B36" s="1099">
        <f>B34+B35</f>
        <v>411.3</v>
      </c>
      <c r="C36" s="460"/>
      <c r="O36" s="1"/>
    </row>
    <row r="37" spans="1:15">
      <c r="A37" s="1098"/>
      <c r="B37" s="1097"/>
      <c r="C37" s="460"/>
      <c r="O37" s="1"/>
    </row>
    <row r="38" spans="1:15">
      <c r="A38" s="1098" t="s">
        <v>357</v>
      </c>
      <c r="B38" s="1099">
        <v>208</v>
      </c>
      <c r="C38" s="460"/>
      <c r="O38" s="1"/>
    </row>
    <row r="39" spans="1:15">
      <c r="A39" s="1098" t="s">
        <v>355</v>
      </c>
      <c r="B39" s="1099">
        <f>-0.1*B38</f>
        <v>-20.8</v>
      </c>
      <c r="C39" s="460"/>
      <c r="O39" s="1"/>
    </row>
    <row r="40" spans="1:15" ht="15" customHeight="1">
      <c r="A40" s="1098" t="s">
        <v>358</v>
      </c>
      <c r="B40" s="1099">
        <f>B38+B39</f>
        <v>187.2</v>
      </c>
      <c r="C40" s="460"/>
      <c r="O40" s="1"/>
    </row>
    <row r="41" spans="1:15">
      <c r="A41" s="1098"/>
      <c r="B41" s="1097"/>
      <c r="C41" s="460"/>
      <c r="O41" s="1"/>
    </row>
    <row r="42" spans="1:15" ht="15" customHeight="1">
      <c r="A42" s="1098" t="s">
        <v>360</v>
      </c>
      <c r="B42" s="1099">
        <v>448</v>
      </c>
      <c r="C42" s="460"/>
      <c r="O42" s="1"/>
    </row>
    <row r="43" spans="1:15">
      <c r="A43" s="1098" t="s">
        <v>355</v>
      </c>
      <c r="B43" s="1099">
        <f>-0.1*B42</f>
        <v>-44.800000000000004</v>
      </c>
      <c r="C43" s="460"/>
      <c r="O43" s="1"/>
    </row>
    <row r="44" spans="1:15" ht="15" customHeight="1">
      <c r="A44" s="1098" t="s">
        <v>359</v>
      </c>
      <c r="B44" s="1099">
        <f>B42+B43</f>
        <v>403.2</v>
      </c>
      <c r="C44" s="460"/>
      <c r="O44" s="1"/>
    </row>
    <row r="45" spans="1:15">
      <c r="A45" s="1096"/>
      <c r="B45" s="1097"/>
      <c r="C45" s="460"/>
      <c r="O45" s="1"/>
    </row>
    <row r="46" spans="1:15" ht="15" customHeight="1">
      <c r="A46" s="1098" t="s">
        <v>973</v>
      </c>
      <c r="B46" s="1099">
        <v>201</v>
      </c>
      <c r="C46" s="460"/>
      <c r="O46" s="1"/>
    </row>
    <row r="47" spans="1:15">
      <c r="A47" s="1098" t="s">
        <v>355</v>
      </c>
      <c r="B47" s="1099">
        <f>-0.1*B46</f>
        <v>-20.100000000000001</v>
      </c>
      <c r="O47" s="1"/>
    </row>
    <row r="48" spans="1:15">
      <c r="A48" s="1098" t="s">
        <v>358</v>
      </c>
      <c r="B48" s="1099">
        <f>B46+B47</f>
        <v>180.9</v>
      </c>
      <c r="O48" s="1"/>
    </row>
    <row r="49" spans="1:15">
      <c r="A49" s="1098"/>
      <c r="B49" s="1097"/>
      <c r="O49" s="1"/>
    </row>
    <row r="50" spans="1:15">
      <c r="A50" s="1098" t="s">
        <v>974</v>
      </c>
      <c r="B50" s="1099">
        <v>457</v>
      </c>
      <c r="O50" s="1"/>
    </row>
    <row r="51" spans="1:15">
      <c r="A51" s="1098" t="s">
        <v>355</v>
      </c>
      <c r="B51" s="1099">
        <f>-0.1*B50</f>
        <v>-45.7</v>
      </c>
      <c r="O51" s="1"/>
    </row>
    <row r="52" spans="1:15" ht="16.5" thickBot="1">
      <c r="A52" s="1100" t="s">
        <v>359</v>
      </c>
      <c r="B52" s="1101">
        <f>B50+B51</f>
        <v>411.3</v>
      </c>
      <c r="O52" s="1"/>
    </row>
    <row r="53" spans="1:15">
      <c r="O53" s="1"/>
    </row>
    <row r="54" spans="1:15">
      <c r="O54" s="1"/>
    </row>
    <row r="55" spans="1:15">
      <c r="O55" s="1"/>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pageSetUpPr fitToPage="1"/>
  </sheetPr>
  <dimension ref="A1:W87"/>
  <sheetViews>
    <sheetView topLeftCell="G42" workbookViewId="0">
      <selection activeCell="S32" sqref="S32"/>
    </sheetView>
  </sheetViews>
  <sheetFormatPr defaultColWidth="10" defaultRowHeight="15.75"/>
  <cols>
    <col min="1" max="2" width="3.5" customWidth="1"/>
    <col min="3" max="3" width="3.375" customWidth="1"/>
    <col min="4" max="4" width="19.125" customWidth="1"/>
    <col min="5" max="5" width="15.5" customWidth="1"/>
    <col min="6" max="6" width="6.5" customWidth="1"/>
    <col min="7" max="7" width="0.875" style="66" customWidth="1"/>
    <col min="8" max="8" width="1.5" customWidth="1"/>
    <col min="9" max="9" width="18.625" customWidth="1"/>
    <col min="10" max="10" width="1.5" customWidth="1"/>
    <col min="11" max="11" width="17" customWidth="1"/>
    <col min="12" max="12" width="18.5" customWidth="1"/>
    <col min="13" max="14" width="1.5" customWidth="1"/>
    <col min="15" max="15" width="16.375" customWidth="1"/>
    <col min="16" max="16" width="27.875" customWidth="1"/>
    <col min="17" max="17" width="16.375" customWidth="1"/>
    <col min="18" max="18" width="13.625" customWidth="1"/>
    <col min="19" max="19" width="14.625" bestFit="1" customWidth="1"/>
    <col min="20" max="20" width="11" bestFit="1" customWidth="1"/>
  </cols>
  <sheetData>
    <row r="1" spans="1:19" ht="21">
      <c r="A1" s="1605" t="s">
        <v>18</v>
      </c>
      <c r="B1" s="1605"/>
      <c r="C1" s="1605"/>
      <c r="D1" s="1605"/>
      <c r="E1" s="87"/>
      <c r="F1" s="87"/>
      <c r="G1" s="88"/>
      <c r="H1" s="89"/>
      <c r="I1" s="1607" t="s">
        <v>1096</v>
      </c>
      <c r="J1" s="1607"/>
      <c r="K1" s="1607"/>
      <c r="L1" s="1608"/>
      <c r="M1" s="90"/>
      <c r="N1" s="90"/>
      <c r="P1" s="90"/>
      <c r="Q1" s="91"/>
    </row>
    <row r="2" spans="1:19" ht="19.5">
      <c r="A2" s="1606" t="s">
        <v>137</v>
      </c>
      <c r="B2" s="1606"/>
      <c r="C2" s="1606"/>
      <c r="D2" s="1606"/>
      <c r="E2" s="87"/>
      <c r="F2" s="87"/>
      <c r="G2" s="92"/>
      <c r="H2" s="91"/>
      <c r="I2" s="93" t="s">
        <v>138</v>
      </c>
      <c r="J2" s="94"/>
      <c r="K2" s="95" t="s">
        <v>139</v>
      </c>
      <c r="L2" s="96"/>
      <c r="M2" s="97"/>
      <c r="N2" s="102"/>
      <c r="P2" s="98"/>
      <c r="Q2" s="91"/>
    </row>
    <row r="3" spans="1:19" ht="18">
      <c r="A3" s="99"/>
      <c r="B3" s="100" t="s">
        <v>487</v>
      </c>
      <c r="D3" s="101"/>
      <c r="E3" s="101"/>
      <c r="F3" s="102"/>
      <c r="G3" s="92"/>
      <c r="H3" s="91"/>
      <c r="I3" s="103" t="s">
        <v>140</v>
      </c>
      <c r="J3" s="104"/>
      <c r="K3" s="105" t="s">
        <v>140</v>
      </c>
      <c r="L3" s="105" t="s">
        <v>13</v>
      </c>
      <c r="M3" s="106"/>
      <c r="N3" s="98"/>
      <c r="P3" s="98"/>
      <c r="Q3" s="91"/>
    </row>
    <row r="4" spans="1:19" ht="16.5">
      <c r="A4" s="101"/>
      <c r="B4" s="101"/>
      <c r="C4" s="101"/>
      <c r="D4" s="101"/>
      <c r="E4" s="101"/>
      <c r="F4" s="101"/>
      <c r="G4" s="107"/>
      <c r="H4" s="91"/>
      <c r="I4" s="108"/>
      <c r="J4" s="109"/>
      <c r="K4" s="72"/>
      <c r="L4" s="110"/>
      <c r="M4" s="110"/>
      <c r="N4" s="91"/>
      <c r="P4" s="91"/>
      <c r="Q4" s="91"/>
    </row>
    <row r="5" spans="1:19" ht="18">
      <c r="A5" s="393" t="s">
        <v>488</v>
      </c>
      <c r="B5" s="111"/>
      <c r="C5" s="101"/>
      <c r="D5" s="101"/>
      <c r="E5" s="101"/>
      <c r="F5" s="101"/>
      <c r="G5" s="107"/>
      <c r="H5" s="91"/>
      <c r="I5" s="394"/>
      <c r="J5" s="109"/>
      <c r="K5" s="72"/>
      <c r="L5" s="110"/>
      <c r="M5" s="110"/>
      <c r="N5" s="91"/>
      <c r="P5" s="140"/>
      <c r="Q5" s="112"/>
      <c r="R5" s="112"/>
      <c r="S5" s="91"/>
    </row>
    <row r="6" spans="1:19" ht="18">
      <c r="B6" s="111" t="s">
        <v>489</v>
      </c>
      <c r="C6" s="111"/>
      <c r="D6" s="111"/>
      <c r="E6" s="111"/>
      <c r="F6" s="111"/>
      <c r="G6" s="112"/>
      <c r="H6" s="116"/>
      <c r="I6" s="113">
        <v>0</v>
      </c>
      <c r="J6" s="114"/>
      <c r="K6" s="114">
        <v>0</v>
      </c>
      <c r="L6" s="113">
        <f t="shared" ref="L6:L7" si="0">I6+K6</f>
        <v>0</v>
      </c>
      <c r="M6" s="113"/>
      <c r="N6" s="112"/>
      <c r="P6" s="118"/>
      <c r="Q6" s="118"/>
      <c r="R6" s="119"/>
      <c r="S6" s="118"/>
    </row>
    <row r="7" spans="1:19" ht="18">
      <c r="A7" s="111"/>
      <c r="B7" s="111" t="s">
        <v>143</v>
      </c>
      <c r="C7" s="111"/>
      <c r="D7" s="111"/>
      <c r="E7" s="111"/>
      <c r="F7" s="111"/>
      <c r="G7" s="112"/>
      <c r="H7" s="116"/>
      <c r="I7" s="113">
        <v>0</v>
      </c>
      <c r="J7" s="114"/>
      <c r="K7" s="120"/>
      <c r="L7" s="121">
        <f t="shared" si="0"/>
        <v>0</v>
      </c>
      <c r="M7" s="112"/>
      <c r="N7" s="112"/>
      <c r="P7" s="118"/>
      <c r="Q7" s="72"/>
      <c r="R7" s="72"/>
      <c r="S7" s="112"/>
    </row>
    <row r="8" spans="1:19" ht="18">
      <c r="A8" s="111"/>
      <c r="B8" s="111" t="s">
        <v>490</v>
      </c>
      <c r="C8" s="111"/>
      <c r="D8" s="111"/>
      <c r="E8" s="111"/>
      <c r="F8" s="111"/>
      <c r="G8" s="112"/>
      <c r="H8" s="116"/>
      <c r="I8" s="113">
        <v>54759087</v>
      </c>
      <c r="J8" s="114"/>
      <c r="K8" s="120">
        <v>0</v>
      </c>
      <c r="L8" s="121">
        <v>54759087</v>
      </c>
      <c r="M8" s="112"/>
      <c r="N8" s="112"/>
      <c r="P8" s="118"/>
      <c r="Q8" s="72"/>
      <c r="R8" s="72"/>
      <c r="S8" s="112"/>
    </row>
    <row r="9" spans="1:19" ht="18">
      <c r="A9" s="111"/>
      <c r="B9" s="111" t="s">
        <v>491</v>
      </c>
      <c r="C9" s="111"/>
      <c r="D9" s="111"/>
      <c r="E9" s="111"/>
      <c r="F9" s="111"/>
      <c r="G9" s="112"/>
      <c r="H9" s="116"/>
      <c r="I9" s="113">
        <v>38671904</v>
      </c>
      <c r="J9" s="114"/>
      <c r="K9" s="120">
        <v>0</v>
      </c>
      <c r="L9" s="121">
        <v>38671904</v>
      </c>
      <c r="M9" s="112"/>
      <c r="N9" s="112"/>
      <c r="P9" s="118"/>
      <c r="Q9" s="118"/>
      <c r="R9" s="112"/>
      <c r="S9" s="112"/>
    </row>
    <row r="10" spans="1:19" ht="18">
      <c r="B10" s="111" t="s">
        <v>144</v>
      </c>
      <c r="C10" s="111"/>
      <c r="D10" s="111"/>
      <c r="E10" s="111"/>
      <c r="F10" s="111"/>
      <c r="G10" s="112"/>
      <c r="H10" s="116"/>
      <c r="I10" s="113">
        <v>0</v>
      </c>
      <c r="J10" s="114"/>
      <c r="K10" s="120">
        <v>0</v>
      </c>
      <c r="L10" s="121">
        <v>0</v>
      </c>
      <c r="M10" s="112"/>
      <c r="N10" s="112"/>
      <c r="P10" s="118"/>
      <c r="Q10" s="118"/>
      <c r="R10" s="112"/>
      <c r="S10" s="112"/>
    </row>
    <row r="11" spans="1:19" ht="18">
      <c r="B11" s="111" t="s">
        <v>492</v>
      </c>
      <c r="C11" s="111"/>
      <c r="D11" s="111"/>
      <c r="E11" s="111"/>
      <c r="F11" s="111"/>
      <c r="G11" s="112"/>
      <c r="H11" s="116"/>
      <c r="I11" s="113">
        <v>-127507</v>
      </c>
      <c r="J11" s="114"/>
      <c r="K11" s="120">
        <v>0</v>
      </c>
      <c r="L11" s="121">
        <v>-127507</v>
      </c>
      <c r="M11" s="112"/>
      <c r="N11" s="112"/>
      <c r="P11" s="118"/>
      <c r="Q11" s="118"/>
      <c r="S11" s="112"/>
    </row>
    <row r="12" spans="1:19" ht="18">
      <c r="B12" s="111" t="s">
        <v>493</v>
      </c>
      <c r="C12" s="111"/>
      <c r="D12" s="111"/>
      <c r="E12" s="111"/>
      <c r="F12" s="111"/>
      <c r="G12" s="112"/>
      <c r="H12" s="116"/>
      <c r="I12" s="113"/>
      <c r="J12" s="114"/>
      <c r="K12" s="120"/>
      <c r="L12" s="121"/>
      <c r="M12" s="112"/>
      <c r="N12" s="112"/>
      <c r="P12" s="118"/>
      <c r="Q12" s="118"/>
      <c r="R12" s="112"/>
      <c r="S12" s="112"/>
    </row>
    <row r="13" spans="1:19" ht="18">
      <c r="B13" s="111"/>
      <c r="C13" s="111" t="s">
        <v>494</v>
      </c>
      <c r="D13" s="111"/>
      <c r="E13" s="111"/>
      <c r="F13" s="111"/>
      <c r="G13" s="112"/>
      <c r="H13" s="116"/>
      <c r="I13" s="113">
        <v>2877182</v>
      </c>
      <c r="J13" s="114"/>
      <c r="K13" s="120">
        <v>0</v>
      </c>
      <c r="L13" s="121">
        <v>2877182</v>
      </c>
      <c r="M13" s="112"/>
      <c r="N13" s="112"/>
      <c r="P13" s="118"/>
      <c r="Q13" s="118"/>
      <c r="R13" s="112"/>
      <c r="S13" s="112"/>
    </row>
    <row r="14" spans="1:19" ht="18">
      <c r="B14" s="111"/>
      <c r="C14" s="111" t="s">
        <v>495</v>
      </c>
      <c r="D14" s="111"/>
      <c r="E14" s="111"/>
      <c r="F14" s="111"/>
      <c r="G14" s="112"/>
      <c r="H14" s="116"/>
      <c r="I14" s="113"/>
      <c r="J14" s="114"/>
      <c r="K14" s="120"/>
      <c r="L14" s="121"/>
      <c r="M14" s="112"/>
      <c r="N14" s="112"/>
      <c r="P14" s="118"/>
      <c r="Q14" s="118"/>
      <c r="R14" s="130"/>
      <c r="S14" s="112"/>
    </row>
    <row r="15" spans="1:19" ht="18">
      <c r="B15" s="111"/>
      <c r="C15" s="111"/>
      <c r="D15" s="111" t="s">
        <v>496</v>
      </c>
      <c r="E15" s="111"/>
      <c r="F15" s="111"/>
      <c r="G15" s="112"/>
      <c r="H15" s="116"/>
      <c r="I15" s="113">
        <v>0</v>
      </c>
      <c r="J15" s="114"/>
      <c r="K15" s="120">
        <v>1098365</v>
      </c>
      <c r="L15" s="121">
        <v>1098365</v>
      </c>
      <c r="M15" s="112"/>
      <c r="N15" s="112"/>
      <c r="P15" s="118"/>
      <c r="Q15" s="118"/>
      <c r="R15" s="112"/>
      <c r="S15" s="112"/>
    </row>
    <row r="16" spans="1:19" ht="18">
      <c r="B16" s="111"/>
      <c r="C16" s="111"/>
      <c r="D16" s="111" t="s">
        <v>497</v>
      </c>
      <c r="E16" s="111"/>
      <c r="F16" s="111"/>
      <c r="G16" s="112"/>
      <c r="H16" s="116"/>
      <c r="I16" s="113">
        <v>0</v>
      </c>
      <c r="J16" s="114"/>
      <c r="K16" s="120">
        <v>3665707</v>
      </c>
      <c r="L16" s="121">
        <v>3665707</v>
      </c>
      <c r="M16" s="112"/>
      <c r="N16" s="112"/>
      <c r="P16" s="118"/>
      <c r="Q16" s="112"/>
      <c r="R16" s="112"/>
      <c r="S16" s="112"/>
    </row>
    <row r="17" spans="1:21" ht="18">
      <c r="B17" s="111"/>
      <c r="C17" s="111"/>
      <c r="D17" s="111" t="s">
        <v>145</v>
      </c>
      <c r="E17" s="111"/>
      <c r="F17" s="111"/>
      <c r="G17" s="112"/>
      <c r="H17" s="116"/>
      <c r="I17" s="113">
        <v>0</v>
      </c>
      <c r="J17" s="114"/>
      <c r="K17" s="120">
        <v>1301044</v>
      </c>
      <c r="L17" s="121">
        <v>1301044</v>
      </c>
      <c r="M17" s="112"/>
      <c r="N17" s="112"/>
      <c r="P17" s="118"/>
      <c r="Q17" s="112"/>
      <c r="R17" s="130"/>
      <c r="S17" s="112"/>
    </row>
    <row r="18" spans="1:21" ht="18" customHeight="1">
      <c r="B18" s="111"/>
      <c r="C18" s="111"/>
      <c r="D18" s="111" t="s">
        <v>498</v>
      </c>
      <c r="E18" s="111"/>
      <c r="F18" s="111"/>
      <c r="G18" s="112"/>
      <c r="H18" s="116"/>
      <c r="I18" s="113">
        <v>1893951</v>
      </c>
      <c r="J18" s="114"/>
      <c r="K18" s="120">
        <v>0</v>
      </c>
      <c r="L18" s="121">
        <v>1893951</v>
      </c>
      <c r="M18" s="112"/>
      <c r="N18" s="112"/>
      <c r="P18" s="118"/>
      <c r="Q18" s="112"/>
      <c r="R18" s="91"/>
      <c r="S18" s="112"/>
    </row>
    <row r="19" spans="1:21" ht="18" customHeight="1">
      <c r="B19" s="111"/>
      <c r="C19" s="111"/>
      <c r="D19" s="111" t="s">
        <v>499</v>
      </c>
      <c r="E19" s="111"/>
      <c r="F19" s="111"/>
      <c r="G19" s="112"/>
      <c r="H19" s="116"/>
      <c r="I19" s="113">
        <v>2371303</v>
      </c>
      <c r="J19" s="114"/>
      <c r="K19" s="120">
        <v>0</v>
      </c>
      <c r="L19" s="121">
        <v>2371303</v>
      </c>
      <c r="M19" s="112"/>
      <c r="N19" s="112"/>
      <c r="P19" s="118"/>
      <c r="Q19" s="112"/>
      <c r="R19" s="130"/>
      <c r="S19" s="112"/>
    </row>
    <row r="20" spans="1:21" ht="18">
      <c r="B20" s="131" t="s">
        <v>500</v>
      </c>
      <c r="C20" s="112"/>
      <c r="D20" s="112"/>
      <c r="E20" s="112"/>
      <c r="F20" s="112"/>
      <c r="G20" s="112"/>
      <c r="H20" s="116"/>
      <c r="I20" s="113"/>
      <c r="J20" s="114"/>
      <c r="K20" s="128"/>
      <c r="L20" s="117"/>
      <c r="M20" s="118"/>
      <c r="N20" s="118"/>
      <c r="P20" s="118"/>
      <c r="Q20" s="112"/>
      <c r="S20" s="112"/>
    </row>
    <row r="21" spans="1:21" ht="18">
      <c r="A21" s="131" t="s">
        <v>148</v>
      </c>
      <c r="B21" s="131"/>
      <c r="C21" s="112"/>
      <c r="D21" s="112"/>
      <c r="E21" s="112"/>
      <c r="F21" s="112"/>
      <c r="G21" s="112"/>
      <c r="H21" s="116"/>
      <c r="I21" s="113">
        <v>-1251972</v>
      </c>
      <c r="J21" s="112"/>
      <c r="K21" s="121">
        <v>1902363</v>
      </c>
      <c r="L21" s="115">
        <v>650391</v>
      </c>
      <c r="M21" s="112"/>
      <c r="N21" s="112"/>
      <c r="P21" s="118"/>
      <c r="Q21" s="112"/>
      <c r="S21" s="112"/>
    </row>
    <row r="22" spans="1:21" ht="18">
      <c r="A22" s="131" t="s">
        <v>149</v>
      </c>
      <c r="B22" s="131"/>
      <c r="C22" s="112"/>
      <c r="D22" s="112"/>
      <c r="E22" s="112"/>
      <c r="F22" s="112"/>
      <c r="G22" s="112"/>
      <c r="H22" s="116"/>
      <c r="I22" s="113">
        <v>0</v>
      </c>
      <c r="J22" s="112"/>
      <c r="K22" s="121">
        <v>47475</v>
      </c>
      <c r="L22" s="115">
        <v>47475</v>
      </c>
      <c r="M22" s="112"/>
      <c r="N22" s="112"/>
      <c r="P22" s="118"/>
      <c r="Q22" s="112"/>
      <c r="S22" s="112"/>
    </row>
    <row r="23" spans="1:21" ht="18">
      <c r="A23" s="131" t="s">
        <v>150</v>
      </c>
      <c r="B23" s="131"/>
      <c r="C23" s="112"/>
      <c r="D23" s="112"/>
      <c r="E23" s="112"/>
      <c r="F23" s="112"/>
      <c r="G23" s="112"/>
      <c r="H23" s="116"/>
      <c r="I23" s="113"/>
      <c r="J23" s="112"/>
      <c r="K23" s="132">
        <v>0</v>
      </c>
      <c r="L23" s="115"/>
      <c r="M23" s="112"/>
      <c r="N23" s="112"/>
      <c r="P23" s="118"/>
      <c r="Q23" s="112"/>
      <c r="S23" s="112"/>
    </row>
    <row r="24" spans="1:21" ht="18">
      <c r="A24" s="131" t="s">
        <v>151</v>
      </c>
      <c r="B24" s="131"/>
      <c r="C24" s="112"/>
      <c r="D24" s="112"/>
      <c r="E24" s="112"/>
      <c r="F24" s="112"/>
      <c r="G24" s="112"/>
      <c r="H24" s="116"/>
      <c r="I24" s="113">
        <v>59512</v>
      </c>
      <c r="J24" s="112"/>
      <c r="K24" s="132">
        <v>0</v>
      </c>
      <c r="L24" s="115">
        <v>59512</v>
      </c>
      <c r="M24" s="112"/>
      <c r="N24" s="112"/>
      <c r="P24" s="118"/>
      <c r="Q24" s="112"/>
      <c r="S24" s="112"/>
    </row>
    <row r="25" spans="1:21" ht="18">
      <c r="A25" s="131" t="s">
        <v>152</v>
      </c>
      <c r="B25" s="131"/>
      <c r="C25" s="112"/>
      <c r="D25" s="112"/>
      <c r="E25" s="112"/>
      <c r="F25" s="112"/>
      <c r="G25" s="112"/>
      <c r="H25" s="116"/>
      <c r="I25" s="113">
        <v>0</v>
      </c>
      <c r="J25" s="112"/>
      <c r="K25" s="121">
        <v>70448</v>
      </c>
      <c r="L25" s="115">
        <v>70448</v>
      </c>
      <c r="M25" s="112"/>
      <c r="N25" s="112"/>
      <c r="P25" s="133"/>
      <c r="S25" s="112"/>
    </row>
    <row r="26" spans="1:21" s="42" customFormat="1" ht="18">
      <c r="A26" s="149" t="s">
        <v>501</v>
      </c>
      <c r="B26" s="131"/>
      <c r="C26" s="112"/>
      <c r="D26" s="112"/>
      <c r="E26" s="112"/>
      <c r="F26" s="112"/>
      <c r="G26" s="112"/>
      <c r="H26" s="116"/>
      <c r="I26" s="395">
        <f>SUM(I6:I25)</f>
        <v>99253460</v>
      </c>
      <c r="J26" s="396">
        <f>SUM(J6:J25)</f>
        <v>0</v>
      </c>
      <c r="K26" s="397">
        <f>SUM(K6:K25)</f>
        <v>8085402</v>
      </c>
      <c r="L26" s="398">
        <f>SUM(L6:L25)</f>
        <v>107338862</v>
      </c>
      <c r="M26" s="112"/>
      <c r="N26" s="112"/>
      <c r="O26"/>
      <c r="P26" s="133"/>
      <c r="Q26" s="112"/>
      <c r="R26" s="130"/>
      <c r="S26" s="112"/>
    </row>
    <row r="27" spans="1:21" s="42" customFormat="1" ht="18">
      <c r="A27" s="399" t="s">
        <v>502</v>
      </c>
      <c r="B27" s="131"/>
      <c r="C27" s="112"/>
      <c r="D27" s="112"/>
      <c r="E27" s="112"/>
      <c r="F27" s="112"/>
      <c r="G27" s="112"/>
      <c r="H27" s="116"/>
      <c r="I27" s="400"/>
      <c r="J27" s="162"/>
      <c r="K27" s="401"/>
      <c r="L27" s="402"/>
      <c r="M27" s="112"/>
      <c r="N27" s="112"/>
      <c r="O27"/>
      <c r="P27" s="133"/>
      <c r="Q27" s="112"/>
      <c r="R27"/>
      <c r="S27" s="112"/>
    </row>
    <row r="28" spans="1:21" s="66" customFormat="1" ht="18">
      <c r="B28" s="131" t="s">
        <v>503</v>
      </c>
      <c r="C28" s="112"/>
      <c r="D28" s="112"/>
      <c r="E28" s="112"/>
      <c r="F28" s="112"/>
      <c r="G28" s="112"/>
      <c r="H28" s="154"/>
      <c r="I28" s="113">
        <v>0</v>
      </c>
      <c r="J28" s="112"/>
      <c r="K28" s="121">
        <v>7041395</v>
      </c>
      <c r="L28" s="121">
        <v>7041395</v>
      </c>
      <c r="M28" s="112"/>
      <c r="N28" s="112"/>
      <c r="O28"/>
      <c r="P28" s="133"/>
    </row>
    <row r="29" spans="1:21" s="66" customFormat="1" ht="18">
      <c r="B29" s="131" t="s">
        <v>154</v>
      </c>
      <c r="C29" s="112"/>
      <c r="D29" s="112"/>
      <c r="E29" s="112"/>
      <c r="F29" s="112"/>
      <c r="G29" s="112"/>
      <c r="H29" s="154"/>
      <c r="I29" s="113">
        <v>0</v>
      </c>
      <c r="J29" s="112"/>
      <c r="K29" s="1227">
        <v>635855</v>
      </c>
      <c r="L29" s="1227">
        <v>635855</v>
      </c>
      <c r="M29" s="112"/>
      <c r="N29" s="112"/>
      <c r="O29"/>
      <c r="P29" s="18" t="s">
        <v>156</v>
      </c>
      <c r="Q29" s="403"/>
      <c r="R29" s="404"/>
    </row>
    <row r="30" spans="1:21" s="66" customFormat="1" ht="18">
      <c r="B30" s="131" t="s">
        <v>504</v>
      </c>
      <c r="C30" s="112"/>
      <c r="D30" s="112"/>
      <c r="E30" s="112"/>
      <c r="F30" s="112"/>
      <c r="G30" s="112"/>
      <c r="H30" s="154"/>
      <c r="I30" s="113">
        <v>0</v>
      </c>
      <c r="J30" s="112"/>
      <c r="K30" s="1227">
        <v>253538</v>
      </c>
      <c r="L30" s="1227">
        <v>253538</v>
      </c>
      <c r="M30" s="112"/>
      <c r="N30" s="112"/>
      <c r="O30"/>
      <c r="P30" s="13" t="s">
        <v>505</v>
      </c>
      <c r="Q30" s="229">
        <v>111323970</v>
      </c>
      <c r="S30" s="70"/>
      <c r="T30" s="1489"/>
    </row>
    <row r="31" spans="1:21" s="66" customFormat="1" ht="18">
      <c r="B31" s="131" t="s">
        <v>147</v>
      </c>
      <c r="C31" s="112"/>
      <c r="D31" s="112"/>
      <c r="E31" s="112"/>
      <c r="F31" s="112"/>
      <c r="G31" s="112"/>
      <c r="H31" s="154"/>
      <c r="I31" s="113">
        <v>0</v>
      </c>
      <c r="J31" s="112"/>
      <c r="K31" s="1227">
        <v>317929</v>
      </c>
      <c r="L31" s="1227">
        <v>317929</v>
      </c>
      <c r="M31" s="112"/>
      <c r="N31" s="112"/>
      <c r="O31"/>
      <c r="P31" s="13" t="s">
        <v>506</v>
      </c>
      <c r="Q31" s="229">
        <v>118335821</v>
      </c>
      <c r="S31" s="70"/>
    </row>
    <row r="32" spans="1:21" ht="18">
      <c r="B32" s="129" t="s">
        <v>146</v>
      </c>
      <c r="C32" s="114"/>
      <c r="D32" s="114"/>
      <c r="E32" s="114"/>
      <c r="F32" s="114"/>
      <c r="G32" s="124"/>
      <c r="H32" s="116"/>
      <c r="I32" s="113">
        <v>0</v>
      </c>
      <c r="J32" s="124"/>
      <c r="K32" s="1227">
        <v>204720</v>
      </c>
      <c r="L32" s="1227">
        <v>204720</v>
      </c>
      <c r="M32" s="112"/>
      <c r="N32" s="112"/>
      <c r="P32" s="13" t="s">
        <v>507</v>
      </c>
      <c r="Q32" s="229">
        <f>25752+27351306</f>
        <v>27377058</v>
      </c>
      <c r="R32" s="130"/>
      <c r="S32" s="54"/>
      <c r="T32" s="91"/>
      <c r="U32" s="91"/>
    </row>
    <row r="33" spans="1:23" ht="18">
      <c r="A33" s="129"/>
      <c r="B33" s="129" t="s">
        <v>153</v>
      </c>
      <c r="C33" s="114"/>
      <c r="D33" s="114"/>
      <c r="E33" s="114"/>
      <c r="F33" s="114"/>
      <c r="G33" s="124"/>
      <c r="H33" s="116"/>
      <c r="I33" s="113">
        <v>0</v>
      </c>
      <c r="J33" s="124"/>
      <c r="K33" s="1227">
        <v>160470</v>
      </c>
      <c r="L33" s="1227">
        <v>160470</v>
      </c>
      <c r="M33" s="112"/>
      <c r="N33" s="112"/>
      <c r="P33" s="13" t="s">
        <v>508</v>
      </c>
      <c r="Q33" s="229">
        <v>16729543</v>
      </c>
      <c r="R33" s="112"/>
      <c r="S33" s="91"/>
      <c r="T33" s="91"/>
      <c r="U33" s="91"/>
    </row>
    <row r="34" spans="1:23" ht="18">
      <c r="A34" s="129"/>
      <c r="B34" s="129" t="s">
        <v>509</v>
      </c>
      <c r="C34" s="114"/>
      <c r="D34" s="114"/>
      <c r="E34" s="114"/>
      <c r="F34" s="114"/>
      <c r="G34" s="124"/>
      <c r="H34" s="116"/>
      <c r="I34" s="113">
        <v>0</v>
      </c>
      <c r="J34" s="124"/>
      <c r="K34" s="1227">
        <v>1743717</v>
      </c>
      <c r="L34" s="1227">
        <v>1743717</v>
      </c>
      <c r="M34" s="112"/>
      <c r="N34" s="112"/>
      <c r="P34" s="13" t="s">
        <v>510</v>
      </c>
      <c r="Q34" s="229">
        <v>7026949</v>
      </c>
      <c r="R34" s="112"/>
      <c r="S34" s="91"/>
      <c r="T34" s="91"/>
      <c r="U34" s="91"/>
    </row>
    <row r="35" spans="1:23" ht="18">
      <c r="A35" s="129"/>
      <c r="B35" s="129" t="s">
        <v>1185</v>
      </c>
      <c r="C35" s="114"/>
      <c r="D35" s="114"/>
      <c r="E35" s="114"/>
      <c r="F35" s="114"/>
      <c r="G35" s="124"/>
      <c r="H35" s="116"/>
      <c r="I35" s="113">
        <v>0</v>
      </c>
      <c r="J35" s="124"/>
      <c r="K35" s="1227">
        <v>127400</v>
      </c>
      <c r="L35" s="1227">
        <v>127400</v>
      </c>
      <c r="M35" s="112"/>
      <c r="N35" s="112"/>
      <c r="P35" s="13" t="s">
        <v>511</v>
      </c>
      <c r="Q35" s="229">
        <v>9711241</v>
      </c>
      <c r="R35" s="112"/>
      <c r="S35" s="91"/>
      <c r="T35" s="91"/>
      <c r="U35" s="91"/>
    </row>
    <row r="36" spans="1:23" ht="18">
      <c r="A36" s="129"/>
      <c r="B36" s="129" t="s">
        <v>1186</v>
      </c>
      <c r="C36" s="114"/>
      <c r="D36" s="114"/>
      <c r="E36" s="114"/>
      <c r="F36" s="114"/>
      <c r="G36" s="124"/>
      <c r="H36" s="116"/>
      <c r="I36" s="113">
        <v>0</v>
      </c>
      <c r="J36" s="124"/>
      <c r="K36" s="1227">
        <v>58800</v>
      </c>
      <c r="L36" s="1227">
        <v>58800</v>
      </c>
      <c r="M36" s="112"/>
      <c r="N36" s="112"/>
      <c r="P36" s="13" t="s">
        <v>512</v>
      </c>
      <c r="Q36" s="327">
        <v>1132500</v>
      </c>
      <c r="R36" s="327">
        <f>SUM(Q30:Q36)</f>
        <v>291637082</v>
      </c>
      <c r="S36" s="91"/>
      <c r="T36" s="91"/>
      <c r="U36" s="91"/>
    </row>
    <row r="37" spans="1:23" ht="18">
      <c r="A37" s="129"/>
      <c r="B37" s="129" t="s">
        <v>1187</v>
      </c>
      <c r="C37" s="114"/>
      <c r="D37" s="114"/>
      <c r="E37" s="114"/>
      <c r="F37" s="114"/>
      <c r="G37" s="124"/>
      <c r="H37" s="116"/>
      <c r="I37" s="113">
        <v>0</v>
      </c>
      <c r="J37" s="124"/>
      <c r="K37" s="1227">
        <v>279300</v>
      </c>
      <c r="L37" s="1227">
        <v>279300</v>
      </c>
      <c r="M37" s="112"/>
      <c r="N37" s="112"/>
      <c r="P37" s="13"/>
      <c r="Q37" s="327"/>
      <c r="R37" s="327"/>
      <c r="S37" s="91"/>
      <c r="T37" s="91"/>
      <c r="U37" s="91"/>
    </row>
    <row r="38" spans="1:23" ht="18">
      <c r="A38" s="129"/>
      <c r="B38" s="129" t="s">
        <v>1188</v>
      </c>
      <c r="C38" s="114"/>
      <c r="D38" s="114"/>
      <c r="E38" s="114"/>
      <c r="F38" s="114"/>
      <c r="G38" s="124"/>
      <c r="H38" s="116"/>
      <c r="I38" s="122">
        <v>0</v>
      </c>
      <c r="J38" s="124"/>
      <c r="K38" s="1227">
        <v>137200</v>
      </c>
      <c r="L38" s="1227">
        <v>137200</v>
      </c>
      <c r="M38" s="112"/>
      <c r="N38" s="112"/>
      <c r="P38" s="13" t="s">
        <v>513</v>
      </c>
      <c r="Q38" s="405">
        <f>63451914+9841748</f>
        <v>73293662</v>
      </c>
      <c r="R38" s="327">
        <f>Q38+Q39</f>
        <v>96330763</v>
      </c>
      <c r="S38" s="91"/>
      <c r="T38" s="91"/>
      <c r="U38" s="91"/>
    </row>
    <row r="39" spans="1:23" ht="18">
      <c r="A39" s="136" t="s">
        <v>514</v>
      </c>
      <c r="B39" s="136"/>
      <c r="C39" s="114"/>
      <c r="D39" s="114"/>
      <c r="E39" s="114"/>
      <c r="F39" s="114"/>
      <c r="G39" s="124"/>
      <c r="H39" s="116"/>
      <c r="I39" s="113">
        <f>SUM(I28:I38)</f>
        <v>0</v>
      </c>
      <c r="J39" s="406"/>
      <c r="K39" s="407">
        <f>SUM(K28:K38)</f>
        <v>10960324</v>
      </c>
      <c r="L39" s="408">
        <f>SUM(L28:L38)</f>
        <v>10960324</v>
      </c>
      <c r="M39" s="139"/>
      <c r="N39" s="1221"/>
      <c r="P39" s="13" t="s">
        <v>515</v>
      </c>
      <c r="Q39" s="405">
        <v>23037101</v>
      </c>
      <c r="R39" s="327"/>
      <c r="T39" s="91"/>
      <c r="U39" s="91"/>
    </row>
    <row r="40" spans="1:23" ht="18">
      <c r="A40" s="141"/>
      <c r="B40" s="142" t="s">
        <v>155</v>
      </c>
      <c r="C40" s="143"/>
      <c r="D40" s="143"/>
      <c r="E40" s="143"/>
      <c r="F40" s="143"/>
      <c r="G40" s="143"/>
      <c r="H40" s="145"/>
      <c r="I40" s="144">
        <f>I26+I39</f>
        <v>99253460</v>
      </c>
      <c r="J40" s="146">
        <f>J26+J39</f>
        <v>0</v>
      </c>
      <c r="K40" s="146">
        <f>K26+K39</f>
        <v>19045726</v>
      </c>
      <c r="L40" s="146">
        <f>L26+L39</f>
        <v>118299186</v>
      </c>
      <c r="M40" s="147"/>
      <c r="N40" s="148"/>
      <c r="P40" s="13" t="s">
        <v>84</v>
      </c>
      <c r="Q40" s="327">
        <v>11377900</v>
      </c>
      <c r="R40" s="327">
        <f>Q40</f>
        <v>11377900</v>
      </c>
      <c r="S40" s="12"/>
      <c r="T40" s="91"/>
      <c r="U40" s="91"/>
    </row>
    <row r="41" spans="1:23" s="66" customFormat="1" ht="18">
      <c r="A41" s="149" t="s">
        <v>156</v>
      </c>
      <c r="B41" s="149"/>
      <c r="C41" s="131"/>
      <c r="D41" s="131"/>
      <c r="E41" s="131"/>
      <c r="F41" s="131"/>
      <c r="G41" s="150"/>
      <c r="H41" s="145"/>
      <c r="I41" s="151"/>
      <c r="J41" s="150"/>
      <c r="K41" s="152"/>
      <c r="L41" s="151"/>
      <c r="M41" s="147"/>
      <c r="N41" s="148"/>
      <c r="O41"/>
      <c r="P41" s="13"/>
      <c r="Q41" s="8"/>
      <c r="R41" s="327"/>
      <c r="T41" s="91"/>
      <c r="U41" s="91"/>
      <c r="V41"/>
      <c r="W41"/>
    </row>
    <row r="42" spans="1:23" ht="18">
      <c r="A42" s="129" t="s">
        <v>157</v>
      </c>
      <c r="B42" s="129"/>
      <c r="C42" s="114"/>
      <c r="D42" s="114"/>
      <c r="E42" s="114"/>
      <c r="F42" s="114"/>
      <c r="G42" s="112"/>
      <c r="H42" s="154"/>
      <c r="I42" s="153">
        <v>281421914</v>
      </c>
      <c r="J42" s="114"/>
      <c r="K42" s="120">
        <v>0</v>
      </c>
      <c r="L42" s="112">
        <v>291386330</v>
      </c>
      <c r="M42" s="115"/>
      <c r="N42" s="112"/>
      <c r="P42" s="409" t="s">
        <v>516</v>
      </c>
      <c r="Q42" s="751">
        <v>-38847438</v>
      </c>
      <c r="R42" s="760">
        <f>Q42</f>
        <v>-38847438</v>
      </c>
      <c r="T42" s="91"/>
      <c r="U42" s="91"/>
    </row>
    <row r="43" spans="1:23" ht="18">
      <c r="A43" s="129" t="s">
        <v>158</v>
      </c>
      <c r="B43" s="129"/>
      <c r="C43" s="114"/>
      <c r="D43" s="114"/>
      <c r="E43" s="114"/>
      <c r="F43" s="114"/>
      <c r="G43" s="112"/>
      <c r="H43" s="154"/>
      <c r="I43" s="153">
        <v>76887731</v>
      </c>
      <c r="J43" s="114"/>
      <c r="K43" s="410"/>
      <c r="L43" s="112">
        <v>96230763</v>
      </c>
      <c r="M43" s="115"/>
      <c r="N43" s="112"/>
      <c r="P43" s="13"/>
      <c r="Q43" s="1"/>
      <c r="T43" s="91"/>
      <c r="U43" s="91"/>
    </row>
    <row r="44" spans="1:23" ht="18.75" thickBot="1">
      <c r="A44" s="131" t="s">
        <v>159</v>
      </c>
      <c r="B44" s="129"/>
      <c r="C44" s="114"/>
      <c r="D44" s="114"/>
      <c r="E44" s="114"/>
      <c r="F44" s="114"/>
      <c r="G44" s="112"/>
      <c r="H44" s="154"/>
      <c r="I44" s="411">
        <v>10252931</v>
      </c>
      <c r="J44" s="123"/>
      <c r="K44" s="412"/>
      <c r="L44" s="112">
        <v>11377900</v>
      </c>
      <c r="M44" s="115"/>
      <c r="N44" s="112"/>
      <c r="P44" s="413" t="s">
        <v>517</v>
      </c>
      <c r="Q44" s="414">
        <f>SUM(Q30:Q42)</f>
        <v>360498307</v>
      </c>
      <c r="R44" s="414">
        <f>SUM(R30:R42)</f>
        <v>360498307</v>
      </c>
      <c r="T44" s="91"/>
      <c r="U44" s="91"/>
    </row>
    <row r="45" spans="1:23" ht="18.75" thickTop="1">
      <c r="A45" s="156"/>
      <c r="B45" s="142" t="s">
        <v>160</v>
      </c>
      <c r="C45" s="157"/>
      <c r="D45" s="157"/>
      <c r="E45" s="157"/>
      <c r="F45" s="157"/>
      <c r="G45" s="143"/>
      <c r="H45" s="154"/>
      <c r="I45" s="158">
        <f>SUM(I42:I44)</f>
        <v>368562576</v>
      </c>
      <c r="J45" s="415"/>
      <c r="K45" s="159">
        <f>SUM(K42:K44)</f>
        <v>0</v>
      </c>
      <c r="L45" s="158">
        <f>SUM(L42:L44)</f>
        <v>398994993</v>
      </c>
      <c r="M45" s="126"/>
      <c r="N45" s="124"/>
      <c r="Q45" s="12">
        <f>Q44+L49+L50</f>
        <v>371935094</v>
      </c>
      <c r="T45" s="91"/>
      <c r="U45" s="91"/>
    </row>
    <row r="46" spans="1:23" ht="18">
      <c r="A46" s="129"/>
      <c r="B46" s="136"/>
      <c r="C46" s="114"/>
      <c r="D46" s="114"/>
      <c r="E46" s="114"/>
      <c r="F46" s="114"/>
      <c r="G46" s="112"/>
      <c r="H46" s="154"/>
      <c r="I46" s="137"/>
      <c r="J46" s="114"/>
      <c r="K46" s="138"/>
      <c r="L46" s="137"/>
      <c r="M46" s="126"/>
      <c r="N46" s="124"/>
      <c r="Q46" s="12">
        <f>L51+L47+L46+L45</f>
        <v>371935094</v>
      </c>
      <c r="T46" s="91"/>
      <c r="U46" s="91"/>
    </row>
    <row r="47" spans="1:23" ht="18">
      <c r="A47" s="141"/>
      <c r="B47" s="142" t="s">
        <v>161</v>
      </c>
      <c r="C47" s="157"/>
      <c r="D47" s="157"/>
      <c r="E47" s="157"/>
      <c r="F47" s="157"/>
      <c r="G47" s="143"/>
      <c r="H47" s="154"/>
      <c r="I47" s="158">
        <v>-35437438</v>
      </c>
      <c r="J47" s="157"/>
      <c r="K47" s="160">
        <v>0</v>
      </c>
      <c r="L47" s="158">
        <v>-38496686</v>
      </c>
      <c r="M47" s="126"/>
      <c r="N47" s="124"/>
      <c r="T47" s="91"/>
      <c r="U47" s="91"/>
    </row>
    <row r="48" spans="1:23" s="66" customFormat="1" ht="18.75" thickBot="1">
      <c r="A48" s="149" t="s">
        <v>162</v>
      </c>
      <c r="B48" s="149"/>
      <c r="C48" s="112"/>
      <c r="D48" s="112"/>
      <c r="E48" s="112"/>
      <c r="F48" s="112"/>
      <c r="G48" s="112"/>
      <c r="H48" s="154"/>
      <c r="I48" s="125"/>
      <c r="J48" s="162"/>
      <c r="K48" s="163"/>
      <c r="L48" s="164"/>
      <c r="M48" s="124"/>
      <c r="N48" s="124"/>
      <c r="O48"/>
      <c r="P48" s="189"/>
      <c r="Q48" s="755" t="s">
        <v>789</v>
      </c>
      <c r="R48" s="755" t="s">
        <v>556</v>
      </c>
      <c r="T48" s="91"/>
      <c r="U48" s="91"/>
      <c r="V48"/>
      <c r="W48"/>
    </row>
    <row r="49" spans="1:23" ht="18.75" thickTop="1">
      <c r="A49" s="129" t="s">
        <v>163</v>
      </c>
      <c r="B49" s="129"/>
      <c r="C49" s="114"/>
      <c r="D49" s="114"/>
      <c r="E49" s="114"/>
      <c r="F49" s="114"/>
      <c r="G49" s="112"/>
      <c r="H49" s="154"/>
      <c r="I49" s="113">
        <v>0</v>
      </c>
      <c r="J49" s="114"/>
      <c r="K49" s="1223">
        <v>3290139</v>
      </c>
      <c r="L49" s="1379">
        <f t="shared" ref="L49:L50" si="1">I49+K49</f>
        <v>3290139</v>
      </c>
      <c r="M49" s="112"/>
      <c r="N49" s="112"/>
      <c r="P49" s="185" t="s">
        <v>786</v>
      </c>
      <c r="Q49" s="752">
        <v>0.1</v>
      </c>
      <c r="R49" s="1222">
        <f>-Q49*(Q38+Q40)</f>
        <v>-8467156.2000000011</v>
      </c>
      <c r="T49" s="91"/>
      <c r="U49" s="91"/>
    </row>
    <row r="50" spans="1:23" ht="18">
      <c r="A50" s="129" t="s">
        <v>164</v>
      </c>
      <c r="B50" s="129"/>
      <c r="C50" s="114"/>
      <c r="D50" s="114"/>
      <c r="E50" s="114"/>
      <c r="F50" s="114"/>
      <c r="G50" s="112"/>
      <c r="H50" s="154"/>
      <c r="I50" s="122">
        <v>0</v>
      </c>
      <c r="J50" s="114"/>
      <c r="K50" s="1224">
        <v>8146648</v>
      </c>
      <c r="L50" s="1380">
        <f t="shared" si="1"/>
        <v>8146648</v>
      </c>
      <c r="M50" s="112"/>
      <c r="N50" s="112"/>
      <c r="P50" s="186" t="s">
        <v>787</v>
      </c>
      <c r="Q50" s="754">
        <v>0.123</v>
      </c>
      <c r="R50" s="753">
        <f>-Q50*Q30</f>
        <v>-13692848.310000001</v>
      </c>
      <c r="T50" s="91"/>
      <c r="U50" s="91"/>
    </row>
    <row r="51" spans="1:23" ht="18">
      <c r="A51" s="156"/>
      <c r="B51" s="142" t="s">
        <v>165</v>
      </c>
      <c r="C51" s="157"/>
      <c r="D51" s="157"/>
      <c r="E51" s="157"/>
      <c r="F51" s="157"/>
      <c r="G51" s="143"/>
      <c r="H51" s="145"/>
      <c r="I51" s="165">
        <f>SUM(I49:I50)</f>
        <v>0</v>
      </c>
      <c r="J51" s="166">
        <f>SUM(J49:J50)</f>
        <v>0</v>
      </c>
      <c r="K51" s="167">
        <f>SUM(K49:K50)</f>
        <v>11436787</v>
      </c>
      <c r="L51" s="165">
        <f>SUM(L49:L50)</f>
        <v>11436787</v>
      </c>
      <c r="M51" s="126"/>
      <c r="N51" s="124"/>
      <c r="P51" s="186" t="s">
        <v>788</v>
      </c>
      <c r="Q51" s="752">
        <v>0.123</v>
      </c>
      <c r="R51" s="753">
        <f>-Q51*Q31</f>
        <v>-14555305.982999999</v>
      </c>
      <c r="T51" s="91"/>
      <c r="U51" s="91"/>
    </row>
    <row r="52" spans="1:23" s="66" customFormat="1" ht="18">
      <c r="A52" s="149" t="s">
        <v>166</v>
      </c>
      <c r="B52" s="149"/>
      <c r="C52" s="112"/>
      <c r="D52" s="112"/>
      <c r="E52" s="112"/>
      <c r="F52" s="112"/>
      <c r="G52" s="112"/>
      <c r="H52" s="145"/>
      <c r="I52" s="168"/>
      <c r="J52" s="112"/>
      <c r="K52" s="169"/>
      <c r="L52" s="127"/>
      <c r="M52" s="126"/>
      <c r="N52" s="124"/>
      <c r="O52"/>
      <c r="P52" s="186" t="s">
        <v>790</v>
      </c>
      <c r="Q52" s="185"/>
      <c r="R52" s="753">
        <v>-1700000</v>
      </c>
      <c r="T52" s="91"/>
      <c r="U52" s="91"/>
      <c r="V52"/>
      <c r="W52"/>
    </row>
    <row r="53" spans="1:23" ht="18">
      <c r="A53" s="129"/>
      <c r="B53" s="129" t="s">
        <v>518</v>
      </c>
      <c r="C53" s="114"/>
      <c r="D53" s="114"/>
      <c r="E53" s="114"/>
      <c r="F53" s="114"/>
      <c r="G53" s="112"/>
      <c r="H53" s="154"/>
      <c r="I53" s="1225"/>
      <c r="J53" s="1226">
        <v>11960600</v>
      </c>
      <c r="K53" s="1227">
        <v>41200000</v>
      </c>
      <c r="L53" s="1226">
        <f t="shared" ref="L53:L54" si="2">I53+K53</f>
        <v>41200000</v>
      </c>
      <c r="M53" s="115"/>
      <c r="N53" s="112"/>
      <c r="P53" s="757" t="s">
        <v>11</v>
      </c>
      <c r="Q53" s="758"/>
      <c r="R53" s="759">
        <f>R49+R50+R51+R52</f>
        <v>-38415310.493000001</v>
      </c>
      <c r="T53" s="91"/>
      <c r="U53" s="91"/>
    </row>
    <row r="54" spans="1:23" ht="18">
      <c r="A54" s="129"/>
      <c r="B54" s="129" t="s">
        <v>167</v>
      </c>
      <c r="C54" s="114"/>
      <c r="D54" s="114"/>
      <c r="E54" s="114"/>
      <c r="F54" s="114"/>
      <c r="G54" s="112"/>
      <c r="H54" s="154"/>
      <c r="I54" s="170"/>
      <c r="J54" s="1226"/>
      <c r="K54" s="1227">
        <v>-1648000</v>
      </c>
      <c r="L54" s="1226">
        <f t="shared" si="2"/>
        <v>-1648000</v>
      </c>
      <c r="M54" s="115"/>
      <c r="N54" s="112"/>
      <c r="T54" s="72"/>
      <c r="U54" s="91"/>
    </row>
    <row r="55" spans="1:23" ht="18">
      <c r="A55" s="129" t="s">
        <v>168</v>
      </c>
      <c r="B55" s="129"/>
      <c r="C55" s="114"/>
      <c r="D55" s="114"/>
      <c r="E55" s="114"/>
      <c r="F55" s="114"/>
      <c r="G55" s="112"/>
      <c r="H55" s="154"/>
      <c r="I55" s="170">
        <v>0</v>
      </c>
      <c r="J55" s="1228"/>
      <c r="K55" s="1223">
        <v>17741817</v>
      </c>
      <c r="L55" s="1226">
        <f>I55+K55</f>
        <v>17741817</v>
      </c>
      <c r="M55" s="115"/>
      <c r="N55" s="112"/>
      <c r="Q55" s="12"/>
      <c r="T55" s="91"/>
      <c r="U55" s="91"/>
    </row>
    <row r="56" spans="1:23" ht="18">
      <c r="A56" s="129" t="s">
        <v>214</v>
      </c>
      <c r="B56" s="129" t="s">
        <v>169</v>
      </c>
      <c r="C56" s="114"/>
      <c r="D56" s="114"/>
      <c r="E56" s="114"/>
      <c r="F56" s="114"/>
      <c r="G56" s="112"/>
      <c r="H56" s="154"/>
      <c r="I56" s="1229">
        <f>3200000+1199710</f>
        <v>4399710</v>
      </c>
      <c r="J56" s="1228"/>
      <c r="K56" s="1223">
        <v>0</v>
      </c>
      <c r="L56" s="1226">
        <f t="shared" ref="L56:L57" si="3">I56+K56</f>
        <v>4399710</v>
      </c>
      <c r="M56" s="115"/>
      <c r="N56" s="112"/>
      <c r="T56" s="91"/>
      <c r="U56" s="91"/>
    </row>
    <row r="57" spans="1:23" ht="18">
      <c r="A57" s="129"/>
      <c r="B57" s="129" t="s">
        <v>170</v>
      </c>
      <c r="C57" s="114"/>
      <c r="D57" s="114"/>
      <c r="E57" s="114"/>
      <c r="F57" s="114"/>
      <c r="G57" s="112"/>
      <c r="H57" s="154"/>
      <c r="I57" s="1229">
        <v>1084152</v>
      </c>
      <c r="J57" s="1228"/>
      <c r="K57" s="1223">
        <v>0</v>
      </c>
      <c r="L57" s="1226">
        <f t="shared" si="3"/>
        <v>1084152</v>
      </c>
      <c r="M57" s="115"/>
      <c r="N57" s="112"/>
      <c r="T57" s="91"/>
      <c r="U57" s="91"/>
    </row>
    <row r="58" spans="1:23" ht="18">
      <c r="A58" s="156"/>
      <c r="B58" s="142" t="s">
        <v>171</v>
      </c>
      <c r="C58" s="157"/>
      <c r="D58" s="157"/>
      <c r="E58" s="157"/>
      <c r="F58" s="157"/>
      <c r="G58" s="113"/>
      <c r="H58" s="154"/>
      <c r="I58" s="158">
        <f>SUM(I53:I57)</f>
        <v>5483862</v>
      </c>
      <c r="J58" s="157"/>
      <c r="K58" s="159">
        <f>SUM(K53:K56)</f>
        <v>57293817</v>
      </c>
      <c r="L58" s="158">
        <f>SUM(L53:L57)</f>
        <v>62777679</v>
      </c>
      <c r="M58" s="126"/>
      <c r="N58" s="124"/>
      <c r="T58" s="91"/>
      <c r="U58" s="91"/>
    </row>
    <row r="59" spans="1:23" ht="18">
      <c r="A59" s="129"/>
      <c r="B59" s="129"/>
      <c r="C59" s="114"/>
      <c r="D59" s="114"/>
      <c r="E59" s="114"/>
      <c r="F59" s="114"/>
      <c r="G59" s="112"/>
      <c r="H59" s="154"/>
      <c r="I59" s="153"/>
      <c r="J59" s="114"/>
      <c r="K59" s="120"/>
      <c r="L59" s="171"/>
      <c r="M59" s="172"/>
      <c r="N59" s="131"/>
      <c r="T59" s="91"/>
      <c r="U59" s="91"/>
    </row>
    <row r="60" spans="1:23" ht="18">
      <c r="A60" s="141" t="s">
        <v>172</v>
      </c>
      <c r="B60" s="143"/>
      <c r="C60" s="157"/>
      <c r="D60" s="157"/>
      <c r="E60" s="157"/>
      <c r="F60" s="157"/>
      <c r="G60" s="113"/>
      <c r="H60" s="154"/>
      <c r="I60" s="158">
        <f>+I40+I45+I47+I51+I58</f>
        <v>437862460</v>
      </c>
      <c r="J60" s="157"/>
      <c r="K60" s="159">
        <f>+K40+K45+K47+K51+K58</f>
        <v>87776330</v>
      </c>
      <c r="L60" s="166">
        <f>+L40+L45+L47+L51+L58</f>
        <v>553011959</v>
      </c>
      <c r="M60" s="173"/>
      <c r="N60" s="174"/>
      <c r="T60" s="91"/>
      <c r="U60" s="91"/>
    </row>
    <row r="61" spans="1:23" ht="16.5">
      <c r="A61" s="92"/>
      <c r="B61" s="107"/>
      <c r="C61" s="175"/>
      <c r="D61" s="175"/>
      <c r="E61" s="175"/>
      <c r="F61" s="175"/>
      <c r="G61" s="175"/>
      <c r="H61" s="67"/>
      <c r="I61" s="66"/>
      <c r="J61" s="66"/>
      <c r="K61" s="12"/>
      <c r="M61" s="67"/>
      <c r="N61" s="67"/>
      <c r="P61" s="12"/>
      <c r="T61" s="67"/>
      <c r="U61" s="67"/>
      <c r="V61" s="67"/>
      <c r="W61" s="67"/>
    </row>
    <row r="62" spans="1:23" ht="18">
      <c r="I62" s="134"/>
      <c r="J62" s="134"/>
      <c r="K62" s="155"/>
      <c r="L62" s="161">
        <f>L53+L54</f>
        <v>39552000</v>
      </c>
      <c r="M62" s="161"/>
      <c r="N62" s="161"/>
      <c r="P62" s="133"/>
      <c r="Q62" s="135"/>
      <c r="R62" s="130"/>
      <c r="S62" s="112"/>
      <c r="T62" s="76"/>
      <c r="U62" s="76"/>
      <c r="V62" s="76"/>
      <c r="W62" s="76"/>
    </row>
    <row r="63" spans="1:23">
      <c r="I63" s="119"/>
      <c r="J63" s="134"/>
      <c r="K63" s="416"/>
      <c r="L63" s="161"/>
      <c r="M63" s="161"/>
      <c r="N63" s="161"/>
      <c r="P63" s="161"/>
      <c r="Q63" s="91"/>
      <c r="R63" s="91"/>
      <c r="S63" s="91"/>
    </row>
    <row r="64" spans="1:23">
      <c r="I64" s="134"/>
      <c r="J64" s="134"/>
      <c r="K64" s="155"/>
      <c r="L64" s="161"/>
      <c r="M64" s="161"/>
      <c r="N64" s="161"/>
      <c r="P64" s="161"/>
      <c r="Q64" s="91"/>
      <c r="R64" s="91"/>
      <c r="S64" s="91"/>
    </row>
    <row r="65" spans="8:19" customFormat="1">
      <c r="H65" s="176"/>
      <c r="I65" s="91"/>
      <c r="J65" s="134"/>
      <c r="K65" s="155"/>
      <c r="L65" s="161"/>
      <c r="M65" s="161"/>
      <c r="N65" s="161"/>
      <c r="P65" s="161"/>
      <c r="Q65" s="91"/>
      <c r="R65" s="91"/>
      <c r="S65" s="91"/>
    </row>
    <row r="66" spans="8:19" customFormat="1">
      <c r="I66" s="134"/>
      <c r="J66" s="134"/>
      <c r="K66" s="134"/>
      <c r="L66" s="161"/>
      <c r="M66" s="161"/>
      <c r="N66" s="161"/>
      <c r="P66" s="161"/>
      <c r="Q66" s="91"/>
      <c r="R66" s="91"/>
      <c r="S66" s="91"/>
    </row>
    <row r="67" spans="8:19" customFormat="1">
      <c r="I67" s="134"/>
      <c r="J67" s="134"/>
      <c r="K67" s="134"/>
      <c r="L67" s="161"/>
      <c r="M67" s="161"/>
      <c r="N67" s="161"/>
      <c r="P67" s="161"/>
      <c r="Q67" s="91"/>
      <c r="R67" s="91"/>
      <c r="S67" s="91"/>
    </row>
    <row r="68" spans="8:19" customFormat="1">
      <c r="I68" s="134"/>
      <c r="J68" s="134"/>
      <c r="K68" s="155"/>
      <c r="L68" s="161"/>
      <c r="M68" s="161"/>
      <c r="N68" s="161"/>
      <c r="P68" s="161"/>
      <c r="Q68" s="91"/>
      <c r="R68" s="91"/>
      <c r="S68" s="91"/>
    </row>
    <row r="69" spans="8:19" customFormat="1">
      <c r="I69" s="134"/>
      <c r="J69" s="134"/>
      <c r="K69" s="134"/>
      <c r="L69" s="161"/>
      <c r="M69" s="161"/>
      <c r="N69" s="161"/>
      <c r="P69" s="161"/>
      <c r="Q69" s="91"/>
      <c r="R69" s="91"/>
      <c r="S69" s="91"/>
    </row>
    <row r="70" spans="8:19" customFormat="1">
      <c r="I70" s="134"/>
      <c r="J70" s="134"/>
      <c r="K70" s="134"/>
      <c r="L70" s="161"/>
      <c r="M70" s="161"/>
      <c r="N70" s="161"/>
      <c r="P70" s="161"/>
      <c r="Q70" s="91"/>
      <c r="R70" s="91"/>
      <c r="S70" s="91"/>
    </row>
    <row r="71" spans="8:19" customFormat="1">
      <c r="I71" s="134"/>
      <c r="J71" s="134"/>
      <c r="K71" s="134"/>
      <c r="L71" s="161"/>
      <c r="M71" s="161"/>
      <c r="N71" s="161"/>
      <c r="P71" s="161"/>
      <c r="Q71" s="91"/>
      <c r="R71" s="91"/>
      <c r="S71" s="91"/>
    </row>
    <row r="72" spans="8:19" customFormat="1">
      <c r="I72" s="134"/>
      <c r="J72" s="134"/>
      <c r="K72" s="134"/>
      <c r="L72" s="161"/>
      <c r="M72" s="161"/>
      <c r="N72" s="161"/>
      <c r="P72" s="161"/>
      <c r="Q72" s="91"/>
      <c r="R72" s="91"/>
      <c r="S72" s="91"/>
    </row>
    <row r="73" spans="8:19" customFormat="1">
      <c r="I73" s="134"/>
      <c r="J73" s="134"/>
      <c r="K73" s="134"/>
      <c r="L73" s="155"/>
      <c r="M73" s="155"/>
      <c r="N73" s="155"/>
      <c r="P73" s="155"/>
      <c r="Q73" s="91"/>
      <c r="R73" s="91"/>
      <c r="S73" s="91"/>
    </row>
    <row r="74" spans="8:19" customFormat="1">
      <c r="I74" s="91"/>
      <c r="J74" s="91"/>
      <c r="K74" s="91"/>
      <c r="L74" s="177"/>
      <c r="M74" s="177"/>
      <c r="N74" s="177"/>
      <c r="P74" s="177"/>
      <c r="Q74" s="91"/>
      <c r="R74" s="91"/>
      <c r="S74" s="91"/>
    </row>
    <row r="75" spans="8:19" customFormat="1">
      <c r="I75" s="91"/>
      <c r="J75" s="91"/>
      <c r="K75" s="91"/>
      <c r="L75" s="177"/>
      <c r="M75" s="177"/>
      <c r="N75" s="177"/>
      <c r="P75" s="177"/>
    </row>
    <row r="76" spans="8:19" customFormat="1">
      <c r="I76" s="91"/>
      <c r="J76" s="91"/>
      <c r="K76" s="91"/>
      <c r="L76" s="91"/>
      <c r="M76" s="91"/>
      <c r="N76" s="91"/>
      <c r="P76" s="91"/>
    </row>
    <row r="77" spans="8:19" customFormat="1">
      <c r="I77" s="91"/>
      <c r="J77" s="91"/>
      <c r="K77" s="91"/>
      <c r="L77" s="91"/>
      <c r="M77" s="91"/>
      <c r="N77" s="91"/>
      <c r="P77" s="91"/>
    </row>
    <row r="78" spans="8:19" customFormat="1">
      <c r="I78" s="91"/>
      <c r="J78" s="91"/>
      <c r="K78" s="91"/>
      <c r="L78" s="91"/>
      <c r="M78" s="91"/>
      <c r="N78" s="91"/>
      <c r="P78" s="91"/>
    </row>
    <row r="79" spans="8:19" customFormat="1">
      <c r="I79" s="91"/>
      <c r="J79" s="91"/>
      <c r="K79" s="91"/>
      <c r="L79" s="91"/>
      <c r="M79" s="91"/>
      <c r="N79" s="91"/>
      <c r="P79" s="91"/>
    </row>
    <row r="80" spans="8:19" customFormat="1">
      <c r="I80" s="91"/>
      <c r="J80" s="91"/>
      <c r="K80" s="91"/>
      <c r="L80" s="91"/>
      <c r="M80" s="91"/>
      <c r="N80" s="91"/>
      <c r="P80" s="91"/>
    </row>
    <row r="81" spans="9:16" customFormat="1">
      <c r="I81" s="91"/>
      <c r="J81" s="91"/>
      <c r="K81" s="91"/>
      <c r="L81" s="91"/>
      <c r="M81" s="91"/>
      <c r="N81" s="91"/>
      <c r="P81" s="91"/>
    </row>
    <row r="82" spans="9:16" customFormat="1">
      <c r="I82" s="91"/>
      <c r="J82" s="91"/>
      <c r="K82" s="91"/>
      <c r="L82" s="91"/>
      <c r="M82" s="91"/>
      <c r="N82" s="91"/>
      <c r="P82" s="91"/>
    </row>
    <row r="83" spans="9:16" customFormat="1">
      <c r="I83" s="91"/>
      <c r="J83" s="91"/>
      <c r="K83" s="91"/>
      <c r="L83" s="91"/>
      <c r="M83" s="91"/>
      <c r="N83" s="91"/>
      <c r="P83" s="91"/>
    </row>
    <row r="84" spans="9:16" customFormat="1">
      <c r="I84" s="91"/>
      <c r="J84" s="91"/>
      <c r="K84" s="91"/>
      <c r="L84" s="91"/>
      <c r="M84" s="91"/>
      <c r="N84" s="91"/>
      <c r="P84" s="91"/>
    </row>
    <row r="85" spans="9:16" customFormat="1">
      <c r="I85" s="91"/>
      <c r="J85" s="91"/>
      <c r="K85" s="91"/>
      <c r="L85" s="91"/>
      <c r="M85" s="91"/>
      <c r="N85" s="91"/>
      <c r="P85" s="91"/>
    </row>
    <row r="86" spans="9:16" customFormat="1">
      <c r="I86" s="91"/>
      <c r="J86" s="91"/>
      <c r="K86" s="91"/>
      <c r="L86" s="91"/>
      <c r="M86" s="91"/>
      <c r="N86" s="91"/>
      <c r="P86" s="91"/>
    </row>
    <row r="87" spans="9:16" customFormat="1"/>
  </sheetData>
  <mergeCells count="3">
    <mergeCell ref="A1:D1"/>
    <mergeCell ref="A2:D2"/>
    <mergeCell ref="I1:L1"/>
  </mergeCells>
  <phoneticPr fontId="62" type="noConversion"/>
  <pageMargins left="0.75" right="0.75" top="1" bottom="1" header="0.5" footer="0.5"/>
  <pageSetup scale="49" orientation="portrait" horizontalDpi="4294967292" verticalDpi="4294967292"/>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N76"/>
  <sheetViews>
    <sheetView topLeftCell="A28" workbookViewId="0">
      <selection activeCell="A22" sqref="A22"/>
    </sheetView>
  </sheetViews>
  <sheetFormatPr defaultColWidth="8.875" defaultRowHeight="15.75"/>
  <cols>
    <col min="1" max="1" width="40.875" customWidth="1"/>
    <col min="2" max="2" width="15.625" customWidth="1"/>
    <col min="3" max="3" width="14.125" bestFit="1" customWidth="1"/>
    <col min="4" max="4" width="15" style="42" customWidth="1"/>
    <col min="5" max="5" width="15.5" style="42" customWidth="1"/>
    <col min="6" max="6" width="12.625" style="42" customWidth="1"/>
    <col min="7" max="8" width="12.5" style="42" customWidth="1"/>
    <col min="9" max="9" width="15.5" style="42" bestFit="1" customWidth="1"/>
    <col min="10" max="10" width="15.5" style="42" customWidth="1"/>
    <col min="11" max="11" width="14.875" style="42" bestFit="1" customWidth="1"/>
    <col min="12" max="12" width="13.875" bestFit="1" customWidth="1"/>
    <col min="13" max="13" width="12.875" style="42" bestFit="1" customWidth="1"/>
    <col min="14" max="14" width="14" customWidth="1"/>
  </cols>
  <sheetData>
    <row r="1" spans="1:14">
      <c r="A1" s="1610" t="s">
        <v>77</v>
      </c>
      <c r="B1" s="1610"/>
      <c r="C1" s="1610"/>
      <c r="D1" s="1610"/>
      <c r="E1" s="1610"/>
      <c r="F1" s="1610"/>
      <c r="G1" s="1610"/>
      <c r="H1" s="1610"/>
      <c r="I1" s="1610"/>
      <c r="J1" s="1610"/>
      <c r="K1" s="1610"/>
      <c r="L1" s="1610"/>
      <c r="M1" s="1610"/>
      <c r="N1" s="1610"/>
    </row>
    <row r="2" spans="1:14">
      <c r="A2" s="1610" t="s">
        <v>1160</v>
      </c>
      <c r="B2" s="1610"/>
      <c r="C2" s="1610"/>
      <c r="D2" s="1610"/>
      <c r="E2" s="1610"/>
      <c r="F2" s="1610"/>
      <c r="G2" s="1610"/>
      <c r="H2" s="1610"/>
      <c r="I2" s="1610"/>
      <c r="J2" s="1610"/>
      <c r="K2" s="1610"/>
      <c r="L2" s="1610"/>
      <c r="M2" s="1610"/>
      <c r="N2" s="1610"/>
    </row>
    <row r="3" spans="1:14" ht="13.5" customHeight="1">
      <c r="A3" s="1611"/>
      <c r="B3" s="1611"/>
      <c r="C3" s="1611"/>
      <c r="D3" s="1611"/>
      <c r="E3" s="1611"/>
      <c r="F3" s="1611"/>
      <c r="G3" s="1611"/>
      <c r="H3" s="1611"/>
      <c r="I3" s="1611"/>
      <c r="J3" s="1611"/>
      <c r="K3" s="1611"/>
      <c r="L3" s="1611"/>
      <c r="M3" s="1611"/>
      <c r="N3" s="1611"/>
    </row>
    <row r="4" spans="1:14">
      <c r="A4" s="52"/>
      <c r="B4" s="53"/>
      <c r="C4" s="54"/>
      <c r="D4" s="55"/>
      <c r="E4" s="55"/>
      <c r="F4" s="55"/>
      <c r="G4" s="56"/>
      <c r="H4" s="55"/>
      <c r="I4" s="57"/>
      <c r="J4" s="55"/>
      <c r="K4" s="57"/>
      <c r="L4" s="12"/>
      <c r="M4" s="58" t="s">
        <v>1096</v>
      </c>
      <c r="N4" s="58" t="s">
        <v>1044</v>
      </c>
    </row>
    <row r="5" spans="1:14">
      <c r="A5" s="52"/>
      <c r="B5" s="1609" t="s">
        <v>80</v>
      </c>
      <c r="C5" s="1609"/>
      <c r="D5" s="58" t="s">
        <v>81</v>
      </c>
      <c r="E5" s="58" t="s">
        <v>82</v>
      </c>
      <c r="F5" s="55"/>
      <c r="G5" s="59" t="s">
        <v>83</v>
      </c>
      <c r="H5" s="58" t="s">
        <v>84</v>
      </c>
      <c r="I5" s="58" t="s">
        <v>85</v>
      </c>
      <c r="J5" s="58" t="s">
        <v>86</v>
      </c>
      <c r="K5" s="58" t="s">
        <v>87</v>
      </c>
      <c r="L5" s="58" t="s">
        <v>88</v>
      </c>
      <c r="M5" s="58" t="s">
        <v>89</v>
      </c>
      <c r="N5" s="58" t="s">
        <v>89</v>
      </c>
    </row>
    <row r="6" spans="1:14" ht="13.5" customHeight="1">
      <c r="A6" s="60" t="s">
        <v>90</v>
      </c>
      <c r="B6" s="59" t="s">
        <v>91</v>
      </c>
      <c r="C6" s="1373" t="s">
        <v>92</v>
      </c>
      <c r="D6" s="1373" t="s">
        <v>93</v>
      </c>
      <c r="E6" s="1373" t="s">
        <v>93</v>
      </c>
      <c r="F6" s="1373" t="s">
        <v>62</v>
      </c>
      <c r="G6" s="1373" t="s">
        <v>94</v>
      </c>
      <c r="H6" s="1373" t="s">
        <v>95</v>
      </c>
      <c r="I6" s="1373" t="s">
        <v>96</v>
      </c>
      <c r="J6" s="1373" t="s">
        <v>97</v>
      </c>
      <c r="K6" s="1373" t="s">
        <v>98</v>
      </c>
      <c r="L6" s="1373" t="s">
        <v>94</v>
      </c>
      <c r="M6" s="1373" t="s">
        <v>99</v>
      </c>
      <c r="N6" s="1373" t="s">
        <v>99</v>
      </c>
    </row>
    <row r="7" spans="1:14" ht="13.5" customHeight="1">
      <c r="A7" s="61" t="s">
        <v>100</v>
      </c>
      <c r="B7" s="467">
        <v>-2785726</v>
      </c>
      <c r="C7" s="467"/>
      <c r="D7" s="467">
        <v>0</v>
      </c>
      <c r="E7" s="452">
        <v>12108804.159999996</v>
      </c>
      <c r="F7" s="452">
        <v>553056</v>
      </c>
      <c r="G7" s="452">
        <v>38050856</v>
      </c>
      <c r="H7" s="452">
        <v>4043594</v>
      </c>
      <c r="I7" s="452">
        <v>4050000</v>
      </c>
      <c r="J7" s="1247">
        <v>0</v>
      </c>
      <c r="K7" s="452">
        <v>726000.22800000012</v>
      </c>
      <c r="L7" s="65">
        <v>4373088</v>
      </c>
      <c r="M7" s="452">
        <v>61119672.387999997</v>
      </c>
      <c r="N7" s="452">
        <v>59169706.159999996</v>
      </c>
    </row>
    <row r="8" spans="1:14" s="66" customFormat="1">
      <c r="B8" s="67"/>
      <c r="C8" s="67"/>
      <c r="D8" s="453"/>
      <c r="E8" s="453"/>
      <c r="F8" s="453"/>
      <c r="G8" s="453"/>
      <c r="H8" s="453"/>
      <c r="I8" s="453"/>
      <c r="J8" s="69"/>
      <c r="K8" s="453"/>
      <c r="M8" s="453"/>
      <c r="N8" s="453"/>
    </row>
    <row r="9" spans="1:14">
      <c r="A9" s="71" t="s">
        <v>101</v>
      </c>
      <c r="B9" s="67"/>
      <c r="C9" s="67"/>
      <c r="D9" s="72"/>
      <c r="M9" s="1354"/>
      <c r="N9" s="1354"/>
    </row>
    <row r="10" spans="1:14" s="66" customFormat="1">
      <c r="A10" s="74" t="s">
        <v>102</v>
      </c>
      <c r="B10" s="1568">
        <v>9370621</v>
      </c>
      <c r="C10" s="75">
        <v>0</v>
      </c>
      <c r="D10" s="467">
        <v>1101355</v>
      </c>
      <c r="E10" s="452">
        <v>2442025</v>
      </c>
      <c r="F10" s="452">
        <v>214191</v>
      </c>
      <c r="G10" s="452">
        <v>6654500</v>
      </c>
      <c r="H10" s="452">
        <v>550000</v>
      </c>
      <c r="I10" s="452">
        <v>406000</v>
      </c>
      <c r="J10" s="452">
        <v>279237</v>
      </c>
      <c r="K10" s="452">
        <v>1242149</v>
      </c>
      <c r="L10" s="452">
        <v>1900000</v>
      </c>
      <c r="M10" s="452">
        <v>24160078</v>
      </c>
      <c r="N10" s="452">
        <v>20528931</v>
      </c>
    </row>
    <row r="11" spans="1:14" s="66" customFormat="1">
      <c r="A11" s="76" t="s">
        <v>103</v>
      </c>
      <c r="B11" s="77">
        <v>11267811</v>
      </c>
      <c r="C11" s="77">
        <v>1917162</v>
      </c>
      <c r="D11" s="454">
        <v>0</v>
      </c>
      <c r="E11" s="453">
        <v>0</v>
      </c>
      <c r="F11" s="453">
        <v>3057138</v>
      </c>
      <c r="G11" s="453">
        <v>3000000</v>
      </c>
      <c r="H11" s="453">
        <v>528000</v>
      </c>
      <c r="I11" s="453">
        <v>225000</v>
      </c>
      <c r="J11" s="453">
        <v>152097</v>
      </c>
      <c r="K11" s="453">
        <v>312414</v>
      </c>
      <c r="L11" s="453">
        <v>2800</v>
      </c>
      <c r="M11" s="453">
        <v>20462422</v>
      </c>
      <c r="N11" s="453">
        <v>20340741</v>
      </c>
    </row>
    <row r="12" spans="1:14" s="66" customFormat="1">
      <c r="A12" s="67" t="s">
        <v>104</v>
      </c>
      <c r="B12" s="77">
        <v>21551833</v>
      </c>
      <c r="C12" s="77">
        <v>8164764</v>
      </c>
      <c r="D12" s="454">
        <v>7041395</v>
      </c>
      <c r="E12" s="453">
        <v>0</v>
      </c>
      <c r="F12" s="453">
        <v>2915286</v>
      </c>
      <c r="G12" s="453">
        <v>12000000</v>
      </c>
      <c r="H12" s="453">
        <v>1500000</v>
      </c>
      <c r="I12" s="453">
        <v>1431500</v>
      </c>
      <c r="J12" s="453">
        <v>77012</v>
      </c>
      <c r="K12" s="453">
        <v>4224817</v>
      </c>
      <c r="L12" s="453">
        <v>2400000</v>
      </c>
      <c r="M12" s="453">
        <v>61306607</v>
      </c>
      <c r="N12" s="453">
        <v>57240954</v>
      </c>
    </row>
    <row r="13" spans="1:14" s="66" customFormat="1">
      <c r="A13" s="74" t="s">
        <v>105</v>
      </c>
      <c r="B13" s="75">
        <v>3492478</v>
      </c>
      <c r="C13" s="75">
        <v>111037</v>
      </c>
      <c r="D13" s="467">
        <v>1743717</v>
      </c>
      <c r="E13" s="452">
        <v>714700</v>
      </c>
      <c r="F13" s="467">
        <v>28558</v>
      </c>
      <c r="G13" s="467">
        <v>1150000</v>
      </c>
      <c r="H13" s="452">
        <v>100000</v>
      </c>
      <c r="I13" s="452">
        <v>538000</v>
      </c>
      <c r="J13" s="467">
        <v>435081</v>
      </c>
      <c r="K13" s="452">
        <v>542029</v>
      </c>
      <c r="L13" s="467">
        <v>500000</v>
      </c>
      <c r="M13" s="452">
        <v>9355600</v>
      </c>
      <c r="N13" s="452">
        <v>8135883</v>
      </c>
    </row>
    <row r="14" spans="1:14" s="66" customFormat="1">
      <c r="A14" s="76" t="s">
        <v>106</v>
      </c>
      <c r="B14" s="77">
        <v>11542018</v>
      </c>
      <c r="C14" s="77">
        <v>1063816</v>
      </c>
      <c r="D14" s="454">
        <v>0</v>
      </c>
      <c r="E14" s="453">
        <v>0</v>
      </c>
      <c r="F14" s="453">
        <v>404598</v>
      </c>
      <c r="G14" s="453">
        <v>3000000</v>
      </c>
      <c r="H14" s="453">
        <v>650000</v>
      </c>
      <c r="I14" s="453">
        <v>1195000</v>
      </c>
      <c r="J14" s="453">
        <v>112879</v>
      </c>
      <c r="K14" s="453">
        <v>1571883</v>
      </c>
      <c r="L14" s="453">
        <v>900000</v>
      </c>
      <c r="M14" s="453">
        <v>20440194</v>
      </c>
      <c r="N14" s="453">
        <v>19973639</v>
      </c>
    </row>
    <row r="15" spans="1:14" s="66" customFormat="1">
      <c r="A15" s="67" t="s">
        <v>107</v>
      </c>
      <c r="B15" s="77">
        <v>2919657</v>
      </c>
      <c r="C15" s="77">
        <v>0</v>
      </c>
      <c r="D15" s="454">
        <v>0</v>
      </c>
      <c r="E15" s="453">
        <v>0</v>
      </c>
      <c r="F15" s="453">
        <v>14200</v>
      </c>
      <c r="G15" s="453">
        <v>1600000</v>
      </c>
      <c r="H15" s="453">
        <v>83240</v>
      </c>
      <c r="I15" s="453">
        <v>75008</v>
      </c>
      <c r="J15" s="453"/>
      <c r="K15" s="453">
        <v>98677</v>
      </c>
      <c r="L15" s="453">
        <v>15786</v>
      </c>
      <c r="M15" s="453">
        <v>4806568</v>
      </c>
      <c r="N15" s="453">
        <v>4791672</v>
      </c>
    </row>
    <row r="16" spans="1:14" s="66" customFormat="1">
      <c r="A16" s="74" t="s">
        <v>108</v>
      </c>
      <c r="B16" s="75">
        <v>25989131</v>
      </c>
      <c r="C16" s="75">
        <v>0</v>
      </c>
      <c r="D16" s="467">
        <v>0</v>
      </c>
      <c r="E16" s="452">
        <v>75000</v>
      </c>
      <c r="F16" s="467">
        <v>1405937</v>
      </c>
      <c r="G16" s="467">
        <v>12500000</v>
      </c>
      <c r="H16" s="452">
        <v>970000</v>
      </c>
      <c r="I16" s="452">
        <v>1375000</v>
      </c>
      <c r="J16" s="467">
        <v>332709</v>
      </c>
      <c r="K16" s="452">
        <v>3146854</v>
      </c>
      <c r="L16" s="467">
        <v>99500</v>
      </c>
      <c r="M16" s="452">
        <v>45894131</v>
      </c>
      <c r="N16" s="452">
        <v>42029613</v>
      </c>
    </row>
    <row r="17" spans="1:14" s="66" customFormat="1">
      <c r="A17" s="67" t="s">
        <v>109</v>
      </c>
      <c r="B17" s="77">
        <v>8911760</v>
      </c>
      <c r="C17" s="77">
        <v>0</v>
      </c>
      <c r="D17" s="454">
        <v>615599</v>
      </c>
      <c r="E17" s="453">
        <v>10875</v>
      </c>
      <c r="F17" s="453">
        <v>145086</v>
      </c>
      <c r="G17" s="453">
        <v>1200000</v>
      </c>
      <c r="H17" s="453">
        <v>145000</v>
      </c>
      <c r="I17" s="453">
        <v>208000</v>
      </c>
      <c r="J17" s="453">
        <v>19657</v>
      </c>
      <c r="K17" s="453">
        <v>676018</v>
      </c>
      <c r="L17" s="453">
        <v>2900000</v>
      </c>
      <c r="M17" s="453">
        <v>14831995</v>
      </c>
      <c r="N17" s="453">
        <v>14381039</v>
      </c>
    </row>
    <row r="18" spans="1:14" s="66" customFormat="1">
      <c r="A18" s="67" t="s">
        <v>110</v>
      </c>
      <c r="B18" s="77">
        <v>6545974</v>
      </c>
      <c r="C18" s="77">
        <v>4178399</v>
      </c>
      <c r="D18" s="454">
        <v>1098365</v>
      </c>
      <c r="E18" s="454">
        <v>0</v>
      </c>
      <c r="F18" s="454">
        <v>1544</v>
      </c>
      <c r="G18" s="453">
        <v>0</v>
      </c>
      <c r="H18" s="453">
        <v>80000</v>
      </c>
      <c r="I18" s="453">
        <v>335000</v>
      </c>
      <c r="J18" s="453">
        <v>0</v>
      </c>
      <c r="K18" s="453">
        <v>298116</v>
      </c>
      <c r="L18" s="453">
        <v>200000</v>
      </c>
      <c r="M18" s="453">
        <v>12737398</v>
      </c>
      <c r="N18" s="453">
        <v>12573591</v>
      </c>
    </row>
    <row r="19" spans="1:14" s="66" customFormat="1">
      <c r="A19" s="74" t="s">
        <v>111</v>
      </c>
      <c r="B19" s="75">
        <v>27104480</v>
      </c>
      <c r="C19" s="75">
        <v>5884</v>
      </c>
      <c r="D19" s="467">
        <v>0</v>
      </c>
      <c r="E19" s="452">
        <v>0</v>
      </c>
      <c r="F19" s="467">
        <v>1418499</v>
      </c>
      <c r="G19" s="467">
        <v>4200000</v>
      </c>
      <c r="H19" s="452">
        <v>1900000</v>
      </c>
      <c r="I19" s="452">
        <v>1315000</v>
      </c>
      <c r="J19" s="467">
        <v>226197</v>
      </c>
      <c r="K19" s="452">
        <v>4177098</v>
      </c>
      <c r="L19" s="467">
        <v>780000</v>
      </c>
      <c r="M19" s="452">
        <v>41127158</v>
      </c>
      <c r="N19" s="452">
        <v>38789621</v>
      </c>
    </row>
    <row r="20" spans="1:14" s="66" customFormat="1">
      <c r="A20" s="67" t="s">
        <v>112</v>
      </c>
      <c r="B20" s="77">
        <v>7121162</v>
      </c>
      <c r="C20" s="77">
        <v>4253515</v>
      </c>
      <c r="D20" s="454">
        <v>4966751</v>
      </c>
      <c r="E20" s="454">
        <v>-48085</v>
      </c>
      <c r="F20" s="454">
        <v>694</v>
      </c>
      <c r="G20" s="454">
        <v>0</v>
      </c>
      <c r="H20" s="453">
        <v>0</v>
      </c>
      <c r="I20" s="453">
        <v>8327772</v>
      </c>
      <c r="J20" s="454">
        <v>0</v>
      </c>
      <c r="K20" s="453">
        <v>162608</v>
      </c>
      <c r="L20" s="453">
        <v>125000</v>
      </c>
      <c r="M20" s="453">
        <v>24909417</v>
      </c>
      <c r="N20" s="453">
        <v>24513720</v>
      </c>
    </row>
    <row r="21" spans="1:14" s="66" customFormat="1">
      <c r="A21" s="67" t="s">
        <v>113</v>
      </c>
      <c r="B21" s="77">
        <v>0</v>
      </c>
      <c r="C21" s="77">
        <v>0</v>
      </c>
      <c r="D21" s="454">
        <v>0</v>
      </c>
      <c r="E21" s="453"/>
      <c r="F21" s="454">
        <v>0</v>
      </c>
      <c r="G21" s="454">
        <v>0</v>
      </c>
      <c r="H21" s="453">
        <v>543366</v>
      </c>
      <c r="I21" s="453"/>
      <c r="J21" s="454">
        <v>0</v>
      </c>
      <c r="K21" s="454">
        <v>0</v>
      </c>
      <c r="L21" s="454">
        <v>0</v>
      </c>
      <c r="M21" s="453">
        <v>543366</v>
      </c>
      <c r="N21" s="453">
        <v>541124</v>
      </c>
    </row>
    <row r="22" spans="1:14" s="66" customFormat="1">
      <c r="A22" s="74" t="s">
        <v>114</v>
      </c>
      <c r="B22" s="75">
        <v>1284958</v>
      </c>
      <c r="C22" s="75">
        <v>1490000</v>
      </c>
      <c r="D22" s="467">
        <v>0</v>
      </c>
      <c r="E22" s="452">
        <v>0</v>
      </c>
      <c r="F22" s="467">
        <v>9502</v>
      </c>
      <c r="G22" s="467">
        <v>0</v>
      </c>
      <c r="H22" s="452">
        <v>1000</v>
      </c>
      <c r="I22" s="452">
        <v>15500</v>
      </c>
      <c r="J22" s="467">
        <v>0</v>
      </c>
      <c r="K22" s="452">
        <v>39004</v>
      </c>
      <c r="L22" s="467">
        <v>0</v>
      </c>
      <c r="M22" s="452">
        <v>2839964</v>
      </c>
      <c r="N22" s="452">
        <v>2438816</v>
      </c>
    </row>
    <row r="23" spans="1:14" s="66" customFormat="1">
      <c r="A23" s="76" t="s">
        <v>116</v>
      </c>
      <c r="B23" s="80">
        <v>0</v>
      </c>
      <c r="C23" s="454">
        <v>0</v>
      </c>
      <c r="D23" s="454">
        <v>0</v>
      </c>
      <c r="E23" s="454">
        <v>0</v>
      </c>
      <c r="F23" s="454">
        <v>0</v>
      </c>
      <c r="G23" s="453">
        <v>18786975</v>
      </c>
      <c r="H23" s="454">
        <v>0</v>
      </c>
      <c r="I23" s="454"/>
      <c r="J23" s="454">
        <v>0</v>
      </c>
      <c r="K23" s="454"/>
      <c r="L23" s="454">
        <v>0</v>
      </c>
      <c r="M23" s="453">
        <v>18786975</v>
      </c>
      <c r="N23" s="453">
        <v>18785225</v>
      </c>
    </row>
    <row r="24" spans="1:14" s="66" customFormat="1">
      <c r="A24" s="67" t="s">
        <v>117</v>
      </c>
      <c r="B24" s="77">
        <v>0</v>
      </c>
      <c r="C24" s="77">
        <v>0</v>
      </c>
      <c r="D24" s="454">
        <v>0</v>
      </c>
      <c r="E24" s="453">
        <v>0</v>
      </c>
      <c r="F24" s="454"/>
      <c r="G24" s="454">
        <v>0</v>
      </c>
      <c r="H24" s="453">
        <v>0</v>
      </c>
      <c r="I24" s="453"/>
      <c r="J24" s="454">
        <v>0</v>
      </c>
      <c r="K24" s="453">
        <v>0</v>
      </c>
      <c r="L24" s="454">
        <v>3296000</v>
      </c>
      <c r="M24" s="453">
        <v>3296000</v>
      </c>
      <c r="N24" s="453">
        <v>3160000</v>
      </c>
    </row>
    <row r="25" spans="1:14" s="66" customFormat="1">
      <c r="A25" s="1355" t="s">
        <v>1161</v>
      </c>
      <c r="B25" s="75">
        <v>1084713</v>
      </c>
      <c r="C25" s="75">
        <v>0</v>
      </c>
      <c r="D25" s="467">
        <v>0</v>
      </c>
      <c r="E25" s="452">
        <v>0</v>
      </c>
      <c r="F25" s="467">
        <v>796347</v>
      </c>
      <c r="G25" s="467">
        <v>0</v>
      </c>
      <c r="H25" s="452">
        <v>0</v>
      </c>
      <c r="I25" s="452">
        <v>2824950</v>
      </c>
      <c r="J25" s="467">
        <v>0</v>
      </c>
      <c r="K25" s="452">
        <v>0</v>
      </c>
      <c r="L25" s="467"/>
      <c r="M25" s="452">
        <v>4706010</v>
      </c>
      <c r="N25" s="452">
        <v>5275284</v>
      </c>
    </row>
    <row r="26" spans="1:14" s="66" customFormat="1">
      <c r="A26" s="67" t="s">
        <v>118</v>
      </c>
      <c r="B26" s="77">
        <v>11065622</v>
      </c>
      <c r="C26" s="77">
        <v>0</v>
      </c>
      <c r="D26" s="454">
        <v>47475</v>
      </c>
      <c r="E26" s="453">
        <v>0</v>
      </c>
      <c r="F26" s="454">
        <v>666777</v>
      </c>
      <c r="G26" s="454">
        <v>0</v>
      </c>
      <c r="H26" s="453">
        <v>0</v>
      </c>
      <c r="I26" s="453">
        <v>122600</v>
      </c>
      <c r="J26" s="454">
        <v>110727</v>
      </c>
      <c r="K26" s="453">
        <v>0</v>
      </c>
      <c r="L26" s="454">
        <v>2565873</v>
      </c>
      <c r="M26" s="453">
        <v>14579074</v>
      </c>
      <c r="N26" s="453">
        <v>13841842</v>
      </c>
    </row>
    <row r="27" spans="1:14" s="66" customFormat="1">
      <c r="A27" s="67" t="s">
        <v>119</v>
      </c>
      <c r="B27" s="77">
        <v>5876614</v>
      </c>
      <c r="C27" s="80">
        <v>0</v>
      </c>
      <c r="D27" s="454">
        <v>458258</v>
      </c>
      <c r="E27" s="453">
        <v>0</v>
      </c>
      <c r="F27" s="454">
        <v>0</v>
      </c>
      <c r="G27" s="454">
        <v>0</v>
      </c>
      <c r="H27" s="453">
        <v>42000</v>
      </c>
      <c r="I27" s="453">
        <v>882685</v>
      </c>
      <c r="J27" s="453">
        <v>156767</v>
      </c>
      <c r="K27" s="454">
        <v>0</v>
      </c>
      <c r="L27" s="459">
        <v>3938294</v>
      </c>
      <c r="M27" s="453">
        <v>11354618</v>
      </c>
      <c r="N27" s="453">
        <v>11252786</v>
      </c>
    </row>
    <row r="28" spans="1:14" s="66" customFormat="1">
      <c r="A28" s="1356" t="s">
        <v>1162</v>
      </c>
      <c r="B28" s="1215">
        <v>696993</v>
      </c>
      <c r="C28" s="1215"/>
      <c r="D28" s="1246"/>
      <c r="E28" s="1246"/>
      <c r="F28" s="455"/>
      <c r="G28" s="1246"/>
      <c r="H28" s="1246"/>
      <c r="I28" s="1246"/>
      <c r="J28" s="455"/>
      <c r="K28" s="1246">
        <v>136090</v>
      </c>
      <c r="L28" s="1357"/>
      <c r="M28" s="455">
        <v>833083</v>
      </c>
      <c r="N28" s="455">
        <v>823212</v>
      </c>
    </row>
    <row r="29" spans="1:14" s="66" customFormat="1">
      <c r="A29" s="1358" t="s">
        <v>120</v>
      </c>
      <c r="B29" s="1217">
        <v>155825825</v>
      </c>
      <c r="C29" s="1217">
        <v>21184577</v>
      </c>
      <c r="D29" s="1217">
        <v>17072915</v>
      </c>
      <c r="E29" s="1217">
        <v>3194515</v>
      </c>
      <c r="F29" s="1217">
        <v>11078357</v>
      </c>
      <c r="G29" s="1217">
        <v>64091475</v>
      </c>
      <c r="H29" s="1217">
        <v>7092606</v>
      </c>
      <c r="I29" s="1217">
        <v>19277015</v>
      </c>
      <c r="J29" s="1217">
        <v>1902363</v>
      </c>
      <c r="K29" s="1217">
        <v>16627757</v>
      </c>
      <c r="L29" s="1217">
        <v>19623253</v>
      </c>
      <c r="M29" s="1217">
        <v>336970658</v>
      </c>
      <c r="N29" s="1217">
        <v>319417693</v>
      </c>
    </row>
    <row r="30" spans="1:14" s="66" customFormat="1">
      <c r="A30" s="67"/>
      <c r="B30" s="77"/>
      <c r="C30" s="77"/>
      <c r="D30" s="454"/>
      <c r="E30" s="453"/>
      <c r="F30" s="454"/>
      <c r="G30" s="454"/>
      <c r="H30" s="453"/>
      <c r="I30" s="453"/>
      <c r="J30" s="454"/>
      <c r="K30" s="453"/>
      <c r="L30" s="454"/>
      <c r="M30" s="453"/>
      <c r="N30" s="459"/>
    </row>
    <row r="31" spans="1:14" s="66" customFormat="1">
      <c r="A31" s="1359" t="s">
        <v>1163</v>
      </c>
      <c r="B31" s="1360"/>
      <c r="C31" s="1360"/>
      <c r="D31" s="453"/>
      <c r="E31" s="453"/>
      <c r="F31" s="453"/>
      <c r="G31" s="453"/>
      <c r="H31" s="453"/>
      <c r="I31" s="453"/>
      <c r="J31" s="453"/>
      <c r="K31" s="453"/>
      <c r="L31" s="459"/>
      <c r="M31" s="453"/>
      <c r="N31" s="70"/>
    </row>
    <row r="32" spans="1:14" s="66" customFormat="1">
      <c r="A32" s="1356" t="s">
        <v>122</v>
      </c>
      <c r="B32" s="1568">
        <v>8368275</v>
      </c>
      <c r="C32" s="1218">
        <v>0</v>
      </c>
      <c r="D32" s="1246">
        <v>0</v>
      </c>
      <c r="E32" s="455">
        <v>20000</v>
      </c>
      <c r="F32" s="1246">
        <v>0</v>
      </c>
      <c r="G32" s="1246">
        <v>0</v>
      </c>
      <c r="H32" s="455">
        <v>0</v>
      </c>
      <c r="I32" s="455">
        <v>0</v>
      </c>
      <c r="J32" s="1246"/>
      <c r="K32" s="455"/>
      <c r="L32" s="1246"/>
      <c r="M32" s="455">
        <v>8388275</v>
      </c>
      <c r="N32" s="455">
        <v>9553475</v>
      </c>
    </row>
    <row r="33" spans="1:14" s="66" customFormat="1">
      <c r="A33" s="67" t="s">
        <v>123</v>
      </c>
      <c r="B33" s="80">
        <v>3956393</v>
      </c>
      <c r="C33" s="80">
        <v>0</v>
      </c>
      <c r="D33" s="454">
        <v>0</v>
      </c>
      <c r="E33" s="454">
        <v>26585</v>
      </c>
      <c r="F33" s="453">
        <v>0</v>
      </c>
      <c r="G33" s="454">
        <v>0</v>
      </c>
      <c r="H33" s="454">
        <v>0</v>
      </c>
      <c r="I33" s="454"/>
      <c r="J33" s="453">
        <v>0</v>
      </c>
      <c r="K33" s="454">
        <v>0</v>
      </c>
      <c r="L33" s="459">
        <v>0</v>
      </c>
      <c r="M33" s="453">
        <v>3982978</v>
      </c>
      <c r="N33" s="453">
        <v>3525549</v>
      </c>
    </row>
    <row r="34" spans="1:14" s="66" customFormat="1">
      <c r="A34" s="67" t="s">
        <v>124</v>
      </c>
      <c r="B34" s="77">
        <v>777386</v>
      </c>
      <c r="C34" s="77">
        <v>0</v>
      </c>
      <c r="D34" s="454">
        <v>0</v>
      </c>
      <c r="E34" s="453">
        <v>0</v>
      </c>
      <c r="F34" s="454">
        <v>0</v>
      </c>
      <c r="G34" s="454">
        <v>0</v>
      </c>
      <c r="H34" s="453">
        <v>0</v>
      </c>
      <c r="I34" s="453"/>
      <c r="J34" s="454">
        <v>0</v>
      </c>
      <c r="K34" s="453">
        <v>0</v>
      </c>
      <c r="L34" s="454">
        <v>664415</v>
      </c>
      <c r="M34" s="453">
        <v>1441801</v>
      </c>
      <c r="N34" s="453">
        <v>1533838</v>
      </c>
    </row>
    <row r="35" spans="1:14" s="66" customFormat="1">
      <c r="A35" s="1356" t="s">
        <v>125</v>
      </c>
      <c r="B35" s="1218">
        <v>2048710</v>
      </c>
      <c r="C35" s="1218">
        <v>0</v>
      </c>
      <c r="D35" s="1246">
        <v>0</v>
      </c>
      <c r="E35" s="455">
        <v>5900000</v>
      </c>
      <c r="F35" s="1246">
        <v>0</v>
      </c>
      <c r="G35" s="1246">
        <v>0</v>
      </c>
      <c r="H35" s="455">
        <v>0</v>
      </c>
      <c r="I35" s="455"/>
      <c r="J35" s="1246">
        <v>0</v>
      </c>
      <c r="K35" s="455">
        <v>0</v>
      </c>
      <c r="L35" s="1246">
        <v>0</v>
      </c>
      <c r="M35" s="455">
        <v>7948710</v>
      </c>
      <c r="N35" s="455">
        <v>6422562</v>
      </c>
    </row>
    <row r="36" spans="1:14" s="66" customFormat="1">
      <c r="A36" s="67" t="s">
        <v>126</v>
      </c>
      <c r="B36" s="80">
        <v>6142860</v>
      </c>
      <c r="C36" s="80"/>
      <c r="D36" s="454"/>
      <c r="E36" s="454">
        <v>0</v>
      </c>
      <c r="F36" s="453">
        <v>432958</v>
      </c>
      <c r="G36" s="454"/>
      <c r="H36" s="454"/>
      <c r="I36" s="454">
        <v>3149052</v>
      </c>
      <c r="J36" s="453"/>
      <c r="K36" s="454"/>
      <c r="L36" s="459"/>
      <c r="M36" s="453">
        <v>9724870</v>
      </c>
      <c r="N36" s="453">
        <v>9115652</v>
      </c>
    </row>
    <row r="37" spans="1:14" s="66" customFormat="1">
      <c r="A37" s="67" t="s">
        <v>519</v>
      </c>
      <c r="B37" s="77">
        <v>4827349</v>
      </c>
      <c r="C37" s="77"/>
      <c r="D37" s="454"/>
      <c r="E37" s="453"/>
      <c r="F37" s="454">
        <v>90000</v>
      </c>
      <c r="G37" s="454"/>
      <c r="H37" s="453">
        <v>51700</v>
      </c>
      <c r="I37" s="453">
        <v>31000</v>
      </c>
      <c r="J37" s="454"/>
      <c r="K37" s="453"/>
      <c r="L37" s="454"/>
      <c r="M37" s="453">
        <v>5000049</v>
      </c>
      <c r="N37" s="453">
        <v>3284582</v>
      </c>
    </row>
    <row r="38" spans="1:14" s="66" customFormat="1">
      <c r="A38" s="1356" t="s">
        <v>127</v>
      </c>
      <c r="B38" s="1215">
        <v>3485793</v>
      </c>
      <c r="C38" s="1215">
        <v>0</v>
      </c>
      <c r="D38" s="1246">
        <v>0</v>
      </c>
      <c r="E38" s="1246">
        <v>0</v>
      </c>
      <c r="F38" s="455">
        <v>147391</v>
      </c>
      <c r="G38" s="1246">
        <v>0</v>
      </c>
      <c r="H38" s="1246">
        <v>0</v>
      </c>
      <c r="I38" s="1246">
        <v>10000</v>
      </c>
      <c r="J38" s="455">
        <v>0</v>
      </c>
      <c r="K38" s="1246">
        <v>0</v>
      </c>
      <c r="L38" s="1357">
        <v>0</v>
      </c>
      <c r="M38" s="455">
        <v>3643184</v>
      </c>
      <c r="N38" s="455">
        <v>3349220</v>
      </c>
    </row>
    <row r="39" spans="1:14" s="66" customFormat="1">
      <c r="A39" s="67" t="s">
        <v>128</v>
      </c>
      <c r="B39" s="77">
        <v>17549923</v>
      </c>
      <c r="C39" s="77">
        <v>0</v>
      </c>
      <c r="D39" s="454">
        <v>0</v>
      </c>
      <c r="E39" s="453">
        <v>150000</v>
      </c>
      <c r="F39" s="454">
        <v>222977</v>
      </c>
      <c r="G39" s="454">
        <v>0</v>
      </c>
      <c r="H39" s="453">
        <v>0</v>
      </c>
      <c r="I39" s="453">
        <v>26600</v>
      </c>
      <c r="J39" s="454">
        <v>0</v>
      </c>
      <c r="K39" s="453">
        <v>0</v>
      </c>
      <c r="L39" s="454">
        <v>1825316</v>
      </c>
      <c r="M39" s="453">
        <v>19774816</v>
      </c>
      <c r="N39" s="453">
        <v>12834823</v>
      </c>
    </row>
    <row r="40" spans="1:14" s="66" customFormat="1">
      <c r="A40" s="67" t="s">
        <v>525</v>
      </c>
      <c r="B40" s="77">
        <v>1571305</v>
      </c>
      <c r="C40" s="77">
        <v>0</v>
      </c>
      <c r="D40" s="454">
        <v>0</v>
      </c>
      <c r="E40" s="453">
        <v>1030000</v>
      </c>
      <c r="F40" s="454">
        <v>249826</v>
      </c>
      <c r="G40" s="454">
        <v>0</v>
      </c>
      <c r="H40" s="453">
        <v>90000</v>
      </c>
      <c r="I40" s="453">
        <v>1058175</v>
      </c>
      <c r="J40" s="454">
        <v>0</v>
      </c>
      <c r="K40" s="453">
        <v>507880</v>
      </c>
      <c r="L40" s="454">
        <v>0</v>
      </c>
      <c r="M40" s="453">
        <v>4507186</v>
      </c>
      <c r="N40" s="453">
        <v>4203588</v>
      </c>
    </row>
    <row r="41" spans="1:14" s="66" customFormat="1">
      <c r="A41" s="1356" t="s">
        <v>115</v>
      </c>
      <c r="B41" s="1218">
        <v>727686</v>
      </c>
      <c r="C41" s="1218">
        <v>0</v>
      </c>
      <c r="D41" s="1246">
        <v>0</v>
      </c>
      <c r="E41" s="455">
        <v>794727</v>
      </c>
      <c r="F41" s="1246">
        <v>0</v>
      </c>
      <c r="G41" s="1246">
        <v>0</v>
      </c>
      <c r="H41" s="455">
        <v>0</v>
      </c>
      <c r="I41" s="455"/>
      <c r="J41" s="1246">
        <v>0</v>
      </c>
      <c r="K41" s="455">
        <v>0</v>
      </c>
      <c r="L41" s="1246">
        <v>0</v>
      </c>
      <c r="M41" s="455">
        <v>1522413</v>
      </c>
      <c r="N41" s="455">
        <v>766279</v>
      </c>
    </row>
    <row r="42" spans="1:14" s="66" customFormat="1">
      <c r="A42" s="67" t="s">
        <v>129</v>
      </c>
      <c r="B42" s="77">
        <v>4388919</v>
      </c>
      <c r="C42" s="77">
        <v>0</v>
      </c>
      <c r="D42" s="454">
        <v>0</v>
      </c>
      <c r="E42" s="453">
        <v>427000</v>
      </c>
      <c r="F42" s="454">
        <v>0</v>
      </c>
      <c r="G42" s="454">
        <v>0</v>
      </c>
      <c r="H42" s="453">
        <v>0</v>
      </c>
      <c r="I42" s="453">
        <v>0</v>
      </c>
      <c r="J42" s="454">
        <v>0</v>
      </c>
      <c r="K42" s="453">
        <v>0</v>
      </c>
      <c r="L42" s="454">
        <v>2766971</v>
      </c>
      <c r="M42" s="453">
        <v>7582890</v>
      </c>
      <c r="N42" s="453">
        <v>7445568</v>
      </c>
    </row>
    <row r="43" spans="1:14" s="66" customFormat="1">
      <c r="A43" s="67" t="s">
        <v>130</v>
      </c>
      <c r="B43" s="77">
        <v>6306678</v>
      </c>
      <c r="C43" s="77">
        <v>0</v>
      </c>
      <c r="D43" s="454">
        <v>70448</v>
      </c>
      <c r="E43" s="453">
        <v>0</v>
      </c>
      <c r="F43" s="454">
        <v>223039</v>
      </c>
      <c r="G43" s="454">
        <v>0</v>
      </c>
      <c r="H43" s="453">
        <v>0</v>
      </c>
      <c r="I43" s="453">
        <v>1105762</v>
      </c>
      <c r="J43" s="454">
        <v>0</v>
      </c>
      <c r="K43" s="453">
        <v>0</v>
      </c>
      <c r="L43" s="454">
        <v>0</v>
      </c>
      <c r="M43" s="453">
        <v>7705927</v>
      </c>
      <c r="N43" s="453">
        <v>7456361</v>
      </c>
    </row>
    <row r="44" spans="1:14" s="66" customFormat="1">
      <c r="A44" s="1356" t="s">
        <v>131</v>
      </c>
      <c r="B44" s="1218">
        <v>12221894</v>
      </c>
      <c r="C44" s="1218">
        <v>0</v>
      </c>
      <c r="D44" s="1246">
        <v>0</v>
      </c>
      <c r="E44" s="455">
        <v>0</v>
      </c>
      <c r="F44" s="1246">
        <v>0</v>
      </c>
      <c r="G44" s="1246">
        <v>0</v>
      </c>
      <c r="H44" s="455">
        <v>0</v>
      </c>
      <c r="I44" s="455"/>
      <c r="J44" s="1246">
        <v>0</v>
      </c>
      <c r="K44" s="455">
        <v>0</v>
      </c>
      <c r="L44" s="1246">
        <v>0</v>
      </c>
      <c r="M44" s="455">
        <v>12221894</v>
      </c>
      <c r="N44" s="455">
        <v>11661163</v>
      </c>
    </row>
    <row r="45" spans="1:14" s="66" customFormat="1">
      <c r="A45" s="67" t="s">
        <v>132</v>
      </c>
      <c r="B45" s="80">
        <v>23543246</v>
      </c>
      <c r="C45" s="77">
        <v>0</v>
      </c>
      <c r="D45" s="454">
        <v>0</v>
      </c>
      <c r="E45" s="453">
        <v>40000</v>
      </c>
      <c r="F45" s="454">
        <v>404339</v>
      </c>
      <c r="G45" s="454">
        <v>0</v>
      </c>
      <c r="H45" s="453">
        <v>0</v>
      </c>
      <c r="I45" s="453">
        <v>371000</v>
      </c>
      <c r="J45" s="454">
        <v>0</v>
      </c>
      <c r="K45" s="453">
        <v>0</v>
      </c>
      <c r="L45" s="454">
        <v>963767</v>
      </c>
      <c r="M45" s="453">
        <v>25322352</v>
      </c>
      <c r="N45" s="453">
        <v>22657071</v>
      </c>
    </row>
    <row r="46" spans="1:14" s="66" customFormat="1">
      <c r="A46" s="67" t="s">
        <v>1189</v>
      </c>
      <c r="B46" s="77">
        <v>12726447</v>
      </c>
      <c r="C46" s="77">
        <v>0</v>
      </c>
      <c r="D46" s="454">
        <v>0</v>
      </c>
      <c r="E46" s="453">
        <v>0</v>
      </c>
      <c r="F46" s="454">
        <v>477808</v>
      </c>
      <c r="G46" s="454">
        <v>0</v>
      </c>
      <c r="H46" s="453">
        <v>0</v>
      </c>
      <c r="I46" s="453">
        <v>0</v>
      </c>
      <c r="J46" s="454">
        <v>0</v>
      </c>
      <c r="K46" s="453">
        <v>0</v>
      </c>
      <c r="L46" s="454">
        <v>4719747</v>
      </c>
      <c r="M46" s="453">
        <v>17924002</v>
      </c>
      <c r="N46" s="453">
        <v>15221563</v>
      </c>
    </row>
    <row r="47" spans="1:14" s="66" customFormat="1">
      <c r="A47" s="1361" t="s">
        <v>1164</v>
      </c>
      <c r="B47" s="1218">
        <v>3418422</v>
      </c>
      <c r="C47" s="1218">
        <v>0</v>
      </c>
      <c r="D47" s="1246">
        <v>0</v>
      </c>
      <c r="E47" s="455">
        <v>0</v>
      </c>
      <c r="F47" s="1246">
        <v>0</v>
      </c>
      <c r="G47" s="1246">
        <v>0</v>
      </c>
      <c r="H47" s="455">
        <v>0</v>
      </c>
      <c r="I47" s="455">
        <v>40000</v>
      </c>
      <c r="J47" s="1246">
        <v>0</v>
      </c>
      <c r="K47" s="455">
        <v>0</v>
      </c>
      <c r="L47" s="1246">
        <v>0</v>
      </c>
      <c r="M47" s="455">
        <v>3458422</v>
      </c>
      <c r="N47" s="455">
        <v>3322315</v>
      </c>
    </row>
    <row r="48" spans="1:14" s="66" customFormat="1">
      <c r="A48" s="67" t="s">
        <v>522</v>
      </c>
      <c r="B48" s="77">
        <v>1453943</v>
      </c>
      <c r="C48" s="77">
        <v>0</v>
      </c>
      <c r="D48" s="454">
        <v>0</v>
      </c>
      <c r="E48" s="453">
        <v>289720</v>
      </c>
      <c r="F48" s="454">
        <v>0</v>
      </c>
      <c r="G48" s="454">
        <v>0</v>
      </c>
      <c r="H48" s="453">
        <v>0</v>
      </c>
      <c r="I48" s="453">
        <v>0</v>
      </c>
      <c r="J48" s="454">
        <v>0</v>
      </c>
      <c r="K48" s="453">
        <v>0</v>
      </c>
      <c r="L48" s="454">
        <v>625823</v>
      </c>
      <c r="M48" s="453">
        <v>2369486</v>
      </c>
      <c r="N48" s="453">
        <v>2007330</v>
      </c>
    </row>
    <row r="49" spans="1:14" s="66" customFormat="1">
      <c r="A49" s="67" t="s">
        <v>134</v>
      </c>
      <c r="B49" s="1569">
        <v>8352754</v>
      </c>
      <c r="C49" s="1362">
        <v>0</v>
      </c>
      <c r="D49" s="454">
        <v>0</v>
      </c>
      <c r="E49" s="453">
        <v>0</v>
      </c>
      <c r="F49" s="454">
        <v>0</v>
      </c>
      <c r="G49" s="454">
        <v>0</v>
      </c>
      <c r="H49" s="453">
        <v>0</v>
      </c>
      <c r="I49" s="453">
        <v>60000</v>
      </c>
      <c r="J49" s="454">
        <v>0</v>
      </c>
      <c r="K49" s="453">
        <v>0</v>
      </c>
      <c r="L49" s="454">
        <v>3989620</v>
      </c>
      <c r="M49" s="453">
        <v>12402374</v>
      </c>
      <c r="N49" s="453">
        <v>11936908</v>
      </c>
    </row>
    <row r="50" spans="1:14" s="66" customFormat="1">
      <c r="A50" s="1363" t="s">
        <v>135</v>
      </c>
      <c r="B50" s="1219">
        <v>121867983</v>
      </c>
      <c r="C50" s="1364">
        <v>0</v>
      </c>
      <c r="D50" s="1365">
        <v>70448</v>
      </c>
      <c r="E50" s="1365">
        <v>8678032</v>
      </c>
      <c r="F50" s="1365">
        <v>2248338</v>
      </c>
      <c r="G50" s="1365">
        <v>0</v>
      </c>
      <c r="H50" s="1365">
        <v>141700</v>
      </c>
      <c r="I50" s="1365">
        <v>5851589</v>
      </c>
      <c r="J50" s="1365">
        <v>0</v>
      </c>
      <c r="K50" s="1365">
        <v>507880</v>
      </c>
      <c r="L50" s="1365">
        <v>15555659</v>
      </c>
      <c r="M50" s="1365">
        <v>154921629</v>
      </c>
      <c r="N50" s="1365">
        <v>136297847</v>
      </c>
    </row>
    <row r="51" spans="1:14" s="66" customFormat="1" ht="16.5" thickBot="1">
      <c r="A51" s="1358" t="s">
        <v>136</v>
      </c>
      <c r="B51" s="1220">
        <v>274908082</v>
      </c>
      <c r="C51" s="1220">
        <v>21184577</v>
      </c>
      <c r="D51" s="1366">
        <v>17143363</v>
      </c>
      <c r="E51" s="1366">
        <v>23981351.159999996</v>
      </c>
      <c r="F51" s="1366">
        <v>13879751</v>
      </c>
      <c r="G51" s="1366">
        <v>102142331</v>
      </c>
      <c r="H51" s="1366">
        <v>11277900</v>
      </c>
      <c r="I51" s="1366">
        <v>29178604</v>
      </c>
      <c r="J51" s="1366">
        <v>1902363</v>
      </c>
      <c r="K51" s="1366">
        <v>17861637.228</v>
      </c>
      <c r="L51" s="1366">
        <v>39552000</v>
      </c>
      <c r="M51" s="1366">
        <v>553011959.38800001</v>
      </c>
      <c r="N51" s="1366">
        <v>514885246.15999997</v>
      </c>
    </row>
    <row r="52" spans="1:14" s="66" customFormat="1" ht="16.5" thickTop="1">
      <c r="A52" s="67"/>
      <c r="B52" s="77"/>
      <c r="C52" s="80"/>
      <c r="D52" s="78"/>
      <c r="E52" s="78"/>
      <c r="F52" s="68"/>
      <c r="G52" s="78"/>
      <c r="H52" s="78"/>
      <c r="I52" s="68"/>
      <c r="J52" s="68"/>
      <c r="K52" s="78"/>
      <c r="L52" s="79"/>
      <c r="M52" s="68"/>
      <c r="N52" s="68"/>
    </row>
    <row r="53" spans="1:14" s="66" customFormat="1">
      <c r="A53" s="67"/>
      <c r="B53" s="77"/>
      <c r="C53" s="80"/>
      <c r="D53" s="78"/>
      <c r="E53" s="78"/>
      <c r="F53" s="68"/>
      <c r="G53" s="78"/>
      <c r="H53" s="78"/>
      <c r="I53" s="419"/>
      <c r="J53" s="68"/>
      <c r="K53" s="78"/>
      <c r="L53" s="79"/>
      <c r="M53" s="68">
        <f>SUM(M7+M29+M50)</f>
        <v>553011959.38800001</v>
      </c>
      <c r="N53" s="68"/>
    </row>
    <row r="54" spans="1:14" s="66" customFormat="1">
      <c r="A54" s="67"/>
      <c r="B54" s="77"/>
      <c r="C54" s="80"/>
      <c r="D54" s="78"/>
      <c r="E54" s="78"/>
      <c r="F54" s="68"/>
      <c r="G54" s="78"/>
      <c r="H54" s="78"/>
      <c r="I54" s="68"/>
      <c r="J54" s="68"/>
      <c r="K54" s="78"/>
      <c r="L54" s="79"/>
      <c r="M54" s="68"/>
      <c r="N54" s="68"/>
    </row>
    <row r="55" spans="1:14" s="66" customFormat="1">
      <c r="A55" s="67"/>
      <c r="B55" s="77"/>
      <c r="C55" s="80"/>
      <c r="D55" s="78"/>
      <c r="E55" s="78"/>
      <c r="F55" s="68"/>
      <c r="G55" s="78"/>
      <c r="H55" s="78"/>
      <c r="I55" s="68"/>
      <c r="J55" s="68"/>
      <c r="K55" s="78"/>
      <c r="L55" s="79"/>
      <c r="M55" s="68"/>
      <c r="N55" s="68"/>
    </row>
    <row r="56" spans="1:14" s="66" customFormat="1">
      <c r="A56" s="67"/>
      <c r="B56" s="77"/>
      <c r="C56" s="80"/>
      <c r="D56" s="78"/>
      <c r="E56" s="78"/>
      <c r="F56" s="68"/>
      <c r="G56" s="78"/>
      <c r="H56" s="78"/>
      <c r="I56" s="68"/>
      <c r="J56" s="68"/>
      <c r="K56" s="78"/>
      <c r="L56" s="79"/>
      <c r="M56" s="68"/>
      <c r="N56" s="68"/>
    </row>
    <row r="57" spans="1:14" s="66" customFormat="1">
      <c r="A57" s="67"/>
      <c r="B57" s="77"/>
      <c r="C57" s="80"/>
      <c r="D57" s="78"/>
      <c r="E57" s="78"/>
      <c r="F57" s="68"/>
      <c r="G57" s="78"/>
      <c r="H57" s="78"/>
      <c r="I57" s="68"/>
      <c r="J57" s="68"/>
      <c r="K57" s="78"/>
      <c r="L57" s="79"/>
      <c r="M57" s="68"/>
      <c r="N57" s="68"/>
    </row>
    <row r="58" spans="1:14" s="66" customFormat="1">
      <c r="A58" s="67"/>
      <c r="B58" s="77"/>
      <c r="C58" s="80"/>
      <c r="D58" s="78"/>
      <c r="E58" s="78"/>
      <c r="F58" s="68"/>
      <c r="G58" s="78"/>
      <c r="H58" s="78"/>
      <c r="I58" s="68"/>
      <c r="J58" s="68"/>
      <c r="K58" s="78"/>
      <c r="L58" s="79"/>
      <c r="M58" s="68"/>
      <c r="N58" s="68"/>
    </row>
    <row r="59" spans="1:14" s="66" customFormat="1">
      <c r="A59" s="67"/>
      <c r="B59" s="77"/>
      <c r="C59" s="80"/>
      <c r="D59" s="78"/>
      <c r="E59" s="78"/>
      <c r="F59" s="68"/>
      <c r="G59" s="78"/>
      <c r="H59" s="78"/>
      <c r="I59" s="68"/>
      <c r="J59" s="68"/>
      <c r="K59" s="78"/>
      <c r="L59" s="79"/>
      <c r="M59" s="68"/>
      <c r="N59" s="68"/>
    </row>
    <row r="60" spans="1:14" s="66" customFormat="1">
      <c r="A60" s="67"/>
      <c r="B60" s="77"/>
      <c r="C60" s="80"/>
      <c r="D60" s="78"/>
      <c r="E60" s="78"/>
      <c r="F60" s="68"/>
      <c r="G60" s="78"/>
      <c r="H60" s="78"/>
      <c r="I60" s="68"/>
      <c r="J60" s="68"/>
      <c r="K60" s="78"/>
      <c r="L60" s="79"/>
      <c r="M60" s="68"/>
      <c r="N60" s="68"/>
    </row>
    <row r="61" spans="1:14" s="66" customFormat="1">
      <c r="A61" s="67"/>
      <c r="B61" s="77"/>
      <c r="C61" s="80"/>
      <c r="D61" s="78"/>
      <c r="E61" s="78"/>
      <c r="F61" s="68"/>
      <c r="G61" s="78"/>
      <c r="H61" s="78"/>
      <c r="I61" s="68"/>
      <c r="J61" s="68"/>
      <c r="K61" s="78"/>
      <c r="L61" s="79"/>
      <c r="M61" s="68"/>
      <c r="N61" s="68"/>
    </row>
    <row r="62" spans="1:14" s="66" customFormat="1">
      <c r="A62" s="67"/>
      <c r="B62" s="77"/>
      <c r="C62" s="80"/>
      <c r="D62" s="78"/>
      <c r="E62" s="78"/>
      <c r="F62" s="68"/>
      <c r="G62" s="78"/>
      <c r="H62" s="78"/>
      <c r="I62" s="68"/>
      <c r="J62" s="68"/>
      <c r="K62" s="78"/>
      <c r="L62" s="79"/>
      <c r="M62" s="68"/>
      <c r="N62" s="68"/>
    </row>
    <row r="63" spans="1:14" s="66" customFormat="1">
      <c r="A63" s="67"/>
      <c r="B63" s="77"/>
      <c r="C63" s="80"/>
      <c r="D63" s="78"/>
      <c r="E63" s="78"/>
      <c r="F63" s="68"/>
      <c r="G63" s="78"/>
      <c r="H63" s="78"/>
      <c r="I63" s="68"/>
      <c r="J63" s="68"/>
      <c r="K63" s="78"/>
      <c r="L63" s="79"/>
      <c r="M63" s="68"/>
      <c r="N63" s="68"/>
    </row>
    <row r="64" spans="1:14" s="66" customFormat="1">
      <c r="A64" s="67"/>
      <c r="B64" s="77"/>
      <c r="C64" s="80"/>
      <c r="D64" s="78"/>
      <c r="E64" s="78"/>
      <c r="F64" s="68"/>
      <c r="G64" s="78"/>
      <c r="H64" s="78"/>
      <c r="I64" s="68"/>
      <c r="J64" s="68"/>
      <c r="K64" s="78"/>
      <c r="L64" s="79"/>
      <c r="M64" s="68"/>
      <c r="N64" s="68"/>
    </row>
    <row r="65" spans="1:14" s="66" customFormat="1">
      <c r="A65" s="67"/>
      <c r="B65" s="77"/>
      <c r="C65" s="80"/>
      <c r="D65" s="78"/>
      <c r="E65" s="78"/>
      <c r="F65" s="68"/>
      <c r="G65" s="78"/>
      <c r="H65" s="78"/>
      <c r="I65" s="68"/>
      <c r="J65" s="68"/>
      <c r="K65" s="78"/>
      <c r="L65" s="79"/>
      <c r="M65" s="68"/>
      <c r="N65" s="68"/>
    </row>
    <row r="66" spans="1:14" s="66" customFormat="1">
      <c r="A66" s="67"/>
      <c r="B66" s="77"/>
      <c r="C66" s="80"/>
      <c r="D66" s="78"/>
      <c r="E66" s="78"/>
      <c r="F66" s="68"/>
      <c r="G66" s="78"/>
      <c r="H66" s="78"/>
      <c r="I66" s="68"/>
      <c r="J66" s="68"/>
      <c r="K66" s="78"/>
      <c r="L66" s="79"/>
      <c r="M66" s="68"/>
      <c r="N66" s="68"/>
    </row>
    <row r="67" spans="1:14" s="66" customFormat="1">
      <c r="A67" s="67"/>
      <c r="B67" s="77"/>
      <c r="C67" s="80"/>
      <c r="D67" s="78"/>
      <c r="E67" s="78"/>
      <c r="F67" s="68"/>
      <c r="G67" s="78"/>
      <c r="H67" s="78"/>
      <c r="I67" s="68"/>
      <c r="J67" s="68"/>
      <c r="K67" s="78"/>
      <c r="L67" s="79"/>
      <c r="M67" s="68"/>
      <c r="N67" s="68"/>
    </row>
    <row r="68" spans="1:14" s="66" customFormat="1">
      <c r="A68" s="67"/>
      <c r="B68" s="77"/>
      <c r="C68" s="80"/>
      <c r="D68" s="78"/>
      <c r="E68" s="78"/>
      <c r="F68" s="68"/>
      <c r="G68" s="78"/>
      <c r="H68" s="78"/>
      <c r="I68" s="68"/>
      <c r="J68" s="68"/>
      <c r="K68" s="78"/>
      <c r="L68" s="79"/>
      <c r="M68" s="68"/>
      <c r="N68" s="68"/>
    </row>
    <row r="69" spans="1:14" s="66" customFormat="1">
      <c r="A69" s="67"/>
      <c r="B69" s="77"/>
      <c r="C69" s="80"/>
      <c r="D69" s="78"/>
      <c r="E69" s="78"/>
      <c r="F69" s="68"/>
      <c r="G69" s="78"/>
      <c r="H69" s="78"/>
      <c r="I69" s="68"/>
      <c r="J69" s="68"/>
      <c r="K69" s="78"/>
      <c r="L69" s="79"/>
      <c r="M69" s="68"/>
      <c r="N69" s="68"/>
    </row>
    <row r="70" spans="1:14" s="66" customFormat="1">
      <c r="A70" s="67"/>
      <c r="B70" s="77"/>
      <c r="C70" s="80"/>
      <c r="D70" s="78"/>
      <c r="E70" s="78"/>
      <c r="F70" s="68"/>
      <c r="G70" s="78"/>
      <c r="H70" s="78"/>
      <c r="I70" s="68"/>
      <c r="J70" s="68"/>
      <c r="K70" s="78"/>
      <c r="L70" s="79"/>
      <c r="M70" s="68"/>
      <c r="N70" s="68"/>
    </row>
    <row r="71" spans="1:14" s="66" customFormat="1">
      <c r="B71" s="80"/>
      <c r="C71" s="80"/>
      <c r="D71" s="80"/>
      <c r="E71" s="69"/>
      <c r="F71" s="69"/>
      <c r="G71" s="69"/>
      <c r="H71" s="69"/>
      <c r="I71" s="69"/>
      <c r="J71" s="69"/>
      <c r="K71" s="69"/>
      <c r="M71" s="69"/>
    </row>
    <row r="72" spans="1:14" s="66" customFormat="1">
      <c r="B72" s="80"/>
      <c r="C72" s="80"/>
      <c r="D72" s="80"/>
      <c r="E72" s="69"/>
      <c r="F72" s="69"/>
      <c r="G72" s="69"/>
      <c r="H72" s="69"/>
      <c r="I72" s="69"/>
      <c r="J72" s="69"/>
      <c r="K72" s="69"/>
      <c r="M72" s="69"/>
    </row>
    <row r="73" spans="1:14" s="66" customFormat="1">
      <c r="B73" s="80"/>
      <c r="C73" s="80"/>
      <c r="D73" s="80"/>
      <c r="E73" s="69"/>
      <c r="F73" s="69"/>
      <c r="G73" s="69"/>
      <c r="H73" s="69"/>
      <c r="I73" s="69"/>
      <c r="J73" s="69"/>
      <c r="K73" s="69"/>
      <c r="M73" s="69"/>
    </row>
    <row r="74" spans="1:14" s="66" customFormat="1">
      <c r="B74" s="67"/>
      <c r="C74" s="67"/>
      <c r="D74" s="76"/>
      <c r="E74" s="69"/>
      <c r="F74" s="69"/>
      <c r="G74" s="69"/>
      <c r="H74" s="69"/>
      <c r="I74" s="69"/>
      <c r="J74" s="69"/>
      <c r="K74" s="69"/>
      <c r="M74" s="69"/>
    </row>
    <row r="75" spans="1:14" s="66" customFormat="1">
      <c r="B75" s="67"/>
      <c r="C75" s="67"/>
      <c r="D75" s="76"/>
      <c r="E75" s="69"/>
      <c r="F75" s="69"/>
      <c r="G75" s="69"/>
      <c r="H75" s="69"/>
      <c r="I75" s="69"/>
      <c r="J75" s="69"/>
      <c r="K75" s="69"/>
      <c r="M75" s="69"/>
    </row>
    <row r="76" spans="1:14" s="66" customFormat="1">
      <c r="D76" s="69"/>
      <c r="E76" s="69"/>
      <c r="F76" s="69"/>
      <c r="G76" s="69"/>
      <c r="H76" s="69"/>
      <c r="I76" s="69"/>
      <c r="J76" s="69"/>
      <c r="K76" s="69"/>
      <c r="M76" s="69"/>
    </row>
  </sheetData>
  <mergeCells count="4">
    <mergeCell ref="B5:C5"/>
    <mergeCell ref="A1:N1"/>
    <mergeCell ref="A2:N2"/>
    <mergeCell ref="A3:N3"/>
  </mergeCells>
  <phoneticPr fontId="62" type="noConversion"/>
  <pageMargins left="0.75" right="0.75" top="1" bottom="1" header="0.5" footer="0.5"/>
  <pageSetup paperSize="5" scale="62" orientation="landscape" horizontalDpi="4294967292" verticalDpi="4294967292"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R92"/>
  <sheetViews>
    <sheetView topLeftCell="L64" workbookViewId="0">
      <selection activeCell="O85" sqref="O85"/>
    </sheetView>
  </sheetViews>
  <sheetFormatPr defaultColWidth="11" defaultRowHeight="15.75"/>
  <cols>
    <col min="1" max="1" width="42.375" customWidth="1"/>
    <col min="2" max="2" width="12.375" customWidth="1"/>
    <col min="8" max="8" width="11.5" bestFit="1" customWidth="1"/>
    <col min="9" max="9" width="10.875" style="1351"/>
    <col min="10" max="10" width="4.375" customWidth="1"/>
    <col min="11" max="11" width="40.875" customWidth="1"/>
    <col min="12" max="12" width="13.375" customWidth="1"/>
    <col min="13" max="13" width="8" customWidth="1"/>
    <col min="14" max="14" width="26" customWidth="1"/>
    <col min="15" max="15" width="12.125" customWidth="1"/>
    <col min="16" max="17" width="12" customWidth="1"/>
    <col min="18" max="18" width="12.125" customWidth="1"/>
  </cols>
  <sheetData>
    <row r="1" spans="1:13" ht="18.75">
      <c r="A1" s="1125" t="s">
        <v>1154</v>
      </c>
      <c r="B1" s="263"/>
      <c r="C1" s="263"/>
      <c r="D1" s="263"/>
      <c r="E1" s="263"/>
      <c r="F1" s="263"/>
      <c r="G1" s="263"/>
      <c r="H1" s="263"/>
      <c r="I1" s="1350"/>
      <c r="J1" s="263"/>
      <c r="K1" s="263"/>
      <c r="L1" s="263"/>
    </row>
    <row r="2" spans="1:13">
      <c r="A2" t="s">
        <v>213</v>
      </c>
    </row>
    <row r="4" spans="1:13">
      <c r="A4" s="10" t="s">
        <v>1155</v>
      </c>
      <c r="D4" s="12"/>
      <c r="J4" s="10" t="s">
        <v>1156</v>
      </c>
    </row>
    <row r="5" spans="1:13" ht="16.5" thickBot="1">
      <c r="A5" s="189" t="s">
        <v>189</v>
      </c>
      <c r="B5" s="189"/>
      <c r="C5" s="189"/>
      <c r="D5" s="189"/>
      <c r="E5" s="189"/>
      <c r="F5" s="189"/>
      <c r="G5" s="189"/>
      <c r="H5" s="190"/>
      <c r="J5" s="1391" t="s">
        <v>305</v>
      </c>
      <c r="K5" s="1391"/>
      <c r="L5" s="1392">
        <f>SUM(L6:L14)</f>
        <v>22663752.16</v>
      </c>
      <c r="M5" s="949"/>
    </row>
    <row r="6" spans="1:13" ht="18" thickTop="1">
      <c r="A6" s="185"/>
      <c r="B6" s="185"/>
      <c r="C6" s="185"/>
      <c r="D6" s="185"/>
      <c r="E6" s="185"/>
      <c r="F6" s="185"/>
      <c r="G6" s="185"/>
      <c r="H6" s="185"/>
      <c r="K6" s="191" t="s">
        <v>173</v>
      </c>
      <c r="L6" s="34">
        <v>8428846.1600000001</v>
      </c>
      <c r="M6" s="34"/>
    </row>
    <row r="7" spans="1:13" ht="17.25">
      <c r="A7" s="187" t="s">
        <v>190</v>
      </c>
      <c r="B7" s="188">
        <v>0</v>
      </c>
      <c r="C7" s="188"/>
      <c r="D7" s="187"/>
      <c r="E7" s="187"/>
      <c r="F7" s="187"/>
      <c r="G7" s="187"/>
      <c r="H7" s="187"/>
      <c r="K7" s="191" t="s">
        <v>177</v>
      </c>
      <c r="L7" s="34">
        <v>-7001596</v>
      </c>
      <c r="M7" s="34"/>
    </row>
    <row r="8" spans="1:13" ht="17.25">
      <c r="A8" s="430" t="s">
        <v>536</v>
      </c>
      <c r="B8" s="281">
        <f>0.015*('Step 0 FY18 Revenue'!Q30+'Step 0 FY18 Revenue'!Q31+'Step 0 FY18 Revenue'!Q38)</f>
        <v>4544301.7949999999</v>
      </c>
      <c r="C8" s="180"/>
      <c r="D8" s="185"/>
      <c r="E8" s="185"/>
      <c r="F8" s="185"/>
      <c r="G8" s="185"/>
      <c r="H8" s="185"/>
      <c r="K8" s="191" t="s">
        <v>174</v>
      </c>
      <c r="L8" s="34">
        <v>7543582</v>
      </c>
      <c r="M8" s="34"/>
    </row>
    <row r="9" spans="1:13" ht="17.25">
      <c r="A9" s="40"/>
      <c r="B9" s="426"/>
      <c r="C9" s="180"/>
      <c r="D9" s="185"/>
      <c r="E9" s="185"/>
      <c r="F9" s="185"/>
      <c r="G9" s="185"/>
      <c r="H9" s="185"/>
      <c r="K9" s="191" t="s">
        <v>175</v>
      </c>
      <c r="L9" s="34">
        <v>7619467</v>
      </c>
      <c r="M9" s="34"/>
    </row>
    <row r="10" spans="1:13" ht="17.25">
      <c r="A10" s="187" t="s">
        <v>534</v>
      </c>
      <c r="B10" s="188">
        <v>0</v>
      </c>
      <c r="C10" s="188"/>
      <c r="D10" s="187"/>
      <c r="E10" s="187"/>
      <c r="F10" s="187"/>
      <c r="G10" s="187"/>
      <c r="H10" s="187"/>
      <c r="K10" s="191" t="s">
        <v>178</v>
      </c>
      <c r="L10" s="34">
        <v>3000000</v>
      </c>
      <c r="M10" s="34"/>
    </row>
    <row r="11" spans="1:13" ht="17.25">
      <c r="A11" s="429" t="s">
        <v>191</v>
      </c>
      <c r="B11" s="434">
        <f>L33-B8</f>
        <v>-3508451.7949999999</v>
      </c>
      <c r="C11" s="180"/>
      <c r="D11" s="185"/>
      <c r="E11" s="185"/>
      <c r="F11" s="185"/>
      <c r="G11" s="185"/>
      <c r="H11" s="185"/>
      <c r="K11" s="191" t="s">
        <v>179</v>
      </c>
      <c r="L11" s="34">
        <v>1300000</v>
      </c>
      <c r="M11" s="34"/>
    </row>
    <row r="12" spans="1:13" ht="17.25">
      <c r="K12" s="191" t="s">
        <v>192</v>
      </c>
      <c r="L12" s="34">
        <v>412000</v>
      </c>
      <c r="M12" s="34"/>
    </row>
    <row r="13" spans="1:13" ht="17.25">
      <c r="A13" s="192" t="s">
        <v>305</v>
      </c>
      <c r="B13" s="188"/>
      <c r="C13" s="188"/>
      <c r="D13" s="187"/>
      <c r="E13" s="187"/>
      <c r="F13" s="187"/>
      <c r="G13" s="187"/>
      <c r="H13" s="187"/>
      <c r="K13" s="193" t="s">
        <v>180</v>
      </c>
      <c r="L13" s="34">
        <v>819575</v>
      </c>
      <c r="M13" s="34"/>
    </row>
    <row r="14" spans="1:13" ht="17.25">
      <c r="A14" s="431" t="s">
        <v>535</v>
      </c>
      <c r="B14" s="427">
        <f>L5</f>
        <v>22663752.16</v>
      </c>
      <c r="C14" s="180"/>
      <c r="D14" s="185"/>
      <c r="E14" s="185"/>
      <c r="F14" s="185"/>
      <c r="G14" s="185"/>
      <c r="H14" s="185"/>
      <c r="K14" s="193" t="s">
        <v>473</v>
      </c>
      <c r="L14" s="1346">
        <v>541878</v>
      </c>
    </row>
    <row r="15" spans="1:13" ht="17.25">
      <c r="K15" s="193"/>
      <c r="L15" s="34"/>
      <c r="M15" s="425"/>
    </row>
    <row r="16" spans="1:13" ht="16.5">
      <c r="A16" s="192" t="s">
        <v>537</v>
      </c>
      <c r="B16" s="188"/>
      <c r="C16" s="188"/>
      <c r="D16" s="187"/>
      <c r="E16" s="187"/>
      <c r="F16" s="187"/>
      <c r="G16" s="187"/>
      <c r="H16" s="187"/>
      <c r="J16" s="256" t="s">
        <v>223</v>
      </c>
      <c r="K16" s="256"/>
      <c r="L16" s="257">
        <f>SUM(L17:L21)</f>
        <v>21345070</v>
      </c>
      <c r="M16" s="180"/>
    </row>
    <row r="17" spans="1:14" ht="17.25">
      <c r="A17" s="432" t="s">
        <v>538</v>
      </c>
      <c r="B17" s="428">
        <f>L34</f>
        <v>3000000</v>
      </c>
      <c r="C17" s="180"/>
      <c r="D17" s="185"/>
      <c r="E17" s="185"/>
      <c r="F17" s="194"/>
      <c r="G17" s="185"/>
      <c r="H17" s="185"/>
      <c r="K17" s="178" t="s">
        <v>526</v>
      </c>
      <c r="L17" s="34">
        <v>11925457</v>
      </c>
      <c r="M17" s="950"/>
    </row>
    <row r="18" spans="1:14" ht="17.25">
      <c r="A18" s="178" t="s">
        <v>1241</v>
      </c>
      <c r="B18" s="180">
        <f>L32</f>
        <v>5000000</v>
      </c>
      <c r="C18" s="180"/>
      <c r="D18" s="185"/>
      <c r="E18" s="185"/>
      <c r="F18" s="185"/>
      <c r="G18" s="185"/>
      <c r="H18" s="185"/>
      <c r="K18" s="178" t="s">
        <v>475</v>
      </c>
      <c r="L18" s="34">
        <v>2268759</v>
      </c>
      <c r="M18" s="34"/>
    </row>
    <row r="19" spans="1:14" ht="17.25">
      <c r="A19" s="192" t="s">
        <v>540</v>
      </c>
      <c r="B19" s="188"/>
      <c r="C19" s="188"/>
      <c r="D19" s="187"/>
      <c r="E19" s="187"/>
      <c r="F19" s="187"/>
      <c r="G19" s="187"/>
      <c r="H19" s="187"/>
      <c r="K19" s="178" t="s">
        <v>476</v>
      </c>
      <c r="L19" s="34">
        <v>378176</v>
      </c>
      <c r="M19" s="34"/>
    </row>
    <row r="20" spans="1:14" ht="17.25">
      <c r="A20" s="429" t="s">
        <v>541</v>
      </c>
      <c r="B20" s="435">
        <f>L16</f>
        <v>21345070</v>
      </c>
      <c r="C20" s="180"/>
      <c r="D20" s="185"/>
      <c r="E20" s="185"/>
      <c r="F20" s="185"/>
      <c r="G20" s="185"/>
      <c r="H20" s="185"/>
      <c r="K20" s="178" t="s">
        <v>477</v>
      </c>
      <c r="L20" s="30">
        <v>6046678</v>
      </c>
      <c r="M20" s="34"/>
    </row>
    <row r="21" spans="1:14" ht="17.25">
      <c r="D21" s="185"/>
      <c r="E21" s="185"/>
      <c r="F21" s="185"/>
      <c r="G21" s="185"/>
      <c r="H21" s="185"/>
      <c r="K21" s="429" t="s">
        <v>1158</v>
      </c>
      <c r="L21" s="1347">
        <v>726000</v>
      </c>
      <c r="M21" s="34"/>
    </row>
    <row r="22" spans="1:14" ht="17.25">
      <c r="A22" s="192" t="s">
        <v>542</v>
      </c>
      <c r="B22" s="188"/>
      <c r="C22" s="188"/>
      <c r="D22" s="187"/>
      <c r="E22" s="187"/>
      <c r="F22" s="187"/>
      <c r="G22" s="187"/>
      <c r="H22" s="187"/>
      <c r="L22" s="180"/>
      <c r="M22" s="30"/>
    </row>
    <row r="23" spans="1:14">
      <c r="A23" s="429" t="s">
        <v>527</v>
      </c>
      <c r="B23" s="436">
        <f>L23</f>
        <v>4025000</v>
      </c>
      <c r="C23" s="180"/>
      <c r="D23" s="185"/>
      <c r="E23" s="185"/>
      <c r="F23" s="185"/>
      <c r="G23" s="185"/>
      <c r="H23" s="185"/>
      <c r="J23" s="256" t="s">
        <v>527</v>
      </c>
      <c r="K23" s="256"/>
      <c r="L23" s="257">
        <f>L24+L25</f>
        <v>4025000</v>
      </c>
      <c r="M23" s="425"/>
    </row>
    <row r="24" spans="1:14" ht="18" thickBot="1">
      <c r="A24" s="433"/>
      <c r="B24" s="433"/>
      <c r="C24" s="433"/>
      <c r="D24" s="433"/>
      <c r="E24" s="433"/>
      <c r="F24" s="433"/>
      <c r="G24" s="433"/>
      <c r="H24" s="433"/>
      <c r="K24" s="422" t="s">
        <v>479</v>
      </c>
      <c r="L24" s="1348">
        <v>3725000</v>
      </c>
      <c r="M24" s="180"/>
    </row>
    <row r="25" spans="1:14" ht="18" thickTop="1">
      <c r="A25" s="196" t="s">
        <v>539</v>
      </c>
      <c r="B25" s="385">
        <f>B8+B11+B14+B17+B20+B23+B18</f>
        <v>57069672.159999996</v>
      </c>
      <c r="K25" s="422" t="s">
        <v>481</v>
      </c>
      <c r="L25" s="1348">
        <v>300000</v>
      </c>
      <c r="M25" s="180"/>
    </row>
    <row r="26" spans="1:14">
      <c r="K26" s="424"/>
      <c r="L26" s="425"/>
      <c r="M26" s="950"/>
    </row>
    <row r="27" spans="1:14" ht="17.25">
      <c r="A27" s="196" t="s">
        <v>543</v>
      </c>
      <c r="B27" s="385">
        <f>B81+C81+D81+E81+F81</f>
        <v>0</v>
      </c>
      <c r="J27" s="256" t="s">
        <v>528</v>
      </c>
      <c r="K27" s="256"/>
      <c r="L27" s="257"/>
      <c r="M27" s="423"/>
    </row>
    <row r="28" spans="1:14" ht="17.25">
      <c r="A28" s="196" t="s">
        <v>1243</v>
      </c>
      <c r="B28" s="385">
        <f>L40</f>
        <v>4050000</v>
      </c>
      <c r="M28" s="423"/>
    </row>
    <row r="29" spans="1:14">
      <c r="A29" s="196" t="s">
        <v>544</v>
      </c>
      <c r="B29" s="385">
        <f>B25+B27+B28</f>
        <v>61119672.159999996</v>
      </c>
      <c r="M29" s="425"/>
    </row>
    <row r="30" spans="1:14">
      <c r="J30" s="256" t="s">
        <v>529</v>
      </c>
      <c r="K30" s="256"/>
      <c r="L30" s="257">
        <f>L32+L33+L34</f>
        <v>9035850</v>
      </c>
      <c r="M30" s="180"/>
    </row>
    <row r="31" spans="1:14">
      <c r="L31" s="12"/>
      <c r="N31" t="s">
        <v>995</v>
      </c>
    </row>
    <row r="32" spans="1:14" ht="17.25">
      <c r="A32" s="196" t="s">
        <v>994</v>
      </c>
      <c r="B32" s="185"/>
      <c r="C32" s="185"/>
      <c r="D32" s="185"/>
      <c r="E32" s="185"/>
      <c r="F32" s="185"/>
      <c r="G32" s="185"/>
      <c r="H32" s="185"/>
      <c r="K32" s="31" t="s">
        <v>1157</v>
      </c>
      <c r="L32" s="1346">
        <v>5000000</v>
      </c>
      <c r="M32" s="950"/>
    </row>
    <row r="33" spans="1:18" ht="17.25">
      <c r="A33" s="185"/>
      <c r="B33" s="185"/>
      <c r="C33" s="185"/>
      <c r="D33" s="185"/>
      <c r="E33" s="185"/>
      <c r="F33" s="185"/>
      <c r="G33" s="185"/>
      <c r="H33" s="185"/>
      <c r="K33" s="31" t="s">
        <v>1240</v>
      </c>
      <c r="L33" s="1346">
        <v>1035850</v>
      </c>
      <c r="O33" s="253" t="s">
        <v>898</v>
      </c>
      <c r="P33" s="253"/>
      <c r="Q33" s="253"/>
      <c r="R33" s="253"/>
    </row>
    <row r="34" spans="1:18" ht="27.75">
      <c r="A34" s="766"/>
      <c r="B34" s="767" t="s">
        <v>531</v>
      </c>
      <c r="C34" s="767" t="s">
        <v>211</v>
      </c>
      <c r="D34" s="767" t="s">
        <v>530</v>
      </c>
      <c r="E34" s="767" t="s">
        <v>184</v>
      </c>
      <c r="F34" s="767" t="s">
        <v>533</v>
      </c>
      <c r="G34" s="767" t="s">
        <v>532</v>
      </c>
      <c r="H34" s="767" t="s">
        <v>185</v>
      </c>
      <c r="K34" s="31" t="s">
        <v>1242</v>
      </c>
      <c r="L34" s="34">
        <v>3000000</v>
      </c>
      <c r="O34" s="58" t="s">
        <v>82</v>
      </c>
      <c r="P34" s="58" t="s">
        <v>895</v>
      </c>
      <c r="Q34" s="58" t="s">
        <v>896</v>
      </c>
      <c r="R34" s="58" t="s">
        <v>893</v>
      </c>
    </row>
    <row r="35" spans="1:18">
      <c r="A35" s="768"/>
      <c r="B35" s="768"/>
      <c r="C35" s="768"/>
      <c r="D35" s="768"/>
      <c r="E35" s="768"/>
      <c r="F35" s="768"/>
      <c r="G35" s="768"/>
      <c r="H35" s="768"/>
      <c r="M35" s="950"/>
      <c r="O35" s="948" t="s">
        <v>93</v>
      </c>
      <c r="P35" s="948" t="s">
        <v>892</v>
      </c>
      <c r="Q35" s="948" t="s">
        <v>897</v>
      </c>
      <c r="R35" s="948" t="s">
        <v>894</v>
      </c>
    </row>
    <row r="36" spans="1:18">
      <c r="A36" s="768"/>
      <c r="B36" s="768"/>
      <c r="C36" s="768"/>
      <c r="D36" s="768"/>
      <c r="E36" s="768"/>
      <c r="F36" s="768"/>
      <c r="G36" s="768"/>
      <c r="H36" s="768"/>
      <c r="M36" s="12"/>
    </row>
    <row r="37" spans="1:18" ht="17.25">
      <c r="A37" s="769" t="s">
        <v>100</v>
      </c>
      <c r="B37" s="197"/>
      <c r="C37" s="197"/>
      <c r="D37" s="179"/>
      <c r="E37" s="179"/>
      <c r="F37" s="179"/>
      <c r="G37" s="179">
        <f>L5+L16+L23+L30</f>
        <v>57069672.159999996</v>
      </c>
      <c r="H37" s="179">
        <f>SUM(B37:G37)</f>
        <v>57069672.159999996</v>
      </c>
      <c r="J37" s="251" t="s">
        <v>225</v>
      </c>
      <c r="K37" s="251"/>
      <c r="L37" s="258">
        <f>L5+L16+L23+L27+L30</f>
        <v>57069672.159999996</v>
      </c>
      <c r="M37" s="30"/>
      <c r="N37" s="769" t="s">
        <v>100</v>
      </c>
      <c r="O37" s="63"/>
      <c r="P37" s="63"/>
      <c r="Q37" s="63"/>
      <c r="R37" s="63"/>
    </row>
    <row r="38" spans="1:18" ht="17.25">
      <c r="A38" s="770"/>
      <c r="B38" s="180"/>
      <c r="C38" s="180"/>
      <c r="D38" s="180"/>
      <c r="E38" s="180"/>
      <c r="F38" s="180"/>
      <c r="G38" s="180"/>
      <c r="H38" s="180"/>
      <c r="M38" s="34"/>
      <c r="N38" s="770"/>
      <c r="O38" s="42"/>
      <c r="P38" s="42"/>
      <c r="Q38" s="42"/>
      <c r="R38" s="42"/>
    </row>
    <row r="39" spans="1:18">
      <c r="A39" s="771" t="s">
        <v>102</v>
      </c>
      <c r="B39" s="761"/>
      <c r="C39" s="761"/>
      <c r="D39" s="761"/>
      <c r="E39" s="761"/>
      <c r="F39" s="761"/>
      <c r="G39" s="761"/>
      <c r="H39" s="761">
        <f t="shared" ref="H39:H56" si="0">SUM(B39:G39)</f>
        <v>0</v>
      </c>
      <c r="I39" s="1352"/>
      <c r="N39" s="771" t="s">
        <v>102</v>
      </c>
      <c r="O39" s="63">
        <f>47500-47500+843760+1598265-P39</f>
        <v>0</v>
      </c>
      <c r="P39" s="63">
        <v>2442025</v>
      </c>
      <c r="Q39" s="63"/>
      <c r="R39" s="63">
        <f>O39-P39-Q39</f>
        <v>-2442025</v>
      </c>
    </row>
    <row r="40" spans="1:18">
      <c r="A40" s="762" t="s">
        <v>103</v>
      </c>
      <c r="B40" s="763"/>
      <c r="C40" s="763"/>
      <c r="D40" s="763"/>
      <c r="E40" s="763"/>
      <c r="F40" s="763"/>
      <c r="G40" s="763"/>
      <c r="H40" s="763">
        <f t="shared" si="0"/>
        <v>0</v>
      </c>
      <c r="J40" s="256" t="s">
        <v>1239</v>
      </c>
      <c r="K40" s="256"/>
      <c r="L40" s="257">
        <v>4050000</v>
      </c>
      <c r="N40" s="762" t="s">
        <v>103</v>
      </c>
      <c r="O40" s="68">
        <v>0</v>
      </c>
      <c r="P40" s="68"/>
      <c r="Q40" s="68"/>
      <c r="R40" s="68">
        <f t="shared" ref="R40:R57" si="1">O40-P40-Q40</f>
        <v>0</v>
      </c>
    </row>
    <row r="41" spans="1:18">
      <c r="A41" s="612" t="s">
        <v>104</v>
      </c>
      <c r="B41" s="763"/>
      <c r="C41" s="763"/>
      <c r="D41" s="763"/>
      <c r="E41" s="763"/>
      <c r="F41" s="763"/>
      <c r="G41" s="763"/>
      <c r="H41" s="763">
        <f t="shared" si="0"/>
        <v>0</v>
      </c>
      <c r="L41" s="12"/>
      <c r="N41" s="612" t="s">
        <v>104</v>
      </c>
      <c r="O41" s="68">
        <f>115000-115000+22000-22000</f>
        <v>0</v>
      </c>
      <c r="P41" s="68"/>
      <c r="Q41" s="68"/>
      <c r="R41" s="68">
        <f t="shared" si="1"/>
        <v>0</v>
      </c>
    </row>
    <row r="42" spans="1:18" ht="17.25">
      <c r="A42" s="771" t="s">
        <v>105</v>
      </c>
      <c r="B42" s="761"/>
      <c r="C42" s="761"/>
      <c r="D42" s="761"/>
      <c r="E42" s="761"/>
      <c r="F42" s="761"/>
      <c r="G42" s="761"/>
      <c r="H42" s="761">
        <f t="shared" si="0"/>
        <v>0</v>
      </c>
      <c r="I42" s="1352"/>
      <c r="K42" s="31"/>
      <c r="L42" s="1346"/>
      <c r="M42" s="951"/>
      <c r="N42" s="771" t="s">
        <v>105</v>
      </c>
      <c r="O42" s="63">
        <f>135000-135000+300000-300000+95520+619180-P42</f>
        <v>0</v>
      </c>
      <c r="P42" s="63">
        <v>714700</v>
      </c>
      <c r="Q42" s="63"/>
      <c r="R42" s="63">
        <f t="shared" si="1"/>
        <v>-714700</v>
      </c>
    </row>
    <row r="43" spans="1:18" ht="17.25">
      <c r="A43" s="762" t="s">
        <v>106</v>
      </c>
      <c r="B43" s="763"/>
      <c r="C43" s="763"/>
      <c r="D43" s="763"/>
      <c r="E43" s="763">
        <v>0</v>
      </c>
      <c r="F43" s="763"/>
      <c r="G43" s="763"/>
      <c r="H43" s="763">
        <f t="shared" si="0"/>
        <v>0</v>
      </c>
      <c r="I43" s="1353"/>
      <c r="K43" s="31"/>
      <c r="L43" s="1346"/>
      <c r="N43" s="762" t="s">
        <v>106</v>
      </c>
      <c r="O43" s="68">
        <f>102500+500000-102500-500000</f>
        <v>0</v>
      </c>
      <c r="P43" s="68"/>
      <c r="Q43" s="68"/>
      <c r="R43" s="68">
        <f t="shared" si="1"/>
        <v>0</v>
      </c>
    </row>
    <row r="44" spans="1:18">
      <c r="A44" s="612" t="s">
        <v>107</v>
      </c>
      <c r="B44" s="763"/>
      <c r="C44" s="763"/>
      <c r="D44" s="763"/>
      <c r="E44" s="763"/>
      <c r="F44" s="763"/>
      <c r="G44" s="763"/>
      <c r="H44" s="763">
        <f t="shared" si="0"/>
        <v>0</v>
      </c>
      <c r="N44" s="612" t="s">
        <v>107</v>
      </c>
      <c r="O44" s="68">
        <f>20000+45000-45000-20000</f>
        <v>0</v>
      </c>
      <c r="P44" s="68"/>
      <c r="Q44" s="68"/>
      <c r="R44" s="68">
        <f t="shared" si="1"/>
        <v>0</v>
      </c>
    </row>
    <row r="45" spans="1:18">
      <c r="A45" s="771" t="s">
        <v>108</v>
      </c>
      <c r="B45" s="761"/>
      <c r="C45" s="761"/>
      <c r="D45" s="761"/>
      <c r="E45" s="761">
        <v>0</v>
      </c>
      <c r="F45" s="761"/>
      <c r="G45" s="761"/>
      <c r="H45" s="761">
        <f t="shared" si="0"/>
        <v>0</v>
      </c>
      <c r="M45" s="215"/>
      <c r="N45" s="771" t="s">
        <v>108</v>
      </c>
      <c r="O45" s="63">
        <f>135000-135000+75000</f>
        <v>75000</v>
      </c>
      <c r="P45" s="63"/>
      <c r="Q45" s="63"/>
      <c r="R45" s="63">
        <f t="shared" si="1"/>
        <v>75000</v>
      </c>
    </row>
    <row r="46" spans="1:18">
      <c r="A46" s="612" t="s">
        <v>109</v>
      </c>
      <c r="B46" s="763"/>
      <c r="C46" s="763"/>
      <c r="D46" s="763"/>
      <c r="E46" s="763">
        <v>0</v>
      </c>
      <c r="F46" s="763"/>
      <c r="G46" s="763"/>
      <c r="H46" s="763">
        <f t="shared" si="0"/>
        <v>0</v>
      </c>
      <c r="J46" s="251" t="s">
        <v>1159</v>
      </c>
      <c r="K46" s="251"/>
      <c r="L46" s="258"/>
      <c r="M46" s="12"/>
      <c r="N46" s="612" t="s">
        <v>109</v>
      </c>
      <c r="O46" s="68">
        <v>10875</v>
      </c>
      <c r="P46" s="68"/>
      <c r="Q46" s="68"/>
      <c r="R46" s="68">
        <f t="shared" si="1"/>
        <v>10875</v>
      </c>
    </row>
    <row r="47" spans="1:18">
      <c r="A47" s="612" t="s">
        <v>110</v>
      </c>
      <c r="B47" s="763"/>
      <c r="C47" s="763"/>
      <c r="D47" s="763"/>
      <c r="E47" s="763"/>
      <c r="F47" s="763"/>
      <c r="G47" s="763"/>
      <c r="H47" s="763">
        <f t="shared" si="0"/>
        <v>0</v>
      </c>
      <c r="J47" s="251" t="s">
        <v>225</v>
      </c>
      <c r="K47" s="251"/>
      <c r="L47" s="258">
        <f>L46+L40+L37</f>
        <v>61119672.159999996</v>
      </c>
      <c r="N47" s="612" t="s">
        <v>110</v>
      </c>
      <c r="O47" s="78">
        <f>37740+175000-37740-175000</f>
        <v>0</v>
      </c>
      <c r="P47" s="78"/>
      <c r="Q47" s="78"/>
      <c r="R47" s="78">
        <f t="shared" si="1"/>
        <v>0</v>
      </c>
    </row>
    <row r="48" spans="1:18">
      <c r="A48" s="771" t="s">
        <v>111</v>
      </c>
      <c r="B48" s="761"/>
      <c r="C48" s="761"/>
      <c r="D48" s="761"/>
      <c r="E48" s="761">
        <v>0</v>
      </c>
      <c r="F48" s="761"/>
      <c r="G48" s="761"/>
      <c r="H48" s="761">
        <f t="shared" si="0"/>
        <v>0</v>
      </c>
      <c r="L48" s="12"/>
      <c r="N48" s="771" t="s">
        <v>111</v>
      </c>
      <c r="O48" s="63">
        <f>57500+12500-70000</f>
        <v>0</v>
      </c>
      <c r="P48" s="63"/>
      <c r="Q48" s="63"/>
      <c r="R48" s="63">
        <f t="shared" si="1"/>
        <v>0</v>
      </c>
    </row>
    <row r="49" spans="1:18">
      <c r="A49" s="612" t="s">
        <v>112</v>
      </c>
      <c r="B49" s="763"/>
      <c r="C49" s="763"/>
      <c r="D49" s="763"/>
      <c r="E49" s="763"/>
      <c r="F49" s="763"/>
      <c r="G49" s="763"/>
      <c r="H49" s="763">
        <f t="shared" si="0"/>
        <v>0</v>
      </c>
      <c r="N49" s="612" t="s">
        <v>112</v>
      </c>
      <c r="O49" s="78">
        <f>-48085+12500-12500+100000-100000</f>
        <v>-48085</v>
      </c>
      <c r="P49" s="78"/>
      <c r="Q49" s="78"/>
      <c r="R49" s="78">
        <f t="shared" si="1"/>
        <v>-48085</v>
      </c>
    </row>
    <row r="50" spans="1:18">
      <c r="A50" s="612" t="s">
        <v>113</v>
      </c>
      <c r="B50" s="763"/>
      <c r="C50" s="763"/>
      <c r="D50" s="763"/>
      <c r="E50" s="763"/>
      <c r="F50" s="763"/>
      <c r="G50" s="763"/>
      <c r="H50" s="763">
        <f t="shared" si="0"/>
        <v>0</v>
      </c>
      <c r="N50" s="612" t="s">
        <v>113</v>
      </c>
      <c r="O50" s="68"/>
      <c r="P50" s="68"/>
      <c r="Q50" s="68"/>
      <c r="R50" s="68">
        <f t="shared" si="1"/>
        <v>0</v>
      </c>
    </row>
    <row r="51" spans="1:18">
      <c r="A51" s="771" t="s">
        <v>114</v>
      </c>
      <c r="B51" s="761"/>
      <c r="C51" s="761"/>
      <c r="D51" s="761"/>
      <c r="E51" s="761"/>
      <c r="F51" s="761"/>
      <c r="G51" s="761"/>
      <c r="H51" s="761">
        <f t="shared" si="0"/>
        <v>0</v>
      </c>
      <c r="N51" s="771" t="s">
        <v>114</v>
      </c>
      <c r="O51" s="63">
        <f>230245-230245</f>
        <v>0</v>
      </c>
      <c r="P51" s="63"/>
      <c r="Q51" s="63"/>
      <c r="R51" s="63">
        <f t="shared" si="1"/>
        <v>0</v>
      </c>
    </row>
    <row r="52" spans="1:18">
      <c r="A52" s="762" t="s">
        <v>116</v>
      </c>
      <c r="B52" s="772"/>
      <c r="C52" s="772"/>
      <c r="D52" s="772"/>
      <c r="E52" s="772"/>
      <c r="F52" s="772"/>
      <c r="G52" s="772"/>
      <c r="H52" s="772">
        <f t="shared" si="0"/>
        <v>0</v>
      </c>
      <c r="K52" s="1349"/>
      <c r="N52" s="762" t="s">
        <v>116</v>
      </c>
      <c r="O52" s="78">
        <v>0</v>
      </c>
      <c r="P52" s="78"/>
      <c r="Q52" s="78"/>
      <c r="R52" s="78">
        <f t="shared" si="1"/>
        <v>0</v>
      </c>
    </row>
    <row r="53" spans="1:18">
      <c r="A53" s="771" t="s">
        <v>117</v>
      </c>
      <c r="B53" s="761"/>
      <c r="C53" s="761"/>
      <c r="D53" s="761"/>
      <c r="E53" s="761"/>
      <c r="F53" s="761"/>
      <c r="G53" s="761"/>
      <c r="H53" s="761">
        <f t="shared" si="0"/>
        <v>0</v>
      </c>
      <c r="N53" s="771" t="s">
        <v>117</v>
      </c>
      <c r="O53" s="63">
        <v>0</v>
      </c>
      <c r="P53" s="63"/>
      <c r="Q53" s="63"/>
      <c r="R53" s="63">
        <f t="shared" si="1"/>
        <v>0</v>
      </c>
    </row>
    <row r="54" spans="1:18">
      <c r="A54" s="612" t="s">
        <v>523</v>
      </c>
      <c r="B54" s="763"/>
      <c r="C54" s="763"/>
      <c r="D54" s="763"/>
      <c r="E54" s="763"/>
      <c r="F54" s="763"/>
      <c r="G54" s="763"/>
      <c r="H54" s="763">
        <f t="shared" si="0"/>
        <v>0</v>
      </c>
      <c r="N54" s="612" t="s">
        <v>523</v>
      </c>
      <c r="O54" s="68">
        <v>0</v>
      </c>
      <c r="P54" s="68"/>
      <c r="Q54" s="68"/>
      <c r="R54" s="68">
        <f t="shared" si="1"/>
        <v>0</v>
      </c>
    </row>
    <row r="55" spans="1:18">
      <c r="A55" s="773" t="s">
        <v>524</v>
      </c>
      <c r="B55" s="772"/>
      <c r="C55" s="772"/>
      <c r="D55" s="772"/>
      <c r="E55" s="772"/>
      <c r="F55" s="772"/>
      <c r="G55" s="772"/>
      <c r="H55" s="772">
        <f t="shared" si="0"/>
        <v>0</v>
      </c>
      <c r="N55" s="773" t="s">
        <v>524</v>
      </c>
      <c r="O55" s="78">
        <v>0</v>
      </c>
      <c r="P55" s="78"/>
      <c r="Q55" s="78"/>
      <c r="R55" s="78">
        <f t="shared" si="1"/>
        <v>0</v>
      </c>
    </row>
    <row r="56" spans="1:18">
      <c r="A56" s="771" t="s">
        <v>118</v>
      </c>
      <c r="B56" s="761"/>
      <c r="C56" s="761"/>
      <c r="D56" s="761"/>
      <c r="E56" s="761"/>
      <c r="F56" s="761"/>
      <c r="G56" s="761"/>
      <c r="H56" s="761">
        <f t="shared" si="0"/>
        <v>0</v>
      </c>
      <c r="N56" s="771" t="s">
        <v>118</v>
      </c>
      <c r="O56" s="63">
        <f>400000+90000-90000+35000-35000+250000-650000</f>
        <v>0</v>
      </c>
      <c r="P56" s="63"/>
      <c r="Q56" s="63"/>
      <c r="R56" s="63">
        <f t="shared" si="1"/>
        <v>0</v>
      </c>
    </row>
    <row r="57" spans="1:18">
      <c r="A57" s="612" t="s">
        <v>119</v>
      </c>
      <c r="B57" s="763"/>
      <c r="C57" s="763"/>
      <c r="D57" s="763"/>
      <c r="E57" s="763"/>
      <c r="F57" s="763"/>
      <c r="G57" s="763"/>
      <c r="H57" s="763"/>
      <c r="N57" s="612" t="s">
        <v>119</v>
      </c>
      <c r="O57" s="68"/>
      <c r="P57" s="68"/>
      <c r="Q57" s="68"/>
      <c r="R57" s="68">
        <f t="shared" si="1"/>
        <v>0</v>
      </c>
    </row>
    <row r="58" spans="1:18">
      <c r="A58" s="762" t="s">
        <v>120</v>
      </c>
      <c r="B58" s="756">
        <f t="shared" ref="B58:G58" si="2">SUM(B39:B57)</f>
        <v>0</v>
      </c>
      <c r="C58" s="756">
        <f t="shared" si="2"/>
        <v>0</v>
      </c>
      <c r="D58" s="756">
        <f t="shared" si="2"/>
        <v>0</v>
      </c>
      <c r="E58" s="756">
        <f t="shared" si="2"/>
        <v>0</v>
      </c>
      <c r="F58" s="756">
        <f t="shared" si="2"/>
        <v>0</v>
      </c>
      <c r="G58" s="756">
        <f t="shared" si="2"/>
        <v>0</v>
      </c>
      <c r="H58" s="756">
        <f>SUM(H39:H57)</f>
        <v>0</v>
      </c>
      <c r="N58" s="762" t="s">
        <v>120</v>
      </c>
    </row>
    <row r="59" spans="1:18">
      <c r="A59" s="771"/>
      <c r="B59" s="761"/>
      <c r="C59" s="761"/>
      <c r="D59" s="761"/>
      <c r="E59" s="761"/>
      <c r="F59" s="761"/>
      <c r="G59" s="761"/>
      <c r="H59" s="761"/>
      <c r="N59" s="771"/>
      <c r="O59" s="1217">
        <f>SUM(O39:O57)</f>
        <v>37790</v>
      </c>
      <c r="P59" s="1217">
        <f>SUM(P39:P57)</f>
        <v>3156725</v>
      </c>
      <c r="Q59" s="82"/>
      <c r="R59" s="1217">
        <f>SUM(R39:R57)</f>
        <v>-3118935</v>
      </c>
    </row>
    <row r="60" spans="1:18">
      <c r="A60" s="186"/>
      <c r="B60" s="774"/>
      <c r="C60" s="774"/>
      <c r="D60" s="774"/>
      <c r="E60" s="774"/>
      <c r="F60" s="774"/>
      <c r="G60" s="774"/>
      <c r="H60" s="774"/>
      <c r="N60" s="186"/>
      <c r="O60" s="68"/>
      <c r="P60" s="68"/>
      <c r="Q60" s="68"/>
      <c r="R60" s="68"/>
    </row>
    <row r="61" spans="1:18">
      <c r="A61" s="762" t="s">
        <v>121</v>
      </c>
      <c r="B61" s="772"/>
      <c r="C61" s="772"/>
      <c r="D61" s="772"/>
      <c r="E61" s="772"/>
      <c r="F61" s="772"/>
      <c r="G61" s="772"/>
      <c r="H61" s="772"/>
      <c r="N61" s="762" t="s">
        <v>121</v>
      </c>
      <c r="O61" s="78"/>
      <c r="P61" s="78"/>
      <c r="Q61" s="78"/>
      <c r="R61" s="78"/>
    </row>
    <row r="62" spans="1:18">
      <c r="A62" s="771" t="s">
        <v>122</v>
      </c>
      <c r="B62" s="761"/>
      <c r="C62" s="761"/>
      <c r="D62" s="761"/>
      <c r="E62" s="761"/>
      <c r="F62" s="761"/>
      <c r="G62" s="761"/>
      <c r="H62" s="761">
        <f t="shared" ref="H62:H79" si="3">SUM(B62:G62)</f>
        <v>0</v>
      </c>
      <c r="N62" s="771" t="s">
        <v>122</v>
      </c>
      <c r="O62" s="63">
        <f>300000-300000+49000-49000+20000</f>
        <v>20000</v>
      </c>
      <c r="P62" s="63"/>
      <c r="Q62" s="63"/>
      <c r="R62" s="63"/>
    </row>
    <row r="63" spans="1:18">
      <c r="A63" s="612" t="s">
        <v>123</v>
      </c>
      <c r="B63" s="763"/>
      <c r="C63" s="763"/>
      <c r="D63" s="763"/>
      <c r="E63" s="763"/>
      <c r="F63" s="763"/>
      <c r="G63" s="763"/>
      <c r="H63" s="763">
        <f t="shared" si="3"/>
        <v>0</v>
      </c>
      <c r="N63" s="612" t="s">
        <v>123</v>
      </c>
      <c r="O63" s="78">
        <f>232983-232983+26585</f>
        <v>26585</v>
      </c>
      <c r="P63" s="78"/>
      <c r="Q63" s="78"/>
      <c r="R63" s="78"/>
    </row>
    <row r="64" spans="1:18">
      <c r="A64" s="762" t="s">
        <v>124</v>
      </c>
      <c r="B64" s="772"/>
      <c r="C64" s="772"/>
      <c r="D64" s="772"/>
      <c r="E64" s="772"/>
      <c r="F64" s="772"/>
      <c r="G64" s="772"/>
      <c r="H64" s="772">
        <f t="shared" si="3"/>
        <v>0</v>
      </c>
      <c r="N64" s="762" t="s">
        <v>124</v>
      </c>
      <c r="O64" s="78">
        <v>0</v>
      </c>
      <c r="P64" s="78"/>
      <c r="Q64" s="78"/>
      <c r="R64" s="78"/>
    </row>
    <row r="65" spans="1:18">
      <c r="A65" s="771" t="s">
        <v>125</v>
      </c>
      <c r="B65" s="761"/>
      <c r="C65" s="761"/>
      <c r="D65" s="761"/>
      <c r="E65" s="761"/>
      <c r="F65" s="761"/>
      <c r="G65" s="761"/>
      <c r="H65" s="761">
        <f t="shared" si="3"/>
        <v>0</v>
      </c>
      <c r="N65" s="771" t="s">
        <v>125</v>
      </c>
      <c r="O65" s="63">
        <f>300000+55000+20000+4000000+500000+1000000+25000</f>
        <v>5900000</v>
      </c>
      <c r="P65" s="63"/>
      <c r="Q65" s="63"/>
      <c r="R65" s="63"/>
    </row>
    <row r="66" spans="1:18">
      <c r="A66" s="612" t="s">
        <v>126</v>
      </c>
      <c r="B66" s="763"/>
      <c r="C66" s="763"/>
      <c r="D66" s="763"/>
      <c r="E66" s="763"/>
      <c r="F66" s="763"/>
      <c r="G66" s="763"/>
      <c r="H66" s="763">
        <f t="shared" si="3"/>
        <v>0</v>
      </c>
      <c r="N66" s="612" t="s">
        <v>126</v>
      </c>
      <c r="O66" s="78">
        <v>0</v>
      </c>
      <c r="P66" s="78"/>
      <c r="Q66" s="78"/>
      <c r="R66" s="78"/>
    </row>
    <row r="67" spans="1:18">
      <c r="A67" s="612" t="s">
        <v>519</v>
      </c>
      <c r="B67" s="763"/>
      <c r="C67" s="763"/>
      <c r="D67" s="763"/>
      <c r="E67" s="763"/>
      <c r="F67" s="763"/>
      <c r="G67" s="763"/>
      <c r="H67" s="763">
        <f t="shared" si="3"/>
        <v>0</v>
      </c>
      <c r="N67" s="612" t="s">
        <v>519</v>
      </c>
      <c r="O67" s="78"/>
      <c r="P67" s="78"/>
      <c r="Q67" s="78"/>
      <c r="R67" s="78"/>
    </row>
    <row r="68" spans="1:18">
      <c r="A68" s="612" t="s">
        <v>127</v>
      </c>
      <c r="B68" s="763"/>
      <c r="C68" s="763"/>
      <c r="D68" s="763"/>
      <c r="E68" s="763"/>
      <c r="F68" s="763"/>
      <c r="G68" s="763"/>
      <c r="H68" s="763">
        <f t="shared" si="3"/>
        <v>0</v>
      </c>
      <c r="N68" s="612" t="s">
        <v>127</v>
      </c>
      <c r="O68" s="78">
        <v>0</v>
      </c>
      <c r="P68" s="78"/>
      <c r="Q68" s="78"/>
      <c r="R68" s="78"/>
    </row>
    <row r="69" spans="1:18">
      <c r="A69" s="771" t="s">
        <v>128</v>
      </c>
      <c r="B69" s="761"/>
      <c r="C69" s="761"/>
      <c r="D69" s="761"/>
      <c r="E69" s="761"/>
      <c r="F69" s="761"/>
      <c r="G69" s="761"/>
      <c r="H69" s="761">
        <f t="shared" si="3"/>
        <v>0</v>
      </c>
      <c r="N69" s="771" t="s">
        <v>128</v>
      </c>
      <c r="O69" s="63">
        <v>150000</v>
      </c>
      <c r="P69" s="63"/>
      <c r="Q69" s="63"/>
      <c r="R69" s="63"/>
    </row>
    <row r="70" spans="1:18">
      <c r="A70" s="612" t="s">
        <v>525</v>
      </c>
      <c r="B70" s="763"/>
      <c r="C70" s="763"/>
      <c r="D70" s="763"/>
      <c r="E70" s="763"/>
      <c r="F70" s="763"/>
      <c r="G70" s="763"/>
      <c r="H70" s="763">
        <f t="shared" si="3"/>
        <v>0</v>
      </c>
      <c r="N70" s="612" t="s">
        <v>525</v>
      </c>
      <c r="O70" s="78">
        <f>80000+950000</f>
        <v>1030000</v>
      </c>
      <c r="P70" s="78"/>
      <c r="Q70" s="78"/>
      <c r="R70" s="78"/>
    </row>
    <row r="71" spans="1:18">
      <c r="A71" s="762" t="s">
        <v>115</v>
      </c>
      <c r="B71" s="763"/>
      <c r="C71" s="763"/>
      <c r="D71" s="763"/>
      <c r="E71" s="763"/>
      <c r="F71" s="763"/>
      <c r="G71" s="763"/>
      <c r="H71" s="763">
        <f t="shared" si="3"/>
        <v>0</v>
      </c>
      <c r="I71" s="1352"/>
      <c r="N71" s="762" t="s">
        <v>115</v>
      </c>
      <c r="O71" s="68">
        <f>722370+72357-P71</f>
        <v>0</v>
      </c>
      <c r="P71" s="68">
        <v>794727</v>
      </c>
      <c r="Q71" s="68"/>
      <c r="R71" s="68"/>
    </row>
    <row r="72" spans="1:18">
      <c r="A72" s="771" t="s">
        <v>129</v>
      </c>
      <c r="B72" s="761"/>
      <c r="C72" s="761"/>
      <c r="D72" s="761"/>
      <c r="E72" s="761"/>
      <c r="F72" s="761"/>
      <c r="G72" s="761"/>
      <c r="H72" s="761">
        <f t="shared" si="3"/>
        <v>0</v>
      </c>
      <c r="N72" s="771" t="s">
        <v>129</v>
      </c>
      <c r="O72" s="63">
        <f>100000+327000</f>
        <v>427000</v>
      </c>
      <c r="P72" s="63"/>
      <c r="Q72" s="63"/>
      <c r="R72" s="63"/>
    </row>
    <row r="73" spans="1:18">
      <c r="A73" s="612" t="s">
        <v>130</v>
      </c>
      <c r="B73" s="763"/>
      <c r="C73" s="763"/>
      <c r="D73" s="763"/>
      <c r="E73" s="763"/>
      <c r="F73" s="763"/>
      <c r="G73" s="763"/>
      <c r="H73" s="763">
        <f t="shared" si="3"/>
        <v>0</v>
      </c>
      <c r="N73" s="612" t="s">
        <v>130</v>
      </c>
      <c r="O73" s="68">
        <v>0</v>
      </c>
      <c r="P73" s="68"/>
      <c r="Q73" s="68"/>
      <c r="R73" s="68"/>
    </row>
    <row r="74" spans="1:18">
      <c r="A74" s="612" t="s">
        <v>131</v>
      </c>
      <c r="B74" s="763"/>
      <c r="C74" s="763"/>
      <c r="D74" s="763"/>
      <c r="E74" s="763"/>
      <c r="F74" s="763"/>
      <c r="G74" s="763"/>
      <c r="H74" s="763">
        <f t="shared" si="3"/>
        <v>0</v>
      </c>
      <c r="N74" s="612" t="s">
        <v>131</v>
      </c>
      <c r="O74" s="78">
        <v>0</v>
      </c>
      <c r="P74" s="78"/>
      <c r="Q74" s="78"/>
      <c r="R74" s="78"/>
    </row>
    <row r="75" spans="1:18">
      <c r="A75" s="771" t="s">
        <v>132</v>
      </c>
      <c r="B75" s="761"/>
      <c r="C75" s="761"/>
      <c r="D75" s="761"/>
      <c r="E75" s="761"/>
      <c r="F75" s="761"/>
      <c r="G75" s="761"/>
      <c r="H75" s="761">
        <f t="shared" si="3"/>
        <v>0</v>
      </c>
      <c r="N75" s="771" t="s">
        <v>132</v>
      </c>
      <c r="O75" s="63">
        <f>116900+172820+26585+40000-172820-116900-26585</f>
        <v>40000</v>
      </c>
      <c r="P75" s="63"/>
      <c r="Q75" s="63"/>
      <c r="R75" s="63"/>
    </row>
    <row r="76" spans="1:18">
      <c r="A76" s="612" t="s">
        <v>520</v>
      </c>
      <c r="B76" s="763"/>
      <c r="C76" s="763"/>
      <c r="D76" s="763"/>
      <c r="E76" s="763"/>
      <c r="F76" s="763"/>
      <c r="G76" s="763"/>
      <c r="H76" s="763">
        <f t="shared" si="3"/>
        <v>0</v>
      </c>
      <c r="N76" s="612" t="s">
        <v>520</v>
      </c>
      <c r="O76" s="68">
        <v>0</v>
      </c>
      <c r="P76" s="68"/>
      <c r="Q76" s="68"/>
      <c r="R76" s="68"/>
    </row>
    <row r="77" spans="1:18">
      <c r="A77" s="612" t="s">
        <v>521</v>
      </c>
      <c r="B77" s="763"/>
      <c r="C77" s="763"/>
      <c r="D77" s="763"/>
      <c r="E77" s="763"/>
      <c r="F77" s="763"/>
      <c r="G77" s="763"/>
      <c r="H77" s="763">
        <f t="shared" si="3"/>
        <v>0</v>
      </c>
      <c r="N77" s="612" t="s">
        <v>521</v>
      </c>
      <c r="O77" s="68">
        <v>0</v>
      </c>
      <c r="P77" s="68"/>
      <c r="Q77" s="68"/>
      <c r="R77" s="68"/>
    </row>
    <row r="78" spans="1:18">
      <c r="A78" s="771" t="s">
        <v>522</v>
      </c>
      <c r="B78" s="761"/>
      <c r="C78" s="761"/>
      <c r="D78" s="761"/>
      <c r="E78" s="761"/>
      <c r="F78" s="761"/>
      <c r="G78" s="761"/>
      <c r="H78" s="761">
        <f t="shared" si="3"/>
        <v>0</v>
      </c>
      <c r="N78" s="771" t="s">
        <v>522</v>
      </c>
      <c r="O78" s="63">
        <f>116900+172820</f>
        <v>289720</v>
      </c>
      <c r="P78" s="63"/>
      <c r="Q78" s="63"/>
      <c r="R78" s="63"/>
    </row>
    <row r="79" spans="1:18">
      <c r="A79" s="612" t="s">
        <v>134</v>
      </c>
      <c r="B79" s="763"/>
      <c r="C79" s="763"/>
      <c r="D79" s="763"/>
      <c r="E79" s="763"/>
      <c r="F79" s="763"/>
      <c r="G79" s="763"/>
      <c r="H79" s="763">
        <f t="shared" si="3"/>
        <v>0</v>
      </c>
      <c r="N79" s="612" t="s">
        <v>134</v>
      </c>
      <c r="O79" s="68">
        <v>0</v>
      </c>
      <c r="P79" s="68"/>
      <c r="Q79" s="68"/>
      <c r="R79" s="68"/>
    </row>
    <row r="80" spans="1:18">
      <c r="A80" s="612" t="s">
        <v>135</v>
      </c>
      <c r="B80" s="764">
        <f t="shared" ref="B80:G80" si="4">SUM(B62:B79)</f>
        <v>0</v>
      </c>
      <c r="C80" s="764">
        <f t="shared" si="4"/>
        <v>0</v>
      </c>
      <c r="D80" s="764">
        <f t="shared" si="4"/>
        <v>0</v>
      </c>
      <c r="E80" s="764">
        <f t="shared" si="4"/>
        <v>0</v>
      </c>
      <c r="F80" s="764">
        <f t="shared" si="4"/>
        <v>0</v>
      </c>
      <c r="G80" s="764">
        <f t="shared" si="4"/>
        <v>0</v>
      </c>
      <c r="H80" s="764">
        <f>SUM(H62:H79)</f>
        <v>0</v>
      </c>
      <c r="I80" s="1352"/>
      <c r="N80" s="612" t="s">
        <v>135</v>
      </c>
      <c r="O80" s="82">
        <f>SUM(O62:O79)</f>
        <v>7883305</v>
      </c>
      <c r="P80" s="82">
        <f>SUM(P62:P79)</f>
        <v>794727</v>
      </c>
      <c r="Q80" s="82"/>
      <c r="R80" s="82">
        <f>SUM(R62:R79)</f>
        <v>0</v>
      </c>
    </row>
    <row r="81" spans="1:18" ht="16.5" thickBot="1">
      <c r="A81" s="771" t="s">
        <v>136</v>
      </c>
      <c r="B81" s="765">
        <f>B80+B58+B36</f>
        <v>0</v>
      </c>
      <c r="C81" s="765">
        <f>C80+C58+C36</f>
        <v>0</v>
      </c>
      <c r="D81" s="765">
        <f>D80+D58+D36</f>
        <v>0</v>
      </c>
      <c r="E81" s="765">
        <f>E80+E58+E36</f>
        <v>0</v>
      </c>
      <c r="F81" s="765">
        <f>F80+F58+F36</f>
        <v>0</v>
      </c>
      <c r="G81" s="765">
        <f>G80+G58+G37</f>
        <v>57069672.159999996</v>
      </c>
      <c r="H81" s="765">
        <f>H80+H58+H37</f>
        <v>57069672.159999996</v>
      </c>
      <c r="N81" s="771" t="s">
        <v>136</v>
      </c>
      <c r="O81" s="86">
        <f>O80+O59</f>
        <v>7921095</v>
      </c>
      <c r="P81" s="86">
        <f>P80+P59</f>
        <v>3951452</v>
      </c>
      <c r="Q81" s="86">
        <f>SUM(Q39:Q79)</f>
        <v>0</v>
      </c>
      <c r="R81" s="86">
        <f>SUM(R39:R79)</f>
        <v>-6237870</v>
      </c>
    </row>
    <row r="82" spans="1:18" ht="16.5" thickTop="1">
      <c r="Q82" s="12">
        <f>P81+Q81</f>
        <v>3951452</v>
      </c>
      <c r="R82" s="12">
        <f>Q82+R81</f>
        <v>-2286418</v>
      </c>
    </row>
    <row r="83" spans="1:18">
      <c r="Q83" s="12"/>
    </row>
    <row r="84" spans="1:18">
      <c r="O84" s="12">
        <f>O81+P81</f>
        <v>11872547</v>
      </c>
    </row>
    <row r="92" spans="1:18">
      <c r="H92" s="12"/>
    </row>
  </sheetData>
  <phoneticPr fontId="62" type="noConversion"/>
  <pageMargins left="0.75" right="0.75" top="1" bottom="1" header="0.5" footer="0.5"/>
  <pageSetup paperSize="5" orientation="portrait" horizontalDpi="4294967292" verticalDpi="429496729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U74"/>
  <sheetViews>
    <sheetView workbookViewId="0">
      <pane xSplit="1" ySplit="6" topLeftCell="B37" activePane="bottomRight" state="frozen"/>
      <selection pane="topRight" activeCell="B1" sqref="B1"/>
      <selection pane="bottomLeft" activeCell="A7" sqref="A7"/>
      <selection pane="bottomRight" activeCell="A32" sqref="A32"/>
    </sheetView>
  </sheetViews>
  <sheetFormatPr defaultColWidth="8.875" defaultRowHeight="15.75"/>
  <cols>
    <col min="1" max="1" width="40.875" customWidth="1"/>
    <col min="2" max="3" width="12.125" customWidth="1"/>
    <col min="4" max="8" width="12.125" style="42" customWidth="1"/>
    <col min="9" max="9" width="13" style="42" customWidth="1"/>
    <col min="10" max="11" width="12.125" style="42" customWidth="1"/>
    <col min="12" max="13" width="12.125" customWidth="1"/>
    <col min="14" max="15" width="14.5" customWidth="1"/>
    <col min="16" max="16" width="13.625" customWidth="1"/>
    <col min="17" max="17" width="14.625" customWidth="1"/>
    <col min="19" max="19" width="11.375" bestFit="1" customWidth="1"/>
  </cols>
  <sheetData>
    <row r="1" spans="1:19">
      <c r="A1" s="1610" t="s">
        <v>77</v>
      </c>
      <c r="B1" s="1610"/>
      <c r="C1" s="1610"/>
      <c r="D1" s="1610"/>
      <c r="E1" s="1610"/>
      <c r="F1" s="1610"/>
      <c r="G1" s="1610"/>
      <c r="H1" s="1610"/>
      <c r="I1" s="1610"/>
      <c r="J1" s="1610"/>
      <c r="K1" s="1610"/>
      <c r="L1" s="1610"/>
      <c r="M1" s="1610"/>
      <c r="N1" s="1610"/>
      <c r="O1" s="1610"/>
      <c r="P1" s="1610"/>
      <c r="Q1" s="1610"/>
    </row>
    <row r="2" spans="1:19">
      <c r="A2" s="1610" t="s">
        <v>1160</v>
      </c>
      <c r="B2" s="1610"/>
      <c r="C2" s="1610"/>
      <c r="D2" s="1610"/>
      <c r="E2" s="1610"/>
      <c r="F2" s="1610"/>
      <c r="G2" s="1610"/>
      <c r="H2" s="1610"/>
      <c r="I2" s="1610"/>
      <c r="J2" s="1610"/>
      <c r="K2" s="1610"/>
      <c r="L2" s="1610"/>
      <c r="M2" s="1610"/>
      <c r="N2" s="1610"/>
      <c r="O2" s="1610"/>
      <c r="P2" s="1610"/>
      <c r="Q2" s="1610"/>
    </row>
    <row r="3" spans="1:19">
      <c r="A3" s="1612" t="s">
        <v>1170</v>
      </c>
      <c r="B3" s="1612"/>
      <c r="C3" s="1612"/>
      <c r="D3" s="1612"/>
      <c r="E3" s="1612"/>
      <c r="F3" s="1612"/>
      <c r="G3" s="1612"/>
      <c r="H3" s="1612"/>
      <c r="I3" s="1612"/>
      <c r="J3" s="1612"/>
      <c r="K3" s="1612"/>
      <c r="L3" s="1612"/>
      <c r="M3" s="1612"/>
      <c r="N3" s="1612"/>
      <c r="O3" s="1612"/>
      <c r="P3" s="1612"/>
      <c r="Q3" s="1612"/>
    </row>
    <row r="4" spans="1:19">
      <c r="A4" s="52"/>
      <c r="B4" s="53"/>
      <c r="C4" s="54"/>
      <c r="D4" s="55"/>
      <c r="E4" s="55"/>
      <c r="F4" s="55"/>
      <c r="G4" s="56"/>
      <c r="H4" s="55"/>
      <c r="I4" s="57"/>
      <c r="J4" s="55"/>
      <c r="K4" s="57"/>
      <c r="L4" s="12"/>
      <c r="M4" s="12"/>
      <c r="N4" s="957" t="s">
        <v>1096</v>
      </c>
      <c r="O4" s="58" t="s">
        <v>1096</v>
      </c>
      <c r="P4" s="58" t="s">
        <v>1044</v>
      </c>
      <c r="Q4" s="58" t="s">
        <v>486</v>
      </c>
    </row>
    <row r="5" spans="1:19">
      <c r="A5" s="52"/>
      <c r="B5" s="1613" t="s">
        <v>80</v>
      </c>
      <c r="C5" s="1613"/>
      <c r="D5" s="58" t="s">
        <v>81</v>
      </c>
      <c r="E5" s="198" t="s">
        <v>82</v>
      </c>
      <c r="F5" s="55"/>
      <c r="G5" s="59" t="s">
        <v>83</v>
      </c>
      <c r="H5" s="58" t="s">
        <v>84</v>
      </c>
      <c r="I5" s="58" t="s">
        <v>85</v>
      </c>
      <c r="J5" s="58" t="s">
        <v>86</v>
      </c>
      <c r="K5" s="198" t="s">
        <v>87</v>
      </c>
      <c r="L5" s="58" t="s">
        <v>88</v>
      </c>
      <c r="M5" s="198" t="s">
        <v>546</v>
      </c>
      <c r="N5" s="957" t="s">
        <v>545</v>
      </c>
      <c r="O5" s="58" t="s">
        <v>89</v>
      </c>
      <c r="P5" s="58" t="s">
        <v>89</v>
      </c>
      <c r="Q5" s="58" t="s">
        <v>89</v>
      </c>
    </row>
    <row r="6" spans="1:19">
      <c r="A6" s="60" t="s">
        <v>90</v>
      </c>
      <c r="B6" s="956" t="s">
        <v>91</v>
      </c>
      <c r="C6" s="199" t="s">
        <v>92</v>
      </c>
      <c r="D6" s="382" t="s">
        <v>93</v>
      </c>
      <c r="E6" s="199" t="s">
        <v>93</v>
      </c>
      <c r="F6" s="382" t="s">
        <v>62</v>
      </c>
      <c r="G6" s="382" t="s">
        <v>94</v>
      </c>
      <c r="H6" s="382" t="s">
        <v>95</v>
      </c>
      <c r="I6" s="382" t="s">
        <v>96</v>
      </c>
      <c r="J6" s="382" t="s">
        <v>97</v>
      </c>
      <c r="K6" s="199" t="s">
        <v>98</v>
      </c>
      <c r="L6" s="382" t="s">
        <v>94</v>
      </c>
      <c r="M6" s="199" t="s">
        <v>186</v>
      </c>
      <c r="N6" s="958" t="s">
        <v>99</v>
      </c>
      <c r="O6" s="1345" t="s">
        <v>99</v>
      </c>
      <c r="P6" s="382" t="s">
        <v>99</v>
      </c>
      <c r="Q6" s="382" t="s">
        <v>99</v>
      </c>
    </row>
    <row r="7" spans="1:19">
      <c r="A7" s="61" t="s">
        <v>100</v>
      </c>
      <c r="B7" s="467">
        <v>-2785726</v>
      </c>
      <c r="C7" s="467"/>
      <c r="D7" s="467">
        <v>0</v>
      </c>
      <c r="E7" s="452">
        <v>12108804.159999996</v>
      </c>
      <c r="F7" s="452">
        <v>553056</v>
      </c>
      <c r="G7" s="452">
        <v>38050856</v>
      </c>
      <c r="H7" s="452">
        <v>4043594</v>
      </c>
      <c r="I7" s="452">
        <v>4050000</v>
      </c>
      <c r="J7" s="1247">
        <v>0</v>
      </c>
      <c r="K7" s="452">
        <v>726000.22800000012</v>
      </c>
      <c r="L7" s="65">
        <v>4373088</v>
      </c>
      <c r="M7" s="63">
        <f>-(M10+M13+M14+M16+M17+M19+M33+M40+M42+M46)</f>
        <v>0</v>
      </c>
      <c r="N7" s="290">
        <f>SUM(B7:M7)</f>
        <v>61119672.387999997</v>
      </c>
      <c r="O7" s="290">
        <v>61119672.387999997</v>
      </c>
      <c r="P7" s="63">
        <v>59169706.159999996</v>
      </c>
      <c r="Q7" s="63">
        <v>67984800</v>
      </c>
    </row>
    <row r="8" spans="1:19" s="66" customFormat="1">
      <c r="B8" s="67"/>
      <c r="C8" s="67"/>
      <c r="D8" s="453"/>
      <c r="E8" s="453"/>
      <c r="F8" s="453"/>
      <c r="G8" s="453"/>
      <c r="H8" s="453"/>
      <c r="I8" s="453"/>
      <c r="J8" s="69"/>
      <c r="K8" s="453"/>
      <c r="N8" s="959"/>
      <c r="O8" s="959"/>
      <c r="P8" s="68"/>
      <c r="Q8" s="70"/>
    </row>
    <row r="9" spans="1:19">
      <c r="A9" s="71" t="s">
        <v>101</v>
      </c>
      <c r="B9" s="67"/>
      <c r="C9" s="67"/>
      <c r="D9" s="72"/>
      <c r="N9" s="959"/>
      <c r="O9" s="959"/>
      <c r="P9" s="73"/>
      <c r="Q9" s="12"/>
    </row>
    <row r="10" spans="1:19" s="66" customFormat="1">
      <c r="A10" s="74" t="s">
        <v>102</v>
      </c>
      <c r="B10" s="75">
        <f>843760+9370621</f>
        <v>10214381</v>
      </c>
      <c r="C10" s="75">
        <v>0</v>
      </c>
      <c r="D10" s="467">
        <v>1101355</v>
      </c>
      <c r="E10" s="452">
        <f>2442025-2442025</f>
        <v>0</v>
      </c>
      <c r="F10" s="452">
        <v>214191</v>
      </c>
      <c r="G10" s="452">
        <v>6654500</v>
      </c>
      <c r="H10" s="452">
        <v>550000</v>
      </c>
      <c r="I10" s="452">
        <v>406000</v>
      </c>
      <c r="J10" s="452">
        <v>279237</v>
      </c>
      <c r="K10" s="452">
        <f>1598265+1242149</f>
        <v>2840414</v>
      </c>
      <c r="L10" s="452">
        <v>1900000</v>
      </c>
      <c r="M10" s="63">
        <f>'Step 1a IM Summary'!H39</f>
        <v>0</v>
      </c>
      <c r="N10" s="290">
        <f>SUM(B10:M10)</f>
        <v>24160078</v>
      </c>
      <c r="O10" s="290">
        <v>24160078</v>
      </c>
      <c r="P10" s="63">
        <v>20528931</v>
      </c>
      <c r="Q10" s="63">
        <v>19812267</v>
      </c>
      <c r="S10" s="70"/>
    </row>
    <row r="11" spans="1:19" s="66" customFormat="1">
      <c r="A11" s="76" t="s">
        <v>103</v>
      </c>
      <c r="B11" s="77">
        <v>11267811</v>
      </c>
      <c r="C11" s="77">
        <v>1917162</v>
      </c>
      <c r="D11" s="454">
        <v>0</v>
      </c>
      <c r="E11" s="453">
        <v>0</v>
      </c>
      <c r="F11" s="453">
        <v>3057138</v>
      </c>
      <c r="G11" s="453">
        <v>3000000</v>
      </c>
      <c r="H11" s="453">
        <v>528000</v>
      </c>
      <c r="I11" s="453">
        <v>225000</v>
      </c>
      <c r="J11" s="453">
        <v>152097</v>
      </c>
      <c r="K11" s="453">
        <v>312414</v>
      </c>
      <c r="L11" s="453">
        <v>2800</v>
      </c>
      <c r="M11" s="68"/>
      <c r="N11" s="960">
        <f t="shared" ref="N11:N28" si="0">SUM(B11:M11)</f>
        <v>20462422</v>
      </c>
      <c r="O11" s="960">
        <v>20462422</v>
      </c>
      <c r="P11" s="68">
        <v>20340741</v>
      </c>
      <c r="Q11" s="68">
        <v>19693889</v>
      </c>
    </row>
    <row r="12" spans="1:19" s="66" customFormat="1">
      <c r="A12" s="67" t="s">
        <v>104</v>
      </c>
      <c r="B12" s="77">
        <v>21551833</v>
      </c>
      <c r="C12" s="77">
        <v>8164764</v>
      </c>
      <c r="D12" s="454">
        <v>7041395</v>
      </c>
      <c r="E12" s="453">
        <v>0</v>
      </c>
      <c r="F12" s="453">
        <v>2915286</v>
      </c>
      <c r="G12" s="453">
        <v>12000000</v>
      </c>
      <c r="H12" s="453">
        <v>1500000</v>
      </c>
      <c r="I12" s="453">
        <v>1431500</v>
      </c>
      <c r="J12" s="453">
        <v>77012</v>
      </c>
      <c r="K12" s="453">
        <v>4224817</v>
      </c>
      <c r="L12" s="453">
        <v>2400000</v>
      </c>
      <c r="M12" s="68"/>
      <c r="N12" s="960">
        <f t="shared" si="0"/>
        <v>61306607</v>
      </c>
      <c r="O12" s="960">
        <v>61306607</v>
      </c>
      <c r="P12" s="68">
        <v>57240954</v>
      </c>
      <c r="Q12" s="68">
        <v>51433285</v>
      </c>
    </row>
    <row r="13" spans="1:19" s="66" customFormat="1">
      <c r="A13" s="74" t="s">
        <v>105</v>
      </c>
      <c r="B13" s="75">
        <f>95520+3492478</f>
        <v>3587998</v>
      </c>
      <c r="C13" s="75">
        <v>111037</v>
      </c>
      <c r="D13" s="467">
        <v>1743717</v>
      </c>
      <c r="E13" s="452">
        <f>-714700+714700</f>
        <v>0</v>
      </c>
      <c r="F13" s="467">
        <v>28558</v>
      </c>
      <c r="G13" s="467">
        <v>1150000</v>
      </c>
      <c r="H13" s="452">
        <v>100000</v>
      </c>
      <c r="I13" s="452">
        <v>538000</v>
      </c>
      <c r="J13" s="467">
        <v>435081</v>
      </c>
      <c r="K13" s="452">
        <f>542029+619180</f>
        <v>1161209</v>
      </c>
      <c r="L13" s="467">
        <v>500000</v>
      </c>
      <c r="M13" s="63">
        <f>'Step 1a IM Summary'!H42</f>
        <v>0</v>
      </c>
      <c r="N13" s="290">
        <f t="shared" si="0"/>
        <v>9355600</v>
      </c>
      <c r="O13" s="290">
        <v>9355600</v>
      </c>
      <c r="P13" s="63">
        <v>8135883</v>
      </c>
      <c r="Q13" s="63">
        <v>8027878</v>
      </c>
    </row>
    <row r="14" spans="1:19" s="66" customFormat="1">
      <c r="A14" s="76" t="s">
        <v>106</v>
      </c>
      <c r="B14" s="77">
        <v>11542018</v>
      </c>
      <c r="C14" s="77">
        <v>1063816</v>
      </c>
      <c r="D14" s="454">
        <v>0</v>
      </c>
      <c r="E14" s="453">
        <v>0</v>
      </c>
      <c r="F14" s="453">
        <v>404598</v>
      </c>
      <c r="G14" s="453">
        <v>3000000</v>
      </c>
      <c r="H14" s="453">
        <v>650000</v>
      </c>
      <c r="I14" s="453">
        <v>1195000</v>
      </c>
      <c r="J14" s="453">
        <v>112879</v>
      </c>
      <c r="K14" s="453">
        <v>1571883</v>
      </c>
      <c r="L14" s="453">
        <v>900000</v>
      </c>
      <c r="M14" s="68"/>
      <c r="N14" s="960">
        <f t="shared" si="0"/>
        <v>20440194</v>
      </c>
      <c r="O14" s="960">
        <v>20440194</v>
      </c>
      <c r="P14" s="68">
        <v>19973639</v>
      </c>
      <c r="Q14" s="68">
        <v>18483042</v>
      </c>
    </row>
    <row r="15" spans="1:19" s="66" customFormat="1">
      <c r="A15" s="67" t="s">
        <v>107</v>
      </c>
      <c r="B15" s="77">
        <v>2919657</v>
      </c>
      <c r="C15" s="77">
        <v>0</v>
      </c>
      <c r="D15" s="454">
        <v>0</v>
      </c>
      <c r="E15" s="453">
        <v>0</v>
      </c>
      <c r="F15" s="453">
        <v>14200</v>
      </c>
      <c r="G15" s="453">
        <v>1600000</v>
      </c>
      <c r="H15" s="453">
        <v>83240</v>
      </c>
      <c r="I15" s="453">
        <v>75008</v>
      </c>
      <c r="J15" s="453"/>
      <c r="K15" s="453">
        <v>98677</v>
      </c>
      <c r="L15" s="453">
        <v>15786</v>
      </c>
      <c r="M15" s="68"/>
      <c r="N15" s="960">
        <f t="shared" si="0"/>
        <v>4806568</v>
      </c>
      <c r="O15" s="960">
        <v>4806568</v>
      </c>
      <c r="P15" s="68">
        <v>4791672</v>
      </c>
      <c r="Q15" s="68">
        <v>4719068</v>
      </c>
    </row>
    <row r="16" spans="1:19" s="66" customFormat="1">
      <c r="A16" s="74" t="s">
        <v>108</v>
      </c>
      <c r="B16" s="75">
        <v>25989131</v>
      </c>
      <c r="C16" s="75">
        <v>0</v>
      </c>
      <c r="D16" s="467">
        <v>0</v>
      </c>
      <c r="E16" s="452">
        <v>75000</v>
      </c>
      <c r="F16" s="467">
        <v>1405937</v>
      </c>
      <c r="G16" s="467">
        <v>12500000</v>
      </c>
      <c r="H16" s="452">
        <v>970000</v>
      </c>
      <c r="I16" s="452">
        <v>1375000</v>
      </c>
      <c r="J16" s="467">
        <v>332709</v>
      </c>
      <c r="K16" s="452">
        <v>3146854</v>
      </c>
      <c r="L16" s="467">
        <v>99500</v>
      </c>
      <c r="M16" s="62"/>
      <c r="N16" s="290">
        <f t="shared" si="0"/>
        <v>45894131</v>
      </c>
      <c r="O16" s="290">
        <v>45894131</v>
      </c>
      <c r="P16" s="63">
        <v>42029613</v>
      </c>
      <c r="Q16" s="63">
        <v>39436917</v>
      </c>
    </row>
    <row r="17" spans="1:21" s="66" customFormat="1">
      <c r="A17" s="67" t="s">
        <v>109</v>
      </c>
      <c r="B17" s="77">
        <v>8911760</v>
      </c>
      <c r="C17" s="77">
        <v>0</v>
      </c>
      <c r="D17" s="454">
        <v>615599</v>
      </c>
      <c r="E17" s="453">
        <v>10875</v>
      </c>
      <c r="F17" s="453">
        <v>145086</v>
      </c>
      <c r="G17" s="453">
        <v>1200000</v>
      </c>
      <c r="H17" s="453">
        <v>145000</v>
      </c>
      <c r="I17" s="453">
        <v>208000</v>
      </c>
      <c r="J17" s="453">
        <v>19657</v>
      </c>
      <c r="K17" s="453">
        <v>676018</v>
      </c>
      <c r="L17" s="453">
        <v>2900000</v>
      </c>
      <c r="M17" s="68"/>
      <c r="N17" s="960">
        <f t="shared" si="0"/>
        <v>14831995</v>
      </c>
      <c r="O17" s="960">
        <v>14831995</v>
      </c>
      <c r="P17" s="68">
        <v>14381039</v>
      </c>
      <c r="Q17" s="68">
        <v>13682346</v>
      </c>
    </row>
    <row r="18" spans="1:21" s="66" customFormat="1">
      <c r="A18" s="67" t="s">
        <v>110</v>
      </c>
      <c r="B18" s="77">
        <v>6545974</v>
      </c>
      <c r="C18" s="77">
        <v>4178399</v>
      </c>
      <c r="D18" s="454">
        <v>1098365</v>
      </c>
      <c r="E18" s="454">
        <v>0</v>
      </c>
      <c r="F18" s="454">
        <v>1544</v>
      </c>
      <c r="G18" s="453">
        <v>0</v>
      </c>
      <c r="H18" s="453">
        <v>80000</v>
      </c>
      <c r="I18" s="453">
        <v>335000</v>
      </c>
      <c r="J18" s="453">
        <v>0</v>
      </c>
      <c r="K18" s="453">
        <v>298116</v>
      </c>
      <c r="L18" s="453">
        <v>200000</v>
      </c>
      <c r="M18" s="68"/>
      <c r="N18" s="960">
        <f t="shared" si="0"/>
        <v>12737398</v>
      </c>
      <c r="O18" s="960">
        <v>12737398</v>
      </c>
      <c r="P18" s="68">
        <v>12573591</v>
      </c>
      <c r="Q18" s="68">
        <v>11646038</v>
      </c>
    </row>
    <row r="19" spans="1:21" s="66" customFormat="1">
      <c r="A19" s="74" t="s">
        <v>111</v>
      </c>
      <c r="B19" s="75">
        <v>27104480</v>
      </c>
      <c r="C19" s="75">
        <v>5884</v>
      </c>
      <c r="D19" s="467">
        <v>0</v>
      </c>
      <c r="E19" s="452">
        <v>0</v>
      </c>
      <c r="F19" s="467">
        <v>1418499</v>
      </c>
      <c r="G19" s="467">
        <v>4200000</v>
      </c>
      <c r="H19" s="452">
        <v>1900000</v>
      </c>
      <c r="I19" s="452">
        <v>1315000</v>
      </c>
      <c r="J19" s="467">
        <v>226197</v>
      </c>
      <c r="K19" s="452">
        <v>4177098</v>
      </c>
      <c r="L19" s="467">
        <v>780000</v>
      </c>
      <c r="M19" s="62"/>
      <c r="N19" s="290">
        <f t="shared" si="0"/>
        <v>41127158</v>
      </c>
      <c r="O19" s="290">
        <v>41127158</v>
      </c>
      <c r="P19" s="63">
        <v>38789621</v>
      </c>
      <c r="Q19" s="63">
        <v>38015942</v>
      </c>
    </row>
    <row r="20" spans="1:21" s="66" customFormat="1">
      <c r="A20" s="67" t="s">
        <v>112</v>
      </c>
      <c r="B20" s="77">
        <v>7121162</v>
      </c>
      <c r="C20" s="77">
        <v>4253515</v>
      </c>
      <c r="D20" s="454">
        <v>4966751</v>
      </c>
      <c r="E20" s="454">
        <v>-48085</v>
      </c>
      <c r="F20" s="454">
        <v>694</v>
      </c>
      <c r="G20" s="454">
        <v>0</v>
      </c>
      <c r="H20" s="453">
        <v>0</v>
      </c>
      <c r="I20" s="453">
        <v>8327772</v>
      </c>
      <c r="J20" s="454">
        <v>0</v>
      </c>
      <c r="K20" s="453">
        <v>162608</v>
      </c>
      <c r="L20" s="453">
        <v>125000</v>
      </c>
      <c r="M20" s="68"/>
      <c r="N20" s="960">
        <f t="shared" si="0"/>
        <v>24909417</v>
      </c>
      <c r="O20" s="960">
        <v>24909417</v>
      </c>
      <c r="P20" s="68">
        <v>24513720</v>
      </c>
      <c r="Q20" s="68">
        <v>23159598</v>
      </c>
    </row>
    <row r="21" spans="1:21" s="66" customFormat="1">
      <c r="A21" s="67" t="s">
        <v>113</v>
      </c>
      <c r="B21" s="77">
        <v>0</v>
      </c>
      <c r="C21" s="77">
        <v>0</v>
      </c>
      <c r="D21" s="454">
        <v>0</v>
      </c>
      <c r="E21" s="453"/>
      <c r="F21" s="454">
        <v>0</v>
      </c>
      <c r="G21" s="454">
        <v>0</v>
      </c>
      <c r="H21" s="453">
        <v>543366</v>
      </c>
      <c r="I21" s="454"/>
      <c r="J21" s="454">
        <v>0</v>
      </c>
      <c r="K21" s="454">
        <v>0</v>
      </c>
      <c r="L21" s="454">
        <v>0</v>
      </c>
      <c r="M21" s="78"/>
      <c r="N21" s="960">
        <f t="shared" si="0"/>
        <v>543366</v>
      </c>
      <c r="O21" s="960">
        <v>543366</v>
      </c>
      <c r="P21" s="68">
        <v>541124</v>
      </c>
      <c r="Q21" s="68">
        <v>500000</v>
      </c>
    </row>
    <row r="22" spans="1:21" s="66" customFormat="1">
      <c r="A22" s="74" t="s">
        <v>114</v>
      </c>
      <c r="B22" s="75">
        <v>1284958</v>
      </c>
      <c r="C22" s="75">
        <v>1490000</v>
      </c>
      <c r="D22" s="467">
        <v>0</v>
      </c>
      <c r="E22" s="452">
        <v>0</v>
      </c>
      <c r="F22" s="467">
        <v>9502</v>
      </c>
      <c r="G22" s="467">
        <v>0</v>
      </c>
      <c r="H22" s="452">
        <v>1000</v>
      </c>
      <c r="I22" s="452">
        <v>15500</v>
      </c>
      <c r="J22" s="467">
        <v>0</v>
      </c>
      <c r="K22" s="452">
        <v>39004</v>
      </c>
      <c r="L22" s="467">
        <v>0</v>
      </c>
      <c r="M22" s="62"/>
      <c r="N22" s="290">
        <f t="shared" si="0"/>
        <v>2839964</v>
      </c>
      <c r="O22" s="290">
        <v>2839964</v>
      </c>
      <c r="P22" s="63">
        <v>2438816</v>
      </c>
      <c r="Q22" s="63">
        <v>2156595</v>
      </c>
    </row>
    <row r="23" spans="1:21" s="66" customFormat="1">
      <c r="A23" s="76" t="s">
        <v>116</v>
      </c>
      <c r="B23" s="80">
        <v>0</v>
      </c>
      <c r="C23" s="454">
        <v>0</v>
      </c>
      <c r="D23" s="454">
        <v>0</v>
      </c>
      <c r="E23" s="454">
        <v>0</v>
      </c>
      <c r="F23" s="454">
        <v>0</v>
      </c>
      <c r="G23" s="453">
        <v>18786975</v>
      </c>
      <c r="H23" s="454">
        <v>0</v>
      </c>
      <c r="I23" s="454"/>
      <c r="J23" s="454">
        <v>0</v>
      </c>
      <c r="K23" s="454"/>
      <c r="L23" s="454">
        <v>0</v>
      </c>
      <c r="M23" s="78"/>
      <c r="N23" s="960">
        <f t="shared" si="0"/>
        <v>18786975</v>
      </c>
      <c r="O23" s="960">
        <v>18786975</v>
      </c>
      <c r="P23" s="68">
        <v>18785225</v>
      </c>
      <c r="Q23" s="68">
        <v>15772348</v>
      </c>
    </row>
    <row r="24" spans="1:21" s="66" customFormat="1">
      <c r="A24" s="74" t="s">
        <v>117</v>
      </c>
      <c r="B24" s="77">
        <v>0</v>
      </c>
      <c r="C24" s="77">
        <v>0</v>
      </c>
      <c r="D24" s="454">
        <v>0</v>
      </c>
      <c r="E24" s="453">
        <v>0</v>
      </c>
      <c r="F24" s="454"/>
      <c r="G24" s="454">
        <v>0</v>
      </c>
      <c r="H24" s="453">
        <v>0</v>
      </c>
      <c r="I24" s="453"/>
      <c r="J24" s="454">
        <v>0</v>
      </c>
      <c r="K24" s="453">
        <v>0</v>
      </c>
      <c r="L24" s="454">
        <v>3296000</v>
      </c>
      <c r="M24" s="62"/>
      <c r="N24" s="290">
        <f t="shared" si="0"/>
        <v>3296000</v>
      </c>
      <c r="O24" s="290">
        <v>3296000</v>
      </c>
      <c r="P24" s="63">
        <v>3160000</v>
      </c>
      <c r="Q24" s="63">
        <v>2300000</v>
      </c>
      <c r="S24"/>
      <c r="T24"/>
      <c r="U24"/>
    </row>
    <row r="25" spans="1:21" s="66" customFormat="1">
      <c r="A25" s="67" t="s">
        <v>523</v>
      </c>
      <c r="B25" s="75">
        <v>1084713</v>
      </c>
      <c r="C25" s="75">
        <v>0</v>
      </c>
      <c r="D25" s="467">
        <v>0</v>
      </c>
      <c r="E25" s="452">
        <v>0</v>
      </c>
      <c r="F25" s="467">
        <v>796347</v>
      </c>
      <c r="G25" s="467">
        <v>0</v>
      </c>
      <c r="H25" s="452">
        <v>0</v>
      </c>
      <c r="I25" s="452">
        <v>2824950</v>
      </c>
      <c r="J25" s="467">
        <v>0</v>
      </c>
      <c r="K25" s="452">
        <v>0</v>
      </c>
      <c r="L25" s="467"/>
      <c r="M25" s="79"/>
      <c r="N25" s="960">
        <f t="shared" si="0"/>
        <v>4706010</v>
      </c>
      <c r="O25" s="960">
        <v>4706010</v>
      </c>
      <c r="P25" s="68">
        <v>5275284</v>
      </c>
      <c r="Q25" s="68">
        <v>5964080</v>
      </c>
      <c r="S25"/>
      <c r="T25"/>
      <c r="U25"/>
    </row>
    <row r="26" spans="1:21" s="66" customFormat="1">
      <c r="A26" s="420" t="s">
        <v>524</v>
      </c>
      <c r="B26" s="80">
        <v>696993</v>
      </c>
      <c r="C26" s="78">
        <v>0</v>
      </c>
      <c r="D26" s="78"/>
      <c r="E26" s="78">
        <v>0</v>
      </c>
      <c r="F26" s="78"/>
      <c r="G26" s="68">
        <v>0</v>
      </c>
      <c r="H26" s="78">
        <v>0</v>
      </c>
      <c r="I26" s="78"/>
      <c r="J26" s="78"/>
      <c r="K26" s="78">
        <v>136090</v>
      </c>
      <c r="L26" s="78">
        <v>0</v>
      </c>
      <c r="M26" s="78"/>
      <c r="N26" s="960">
        <f>SUM(B26:M26)</f>
        <v>833083</v>
      </c>
      <c r="O26" s="960">
        <v>14579074</v>
      </c>
      <c r="P26" s="68">
        <v>823212</v>
      </c>
      <c r="Q26" s="68">
        <v>0</v>
      </c>
      <c r="S26"/>
      <c r="T26"/>
      <c r="U26"/>
    </row>
    <row r="27" spans="1:21" s="66" customFormat="1">
      <c r="A27" s="74" t="s">
        <v>118</v>
      </c>
      <c r="B27" s="75">
        <v>11065622</v>
      </c>
      <c r="C27" s="75">
        <v>0</v>
      </c>
      <c r="D27" s="62">
        <v>47475</v>
      </c>
      <c r="E27" s="63">
        <v>0</v>
      </c>
      <c r="F27" s="62">
        <v>666777</v>
      </c>
      <c r="G27" s="62">
        <v>0</v>
      </c>
      <c r="H27" s="63">
        <v>0</v>
      </c>
      <c r="I27" s="63">
        <v>122600</v>
      </c>
      <c r="J27" s="62">
        <v>110727</v>
      </c>
      <c r="K27" s="63">
        <v>0</v>
      </c>
      <c r="L27" s="62">
        <v>2565873</v>
      </c>
      <c r="M27" s="62"/>
      <c r="N27" s="290">
        <f t="shared" si="0"/>
        <v>14579074</v>
      </c>
      <c r="O27" s="290">
        <v>11354618</v>
      </c>
      <c r="P27" s="63">
        <v>13841842</v>
      </c>
      <c r="Q27" s="63">
        <v>13207266</v>
      </c>
      <c r="S27"/>
      <c r="T27"/>
      <c r="U27"/>
    </row>
    <row r="28" spans="1:21" s="66" customFormat="1">
      <c r="A28" s="67" t="s">
        <v>119</v>
      </c>
      <c r="B28" s="77">
        <v>5876614</v>
      </c>
      <c r="C28" s="80">
        <v>0</v>
      </c>
      <c r="D28" s="78">
        <v>458258</v>
      </c>
      <c r="E28" s="68">
        <v>0</v>
      </c>
      <c r="F28" s="78">
        <v>0</v>
      </c>
      <c r="G28" s="78">
        <v>0</v>
      </c>
      <c r="H28" s="68">
        <v>42000</v>
      </c>
      <c r="I28" s="68">
        <v>882685</v>
      </c>
      <c r="J28" s="68">
        <v>156767</v>
      </c>
      <c r="K28" s="78">
        <v>0</v>
      </c>
      <c r="L28" s="208">
        <v>3938294</v>
      </c>
      <c r="M28" s="79"/>
      <c r="N28" s="960">
        <f t="shared" si="0"/>
        <v>11354618</v>
      </c>
      <c r="O28" s="960">
        <v>833083</v>
      </c>
      <c r="P28" s="68">
        <v>11252786</v>
      </c>
      <c r="Q28" s="68">
        <v>10959977</v>
      </c>
      <c r="S28"/>
      <c r="T28"/>
      <c r="U28"/>
    </row>
    <row r="29" spans="1:21" s="66" customFormat="1">
      <c r="A29" s="76" t="s">
        <v>120</v>
      </c>
      <c r="B29" s="81">
        <f t="shared" ref="B29:Q29" si="1">SUM(B10:B28)</f>
        <v>156765105</v>
      </c>
      <c r="C29" s="82">
        <f t="shared" si="1"/>
        <v>21184577</v>
      </c>
      <c r="D29" s="82">
        <f t="shared" si="1"/>
        <v>17072915</v>
      </c>
      <c r="E29" s="82">
        <f t="shared" si="1"/>
        <v>37790</v>
      </c>
      <c r="F29" s="82">
        <f t="shared" si="1"/>
        <v>11078357</v>
      </c>
      <c r="G29" s="82">
        <f t="shared" si="1"/>
        <v>64091475</v>
      </c>
      <c r="H29" s="82">
        <f t="shared" si="1"/>
        <v>7092606</v>
      </c>
      <c r="I29" s="82">
        <f t="shared" si="1"/>
        <v>19277015</v>
      </c>
      <c r="J29" s="82">
        <f t="shared" si="1"/>
        <v>1902363</v>
      </c>
      <c r="K29" s="82">
        <f t="shared" si="1"/>
        <v>18845202</v>
      </c>
      <c r="L29" s="82">
        <f t="shared" si="1"/>
        <v>19623253</v>
      </c>
      <c r="M29" s="82">
        <f t="shared" si="1"/>
        <v>0</v>
      </c>
      <c r="N29" s="961">
        <f>SUM(N10:N28)</f>
        <v>336970658</v>
      </c>
      <c r="O29" s="961">
        <v>336970658</v>
      </c>
      <c r="P29" s="961">
        <f t="shared" si="1"/>
        <v>319417693</v>
      </c>
      <c r="Q29" s="961">
        <f t="shared" si="1"/>
        <v>298970536</v>
      </c>
      <c r="S29"/>
      <c r="T29"/>
      <c r="U29"/>
    </row>
    <row r="30" spans="1:21" s="66" customFormat="1">
      <c r="A30" s="74"/>
      <c r="B30" s="75"/>
      <c r="C30" s="75"/>
      <c r="D30" s="62"/>
      <c r="E30" s="63"/>
      <c r="F30" s="62"/>
      <c r="G30" s="62"/>
      <c r="H30" s="63"/>
      <c r="I30" s="63"/>
      <c r="J30" s="62"/>
      <c r="K30" s="63"/>
      <c r="L30" s="62"/>
      <c r="M30" s="62"/>
      <c r="N30" s="962"/>
      <c r="O30" s="962"/>
      <c r="P30" s="63"/>
      <c r="Q30" s="417"/>
      <c r="S30"/>
      <c r="T30"/>
      <c r="U30"/>
    </row>
    <row r="31" spans="1:21" s="66" customFormat="1">
      <c r="B31" s="83"/>
      <c r="C31" s="83"/>
      <c r="D31" s="68"/>
      <c r="E31" s="68"/>
      <c r="F31" s="68"/>
      <c r="G31" s="68"/>
      <c r="H31" s="68"/>
      <c r="I31" s="68"/>
      <c r="J31" s="68"/>
      <c r="K31" s="68"/>
      <c r="L31" s="79"/>
      <c r="M31" s="79"/>
      <c r="N31" s="963"/>
      <c r="O31" s="963"/>
      <c r="P31" s="68"/>
      <c r="Q31" s="70"/>
      <c r="S31"/>
      <c r="T31"/>
      <c r="U31"/>
    </row>
    <row r="32" spans="1:21" s="66" customFormat="1">
      <c r="A32" s="76" t="s">
        <v>121</v>
      </c>
      <c r="B32" s="80"/>
      <c r="C32" s="78"/>
      <c r="D32" s="78"/>
      <c r="E32" s="78"/>
      <c r="F32" s="78"/>
      <c r="G32" s="68"/>
      <c r="H32" s="78"/>
      <c r="I32" s="78"/>
      <c r="J32" s="78"/>
      <c r="K32" s="78"/>
      <c r="L32" s="78"/>
      <c r="M32" s="78"/>
      <c r="N32" s="962"/>
      <c r="O32" s="962"/>
      <c r="P32" s="68"/>
      <c r="Q32" s="68"/>
    </row>
    <row r="33" spans="1:17" s="66" customFormat="1">
      <c r="A33" s="74" t="s">
        <v>122</v>
      </c>
      <c r="B33" s="75">
        <f>'FY18 Original'!B32</f>
        <v>8368275</v>
      </c>
      <c r="C33" s="75">
        <f>'FY18 Original'!C32</f>
        <v>0</v>
      </c>
      <c r="D33" s="62">
        <f>'FY18 Original'!D32</f>
        <v>0</v>
      </c>
      <c r="E33" s="63">
        <f>'FY18 Original'!E32</f>
        <v>20000</v>
      </c>
      <c r="F33" s="62">
        <f>'FY18 Original'!F32</f>
        <v>0</v>
      </c>
      <c r="G33" s="62">
        <f>'FY18 Original'!G32</f>
        <v>0</v>
      </c>
      <c r="H33" s="63">
        <f>'FY18 Original'!H32</f>
        <v>0</v>
      </c>
      <c r="I33" s="63">
        <f>'FY18 Original'!I32</f>
        <v>0</v>
      </c>
      <c r="J33" s="62">
        <f>'FY18 Original'!J32</f>
        <v>0</v>
      </c>
      <c r="K33" s="63">
        <f>'FY18 Original'!K32</f>
        <v>0</v>
      </c>
      <c r="L33" s="62">
        <f>'FY18 Original'!L32</f>
        <v>0</v>
      </c>
      <c r="M33" s="62">
        <v>0</v>
      </c>
      <c r="N33" s="290">
        <f t="shared" ref="N33:N50" si="2">SUM(B33:M33)</f>
        <v>8388275</v>
      </c>
      <c r="O33" s="290">
        <v>8388275</v>
      </c>
      <c r="P33" s="63">
        <v>9553475</v>
      </c>
      <c r="Q33" s="63">
        <v>7976795</v>
      </c>
    </row>
    <row r="34" spans="1:17" s="66" customFormat="1">
      <c r="A34" s="67" t="s">
        <v>123</v>
      </c>
      <c r="B34" s="77">
        <f>'FY18 Original'!B33</f>
        <v>3956393</v>
      </c>
      <c r="C34" s="80">
        <f>'FY18 Original'!C33</f>
        <v>0</v>
      </c>
      <c r="D34" s="78">
        <f>'FY18 Original'!D33</f>
        <v>0</v>
      </c>
      <c r="E34" s="78">
        <f>'FY18 Original'!E33</f>
        <v>26585</v>
      </c>
      <c r="F34" s="68">
        <f>'FY18 Original'!F33</f>
        <v>0</v>
      </c>
      <c r="G34" s="78">
        <f>'FY18 Original'!G33</f>
        <v>0</v>
      </c>
      <c r="H34" s="78">
        <f>'FY18 Original'!H33</f>
        <v>0</v>
      </c>
      <c r="I34" s="68">
        <f>'FY18 Original'!I33</f>
        <v>0</v>
      </c>
      <c r="J34" s="68">
        <f>'FY18 Original'!J33</f>
        <v>0</v>
      </c>
      <c r="K34" s="78">
        <f>'FY18 Original'!K33</f>
        <v>0</v>
      </c>
      <c r="L34" s="79">
        <f>'FY18 Original'!L33</f>
        <v>0</v>
      </c>
      <c r="M34" s="79"/>
      <c r="N34" s="960">
        <f t="shared" si="2"/>
        <v>3982978</v>
      </c>
      <c r="O34" s="960">
        <v>3982978</v>
      </c>
      <c r="P34" s="68">
        <v>3525549</v>
      </c>
      <c r="Q34" s="68">
        <v>2886029</v>
      </c>
    </row>
    <row r="35" spans="1:17" s="66" customFormat="1">
      <c r="A35" s="76" t="s">
        <v>124</v>
      </c>
      <c r="B35" s="80">
        <f>'FY18 Original'!B34</f>
        <v>777386</v>
      </c>
      <c r="C35" s="78">
        <f>'FY18 Original'!C34</f>
        <v>0</v>
      </c>
      <c r="D35" s="78">
        <f>'FY18 Original'!D34</f>
        <v>0</v>
      </c>
      <c r="E35" s="78">
        <f>'FY18 Original'!E34</f>
        <v>0</v>
      </c>
      <c r="F35" s="78">
        <f>'FY18 Original'!F34</f>
        <v>0</v>
      </c>
      <c r="G35" s="68">
        <f>'FY18 Original'!G34</f>
        <v>0</v>
      </c>
      <c r="H35" s="78">
        <f>'FY18 Original'!H34</f>
        <v>0</v>
      </c>
      <c r="I35" s="78">
        <f>'FY18 Original'!I34</f>
        <v>0</v>
      </c>
      <c r="J35" s="78">
        <f>'FY18 Original'!J34</f>
        <v>0</v>
      </c>
      <c r="K35" s="78">
        <f>'FY18 Original'!K34</f>
        <v>0</v>
      </c>
      <c r="L35" s="78">
        <f>'FY18 Original'!L34</f>
        <v>664415</v>
      </c>
      <c r="M35" s="78"/>
      <c r="N35" s="960">
        <f t="shared" si="2"/>
        <v>1441801</v>
      </c>
      <c r="O35" s="960">
        <v>1441801</v>
      </c>
      <c r="P35" s="68">
        <v>1533838</v>
      </c>
      <c r="Q35" s="68">
        <v>1021322</v>
      </c>
    </row>
    <row r="36" spans="1:17" s="66" customFormat="1">
      <c r="A36" s="74" t="s">
        <v>125</v>
      </c>
      <c r="B36" s="75">
        <f>'FY18 Original'!B35</f>
        <v>2048710</v>
      </c>
      <c r="C36" s="75">
        <f>'FY18 Original'!C35</f>
        <v>0</v>
      </c>
      <c r="D36" s="62">
        <f>'FY18 Original'!D35</f>
        <v>0</v>
      </c>
      <c r="E36" s="63">
        <f>'FY18 Original'!E35</f>
        <v>5900000</v>
      </c>
      <c r="F36" s="62">
        <f>'FY18 Original'!F35</f>
        <v>0</v>
      </c>
      <c r="G36" s="62">
        <f>'FY18 Original'!G35</f>
        <v>0</v>
      </c>
      <c r="H36" s="63">
        <f>'FY18 Original'!H35</f>
        <v>0</v>
      </c>
      <c r="I36" s="63">
        <f>'FY18 Original'!I35</f>
        <v>0</v>
      </c>
      <c r="J36" s="62">
        <f>'FY18 Original'!J35</f>
        <v>0</v>
      </c>
      <c r="K36" s="63">
        <f>'FY18 Original'!K35</f>
        <v>0</v>
      </c>
      <c r="L36" s="62">
        <f>'FY18 Original'!L35</f>
        <v>0</v>
      </c>
      <c r="M36" s="62"/>
      <c r="N36" s="290">
        <f t="shared" si="2"/>
        <v>7948710</v>
      </c>
      <c r="O36" s="290">
        <v>7948710</v>
      </c>
      <c r="P36" s="63">
        <v>6422562</v>
      </c>
      <c r="Q36" s="63">
        <v>6063957</v>
      </c>
    </row>
    <row r="37" spans="1:17" s="66" customFormat="1">
      <c r="A37" s="67" t="s">
        <v>126</v>
      </c>
      <c r="B37" s="77">
        <f>'FY18 Original'!B36</f>
        <v>6142860</v>
      </c>
      <c r="C37" s="80">
        <f>'FY18 Original'!C36</f>
        <v>0</v>
      </c>
      <c r="D37" s="78">
        <f>'FY18 Original'!D36</f>
        <v>0</v>
      </c>
      <c r="E37" s="78">
        <f>'FY18 Original'!E36</f>
        <v>0</v>
      </c>
      <c r="F37" s="68">
        <f>'FY18 Original'!F36</f>
        <v>432958</v>
      </c>
      <c r="G37" s="78">
        <f>'FY18 Original'!G36</f>
        <v>0</v>
      </c>
      <c r="H37" s="78">
        <f>'FY18 Original'!H36</f>
        <v>0</v>
      </c>
      <c r="I37" s="68">
        <f>'FY18 Original'!I36</f>
        <v>3149052</v>
      </c>
      <c r="J37" s="68">
        <f>'FY18 Original'!J36</f>
        <v>0</v>
      </c>
      <c r="K37" s="78">
        <f>'FY18 Original'!K36</f>
        <v>0</v>
      </c>
      <c r="L37" s="79">
        <f>'FY18 Original'!L36</f>
        <v>0</v>
      </c>
      <c r="M37" s="79"/>
      <c r="N37" s="960">
        <f t="shared" si="2"/>
        <v>9724870</v>
      </c>
      <c r="O37" s="960">
        <v>9724870</v>
      </c>
      <c r="P37" s="68">
        <v>9115652</v>
      </c>
      <c r="Q37" s="68">
        <v>8786209</v>
      </c>
    </row>
    <row r="38" spans="1:17" s="66" customFormat="1">
      <c r="A38" s="418" t="s">
        <v>519</v>
      </c>
      <c r="B38" s="77">
        <f>'FY18 Original'!B37</f>
        <v>4827349</v>
      </c>
      <c r="C38" s="80">
        <f>'FY18 Original'!C37</f>
        <v>0</v>
      </c>
      <c r="D38" s="78">
        <f>'FY18 Original'!D37</f>
        <v>0</v>
      </c>
      <c r="E38" s="78">
        <f>'FY18 Original'!E37</f>
        <v>0</v>
      </c>
      <c r="F38" s="68">
        <f>'FY18 Original'!F37</f>
        <v>90000</v>
      </c>
      <c r="G38" s="78">
        <f>'FY18 Original'!G37</f>
        <v>0</v>
      </c>
      <c r="H38" s="78">
        <f>'FY18 Original'!H37</f>
        <v>51700</v>
      </c>
      <c r="I38" s="68">
        <f>'FY18 Original'!I37</f>
        <v>31000</v>
      </c>
      <c r="J38" s="68">
        <f>'FY18 Original'!J37</f>
        <v>0</v>
      </c>
      <c r="K38" s="78">
        <f>'FY18 Original'!K37</f>
        <v>0</v>
      </c>
      <c r="L38" s="79">
        <f>'FY18 Original'!L37</f>
        <v>0</v>
      </c>
      <c r="M38" s="79"/>
      <c r="N38" s="960">
        <f t="shared" si="2"/>
        <v>5000049</v>
      </c>
      <c r="O38" s="960">
        <v>5000049</v>
      </c>
      <c r="P38" s="68">
        <v>3284582</v>
      </c>
      <c r="Q38" s="68">
        <v>2843259</v>
      </c>
    </row>
    <row r="39" spans="1:17" s="66" customFormat="1">
      <c r="A39" s="67" t="s">
        <v>127</v>
      </c>
      <c r="B39" s="77">
        <f>'FY18 Original'!B38</f>
        <v>3485793</v>
      </c>
      <c r="C39" s="80">
        <f>'FY18 Original'!C38</f>
        <v>0</v>
      </c>
      <c r="D39" s="78">
        <f>'FY18 Original'!D38</f>
        <v>0</v>
      </c>
      <c r="E39" s="78">
        <f>'FY18 Original'!E38</f>
        <v>0</v>
      </c>
      <c r="F39" s="68">
        <f>'FY18 Original'!F38</f>
        <v>147391</v>
      </c>
      <c r="G39" s="78">
        <f>'FY18 Original'!G38</f>
        <v>0</v>
      </c>
      <c r="H39" s="78">
        <f>'FY18 Original'!H38</f>
        <v>0</v>
      </c>
      <c r="I39" s="68">
        <f>'FY18 Original'!I38</f>
        <v>10000</v>
      </c>
      <c r="J39" s="68">
        <f>'FY18 Original'!J38</f>
        <v>0</v>
      </c>
      <c r="K39" s="78">
        <f>'FY18 Original'!K38</f>
        <v>0</v>
      </c>
      <c r="L39" s="79">
        <f>'FY18 Original'!L38</f>
        <v>0</v>
      </c>
      <c r="M39" s="79"/>
      <c r="N39" s="960">
        <f t="shared" si="2"/>
        <v>3643184</v>
      </c>
      <c r="O39" s="960">
        <v>3643184</v>
      </c>
      <c r="P39" s="68">
        <v>3349220</v>
      </c>
      <c r="Q39" s="68">
        <v>2924110</v>
      </c>
    </row>
    <row r="40" spans="1:17" s="66" customFormat="1">
      <c r="A40" s="74" t="s">
        <v>128</v>
      </c>
      <c r="B40" s="75">
        <f>'FY18 Original'!B39</f>
        <v>17549923</v>
      </c>
      <c r="C40" s="75">
        <f>'FY18 Original'!C39</f>
        <v>0</v>
      </c>
      <c r="D40" s="62">
        <f>'FY18 Original'!D39</f>
        <v>0</v>
      </c>
      <c r="E40" s="63">
        <f>'FY18 Original'!E39</f>
        <v>150000</v>
      </c>
      <c r="F40" s="62">
        <f>'FY18 Original'!F39</f>
        <v>222977</v>
      </c>
      <c r="G40" s="62">
        <f>'FY18 Original'!G39</f>
        <v>0</v>
      </c>
      <c r="H40" s="63">
        <f>'FY18 Original'!H39</f>
        <v>0</v>
      </c>
      <c r="I40" s="63">
        <f>'FY18 Original'!I39</f>
        <v>26600</v>
      </c>
      <c r="J40" s="62">
        <f>'FY18 Original'!J39</f>
        <v>0</v>
      </c>
      <c r="K40" s="63">
        <f>'FY18 Original'!K39</f>
        <v>0</v>
      </c>
      <c r="L40" s="62">
        <f>'FY18 Original'!L39</f>
        <v>1825316</v>
      </c>
      <c r="M40" s="62"/>
      <c r="N40" s="290">
        <f t="shared" si="2"/>
        <v>19774816</v>
      </c>
      <c r="O40" s="290">
        <v>19774816</v>
      </c>
      <c r="P40" s="63">
        <v>12834823</v>
      </c>
      <c r="Q40" s="63">
        <v>11785851</v>
      </c>
    </row>
    <row r="41" spans="1:17" s="66" customFormat="1">
      <c r="A41" s="67" t="s">
        <v>525</v>
      </c>
      <c r="B41" s="77">
        <f>'FY18 Original'!B40</f>
        <v>1571305</v>
      </c>
      <c r="C41" s="80">
        <f>'FY18 Original'!C40</f>
        <v>0</v>
      </c>
      <c r="D41" s="78">
        <f>'FY18 Original'!D40</f>
        <v>0</v>
      </c>
      <c r="E41" s="78">
        <f>'FY18 Original'!E40</f>
        <v>1030000</v>
      </c>
      <c r="F41" s="68">
        <f>'FY18 Original'!F40</f>
        <v>249826</v>
      </c>
      <c r="G41" s="78">
        <f>'FY18 Original'!G40</f>
        <v>0</v>
      </c>
      <c r="H41" s="78">
        <f>'FY18 Original'!H40</f>
        <v>90000</v>
      </c>
      <c r="I41" s="68">
        <f>'FY18 Original'!I40</f>
        <v>1058175</v>
      </c>
      <c r="J41" s="68">
        <f>'FY18 Original'!J40</f>
        <v>0</v>
      </c>
      <c r="K41" s="78">
        <f>'FY18 Original'!K40</f>
        <v>507880</v>
      </c>
      <c r="L41" s="79">
        <f>'FY18 Original'!L40</f>
        <v>0</v>
      </c>
      <c r="M41" s="79"/>
      <c r="N41" s="960">
        <f t="shared" si="2"/>
        <v>4507186</v>
      </c>
      <c r="O41" s="960">
        <v>4507186</v>
      </c>
      <c r="P41" s="68">
        <v>4203588</v>
      </c>
      <c r="Q41" s="68">
        <v>4813218</v>
      </c>
    </row>
    <row r="42" spans="1:17" s="66" customFormat="1">
      <c r="A42" s="76" t="s">
        <v>115</v>
      </c>
      <c r="B42" s="77">
        <f>'FY18 Original'!B41+722370</f>
        <v>1450056</v>
      </c>
      <c r="C42" s="78">
        <f>'FY18 Original'!C41</f>
        <v>0</v>
      </c>
      <c r="D42" s="78">
        <f>'FY18 Original'!D41</f>
        <v>0</v>
      </c>
      <c r="E42" s="68">
        <f>'FY18 Original'!E41-794727</f>
        <v>0</v>
      </c>
      <c r="F42" s="78">
        <f>'FY18 Original'!F41</f>
        <v>0</v>
      </c>
      <c r="G42" s="68">
        <f>'FY18 Original'!G41</f>
        <v>0</v>
      </c>
      <c r="H42" s="78">
        <f>'FY18 Original'!H41</f>
        <v>0</v>
      </c>
      <c r="I42" s="78">
        <f>'FY18 Original'!I41</f>
        <v>0</v>
      </c>
      <c r="J42" s="78">
        <f>'FY18 Original'!J41</f>
        <v>0</v>
      </c>
      <c r="K42" s="78">
        <v>72357</v>
      </c>
      <c r="L42" s="78">
        <f>'FY18 Original'!L41</f>
        <v>0</v>
      </c>
      <c r="M42" s="78">
        <f>'Step 1a IM Summary'!H71</f>
        <v>0</v>
      </c>
      <c r="N42" s="960">
        <f t="shared" si="2"/>
        <v>1522413</v>
      </c>
      <c r="O42" s="960">
        <v>1522413</v>
      </c>
      <c r="P42" s="68">
        <v>766279</v>
      </c>
      <c r="Q42" s="68">
        <v>740618</v>
      </c>
    </row>
    <row r="43" spans="1:17" s="66" customFormat="1">
      <c r="A43" s="74" t="s">
        <v>129</v>
      </c>
      <c r="B43" s="75">
        <f>'FY18 Original'!B42</f>
        <v>4388919</v>
      </c>
      <c r="C43" s="75">
        <f>'FY18 Original'!C42</f>
        <v>0</v>
      </c>
      <c r="D43" s="62">
        <f>'FY18 Original'!D42</f>
        <v>0</v>
      </c>
      <c r="E43" s="63">
        <f>'FY18 Original'!E42</f>
        <v>427000</v>
      </c>
      <c r="F43" s="62">
        <f>'FY18 Original'!F42</f>
        <v>0</v>
      </c>
      <c r="G43" s="62">
        <f>'FY18 Original'!G42</f>
        <v>0</v>
      </c>
      <c r="H43" s="63">
        <f>'FY18 Original'!H42</f>
        <v>0</v>
      </c>
      <c r="I43" s="63">
        <f>'FY18 Original'!I42</f>
        <v>0</v>
      </c>
      <c r="J43" s="62">
        <f>'FY18 Original'!J42</f>
        <v>0</v>
      </c>
      <c r="K43" s="63">
        <f>'FY18 Original'!K42</f>
        <v>0</v>
      </c>
      <c r="L43" s="62">
        <f>'FY18 Original'!L42</f>
        <v>2766971</v>
      </c>
      <c r="M43" s="62"/>
      <c r="N43" s="290">
        <f t="shared" si="2"/>
        <v>7582890</v>
      </c>
      <c r="O43" s="290">
        <v>7582890</v>
      </c>
      <c r="P43" s="63">
        <v>7445568</v>
      </c>
      <c r="Q43" s="63">
        <v>7163992</v>
      </c>
    </row>
    <row r="44" spans="1:17" s="66" customFormat="1">
      <c r="A44" s="67" t="s">
        <v>130</v>
      </c>
      <c r="B44" s="77">
        <f>'FY18 Original'!B43</f>
        <v>6306678</v>
      </c>
      <c r="C44" s="77">
        <f>'FY18 Original'!C43</f>
        <v>0</v>
      </c>
      <c r="D44" s="78">
        <f>'FY18 Original'!D43</f>
        <v>70448</v>
      </c>
      <c r="E44" s="68">
        <f>'FY18 Original'!E43</f>
        <v>0</v>
      </c>
      <c r="F44" s="78">
        <f>'FY18 Original'!F43</f>
        <v>223039</v>
      </c>
      <c r="G44" s="78">
        <f>'FY18 Original'!G43</f>
        <v>0</v>
      </c>
      <c r="H44" s="68">
        <f>'FY18 Original'!H43</f>
        <v>0</v>
      </c>
      <c r="I44" s="68">
        <f>'FY18 Original'!I43</f>
        <v>1105762</v>
      </c>
      <c r="J44" s="78">
        <f>'FY18 Original'!J43</f>
        <v>0</v>
      </c>
      <c r="K44" s="68">
        <f>'FY18 Original'!K43</f>
        <v>0</v>
      </c>
      <c r="L44" s="78">
        <f>'FY18 Original'!L43</f>
        <v>0</v>
      </c>
      <c r="M44" s="78"/>
      <c r="N44" s="960">
        <f t="shared" si="2"/>
        <v>7705927</v>
      </c>
      <c r="O44" s="960">
        <v>7705927</v>
      </c>
      <c r="P44" s="68">
        <v>7456361</v>
      </c>
      <c r="Q44" s="68">
        <v>6997093</v>
      </c>
    </row>
    <row r="45" spans="1:17" s="66" customFormat="1">
      <c r="A45" s="67" t="s">
        <v>131</v>
      </c>
      <c r="B45" s="77">
        <f>'FY18 Original'!B44</f>
        <v>12221894</v>
      </c>
      <c r="C45" s="80">
        <f>'FY18 Original'!C44</f>
        <v>0</v>
      </c>
      <c r="D45" s="78">
        <f>'FY18 Original'!D44</f>
        <v>0</v>
      </c>
      <c r="E45" s="78">
        <f>'FY18 Original'!E44</f>
        <v>0</v>
      </c>
      <c r="F45" s="68">
        <f>'FY18 Original'!F44</f>
        <v>0</v>
      </c>
      <c r="G45" s="78">
        <f>'FY18 Original'!G44</f>
        <v>0</v>
      </c>
      <c r="H45" s="78">
        <f>'FY18 Original'!H44</f>
        <v>0</v>
      </c>
      <c r="I45" s="68">
        <f>'FY18 Original'!I44</f>
        <v>0</v>
      </c>
      <c r="J45" s="68">
        <f>'FY18 Original'!J44</f>
        <v>0</v>
      </c>
      <c r="K45" s="78">
        <f>'FY18 Original'!K44</f>
        <v>0</v>
      </c>
      <c r="L45" s="79">
        <f>'FY18 Original'!L44</f>
        <v>0</v>
      </c>
      <c r="M45" s="79"/>
      <c r="N45" s="960">
        <f t="shared" si="2"/>
        <v>12221894</v>
      </c>
      <c r="O45" s="960">
        <v>12221894</v>
      </c>
      <c r="P45" s="68">
        <v>11661163</v>
      </c>
      <c r="Q45" s="68">
        <v>11091506</v>
      </c>
    </row>
    <row r="46" spans="1:17" s="66" customFormat="1">
      <c r="A46" s="74" t="s">
        <v>132</v>
      </c>
      <c r="B46" s="75">
        <f>'FY18 Original'!B45</f>
        <v>23543246</v>
      </c>
      <c r="C46" s="75">
        <f>'FY18 Original'!C45</f>
        <v>0</v>
      </c>
      <c r="D46" s="62">
        <f>'FY18 Original'!D45</f>
        <v>0</v>
      </c>
      <c r="E46" s="63">
        <f>'FY18 Original'!E45</f>
        <v>40000</v>
      </c>
      <c r="F46" s="62">
        <f>'FY18 Original'!F45</f>
        <v>404339</v>
      </c>
      <c r="G46" s="62">
        <f>'FY18 Original'!G45</f>
        <v>0</v>
      </c>
      <c r="H46" s="63">
        <f>'FY18 Original'!H45</f>
        <v>0</v>
      </c>
      <c r="I46" s="63">
        <f>'FY18 Original'!I45</f>
        <v>371000</v>
      </c>
      <c r="J46" s="62">
        <f>'FY18 Original'!J45</f>
        <v>0</v>
      </c>
      <c r="K46" s="63">
        <f>'FY18 Original'!K45</f>
        <v>0</v>
      </c>
      <c r="L46" s="62">
        <f>'FY18 Original'!L45</f>
        <v>963767</v>
      </c>
      <c r="M46" s="62"/>
      <c r="N46" s="290">
        <f t="shared" si="2"/>
        <v>25322352</v>
      </c>
      <c r="O46" s="290">
        <v>25322352</v>
      </c>
      <c r="P46" s="63">
        <v>22657071</v>
      </c>
      <c r="Q46" s="63">
        <v>21712135</v>
      </c>
    </row>
    <row r="47" spans="1:17" s="66" customFormat="1">
      <c r="A47" s="67" t="s">
        <v>520</v>
      </c>
      <c r="B47" s="77">
        <f>'FY18 Original'!B46</f>
        <v>12726447</v>
      </c>
      <c r="C47" s="77">
        <f>'FY18 Original'!C46</f>
        <v>0</v>
      </c>
      <c r="D47" s="78">
        <f>'FY18 Original'!D46</f>
        <v>0</v>
      </c>
      <c r="E47" s="68">
        <f>'FY18 Original'!E46</f>
        <v>0</v>
      </c>
      <c r="F47" s="78">
        <f>'FY18 Original'!F46</f>
        <v>477808</v>
      </c>
      <c r="G47" s="78">
        <f>'FY18 Original'!G46</f>
        <v>0</v>
      </c>
      <c r="H47" s="68">
        <f>'FY18 Original'!H46</f>
        <v>0</v>
      </c>
      <c r="I47" s="68">
        <f>'FY18 Original'!I46</f>
        <v>0</v>
      </c>
      <c r="J47" s="78">
        <f>'FY18 Original'!J46</f>
        <v>0</v>
      </c>
      <c r="K47" s="68">
        <f>'FY18 Original'!K46</f>
        <v>0</v>
      </c>
      <c r="L47" s="78">
        <f>'FY18 Original'!L46</f>
        <v>4719747</v>
      </c>
      <c r="M47" s="78"/>
      <c r="N47" s="960">
        <f t="shared" si="2"/>
        <v>17924002</v>
      </c>
      <c r="O47" s="960">
        <v>17924002</v>
      </c>
      <c r="P47" s="68">
        <v>15221563</v>
      </c>
      <c r="Q47" s="68">
        <v>13776985</v>
      </c>
    </row>
    <row r="48" spans="1:17" s="66" customFormat="1">
      <c r="A48" s="67" t="s">
        <v>521</v>
      </c>
      <c r="B48" s="77">
        <f>'FY18 Original'!B47</f>
        <v>3418422</v>
      </c>
      <c r="C48" s="77">
        <f>'FY18 Original'!C47</f>
        <v>0</v>
      </c>
      <c r="D48" s="78">
        <f>'FY18 Original'!D47</f>
        <v>0</v>
      </c>
      <c r="E48" s="68">
        <f>'FY18 Original'!E47</f>
        <v>0</v>
      </c>
      <c r="F48" s="78">
        <f>'FY18 Original'!F47</f>
        <v>0</v>
      </c>
      <c r="G48" s="78">
        <f>'FY18 Original'!G47</f>
        <v>0</v>
      </c>
      <c r="H48" s="68">
        <f>'FY18 Original'!H47</f>
        <v>0</v>
      </c>
      <c r="I48" s="68">
        <f>'FY18 Original'!I47</f>
        <v>40000</v>
      </c>
      <c r="J48" s="78">
        <f>'FY18 Original'!J47</f>
        <v>0</v>
      </c>
      <c r="K48" s="68">
        <f>'FY18 Original'!K47</f>
        <v>0</v>
      </c>
      <c r="L48" s="78">
        <f>'FY18 Original'!L47</f>
        <v>0</v>
      </c>
      <c r="M48" s="78"/>
      <c r="N48" s="960">
        <f t="shared" si="2"/>
        <v>3458422</v>
      </c>
      <c r="O48" s="960">
        <v>3458422</v>
      </c>
      <c r="P48" s="68">
        <v>3322315</v>
      </c>
      <c r="Q48" s="68">
        <v>2893594</v>
      </c>
    </row>
    <row r="49" spans="1:17" s="66" customFormat="1">
      <c r="A49" s="74" t="s">
        <v>522</v>
      </c>
      <c r="B49" s="75">
        <f>'FY18 Original'!B48</f>
        <v>1453943</v>
      </c>
      <c r="C49" s="75">
        <f>'FY18 Original'!C48</f>
        <v>0</v>
      </c>
      <c r="D49" s="62">
        <f>'FY18 Original'!D48</f>
        <v>0</v>
      </c>
      <c r="E49" s="63">
        <f>'FY18 Original'!E48</f>
        <v>289720</v>
      </c>
      <c r="F49" s="62">
        <f>'FY18 Original'!F48</f>
        <v>0</v>
      </c>
      <c r="G49" s="62">
        <f>'FY18 Original'!G48</f>
        <v>0</v>
      </c>
      <c r="H49" s="63">
        <f>'FY18 Original'!H48</f>
        <v>0</v>
      </c>
      <c r="I49" s="63">
        <f>'FY18 Original'!I48</f>
        <v>0</v>
      </c>
      <c r="J49" s="62">
        <f>'FY18 Original'!J48</f>
        <v>0</v>
      </c>
      <c r="K49" s="63">
        <f>'FY18 Original'!K48</f>
        <v>0</v>
      </c>
      <c r="L49" s="62">
        <f>'FY18 Original'!L48</f>
        <v>625823</v>
      </c>
      <c r="M49" s="62"/>
      <c r="N49" s="290">
        <f t="shared" si="2"/>
        <v>2369486</v>
      </c>
      <c r="O49" s="290">
        <v>2369486</v>
      </c>
      <c r="P49" s="63">
        <v>2007330</v>
      </c>
      <c r="Q49" s="63">
        <v>2188896</v>
      </c>
    </row>
    <row r="50" spans="1:17" s="66" customFormat="1">
      <c r="A50" s="67" t="s">
        <v>134</v>
      </c>
      <c r="B50" s="77">
        <f>'FY18 Original'!B49</f>
        <v>8352754</v>
      </c>
      <c r="C50" s="77">
        <f>'FY18 Original'!C49</f>
        <v>0</v>
      </c>
      <c r="D50" s="78">
        <f>'FY18 Original'!D49</f>
        <v>0</v>
      </c>
      <c r="E50" s="68">
        <f>'FY18 Original'!E49</f>
        <v>0</v>
      </c>
      <c r="F50" s="78">
        <f>'FY18 Original'!F49</f>
        <v>0</v>
      </c>
      <c r="G50" s="78">
        <f>'FY18 Original'!G49</f>
        <v>0</v>
      </c>
      <c r="H50" s="68">
        <f>'FY18 Original'!H49</f>
        <v>0</v>
      </c>
      <c r="I50" s="68">
        <f>'FY18 Original'!I49</f>
        <v>60000</v>
      </c>
      <c r="J50" s="78">
        <f>'FY18 Original'!J49</f>
        <v>0</v>
      </c>
      <c r="K50" s="68">
        <f>'FY18 Original'!K49</f>
        <v>0</v>
      </c>
      <c r="L50" s="78">
        <f>'FY18 Original'!L49</f>
        <v>3989620</v>
      </c>
      <c r="M50" s="78"/>
      <c r="N50" s="960">
        <f t="shared" si="2"/>
        <v>12402374</v>
      </c>
      <c r="O50" s="960">
        <v>12402374</v>
      </c>
      <c r="P50" s="68">
        <v>11936908</v>
      </c>
      <c r="Q50" s="68">
        <v>11661747</v>
      </c>
    </row>
    <row r="51" spans="1:17" s="66" customFormat="1">
      <c r="A51" s="67" t="s">
        <v>135</v>
      </c>
      <c r="B51" s="84">
        <f t="shared" ref="B51:M51" si="3">SUM(B33:B50)</f>
        <v>122590353</v>
      </c>
      <c r="C51" s="81">
        <f t="shared" si="3"/>
        <v>0</v>
      </c>
      <c r="D51" s="82">
        <f t="shared" si="3"/>
        <v>70448</v>
      </c>
      <c r="E51" s="82">
        <f t="shared" si="3"/>
        <v>7883305</v>
      </c>
      <c r="F51" s="82">
        <f t="shared" si="3"/>
        <v>2248338</v>
      </c>
      <c r="G51" s="82">
        <f t="shared" si="3"/>
        <v>0</v>
      </c>
      <c r="H51" s="82">
        <f t="shared" si="3"/>
        <v>141700</v>
      </c>
      <c r="I51" s="82">
        <f t="shared" si="3"/>
        <v>5851589</v>
      </c>
      <c r="J51" s="82">
        <f t="shared" si="3"/>
        <v>0</v>
      </c>
      <c r="K51" s="82">
        <f t="shared" si="3"/>
        <v>580237</v>
      </c>
      <c r="L51" s="82">
        <f t="shared" si="3"/>
        <v>15555659</v>
      </c>
      <c r="M51" s="82">
        <f t="shared" si="3"/>
        <v>0</v>
      </c>
      <c r="N51" s="961">
        <f>SUM(N33:N50)</f>
        <v>154921629</v>
      </c>
      <c r="O51" s="961">
        <f>SUM(O33:O50)</f>
        <v>154921629</v>
      </c>
      <c r="P51" s="961">
        <f>SUM(P33:P50)</f>
        <v>136297847</v>
      </c>
      <c r="Q51" s="961">
        <f>SUM(Q33:Q50)</f>
        <v>127327316</v>
      </c>
    </row>
    <row r="52" spans="1:17" s="66" customFormat="1" ht="16.5" thickBot="1">
      <c r="A52" s="74" t="s">
        <v>136</v>
      </c>
      <c r="B52" s="85">
        <f t="shared" ref="B52:M52" si="4">B51+B29+B7</f>
        <v>276569732</v>
      </c>
      <c r="C52" s="85">
        <f t="shared" si="4"/>
        <v>21184577</v>
      </c>
      <c r="D52" s="86">
        <f t="shared" si="4"/>
        <v>17143363</v>
      </c>
      <c r="E52" s="86">
        <f t="shared" si="4"/>
        <v>20029899.159999996</v>
      </c>
      <c r="F52" s="86">
        <f t="shared" si="4"/>
        <v>13879751</v>
      </c>
      <c r="G52" s="86">
        <f t="shared" si="4"/>
        <v>102142331</v>
      </c>
      <c r="H52" s="86">
        <f t="shared" si="4"/>
        <v>11277900</v>
      </c>
      <c r="I52" s="86">
        <f t="shared" si="4"/>
        <v>29178604</v>
      </c>
      <c r="J52" s="86">
        <f t="shared" si="4"/>
        <v>1902363</v>
      </c>
      <c r="K52" s="86">
        <f t="shared" si="4"/>
        <v>20151439.228</v>
      </c>
      <c r="L52" s="86">
        <f t="shared" si="4"/>
        <v>39552000</v>
      </c>
      <c r="M52" s="86">
        <f t="shared" si="4"/>
        <v>0</v>
      </c>
      <c r="N52" s="86">
        <f>N51+N29+N7</f>
        <v>553011959.38800001</v>
      </c>
      <c r="O52" s="86">
        <f>O51+O29+O7</f>
        <v>553011959.38800001</v>
      </c>
      <c r="P52" s="86">
        <f>P51+P29+P7</f>
        <v>514885246.15999997</v>
      </c>
      <c r="Q52" s="86">
        <f>Q51+Q29+Q7</f>
        <v>494282652</v>
      </c>
    </row>
    <row r="53" spans="1:17" s="66" customFormat="1" ht="16.5" thickTop="1">
      <c r="A53" s="67"/>
      <c r="B53" s="77"/>
      <c r="C53" s="80"/>
      <c r="D53" s="78"/>
      <c r="E53" s="78"/>
      <c r="F53" s="68"/>
      <c r="G53" s="78"/>
      <c r="H53" s="78"/>
      <c r="I53" s="68"/>
      <c r="J53" s="68"/>
      <c r="K53" s="78"/>
      <c r="L53" s="79"/>
      <c r="M53" s="79"/>
      <c r="N53" s="79"/>
      <c r="O53" s="79"/>
      <c r="P53" s="79"/>
      <c r="Q53" s="79"/>
    </row>
    <row r="54" spans="1:17" s="66" customFormat="1">
      <c r="A54" s="67"/>
      <c r="B54" s="77"/>
      <c r="C54" s="80"/>
      <c r="D54" s="78"/>
      <c r="E54" s="78"/>
      <c r="F54" s="68"/>
      <c r="G54" s="78"/>
      <c r="H54" s="78"/>
      <c r="I54" s="68"/>
      <c r="J54" s="68"/>
      <c r="K54" s="78"/>
      <c r="L54" s="79"/>
      <c r="M54" s="79"/>
      <c r="N54" s="79"/>
      <c r="O54" s="79"/>
      <c r="P54" s="79"/>
      <c r="Q54" s="79"/>
    </row>
    <row r="55" spans="1:17" s="66" customFormat="1">
      <c r="A55" s="67"/>
      <c r="B55" s="77"/>
      <c r="C55" s="80"/>
      <c r="D55" s="78"/>
      <c r="E55" s="68"/>
      <c r="F55" s="78"/>
      <c r="G55" s="78"/>
      <c r="H55" s="68"/>
      <c r="I55" s="68"/>
      <c r="J55" s="68"/>
      <c r="K55" s="78"/>
      <c r="L55" s="208"/>
      <c r="M55" s="79"/>
      <c r="N55" s="960"/>
      <c r="O55" s="960"/>
      <c r="P55" s="79"/>
      <c r="Q55" s="79"/>
    </row>
    <row r="56" spans="1:17" s="66" customFormat="1">
      <c r="A56" s="67"/>
      <c r="B56" s="77"/>
      <c r="C56" s="80"/>
      <c r="D56" s="78"/>
      <c r="E56" s="78"/>
      <c r="F56" s="68"/>
      <c r="G56" s="78"/>
      <c r="H56" s="78"/>
      <c r="I56" s="68"/>
      <c r="J56" s="68"/>
      <c r="K56" s="78"/>
      <c r="L56" s="79"/>
      <c r="M56" s="79"/>
      <c r="N56" s="79"/>
      <c r="O56" s="79"/>
      <c r="P56" s="79"/>
      <c r="Q56" s="79"/>
    </row>
    <row r="57" spans="1:17" s="66" customFormat="1">
      <c r="A57" s="67"/>
      <c r="B57" s="77"/>
      <c r="C57" s="80"/>
      <c r="D57" s="78"/>
      <c r="E57" s="78"/>
      <c r="F57" s="68"/>
      <c r="G57" s="78"/>
      <c r="H57" s="78"/>
      <c r="I57" s="68"/>
      <c r="J57" s="68"/>
      <c r="K57" s="78"/>
      <c r="L57" s="79"/>
      <c r="M57" s="79"/>
      <c r="N57" s="79"/>
      <c r="O57" s="79"/>
      <c r="P57" s="79"/>
      <c r="Q57" s="79"/>
    </row>
    <row r="58" spans="1:17" s="66" customFormat="1">
      <c r="A58" s="67"/>
      <c r="B58" s="77"/>
      <c r="C58" s="80"/>
      <c r="D58" s="78"/>
      <c r="E58" s="78"/>
      <c r="F58" s="68"/>
      <c r="G58" s="78"/>
      <c r="H58" s="78"/>
      <c r="I58" s="68"/>
      <c r="J58" s="68"/>
      <c r="K58" s="78"/>
      <c r="L58" s="79"/>
      <c r="M58" s="79"/>
      <c r="N58" s="79"/>
      <c r="O58" s="79"/>
      <c r="P58" s="79"/>
      <c r="Q58" s="79"/>
    </row>
    <row r="59" spans="1:17" s="66" customFormat="1">
      <c r="A59" s="67"/>
      <c r="B59" s="77"/>
      <c r="C59" s="80"/>
      <c r="D59" s="78"/>
      <c r="E59" s="78"/>
      <c r="F59" s="68"/>
      <c r="G59" s="78"/>
      <c r="H59" s="78"/>
      <c r="I59" s="68"/>
      <c r="J59" s="68"/>
      <c r="K59" s="78"/>
      <c r="L59" s="79"/>
      <c r="M59" s="79"/>
      <c r="N59" s="79"/>
      <c r="O59" s="79"/>
      <c r="P59" s="79"/>
      <c r="Q59" s="79"/>
    </row>
    <row r="60" spans="1:17" s="66" customFormat="1">
      <c r="A60" s="67"/>
      <c r="B60" s="77"/>
      <c r="C60" s="80"/>
      <c r="D60" s="78"/>
      <c r="E60" s="78"/>
      <c r="F60" s="68"/>
      <c r="G60" s="78"/>
      <c r="H60" s="78"/>
      <c r="I60" s="68"/>
      <c r="J60" s="68"/>
      <c r="K60" s="78"/>
      <c r="L60" s="79"/>
      <c r="M60" s="79"/>
      <c r="N60" s="79"/>
      <c r="O60" s="79"/>
      <c r="P60" s="79"/>
      <c r="Q60" s="79"/>
    </row>
    <row r="61" spans="1:17" s="66" customFormat="1">
      <c r="A61" s="67"/>
      <c r="B61" s="77"/>
      <c r="C61" s="80"/>
      <c r="D61" s="78"/>
      <c r="E61" s="78"/>
      <c r="F61" s="68"/>
      <c r="G61" s="78"/>
      <c r="H61" s="78"/>
      <c r="I61" s="68"/>
      <c r="J61" s="68"/>
      <c r="K61" s="78"/>
      <c r="L61" s="79"/>
      <c r="M61" s="79"/>
      <c r="N61" s="79"/>
      <c r="O61" s="79"/>
      <c r="P61" s="79"/>
      <c r="Q61" s="79"/>
    </row>
    <row r="62" spans="1:17" s="66" customFormat="1">
      <c r="A62" s="67"/>
      <c r="B62" s="77"/>
      <c r="C62" s="80"/>
      <c r="D62" s="78"/>
      <c r="E62" s="78"/>
      <c r="F62" s="68"/>
      <c r="G62" s="78"/>
      <c r="H62" s="78"/>
      <c r="I62" s="68"/>
      <c r="J62" s="68"/>
      <c r="K62" s="78"/>
      <c r="L62" s="79"/>
      <c r="M62" s="79"/>
      <c r="N62" s="79"/>
      <c r="O62" s="79"/>
      <c r="P62" s="79"/>
      <c r="Q62" s="79"/>
    </row>
    <row r="63" spans="1:17" s="66" customFormat="1">
      <c r="A63" s="67"/>
      <c r="B63" s="77"/>
      <c r="C63" s="80"/>
      <c r="D63" s="78"/>
      <c r="E63" s="78"/>
      <c r="F63" s="68"/>
      <c r="G63" s="78"/>
      <c r="H63" s="78"/>
      <c r="I63" s="68"/>
      <c r="J63" s="68"/>
      <c r="K63" s="78"/>
      <c r="L63" s="79"/>
      <c r="M63" s="79"/>
      <c r="N63" s="79"/>
      <c r="O63" s="79"/>
      <c r="P63" s="79"/>
      <c r="Q63" s="79"/>
    </row>
    <row r="64" spans="1:17" s="66" customFormat="1">
      <c r="A64" s="67"/>
      <c r="B64" s="77"/>
      <c r="C64" s="80"/>
      <c r="D64" s="78"/>
      <c r="E64" s="78"/>
      <c r="F64" s="68"/>
      <c r="G64" s="78"/>
      <c r="H64" s="78"/>
      <c r="I64" s="68"/>
      <c r="J64" s="68"/>
      <c r="K64" s="78"/>
      <c r="L64" s="79"/>
      <c r="M64" s="79"/>
      <c r="N64" s="79"/>
      <c r="O64" s="79"/>
      <c r="P64" s="79"/>
      <c r="Q64" s="79"/>
    </row>
    <row r="65" spans="1:17" s="66" customFormat="1">
      <c r="A65" s="67"/>
      <c r="B65" s="77"/>
      <c r="C65" s="80"/>
      <c r="D65" s="78"/>
      <c r="E65" s="78"/>
      <c r="F65" s="68"/>
      <c r="G65" s="78"/>
      <c r="H65" s="78"/>
      <c r="I65" s="68"/>
      <c r="J65" s="68"/>
      <c r="K65" s="78"/>
      <c r="L65" s="79"/>
      <c r="M65" s="79"/>
      <c r="N65" s="79"/>
      <c r="O65" s="79"/>
      <c r="P65" s="79"/>
      <c r="Q65" s="79"/>
    </row>
    <row r="66" spans="1:17" s="66" customFormat="1">
      <c r="A66" s="67"/>
      <c r="B66" s="77"/>
      <c r="C66" s="80"/>
      <c r="D66" s="78"/>
      <c r="E66" s="78"/>
      <c r="F66" s="68"/>
      <c r="G66" s="78"/>
      <c r="H66" s="78"/>
      <c r="I66" s="68"/>
      <c r="J66" s="68"/>
      <c r="K66" s="78"/>
      <c r="L66" s="79"/>
      <c r="M66" s="79"/>
      <c r="N66" s="79"/>
      <c r="O66" s="79"/>
      <c r="P66" s="79"/>
      <c r="Q66" s="79"/>
    </row>
    <row r="67" spans="1:17" s="66" customFormat="1">
      <c r="A67" s="67"/>
      <c r="B67" s="77"/>
      <c r="C67" s="80"/>
      <c r="D67" s="78"/>
      <c r="E67" s="78"/>
      <c r="F67" s="68"/>
      <c r="G67" s="78"/>
      <c r="H67" s="78"/>
      <c r="I67" s="68"/>
      <c r="J67" s="68"/>
      <c r="K67" s="78"/>
      <c r="L67" s="79"/>
      <c r="M67" s="79"/>
      <c r="N67" s="79"/>
      <c r="O67" s="79"/>
      <c r="P67" s="79"/>
      <c r="Q67" s="79"/>
    </row>
    <row r="68" spans="1:17" s="66" customFormat="1">
      <c r="A68" s="67"/>
      <c r="B68" s="77"/>
      <c r="C68" s="80"/>
      <c r="D68" s="78"/>
      <c r="E68" s="78"/>
      <c r="F68" s="68"/>
      <c r="G68" s="78"/>
      <c r="H68" s="78"/>
      <c r="I68" s="68"/>
      <c r="J68" s="68"/>
      <c r="K68" s="78"/>
      <c r="L68" s="79"/>
      <c r="M68" s="79"/>
      <c r="N68" s="79"/>
      <c r="O68" s="79"/>
      <c r="P68" s="79"/>
      <c r="Q68" s="79"/>
    </row>
    <row r="69" spans="1:17" s="66" customFormat="1">
      <c r="B69" s="80"/>
      <c r="C69" s="80"/>
      <c r="D69" s="80"/>
      <c r="E69" s="69"/>
      <c r="F69" s="69"/>
      <c r="G69" s="69"/>
      <c r="H69" s="69"/>
      <c r="I69" s="69"/>
      <c r="J69" s="69"/>
      <c r="K69" s="69"/>
    </row>
    <row r="70" spans="1:17" s="66" customFormat="1">
      <c r="B70" s="80"/>
      <c r="C70" s="80"/>
      <c r="D70" s="80"/>
      <c r="E70" s="69"/>
      <c r="F70" s="69"/>
      <c r="G70" s="69"/>
      <c r="H70" s="69"/>
      <c r="I70" s="69"/>
      <c r="J70" s="69"/>
      <c r="K70" s="69"/>
    </row>
    <row r="71" spans="1:17" s="66" customFormat="1">
      <c r="B71" s="80"/>
      <c r="C71" s="80"/>
      <c r="D71" s="80"/>
      <c r="E71" s="69"/>
      <c r="F71" s="69"/>
      <c r="G71" s="69"/>
      <c r="H71" s="69"/>
      <c r="I71" s="69"/>
      <c r="J71" s="69"/>
      <c r="K71" s="69"/>
    </row>
    <row r="72" spans="1:17" s="66" customFormat="1">
      <c r="B72" s="67"/>
      <c r="C72" s="67"/>
      <c r="D72" s="76"/>
      <c r="E72" s="69"/>
      <c r="F72" s="69"/>
      <c r="G72" s="69"/>
      <c r="H72" s="69"/>
      <c r="I72" s="69"/>
      <c r="J72" s="69"/>
      <c r="K72" s="69"/>
    </row>
    <row r="73" spans="1:17" s="66" customFormat="1">
      <c r="B73" s="67"/>
      <c r="C73" s="67"/>
      <c r="D73" s="76"/>
      <c r="E73" s="69"/>
      <c r="F73" s="69"/>
      <c r="G73" s="69"/>
      <c r="H73" s="69"/>
      <c r="I73" s="69"/>
      <c r="J73" s="69"/>
      <c r="K73" s="69"/>
    </row>
    <row r="74" spans="1:17" s="66" customFormat="1">
      <c r="D74" s="69"/>
      <c r="E74" s="69"/>
      <c r="F74" s="69"/>
      <c r="G74" s="69"/>
      <c r="H74" s="69"/>
      <c r="I74" s="69"/>
      <c r="J74" s="69"/>
      <c r="K74" s="69"/>
    </row>
  </sheetData>
  <mergeCells count="4">
    <mergeCell ref="A1:Q1"/>
    <mergeCell ref="A2:Q2"/>
    <mergeCell ref="A3:Q3"/>
    <mergeCell ref="B5:C5"/>
  </mergeCells>
  <phoneticPr fontId="62" type="noConversion"/>
  <pageMargins left="0.75" right="0.75" top="1" bottom="1" header="0.5" footer="0.5"/>
  <pageSetup paperSize="5" scale="53" orientation="landscape"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vt:i4>
      </vt:variant>
    </vt:vector>
  </HeadingPairs>
  <TitlesOfParts>
    <vt:vector size="44" baseType="lpstr">
      <vt:lpstr>Dashboard-Academic Allocation</vt:lpstr>
      <vt:lpstr>Service and Support Allocation</vt:lpstr>
      <vt:lpstr>Distribution Pools</vt:lpstr>
      <vt:lpstr>Allocation by Category</vt:lpstr>
      <vt:lpstr>Pools, Rates, Reference</vt:lpstr>
      <vt:lpstr>Step 0 FY18 Revenue</vt:lpstr>
      <vt:lpstr>FY18 Original</vt:lpstr>
      <vt:lpstr>Step 1a IM Summary</vt:lpstr>
      <vt:lpstr>Step 1b.  FY18  Revised</vt:lpstr>
      <vt:lpstr>Step 1 Contract and Reserves</vt:lpstr>
      <vt:lpstr>Step 2 Exec and Strategic</vt:lpstr>
      <vt:lpstr>Step 3 Dedicated Funds</vt:lpstr>
      <vt:lpstr>Step 4 Productivity Split</vt:lpstr>
      <vt:lpstr>Step 5a Serv Support Measures</vt:lpstr>
      <vt:lpstr>Step 5 Support Funds</vt:lpstr>
      <vt:lpstr>Step 6 Acad Productivity+Floor</vt:lpstr>
      <vt:lpstr>Step 7 FY16 Final Model</vt:lpstr>
      <vt:lpstr>Compile Productivity $</vt:lpstr>
      <vt:lpstr>Foundation SCH</vt:lpstr>
      <vt:lpstr>Honors College Incentive</vt:lpstr>
      <vt:lpstr>Undergrad Completions</vt:lpstr>
      <vt:lpstr>Graduate Completions</vt:lpstr>
      <vt:lpstr>Ecampus And Summer</vt:lpstr>
      <vt:lpstr>Strategic Populations</vt:lpstr>
      <vt:lpstr>Interdisciplinary Graduate</vt:lpstr>
      <vt:lpstr>Grant Data</vt:lpstr>
      <vt:lpstr>Cascades Incentive</vt:lpstr>
      <vt:lpstr>Pharmacy Vet Med</vt:lpstr>
      <vt:lpstr>FY18 Floor Calculations</vt:lpstr>
      <vt:lpstr>Inst Management Detail</vt:lpstr>
      <vt:lpstr>Overhead Assessment</vt:lpstr>
      <vt:lpstr>Executive  Funding</vt:lpstr>
      <vt:lpstr>FY18 OSU Targeted Fund Detail</vt:lpstr>
      <vt:lpstr>State Targeted Funding</vt:lpstr>
      <vt:lpstr>Differential Tuition Allocation</vt:lpstr>
      <vt:lpstr>Buildings</vt:lpstr>
      <vt:lpstr>Weights</vt:lpstr>
      <vt:lpstr>Space Assigned</vt:lpstr>
      <vt:lpstr>F&amp;A Recovery</vt:lpstr>
      <vt:lpstr>FY18 SSCM Allocation</vt:lpstr>
      <vt:lpstr>'Dashboard-Academic Allocation'!Print_Area</vt:lpstr>
      <vt:lpstr>'FY18 Original'!Print_Area</vt:lpstr>
      <vt:lpstr>'Step 1a IM Summary'!Print_Area</vt:lpstr>
      <vt:lpstr>'Step 6 Acad Productivity+Floor'!Print_Area</vt:lpstr>
    </vt:vector>
  </TitlesOfParts>
  <Company>KPKV3-V9R8X-QMTGH-YXTCG-8P6HM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COSINe SHB</dc:creator>
  <cp:lastModifiedBy>Karren</cp:lastModifiedBy>
  <cp:lastPrinted>2017-06-14T20:13:57Z</cp:lastPrinted>
  <dcterms:created xsi:type="dcterms:W3CDTF">2014-08-14T19:38:10Z</dcterms:created>
  <dcterms:modified xsi:type="dcterms:W3CDTF">2017-08-17T20:48:55Z</dcterms:modified>
</cp:coreProperties>
</file>