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Volumes/Data/Users/bloomers/Dropbox/FY Issues/FY22/Budget Model Development/1.Model changes/Kayla correct/"/>
    </mc:Choice>
  </mc:AlternateContent>
  <xr:revisionPtr revIDLastSave="0" documentId="8_{1E28613B-F598-8A41-B08F-671A934E5A36}" xr6:coauthVersionLast="47" xr6:coauthVersionMax="47" xr10:uidLastSave="{00000000-0000-0000-0000-000000000000}"/>
  <bookViews>
    <workbookView xWindow="0" yWindow="500" windowWidth="38680" windowHeight="11020" activeTab="2" xr2:uid="{00000000-000D-0000-FFFF-FFFF00000000}"/>
  </bookViews>
  <sheets>
    <sheet name="Process" sheetId="28" r:id="rId1"/>
    <sheet name="Change Log" sheetId="2" r:id="rId2"/>
    <sheet name="Dashboard" sheetId="1" r:id="rId3"/>
    <sheet name="Step 0 Revenue Detail" sheetId="3" r:id="rId4"/>
    <sheet name="FINAL-Distributed E&amp;G Budget" sheetId="27" r:id="rId5"/>
    <sheet name="Change Summary" sheetId="31" r:id="rId6"/>
    <sheet name="TECH CHANGE" sheetId="34" r:id="rId7"/>
    <sheet name="TECH CHANGE-Grad Health" sheetId="35" r:id="rId8"/>
    <sheet name="Productivity Split" sheetId="5" r:id="rId9"/>
    <sheet name="IM" sheetId="7" r:id="rId10"/>
    <sheet name="Service Support &amp; Mgmt" sheetId="15" r:id="rId11"/>
    <sheet name="Support &amp; Exec Detail" sheetId="29" r:id="rId12"/>
    <sheet name="Productivity Calc" sheetId="14" r:id="rId13"/>
    <sheet name="Differential" sheetId="10" r:id="rId14"/>
    <sheet name="Ecampus" sheetId="13" r:id="rId15"/>
    <sheet name="Summer" sheetId="18" r:id="rId16"/>
    <sheet name="Research" sheetId="23" r:id="rId17"/>
    <sheet name="Data-Credit &amp; Degree" sheetId="11" r:id="rId18"/>
    <sheet name="Vet Med &amp; Pharm" sheetId="32" r:id="rId19"/>
    <sheet name="Weights" sheetId="21" r:id="rId20"/>
    <sheet name="Floor Calc" sheetId="24"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49" i="34" l="1"/>
  <c r="R30" i="34"/>
  <c r="J7" i="34" l="1"/>
  <c r="J8" i="34" l="1"/>
  <c r="R40" i="34"/>
  <c r="S30" i="34"/>
  <c r="S31" i="34"/>
  <c r="S33" i="34"/>
  <c r="H29" i="35"/>
  <c r="G29" i="35"/>
  <c r="J29" i="35" s="1"/>
  <c r="P29" i="34" s="1"/>
  <c r="S29" i="34" s="1"/>
  <c r="E29" i="35"/>
  <c r="E28" i="35"/>
  <c r="H28" i="35" s="1"/>
  <c r="H27" i="35"/>
  <c r="G27" i="35"/>
  <c r="J27" i="35" s="1"/>
  <c r="P27" i="34" s="1"/>
  <c r="S27" i="34" s="1"/>
  <c r="E27" i="35"/>
  <c r="E26" i="35"/>
  <c r="H26" i="35" s="1"/>
  <c r="H25" i="35"/>
  <c r="G25" i="35"/>
  <c r="J25" i="35" s="1"/>
  <c r="P25" i="34" s="1"/>
  <c r="S25" i="34" s="1"/>
  <c r="E25" i="35"/>
  <c r="E24" i="35"/>
  <c r="H24" i="35" s="1"/>
  <c r="H23" i="35"/>
  <c r="G23" i="35"/>
  <c r="J23" i="35" s="1"/>
  <c r="P23" i="34" s="1"/>
  <c r="S23" i="34" s="1"/>
  <c r="E23" i="35"/>
  <c r="E22" i="35"/>
  <c r="H22" i="35" s="1"/>
  <c r="H21" i="35"/>
  <c r="G21" i="35"/>
  <c r="J21" i="35" s="1"/>
  <c r="P21" i="34" s="1"/>
  <c r="S21" i="34" s="1"/>
  <c r="E21" i="35"/>
  <c r="E20" i="35"/>
  <c r="H20" i="35" s="1"/>
  <c r="H19" i="35"/>
  <c r="G19" i="35"/>
  <c r="J19" i="35" s="1"/>
  <c r="P19" i="34" s="1"/>
  <c r="S19" i="34" s="1"/>
  <c r="E19" i="35"/>
  <c r="E18" i="35"/>
  <c r="H18" i="35" s="1"/>
  <c r="C16" i="35"/>
  <c r="B16" i="35"/>
  <c r="P56" i="34"/>
  <c r="P57" i="34" s="1"/>
  <c r="O56" i="34"/>
  <c r="O57" i="34" s="1"/>
  <c r="H56" i="34"/>
  <c r="G56" i="34"/>
  <c r="F56" i="34"/>
  <c r="E56" i="34"/>
  <c r="D56" i="34"/>
  <c r="C56" i="34"/>
  <c r="S55" i="34"/>
  <c r="R55" i="34"/>
  <c r="I55" i="34"/>
  <c r="S54" i="34"/>
  <c r="R54" i="34"/>
  <c r="I54" i="34"/>
  <c r="S53" i="34"/>
  <c r="R53" i="34"/>
  <c r="I53" i="34"/>
  <c r="S52" i="34"/>
  <c r="R52" i="34"/>
  <c r="I52" i="34"/>
  <c r="S51" i="34"/>
  <c r="R51" i="34"/>
  <c r="I51" i="34"/>
  <c r="S50" i="34"/>
  <c r="R50" i="34"/>
  <c r="I50" i="34"/>
  <c r="S49" i="34"/>
  <c r="I49" i="34"/>
  <c r="S48" i="34"/>
  <c r="R48" i="34"/>
  <c r="I48" i="34"/>
  <c r="S47" i="34"/>
  <c r="R47" i="34"/>
  <c r="I47" i="34"/>
  <c r="S46" i="34"/>
  <c r="R46" i="34"/>
  <c r="I46" i="34"/>
  <c r="S45" i="34"/>
  <c r="R45" i="34"/>
  <c r="I45" i="34"/>
  <c r="S44" i="34"/>
  <c r="R44" i="34"/>
  <c r="I44" i="34"/>
  <c r="S43" i="34"/>
  <c r="R43" i="34"/>
  <c r="I43" i="34"/>
  <c r="S42" i="34"/>
  <c r="R42" i="34"/>
  <c r="I42" i="34"/>
  <c r="S41" i="34"/>
  <c r="I41" i="34"/>
  <c r="J41" i="34" s="1"/>
  <c r="S40" i="34"/>
  <c r="I40" i="34"/>
  <c r="J40" i="34" s="1"/>
  <c r="S39" i="34"/>
  <c r="H36" i="34"/>
  <c r="G36" i="34"/>
  <c r="F36" i="34"/>
  <c r="E36" i="34"/>
  <c r="E14" i="34" s="1"/>
  <c r="D36" i="34"/>
  <c r="D14" i="34" s="1"/>
  <c r="C36" i="34"/>
  <c r="C14" i="34" s="1"/>
  <c r="S35" i="34"/>
  <c r="I35" i="34"/>
  <c r="R34" i="34"/>
  <c r="S34" i="34"/>
  <c r="I34" i="34"/>
  <c r="I33" i="34"/>
  <c r="S32" i="34"/>
  <c r="R32" i="34"/>
  <c r="I32" i="34"/>
  <c r="J32" i="34"/>
  <c r="R31" i="34"/>
  <c r="I31" i="34"/>
  <c r="I30" i="34"/>
  <c r="I29" i="34"/>
  <c r="I28" i="34"/>
  <c r="J28" i="34"/>
  <c r="I27" i="34"/>
  <c r="I26" i="34"/>
  <c r="I25" i="34"/>
  <c r="I24" i="34"/>
  <c r="I23" i="34"/>
  <c r="S22" i="34"/>
  <c r="I22" i="34"/>
  <c r="I21" i="34"/>
  <c r="I20" i="34"/>
  <c r="I19" i="34"/>
  <c r="I18" i="34"/>
  <c r="G14" i="34"/>
  <c r="F14" i="34"/>
  <c r="J13" i="34"/>
  <c r="J12" i="34"/>
  <c r="J11" i="34"/>
  <c r="J10" i="34"/>
  <c r="J9" i="34"/>
  <c r="J52" i="34" l="1"/>
  <c r="J35" i="34"/>
  <c r="J26" i="34"/>
  <c r="J31" i="34"/>
  <c r="S56" i="34"/>
  <c r="J42" i="34"/>
  <c r="J27" i="34"/>
  <c r="R56" i="34"/>
  <c r="J25" i="34"/>
  <c r="J33" i="34"/>
  <c r="F57" i="34"/>
  <c r="J30" i="34"/>
  <c r="G57" i="34"/>
  <c r="J51" i="34"/>
  <c r="J46" i="34"/>
  <c r="J19" i="34"/>
  <c r="J24" i="34"/>
  <c r="J48" i="34"/>
  <c r="J53" i="34"/>
  <c r="J21" i="34"/>
  <c r="J29" i="34"/>
  <c r="J43" i="34"/>
  <c r="I56" i="34"/>
  <c r="E57" i="34"/>
  <c r="J45" i="34"/>
  <c r="J20" i="34"/>
  <c r="J47" i="34"/>
  <c r="J18" i="34"/>
  <c r="J44" i="34"/>
  <c r="J55" i="34"/>
  <c r="I36" i="34"/>
  <c r="R36" i="34"/>
  <c r="R57" i="34" s="1"/>
  <c r="J34" i="34"/>
  <c r="H57" i="34"/>
  <c r="J49" i="34"/>
  <c r="J22" i="34"/>
  <c r="G18" i="35"/>
  <c r="J18" i="35" s="1"/>
  <c r="P18" i="34" s="1"/>
  <c r="S18" i="34" s="1"/>
  <c r="S36" i="34" s="1"/>
  <c r="G20" i="35"/>
  <c r="J20" i="35" s="1"/>
  <c r="P20" i="34" s="1"/>
  <c r="S20" i="34" s="1"/>
  <c r="G22" i="35"/>
  <c r="J22" i="35" s="1"/>
  <c r="G24" i="35"/>
  <c r="J24" i="35" s="1"/>
  <c r="P24" i="34" s="1"/>
  <c r="S24" i="34" s="1"/>
  <c r="G26" i="35"/>
  <c r="J26" i="35" s="1"/>
  <c r="P26" i="34" s="1"/>
  <c r="G28" i="35"/>
  <c r="J28" i="35" s="1"/>
  <c r="P28" i="34" s="1"/>
  <c r="J54" i="34"/>
  <c r="C57" i="34"/>
  <c r="J50" i="34"/>
  <c r="J23" i="34"/>
  <c r="I57" i="34" l="1"/>
  <c r="S57" i="34"/>
  <c r="D57" i="34"/>
  <c r="J56" i="34"/>
  <c r="J36" i="34"/>
  <c r="J14" i="34"/>
  <c r="J57" i="34" l="1"/>
  <c r="H9" i="31" l="1"/>
  <c r="H10" i="31"/>
  <c r="H11" i="31"/>
  <c r="H12" i="31"/>
  <c r="H13" i="31"/>
  <c r="H14" i="31"/>
  <c r="I14" i="31"/>
  <c r="H15" i="31"/>
  <c r="I15" i="31" s="1"/>
  <c r="H16" i="31"/>
  <c r="I16" i="31" s="1"/>
  <c r="H38" i="31"/>
  <c r="H6" i="31"/>
  <c r="AF36" i="27" l="1"/>
  <c r="AG36" i="27"/>
  <c r="AG56" i="27"/>
  <c r="AG8" i="27" l="1"/>
  <c r="AG57" i="27"/>
  <c r="O28" i="27"/>
  <c r="F36" i="32"/>
  <c r="F35" i="32"/>
  <c r="F8" i="32"/>
  <c r="F7" i="32"/>
  <c r="I56" i="27"/>
  <c r="J39" i="27"/>
  <c r="J40" i="27"/>
  <c r="J41" i="27"/>
  <c r="J42" i="27"/>
  <c r="J43" i="27"/>
  <c r="J44" i="27"/>
  <c r="J45" i="27"/>
  <c r="J46" i="27"/>
  <c r="J47" i="27"/>
  <c r="J48" i="27"/>
  <c r="J51" i="27"/>
  <c r="J9" i="27"/>
  <c r="F46" i="32" l="1"/>
  <c r="F41" i="32"/>
  <c r="B47" i="32" l="1"/>
  <c r="B50" i="32" s="1"/>
  <c r="B16" i="32" l="1"/>
  <c r="B20" i="32" l="1"/>
  <c r="B23" i="32" l="1"/>
  <c r="O35" i="27" l="1"/>
  <c r="O29" i="27"/>
  <c r="O23" i="27"/>
  <c r="F39" i="29" l="1"/>
  <c r="D14" i="5" l="1"/>
  <c r="D30" i="15"/>
  <c r="E30" i="15"/>
  <c r="G30" i="15"/>
  <c r="F9" i="15" l="1"/>
  <c r="D118" i="29"/>
  <c r="F4" i="29"/>
  <c r="J9" i="15" s="1"/>
  <c r="I9" i="15" l="1"/>
  <c r="N18" i="7"/>
  <c r="N26" i="7"/>
  <c r="G101" i="2"/>
  <c r="G102" i="2"/>
  <c r="G103" i="2"/>
  <c r="G104" i="2"/>
  <c r="G100" i="2"/>
  <c r="Q30" i="27" l="1"/>
  <c r="U30" i="27" s="1"/>
  <c r="AJ6" i="27"/>
  <c r="K30" i="13"/>
  <c r="B28" i="15" l="1"/>
  <c r="B22" i="15"/>
  <c r="C110" i="31" l="1"/>
  <c r="D110" i="31"/>
  <c r="E110" i="31"/>
  <c r="F110" i="31"/>
  <c r="G110" i="31"/>
  <c r="H110" i="31"/>
  <c r="C90" i="31" l="1"/>
  <c r="D90" i="31"/>
  <c r="E90" i="31"/>
  <c r="F90" i="31"/>
  <c r="F111" i="31" s="1"/>
  <c r="G90" i="31"/>
  <c r="G111" i="31" s="1"/>
  <c r="H90" i="31"/>
  <c r="L69" i="31"/>
  <c r="M69" i="31"/>
  <c r="N69" i="31"/>
  <c r="O69" i="31"/>
  <c r="P69" i="31"/>
  <c r="Q69" i="31"/>
  <c r="R69" i="31"/>
  <c r="S69" i="31"/>
  <c r="L70" i="31"/>
  <c r="M70" i="31"/>
  <c r="N70" i="31"/>
  <c r="O70" i="31"/>
  <c r="P70" i="31"/>
  <c r="Q70" i="31"/>
  <c r="R70" i="31"/>
  <c r="S70" i="31"/>
  <c r="L71" i="31"/>
  <c r="M71" i="31"/>
  <c r="N71" i="31"/>
  <c r="O71" i="31"/>
  <c r="P71" i="31"/>
  <c r="Q71" i="31"/>
  <c r="R71" i="31"/>
  <c r="S71" i="31"/>
  <c r="L126" i="31"/>
  <c r="M126" i="31"/>
  <c r="N126" i="31"/>
  <c r="O126" i="31"/>
  <c r="P126" i="31"/>
  <c r="Q126" i="31"/>
  <c r="R126" i="31"/>
  <c r="S126" i="31"/>
  <c r="I163" i="31"/>
  <c r="I156" i="31"/>
  <c r="C165" i="31"/>
  <c r="D165" i="31"/>
  <c r="E165" i="31"/>
  <c r="F165" i="31"/>
  <c r="G165" i="31"/>
  <c r="H165" i="31"/>
  <c r="C145" i="31"/>
  <c r="D145" i="31"/>
  <c r="E145" i="31"/>
  <c r="F145" i="31"/>
  <c r="G145" i="31"/>
  <c r="H145" i="31"/>
  <c r="I150" i="31"/>
  <c r="I151" i="31"/>
  <c r="I152" i="31"/>
  <c r="I153" i="31"/>
  <c r="I154" i="31"/>
  <c r="I155" i="31"/>
  <c r="I157" i="31"/>
  <c r="I158" i="31"/>
  <c r="I159" i="31"/>
  <c r="I160" i="31"/>
  <c r="I161" i="31"/>
  <c r="I162" i="31"/>
  <c r="I164" i="31"/>
  <c r="I149" i="31"/>
  <c r="I117" i="31"/>
  <c r="I118" i="31"/>
  <c r="I119" i="31"/>
  <c r="I120" i="31"/>
  <c r="I121" i="31"/>
  <c r="I122" i="31"/>
  <c r="I123" i="31"/>
  <c r="I127" i="31"/>
  <c r="I128" i="31"/>
  <c r="I129" i="31"/>
  <c r="I130" i="31"/>
  <c r="I131" i="31"/>
  <c r="I132" i="31"/>
  <c r="I133" i="31"/>
  <c r="I134" i="31"/>
  <c r="I135" i="31"/>
  <c r="I136" i="31"/>
  <c r="I137" i="31"/>
  <c r="I138" i="31"/>
  <c r="I139" i="31"/>
  <c r="I140" i="31"/>
  <c r="I141" i="31"/>
  <c r="I142" i="31"/>
  <c r="I143" i="31"/>
  <c r="I144" i="31"/>
  <c r="I116" i="31"/>
  <c r="I145" i="31" l="1"/>
  <c r="F166" i="31"/>
  <c r="I165" i="31"/>
  <c r="I166" i="31" s="1"/>
  <c r="I68" i="31" l="1"/>
  <c r="E111" i="31"/>
  <c r="I95" i="31"/>
  <c r="I96" i="31"/>
  <c r="I97" i="31"/>
  <c r="I98" i="31"/>
  <c r="I99" i="31"/>
  <c r="I100" i="31"/>
  <c r="I101" i="31"/>
  <c r="I102" i="31"/>
  <c r="I103" i="31"/>
  <c r="I104" i="31"/>
  <c r="I105" i="31"/>
  <c r="I106" i="31"/>
  <c r="I107" i="31"/>
  <c r="I108" i="31"/>
  <c r="I109" i="31"/>
  <c r="I94" i="31"/>
  <c r="I62" i="31"/>
  <c r="I63" i="31"/>
  <c r="I64" i="31"/>
  <c r="I65" i="31"/>
  <c r="I66" i="31"/>
  <c r="I67" i="31"/>
  <c r="I72" i="31"/>
  <c r="I73" i="31"/>
  <c r="I74" i="31"/>
  <c r="I75" i="31"/>
  <c r="I76" i="31"/>
  <c r="I77" i="31"/>
  <c r="I78" i="31"/>
  <c r="I79" i="31"/>
  <c r="I80" i="31"/>
  <c r="I81" i="31"/>
  <c r="I82" i="31"/>
  <c r="I83" i="31"/>
  <c r="I84" i="31"/>
  <c r="I85" i="31"/>
  <c r="I86" i="31"/>
  <c r="I87" i="31"/>
  <c r="I88" i="31"/>
  <c r="I89" i="31"/>
  <c r="I61" i="31"/>
  <c r="I90" i="31" l="1"/>
  <c r="I110" i="31"/>
  <c r="I111" i="31" l="1"/>
  <c r="H166" i="31" l="1"/>
  <c r="G166" i="31"/>
  <c r="E166" i="31"/>
  <c r="D166" i="31"/>
  <c r="C166" i="31"/>
  <c r="B165" i="31"/>
  <c r="B145" i="31"/>
  <c r="B90" i="31"/>
  <c r="H111" i="31"/>
  <c r="B110" i="31"/>
  <c r="C111" i="31"/>
  <c r="D111" i="31"/>
  <c r="D7" i="31"/>
  <c r="F7" i="31"/>
  <c r="G7" i="31"/>
  <c r="C8" i="31"/>
  <c r="F8" i="31"/>
  <c r="G8" i="31"/>
  <c r="C9" i="31"/>
  <c r="D9" i="31"/>
  <c r="F9" i="31"/>
  <c r="G9" i="31"/>
  <c r="D10" i="31"/>
  <c r="F10" i="31"/>
  <c r="G10" i="31"/>
  <c r="D11" i="31"/>
  <c r="F11" i="31"/>
  <c r="G11" i="31"/>
  <c r="D12" i="31"/>
  <c r="F12" i="31"/>
  <c r="G12" i="31"/>
  <c r="C13" i="31"/>
  <c r="D13" i="31"/>
  <c r="C17" i="31"/>
  <c r="D17" i="31"/>
  <c r="E17" i="31"/>
  <c r="C18" i="31"/>
  <c r="D18" i="31"/>
  <c r="E18" i="31"/>
  <c r="C19" i="31"/>
  <c r="D19" i="31"/>
  <c r="E19" i="31"/>
  <c r="C20" i="31"/>
  <c r="E20" i="31"/>
  <c r="D21" i="31"/>
  <c r="E21" i="31"/>
  <c r="C22" i="31"/>
  <c r="E22" i="31"/>
  <c r="D23" i="31"/>
  <c r="E23" i="31"/>
  <c r="C24" i="31"/>
  <c r="E24" i="31"/>
  <c r="C25" i="31"/>
  <c r="E25" i="31"/>
  <c r="D26" i="31"/>
  <c r="E26" i="31"/>
  <c r="E27" i="31"/>
  <c r="E28" i="31"/>
  <c r="C29" i="31"/>
  <c r="D29" i="31"/>
  <c r="E29" i="31"/>
  <c r="F29" i="31"/>
  <c r="C30" i="31"/>
  <c r="D30" i="31"/>
  <c r="E30" i="31"/>
  <c r="F30" i="31"/>
  <c r="C31" i="31"/>
  <c r="D31" i="31"/>
  <c r="F31" i="31"/>
  <c r="C32" i="31"/>
  <c r="D32" i="31"/>
  <c r="E32" i="31"/>
  <c r="C33" i="31"/>
  <c r="D33" i="31"/>
  <c r="F33" i="31"/>
  <c r="C34" i="31"/>
  <c r="E34" i="31"/>
  <c r="F34" i="31"/>
  <c r="C38" i="31"/>
  <c r="D38" i="31"/>
  <c r="E38" i="31"/>
  <c r="F38" i="31"/>
  <c r="G38" i="31"/>
  <c r="D39" i="31"/>
  <c r="F39" i="31"/>
  <c r="D40" i="31"/>
  <c r="F40" i="31"/>
  <c r="C41" i="31"/>
  <c r="D41" i="31"/>
  <c r="F41" i="31"/>
  <c r="D42" i="31"/>
  <c r="F42" i="31"/>
  <c r="D43" i="31"/>
  <c r="F43" i="31"/>
  <c r="D44" i="31"/>
  <c r="E44" i="31"/>
  <c r="F44" i="31"/>
  <c r="C45" i="31"/>
  <c r="D45" i="31"/>
  <c r="F45" i="31"/>
  <c r="C46" i="31"/>
  <c r="D46" i="31"/>
  <c r="C47" i="31"/>
  <c r="D47" i="31"/>
  <c r="F47" i="31"/>
  <c r="C48" i="31"/>
  <c r="D48" i="31"/>
  <c r="F48" i="31"/>
  <c r="D49" i="31"/>
  <c r="F49" i="31"/>
  <c r="C50" i="31"/>
  <c r="D50" i="31"/>
  <c r="F50" i="31"/>
  <c r="C51" i="31"/>
  <c r="D51" i="31"/>
  <c r="F51" i="31"/>
  <c r="C52" i="31"/>
  <c r="D52" i="31"/>
  <c r="C53" i="31"/>
  <c r="D53" i="31"/>
  <c r="F53" i="31"/>
  <c r="C54" i="31"/>
  <c r="D54" i="31"/>
  <c r="F54" i="31"/>
  <c r="G6" i="31"/>
  <c r="F6" i="31"/>
  <c r="D6" i="31"/>
  <c r="M109" i="31" l="1"/>
  <c r="M164" i="31"/>
  <c r="N106" i="31"/>
  <c r="N161" i="31"/>
  <c r="O99" i="31"/>
  <c r="O154" i="31"/>
  <c r="Q93" i="31"/>
  <c r="Q148" i="31"/>
  <c r="N143" i="31"/>
  <c r="N88" i="31"/>
  <c r="N141" i="31"/>
  <c r="N86" i="31"/>
  <c r="N139" i="31"/>
  <c r="N84" i="31"/>
  <c r="O137" i="31"/>
  <c r="O82" i="31"/>
  <c r="O135" i="31"/>
  <c r="O80" i="31"/>
  <c r="O133" i="31"/>
  <c r="O78" i="31"/>
  <c r="O131" i="31"/>
  <c r="O76" i="31"/>
  <c r="O129" i="31"/>
  <c r="O74" i="31"/>
  <c r="O127" i="31"/>
  <c r="O72" i="31"/>
  <c r="R67" i="31"/>
  <c r="R122" i="31"/>
  <c r="Q66" i="31"/>
  <c r="Q121" i="31"/>
  <c r="P65" i="31"/>
  <c r="P120" i="31"/>
  <c r="M64" i="31"/>
  <c r="M119" i="31"/>
  <c r="P62" i="31"/>
  <c r="P117" i="31"/>
  <c r="P108" i="31"/>
  <c r="P163" i="31"/>
  <c r="P103" i="31"/>
  <c r="P158" i="31"/>
  <c r="N101" i="31"/>
  <c r="N156" i="31"/>
  <c r="N99" i="31"/>
  <c r="N154" i="31"/>
  <c r="N97" i="31"/>
  <c r="N152" i="31"/>
  <c r="N95" i="31"/>
  <c r="N150" i="31"/>
  <c r="P148" i="31"/>
  <c r="P93" i="31"/>
  <c r="M88" i="31"/>
  <c r="M143" i="31"/>
  <c r="M86" i="31"/>
  <c r="M141" i="31"/>
  <c r="M84" i="31"/>
  <c r="M139" i="31"/>
  <c r="N78" i="31"/>
  <c r="N133" i="31"/>
  <c r="N76" i="31"/>
  <c r="N131" i="31"/>
  <c r="N74" i="31"/>
  <c r="N129" i="31"/>
  <c r="N72" i="31"/>
  <c r="N127" i="31"/>
  <c r="Q67" i="31"/>
  <c r="Q122" i="31"/>
  <c r="P66" i="31"/>
  <c r="P121" i="31"/>
  <c r="N62" i="31"/>
  <c r="N117" i="31"/>
  <c r="N163" i="31"/>
  <c r="N108" i="31"/>
  <c r="N158" i="31"/>
  <c r="N103" i="31"/>
  <c r="O148" i="31"/>
  <c r="O93" i="31"/>
  <c r="P144" i="31"/>
  <c r="P89" i="31"/>
  <c r="P140" i="31"/>
  <c r="P85" i="31"/>
  <c r="M135" i="31"/>
  <c r="M80" i="31"/>
  <c r="M129" i="31"/>
  <c r="M74" i="31"/>
  <c r="M127" i="31"/>
  <c r="M72" i="31"/>
  <c r="P122" i="31"/>
  <c r="P67" i="31"/>
  <c r="N120" i="31"/>
  <c r="N65" i="31"/>
  <c r="Q118" i="31"/>
  <c r="Q63" i="31"/>
  <c r="P160" i="31"/>
  <c r="P105" i="31"/>
  <c r="M163" i="31"/>
  <c r="M108" i="31"/>
  <c r="M158" i="31"/>
  <c r="M103" i="31"/>
  <c r="P155" i="31"/>
  <c r="P100" i="31"/>
  <c r="P153" i="31"/>
  <c r="P98" i="31"/>
  <c r="P151" i="31"/>
  <c r="P96" i="31"/>
  <c r="P149" i="31"/>
  <c r="P94" i="31"/>
  <c r="N148" i="31"/>
  <c r="N93" i="31"/>
  <c r="O144" i="31"/>
  <c r="O89" i="31"/>
  <c r="O142" i="31"/>
  <c r="O87" i="31"/>
  <c r="O140" i="31"/>
  <c r="O85" i="31"/>
  <c r="R123" i="31"/>
  <c r="R68" i="31"/>
  <c r="N121" i="31"/>
  <c r="N66" i="31"/>
  <c r="R119" i="31"/>
  <c r="R64" i="31"/>
  <c r="P118" i="31"/>
  <c r="P63" i="31"/>
  <c r="M156" i="31"/>
  <c r="M101" i="31"/>
  <c r="N160" i="31"/>
  <c r="N105" i="31"/>
  <c r="P157" i="31"/>
  <c r="P102" i="31"/>
  <c r="M148" i="31"/>
  <c r="M93" i="31"/>
  <c r="N142" i="31"/>
  <c r="N87" i="31"/>
  <c r="N140" i="31"/>
  <c r="N85" i="31"/>
  <c r="O138" i="31"/>
  <c r="O83" i="31"/>
  <c r="O136" i="31"/>
  <c r="O81" i="31"/>
  <c r="O134" i="31"/>
  <c r="O79" i="31"/>
  <c r="O132" i="31"/>
  <c r="O77" i="31"/>
  <c r="O130" i="31"/>
  <c r="O75" i="31"/>
  <c r="O128" i="31"/>
  <c r="O73" i="31"/>
  <c r="N122" i="31"/>
  <c r="N67" i="31"/>
  <c r="Q119" i="31"/>
  <c r="Q64" i="31"/>
  <c r="M106" i="31"/>
  <c r="M161" i="31"/>
  <c r="P164" i="31"/>
  <c r="P109" i="31"/>
  <c r="N162" i="31"/>
  <c r="N107" i="31"/>
  <c r="M160" i="31"/>
  <c r="M105" i="31"/>
  <c r="N157" i="31"/>
  <c r="N102" i="31"/>
  <c r="N155" i="31"/>
  <c r="N100" i="31"/>
  <c r="N153" i="31"/>
  <c r="N98" i="31"/>
  <c r="N151" i="31"/>
  <c r="N96" i="31"/>
  <c r="N149" i="31"/>
  <c r="N94" i="31"/>
  <c r="M144" i="31"/>
  <c r="M89" i="31"/>
  <c r="M142" i="31"/>
  <c r="M87" i="31"/>
  <c r="M140" i="31"/>
  <c r="M85" i="31"/>
  <c r="N136" i="31"/>
  <c r="N81" i="31"/>
  <c r="N128" i="31"/>
  <c r="N73" i="31"/>
  <c r="N68" i="31"/>
  <c r="N123" i="31"/>
  <c r="P64" i="31"/>
  <c r="P119" i="31"/>
  <c r="M63" i="31"/>
  <c r="M118" i="31"/>
  <c r="R61" i="31"/>
  <c r="R116" i="31"/>
  <c r="M107" i="31"/>
  <c r="M162" i="31"/>
  <c r="M102" i="31"/>
  <c r="M157" i="31"/>
  <c r="M100" i="31"/>
  <c r="M155" i="31"/>
  <c r="M96" i="31"/>
  <c r="M151" i="31"/>
  <c r="P143" i="31"/>
  <c r="P88" i="31"/>
  <c r="P141" i="31"/>
  <c r="P86" i="31"/>
  <c r="P139" i="31"/>
  <c r="P84" i="31"/>
  <c r="M134" i="31"/>
  <c r="M79" i="31"/>
  <c r="M132" i="31"/>
  <c r="M77" i="31"/>
  <c r="M130" i="31"/>
  <c r="M75" i="31"/>
  <c r="M128" i="31"/>
  <c r="M73" i="31"/>
  <c r="M123" i="31"/>
  <c r="M68" i="31"/>
  <c r="R65" i="31"/>
  <c r="R120" i="31"/>
  <c r="Q61" i="31"/>
  <c r="Q116" i="31"/>
  <c r="N61" i="31"/>
  <c r="N116" i="31"/>
  <c r="P104" i="31"/>
  <c r="P159" i="31"/>
  <c r="P61" i="31"/>
  <c r="P116" i="31"/>
  <c r="N109" i="31"/>
  <c r="N164" i="31"/>
  <c r="P106" i="31"/>
  <c r="P161" i="31"/>
  <c r="N104" i="31"/>
  <c r="N159" i="31"/>
  <c r="P99" i="31"/>
  <c r="P154" i="31"/>
  <c r="P97" i="31"/>
  <c r="P152" i="31"/>
  <c r="P95" i="31"/>
  <c r="P150" i="31"/>
  <c r="R93" i="31"/>
  <c r="R148" i="31"/>
  <c r="O139" i="31"/>
  <c r="O84" i="31"/>
  <c r="R66" i="31"/>
  <c r="R121" i="31"/>
  <c r="Q65" i="31"/>
  <c r="Q120" i="31"/>
  <c r="N64" i="31"/>
  <c r="N119" i="31"/>
  <c r="Q62" i="31"/>
  <c r="Q117" i="31"/>
  <c r="B166" i="31"/>
  <c r="B111" i="31"/>
  <c r="H51" i="3" l="1"/>
  <c r="N27" i="7" l="1"/>
  <c r="M14" i="13" l="1"/>
  <c r="I33" i="3" l="1"/>
  <c r="F34" i="3"/>
  <c r="H34" i="3" l="1"/>
  <c r="I31" i="3"/>
  <c r="I32" i="3"/>
  <c r="M36" i="7" l="1"/>
  <c r="N67" i="7" l="1"/>
  <c r="C21" i="27" l="1"/>
  <c r="N73" i="7" l="1"/>
  <c r="C35" i="27" l="1"/>
  <c r="G6" i="23" l="1"/>
  <c r="G7" i="23"/>
  <c r="G8" i="23"/>
  <c r="G9" i="23"/>
  <c r="G10" i="23"/>
  <c r="G11" i="23"/>
  <c r="G12" i="23"/>
  <c r="G14" i="23"/>
  <c r="G16" i="23"/>
  <c r="G17" i="23"/>
  <c r="G19" i="23"/>
  <c r="G20" i="23"/>
  <c r="G21" i="23"/>
  <c r="G23" i="23"/>
  <c r="N28" i="7" l="1"/>
  <c r="I30" i="3" l="1"/>
  <c r="C19" i="29" l="1"/>
  <c r="C94" i="29"/>
  <c r="N22" i="7"/>
  <c r="K34" i="13" l="1"/>
  <c r="F44" i="13"/>
  <c r="M8" i="13" l="1"/>
  <c r="L44" i="3"/>
  <c r="F45" i="7" l="1"/>
  <c r="C25" i="27" l="1"/>
  <c r="C18" i="27"/>
  <c r="C107" i="29" l="1"/>
  <c r="C118" i="29" s="1"/>
  <c r="U19" i="10" l="1"/>
  <c r="C53" i="27" l="1"/>
  <c r="J53" i="27" s="1"/>
  <c r="I28" i="3" l="1"/>
  <c r="I29" i="3"/>
  <c r="G36" i="27" l="1"/>
  <c r="N21" i="10" l="1"/>
  <c r="B20" i="10"/>
  <c r="J16" i="13" l="1"/>
  <c r="J12" i="13"/>
  <c r="J11" i="13"/>
  <c r="J9" i="13"/>
  <c r="U11" i="10" l="1"/>
  <c r="N11" i="10"/>
  <c r="N10" i="10"/>
  <c r="U17" i="10"/>
  <c r="U10" i="10"/>
  <c r="B10" i="10" l="1"/>
  <c r="M17" i="13" l="1"/>
  <c r="M15" i="13"/>
  <c r="M10" i="13"/>
  <c r="C29" i="15" l="1"/>
  <c r="B29" i="15"/>
  <c r="B30" i="15" s="1"/>
  <c r="H49" i="3" l="1"/>
  <c r="H55" i="27" l="1"/>
  <c r="J55" i="27" s="1"/>
  <c r="H8" i="27"/>
  <c r="H31" i="27"/>
  <c r="H34" i="27"/>
  <c r="N78" i="7"/>
  <c r="N86" i="7"/>
  <c r="N80" i="7"/>
  <c r="L84" i="7"/>
  <c r="F59" i="29" l="1"/>
  <c r="F103" i="29"/>
  <c r="F89" i="29"/>
  <c r="H52" i="3" l="1"/>
  <c r="D28" i="31" l="1"/>
  <c r="N138" i="31" l="1"/>
  <c r="N83" i="31"/>
  <c r="AL56" i="27"/>
  <c r="B69" i="29" l="1"/>
  <c r="B45" i="29"/>
  <c r="F45" i="29" l="1"/>
  <c r="B118" i="29"/>
  <c r="D34" i="31"/>
  <c r="N24" i="7"/>
  <c r="N51" i="7"/>
  <c r="F16" i="7" s="1"/>
  <c r="F72" i="29"/>
  <c r="F16" i="29"/>
  <c r="N144" i="31" l="1"/>
  <c r="N89" i="31"/>
  <c r="I46" i="3"/>
  <c r="L21" i="3" l="1"/>
  <c r="C26" i="27" l="1"/>
  <c r="C34" i="27"/>
  <c r="C28" i="27"/>
  <c r="I10" i="3" l="1"/>
  <c r="I11" i="3"/>
  <c r="I12" i="3"/>
  <c r="I13" i="3"/>
  <c r="F69" i="29" l="1"/>
  <c r="F24" i="29"/>
  <c r="I23" i="3" l="1"/>
  <c r="F56" i="27" l="1"/>
  <c r="M43" i="13" l="1"/>
  <c r="M44" i="3" l="1"/>
  <c r="K43" i="13"/>
  <c r="M13" i="13" l="1"/>
  <c r="N13" i="13" s="1"/>
  <c r="N14" i="13"/>
  <c r="M18" i="13"/>
  <c r="M19" i="13"/>
  <c r="N19" i="13" s="1"/>
  <c r="M20" i="13"/>
  <c r="M21" i="13"/>
  <c r="M22" i="13"/>
  <c r="M23" i="13"/>
  <c r="N23" i="13" s="1"/>
  <c r="M24" i="13"/>
  <c r="N24" i="13" s="1"/>
  <c r="M25" i="13"/>
  <c r="N25" i="13" s="1"/>
  <c r="M26" i="13"/>
  <c r="N10" i="13"/>
  <c r="L27" i="13"/>
  <c r="N17" i="13"/>
  <c r="K9" i="18"/>
  <c r="L9" i="18" s="1"/>
  <c r="K10" i="18"/>
  <c r="L10" i="18" s="1"/>
  <c r="K11" i="18"/>
  <c r="L11" i="18" s="1"/>
  <c r="K12" i="18"/>
  <c r="L12" i="18" s="1"/>
  <c r="K13" i="18"/>
  <c r="L13" i="18" s="1"/>
  <c r="K14" i="18"/>
  <c r="L14" i="18" s="1"/>
  <c r="K15" i="18"/>
  <c r="L15" i="18" s="1"/>
  <c r="K16" i="18"/>
  <c r="L16" i="18" s="1"/>
  <c r="K17" i="18"/>
  <c r="L17" i="18" s="1"/>
  <c r="K19" i="18"/>
  <c r="L19" i="18" s="1"/>
  <c r="K24" i="18"/>
  <c r="L24" i="18" s="1"/>
  <c r="K25" i="18"/>
  <c r="L25" i="18" s="1"/>
  <c r="K26" i="18"/>
  <c r="L26" i="18" s="1"/>
  <c r="K8" i="18"/>
  <c r="L8" i="18" l="1"/>
  <c r="N8" i="13"/>
  <c r="N19" i="7"/>
  <c r="F23" i="7" s="1"/>
  <c r="N57" i="7" l="1"/>
  <c r="N69" i="7"/>
  <c r="N65" i="7"/>
  <c r="N64" i="7"/>
  <c r="N59" i="7"/>
  <c r="N46" i="7"/>
  <c r="N23" i="7"/>
  <c r="V23" i="11" l="1"/>
  <c r="AH51" i="11" l="1"/>
  <c r="N15" i="10" l="1"/>
  <c r="F11" i="15" l="1"/>
  <c r="N21" i="7"/>
  <c r="M41" i="27"/>
  <c r="C40" i="31" s="1"/>
  <c r="M150" i="31" l="1"/>
  <c r="M95" i="31"/>
  <c r="N58" i="7"/>
  <c r="C24" i="15" l="1"/>
  <c r="C30" i="15" s="1"/>
  <c r="N82" i="7" l="1"/>
  <c r="M50" i="27" l="1"/>
  <c r="C49" i="31" s="1"/>
  <c r="U14" i="27"/>
  <c r="E13" i="31" s="1"/>
  <c r="F22" i="15"/>
  <c r="I22" i="15" s="1"/>
  <c r="O123" i="31" l="1"/>
  <c r="O68" i="31"/>
  <c r="M104" i="31"/>
  <c r="M159" i="31"/>
  <c r="H54" i="27"/>
  <c r="J54" i="27" s="1"/>
  <c r="H52" i="27"/>
  <c r="J52" i="27" s="1"/>
  <c r="H50" i="27"/>
  <c r="J50" i="27" s="1"/>
  <c r="H49" i="27"/>
  <c r="J49" i="27" s="1"/>
  <c r="D27" i="31"/>
  <c r="O25" i="27"/>
  <c r="O21" i="27"/>
  <c r="O9" i="27" s="1"/>
  <c r="D22" i="31" l="1"/>
  <c r="D20" i="31"/>
  <c r="D25" i="31"/>
  <c r="D24" i="31"/>
  <c r="N82" i="31"/>
  <c r="N137" i="31"/>
  <c r="N25" i="7"/>
  <c r="N50" i="7"/>
  <c r="N34" i="7"/>
  <c r="N33" i="7"/>
  <c r="C31" i="15"/>
  <c r="F27" i="7" l="1"/>
  <c r="N80" i="31"/>
  <c r="N135" i="31"/>
  <c r="N130" i="31"/>
  <c r="N75" i="31"/>
  <c r="N132" i="31"/>
  <c r="N77" i="31"/>
  <c r="N134" i="31"/>
  <c r="N79" i="31"/>
  <c r="AL36" i="27"/>
  <c r="AL57" i="27" s="1"/>
  <c r="F19" i="15"/>
  <c r="I19" i="15" s="1"/>
  <c r="F15" i="15"/>
  <c r="I15" i="15" s="1"/>
  <c r="J15" i="15" l="1"/>
  <c r="N40" i="27" s="1"/>
  <c r="F35" i="29"/>
  <c r="J19" i="15" s="1"/>
  <c r="N45" i="27" s="1"/>
  <c r="B6" i="15"/>
  <c r="I6" i="15"/>
  <c r="F52" i="29"/>
  <c r="C44" i="31" l="1"/>
  <c r="M99" i="31" s="1"/>
  <c r="M154" i="31"/>
  <c r="AE8" i="27"/>
  <c r="G6" i="11" l="1"/>
  <c r="F27" i="18" l="1"/>
  <c r="G27" i="18"/>
  <c r="H27" i="18"/>
  <c r="E27" i="18"/>
  <c r="G5" i="23" l="1"/>
  <c r="C10" i="10"/>
  <c r="C12" i="10"/>
  <c r="C14" i="10"/>
  <c r="C15" i="10"/>
  <c r="C16" i="10"/>
  <c r="C18" i="10"/>
  <c r="C20" i="10"/>
  <c r="D20" i="10" s="1"/>
  <c r="E20" i="10" s="1"/>
  <c r="C21" i="10"/>
  <c r="C22" i="10"/>
  <c r="C23" i="10"/>
  <c r="C24" i="10"/>
  <c r="C25" i="10"/>
  <c r="C26" i="10"/>
  <c r="B13" i="10"/>
  <c r="B14" i="10"/>
  <c r="B16" i="10"/>
  <c r="B17" i="10"/>
  <c r="B18" i="10"/>
  <c r="B19" i="10"/>
  <c r="B22" i="10"/>
  <c r="B23" i="10"/>
  <c r="B24" i="10"/>
  <c r="B25" i="10"/>
  <c r="B26" i="10"/>
  <c r="C17" i="10"/>
  <c r="B21" i="10"/>
  <c r="B15" i="10"/>
  <c r="C19" i="10"/>
  <c r="C11" i="10"/>
  <c r="B11" i="10"/>
  <c r="B12" i="10"/>
  <c r="D22" i="10" l="1"/>
  <c r="E22" i="10" s="1"/>
  <c r="D10" i="10"/>
  <c r="N28" i="10"/>
  <c r="U28" i="10"/>
  <c r="B6" i="11" l="1"/>
  <c r="C6" i="11"/>
  <c r="B7" i="11"/>
  <c r="C7" i="11"/>
  <c r="B8" i="11"/>
  <c r="C8" i="11"/>
  <c r="B9" i="11"/>
  <c r="C9" i="11"/>
  <c r="B11" i="11"/>
  <c r="C11" i="11"/>
  <c r="B12" i="11"/>
  <c r="C12" i="11"/>
  <c r="B13" i="11"/>
  <c r="C13" i="11"/>
  <c r="B15" i="11"/>
  <c r="C15" i="11"/>
  <c r="B16" i="11"/>
  <c r="C16" i="11"/>
  <c r="B17" i="11"/>
  <c r="C17" i="11"/>
  <c r="B19" i="11"/>
  <c r="C19" i="11"/>
  <c r="B20" i="11"/>
  <c r="C20" i="11"/>
  <c r="E6" i="11"/>
  <c r="F6" i="11"/>
  <c r="E7" i="11"/>
  <c r="F7" i="11"/>
  <c r="E8" i="11"/>
  <c r="F8" i="11"/>
  <c r="E9" i="11"/>
  <c r="F9" i="11"/>
  <c r="E11" i="11"/>
  <c r="F11" i="11"/>
  <c r="E12" i="11"/>
  <c r="F12" i="11"/>
  <c r="E13" i="11"/>
  <c r="F13" i="11"/>
  <c r="E15" i="11"/>
  <c r="F15" i="11"/>
  <c r="E16" i="11"/>
  <c r="F16" i="11"/>
  <c r="E17" i="11"/>
  <c r="F17" i="11"/>
  <c r="E19" i="11"/>
  <c r="F19" i="11"/>
  <c r="E20" i="11"/>
  <c r="F20" i="11"/>
  <c r="B25" i="11"/>
  <c r="C25" i="11"/>
  <c r="H6" i="11"/>
  <c r="I6" i="11"/>
  <c r="H7" i="11"/>
  <c r="I7" i="11"/>
  <c r="H8" i="11"/>
  <c r="I8" i="11"/>
  <c r="H9" i="11"/>
  <c r="I9" i="11"/>
  <c r="H11" i="11"/>
  <c r="I11" i="11"/>
  <c r="H12" i="11"/>
  <c r="I12" i="11"/>
  <c r="H13" i="11"/>
  <c r="I13" i="11"/>
  <c r="H15" i="11"/>
  <c r="I15" i="11"/>
  <c r="H16" i="11"/>
  <c r="I16" i="11"/>
  <c r="H17" i="11"/>
  <c r="I17" i="11"/>
  <c r="H19" i="11"/>
  <c r="I19" i="11"/>
  <c r="H20" i="11"/>
  <c r="I20" i="11"/>
  <c r="K6" i="11"/>
  <c r="L6" i="11"/>
  <c r="K7" i="11"/>
  <c r="L7" i="11"/>
  <c r="K8" i="11"/>
  <c r="L8" i="11"/>
  <c r="K9" i="11"/>
  <c r="L9" i="11"/>
  <c r="K11" i="11"/>
  <c r="L11" i="11"/>
  <c r="K12" i="11"/>
  <c r="L12" i="11"/>
  <c r="K13" i="11"/>
  <c r="L13" i="11"/>
  <c r="K15" i="11"/>
  <c r="L15" i="11"/>
  <c r="K16" i="11"/>
  <c r="L16" i="11"/>
  <c r="K17" i="11"/>
  <c r="L17" i="11"/>
  <c r="K19" i="11"/>
  <c r="L19" i="11"/>
  <c r="K20" i="11"/>
  <c r="L20" i="11"/>
  <c r="N6" i="11"/>
  <c r="O6" i="11"/>
  <c r="N7" i="11"/>
  <c r="O7" i="11"/>
  <c r="N8" i="11"/>
  <c r="O8" i="11"/>
  <c r="N9" i="11"/>
  <c r="O9" i="11"/>
  <c r="N11" i="11"/>
  <c r="O11" i="11"/>
  <c r="N12" i="11"/>
  <c r="O12" i="11"/>
  <c r="N13" i="11"/>
  <c r="O13" i="11"/>
  <c r="N15" i="11"/>
  <c r="O15" i="11"/>
  <c r="N16" i="11"/>
  <c r="O16" i="11"/>
  <c r="N17" i="11"/>
  <c r="O17" i="11"/>
  <c r="N19" i="11"/>
  <c r="O19" i="11"/>
  <c r="N20" i="11"/>
  <c r="O20" i="11"/>
  <c r="Q6" i="11"/>
  <c r="R6" i="11"/>
  <c r="Q7" i="11"/>
  <c r="R7" i="11"/>
  <c r="Q8" i="11"/>
  <c r="R8" i="11"/>
  <c r="Q9" i="11"/>
  <c r="R9" i="11"/>
  <c r="Q11" i="11"/>
  <c r="R11" i="11"/>
  <c r="Q12" i="11"/>
  <c r="R12" i="11"/>
  <c r="Q13" i="11"/>
  <c r="R13" i="11"/>
  <c r="Q15" i="11"/>
  <c r="R15" i="11"/>
  <c r="Q16" i="11"/>
  <c r="R16" i="11"/>
  <c r="Q17" i="11"/>
  <c r="R17" i="11"/>
  <c r="Q19" i="11"/>
  <c r="R19" i="11"/>
  <c r="Q20" i="11"/>
  <c r="R20" i="11"/>
  <c r="F45" i="23" l="1"/>
  <c r="B7" i="13"/>
  <c r="B18" i="13"/>
  <c r="B10" i="13"/>
  <c r="B14" i="13"/>
  <c r="B12" i="13"/>
  <c r="B13" i="13"/>
  <c r="N20" i="13"/>
  <c r="N22" i="13"/>
  <c r="B22" i="13"/>
  <c r="B23" i="13"/>
  <c r="B21" i="13"/>
  <c r="K26" i="13"/>
  <c r="N26" i="13" s="1"/>
  <c r="B24" i="13" l="1"/>
  <c r="N21" i="13"/>
  <c r="B15" i="13"/>
  <c r="N18" i="13"/>
  <c r="B11" i="13"/>
  <c r="N15" i="13"/>
  <c r="F51" i="23"/>
  <c r="M86" i="7" l="1"/>
  <c r="N17" i="7" l="1"/>
  <c r="N41" i="7"/>
  <c r="N31" i="7"/>
  <c r="I12" i="13" l="1"/>
  <c r="I16" i="13" l="1"/>
  <c r="I11" i="13"/>
  <c r="I9" i="13"/>
  <c r="M16" i="13" l="1"/>
  <c r="N16" i="13" s="1"/>
  <c r="B17" i="13"/>
  <c r="AS36" i="27"/>
  <c r="AS56" i="27"/>
  <c r="AS57" i="27" l="1"/>
  <c r="S7" i="11"/>
  <c r="S8" i="11"/>
  <c r="S9" i="11"/>
  <c r="S11" i="11"/>
  <c r="S12" i="11"/>
  <c r="S13" i="11"/>
  <c r="S15" i="11"/>
  <c r="S16" i="11"/>
  <c r="S17" i="11"/>
  <c r="S19" i="11"/>
  <c r="S20" i="11"/>
  <c r="S6" i="11"/>
  <c r="P7" i="11"/>
  <c r="P8" i="11"/>
  <c r="P9" i="11"/>
  <c r="P11" i="11"/>
  <c r="P12" i="11"/>
  <c r="P13" i="11"/>
  <c r="P15" i="11"/>
  <c r="P16" i="11"/>
  <c r="P17" i="11"/>
  <c r="P19" i="11"/>
  <c r="P20" i="11"/>
  <c r="P6" i="11"/>
  <c r="M7" i="11"/>
  <c r="M8" i="11"/>
  <c r="M9" i="11"/>
  <c r="M11" i="11"/>
  <c r="M12" i="11"/>
  <c r="M13" i="11"/>
  <c r="M15" i="11"/>
  <c r="M16" i="11"/>
  <c r="M17" i="11"/>
  <c r="M19" i="11"/>
  <c r="M20" i="11"/>
  <c r="M6" i="11"/>
  <c r="J7" i="11"/>
  <c r="J8" i="11"/>
  <c r="J9" i="11"/>
  <c r="J11" i="11"/>
  <c r="J12" i="11"/>
  <c r="J13" i="11"/>
  <c r="J15" i="11"/>
  <c r="J16" i="11"/>
  <c r="J17" i="11"/>
  <c r="J19" i="11"/>
  <c r="J20" i="11"/>
  <c r="J6" i="11"/>
  <c r="G7" i="11"/>
  <c r="G8" i="11"/>
  <c r="G9" i="11"/>
  <c r="G11" i="11"/>
  <c r="G12" i="11"/>
  <c r="G13" i="11"/>
  <c r="G15" i="11"/>
  <c r="G16" i="11"/>
  <c r="G17" i="11"/>
  <c r="G19" i="11"/>
  <c r="G20" i="11"/>
  <c r="D7" i="11"/>
  <c r="D8" i="11"/>
  <c r="D9" i="11"/>
  <c r="D11" i="11"/>
  <c r="D12" i="11"/>
  <c r="D13" i="11"/>
  <c r="D15" i="11"/>
  <c r="D16" i="11"/>
  <c r="D17" i="11"/>
  <c r="D19" i="11"/>
  <c r="D20" i="11"/>
  <c r="D6" i="11"/>
  <c r="N71" i="7" l="1"/>
  <c r="F43" i="7" s="1"/>
  <c r="N68" i="7"/>
  <c r="F25" i="15"/>
  <c r="I25" i="15" s="1"/>
  <c r="F24" i="15"/>
  <c r="I24" i="15" s="1"/>
  <c r="F16" i="15"/>
  <c r="I16" i="15" s="1"/>
  <c r="J16" i="15" l="1"/>
  <c r="T42" i="27" s="1"/>
  <c r="M40" i="27"/>
  <c r="C39" i="31" s="1"/>
  <c r="M94" i="31" l="1"/>
  <c r="M149" i="31"/>
  <c r="F20" i="15"/>
  <c r="I20" i="15" s="1"/>
  <c r="D8" i="31" l="1"/>
  <c r="M29" i="27"/>
  <c r="M28" i="27"/>
  <c r="C27" i="31" l="1"/>
  <c r="C28" i="31"/>
  <c r="N118" i="31"/>
  <c r="N63" i="31"/>
  <c r="F16" i="10"/>
  <c r="F18" i="10"/>
  <c r="F20" i="10"/>
  <c r="F22" i="10"/>
  <c r="F23" i="10"/>
  <c r="F24" i="10"/>
  <c r="F25" i="10"/>
  <c r="F26" i="10"/>
  <c r="F27" i="10"/>
  <c r="M137" i="31" l="1"/>
  <c r="M82" i="31"/>
  <c r="M138" i="31"/>
  <c r="M83" i="31"/>
  <c r="F13" i="5"/>
  <c r="N81" i="7"/>
  <c r="M15" i="7" l="1"/>
  <c r="L88" i="7"/>
  <c r="L89" i="7" s="1"/>
  <c r="I23" i="18"/>
  <c r="I22" i="18"/>
  <c r="I21" i="18"/>
  <c r="I20" i="18"/>
  <c r="K22" i="18" l="1"/>
  <c r="J22" i="18"/>
  <c r="L22" i="18" s="1"/>
  <c r="K23" i="18"/>
  <c r="J23" i="18"/>
  <c r="L23" i="18" s="1"/>
  <c r="K20" i="18"/>
  <c r="J20" i="18"/>
  <c r="L20" i="18" s="1"/>
  <c r="K21" i="18"/>
  <c r="J21" i="18"/>
  <c r="L21" i="18" s="1"/>
  <c r="H36" i="27"/>
  <c r="E18" i="27" l="1"/>
  <c r="J18" i="27" s="1"/>
  <c r="H56" i="27" l="1"/>
  <c r="H11" i="27" s="1"/>
  <c r="H57" i="27" l="1"/>
  <c r="F43" i="3"/>
  <c r="I43" i="3" l="1"/>
  <c r="N14" i="7"/>
  <c r="F20" i="7" s="1"/>
  <c r="M28" i="10"/>
  <c r="M14" i="7" l="1"/>
  <c r="F27" i="15"/>
  <c r="I27" i="15" s="1"/>
  <c r="F84" i="29" s="1"/>
  <c r="H11" i="13" l="1"/>
  <c r="M11" i="13" s="1"/>
  <c r="N11" i="13" s="1"/>
  <c r="H12" i="13"/>
  <c r="M12" i="13" s="1"/>
  <c r="H9" i="13"/>
  <c r="B8" i="13" l="1"/>
  <c r="M9" i="13"/>
  <c r="B16" i="13"/>
  <c r="N12" i="13"/>
  <c r="B9" i="13"/>
  <c r="K27" i="13"/>
  <c r="F39" i="13" s="1"/>
  <c r="F45" i="13" s="1"/>
  <c r="J27" i="13"/>
  <c r="I18" i="18"/>
  <c r="B21" i="18"/>
  <c r="B23" i="18"/>
  <c r="B24" i="18"/>
  <c r="F38" i="13" l="1"/>
  <c r="F40" i="13" s="1"/>
  <c r="K18" i="18"/>
  <c r="K27" i="18" s="1"/>
  <c r="J18" i="18"/>
  <c r="B16" i="18" s="1"/>
  <c r="N9" i="13"/>
  <c r="N27" i="13" s="1"/>
  <c r="M27" i="13"/>
  <c r="B15" i="18"/>
  <c r="B20" i="18"/>
  <c r="B19" i="18"/>
  <c r="B22" i="18"/>
  <c r="B9" i="18"/>
  <c r="B17" i="18"/>
  <c r="B14" i="18"/>
  <c r="B13" i="18"/>
  <c r="B18" i="18"/>
  <c r="B11" i="18"/>
  <c r="B10" i="18"/>
  <c r="B12" i="18"/>
  <c r="I27" i="18"/>
  <c r="B8" i="18"/>
  <c r="L18" i="18" l="1"/>
  <c r="I47" i="13"/>
  <c r="J27" i="18"/>
  <c r="I48" i="13" l="1"/>
  <c r="I52" i="13"/>
  <c r="M24" i="27" l="1"/>
  <c r="C23" i="31" l="1"/>
  <c r="G13" i="5"/>
  <c r="C22" i="5"/>
  <c r="M133" i="31" l="1"/>
  <c r="M78" i="31"/>
  <c r="M20" i="7"/>
  <c r="F10" i="15" l="1"/>
  <c r="I11" i="15"/>
  <c r="F12" i="29" s="1"/>
  <c r="F17" i="15"/>
  <c r="I17" i="15" s="1"/>
  <c r="F18" i="15"/>
  <c r="I18" i="15" s="1"/>
  <c r="F32" i="29" s="1"/>
  <c r="J18" i="15" s="1"/>
  <c r="N44" i="27" s="1"/>
  <c r="F21" i="15"/>
  <c r="I21" i="15" s="1"/>
  <c r="J21" i="15" s="1"/>
  <c r="F23" i="15"/>
  <c r="I23" i="15" s="1"/>
  <c r="J23" i="15" s="1"/>
  <c r="F26" i="15"/>
  <c r="I26" i="15" s="1"/>
  <c r="F77" i="29" s="1"/>
  <c r="J26" i="15" s="1"/>
  <c r="F28" i="15"/>
  <c r="I28" i="15" s="1"/>
  <c r="F29" i="15"/>
  <c r="I29" i="15" s="1"/>
  <c r="J22" i="15"/>
  <c r="J20" i="15"/>
  <c r="J27" i="15"/>
  <c r="J28" i="15"/>
  <c r="J25" i="15"/>
  <c r="N62" i="7"/>
  <c r="F37" i="7" s="1"/>
  <c r="F38" i="7"/>
  <c r="N63" i="7"/>
  <c r="F39" i="7" s="1"/>
  <c r="N32" i="7"/>
  <c r="N56" i="7"/>
  <c r="N43" i="7"/>
  <c r="F8" i="7" s="1"/>
  <c r="N42" i="7"/>
  <c r="N44" i="7"/>
  <c r="N45" i="7"/>
  <c r="F11" i="7"/>
  <c r="F12" i="7"/>
  <c r="F13" i="7"/>
  <c r="N36" i="7"/>
  <c r="N37" i="7"/>
  <c r="N48" i="7"/>
  <c r="N49" i="7"/>
  <c r="N35" i="7"/>
  <c r="F15" i="7" s="1"/>
  <c r="C20" i="27"/>
  <c r="E30" i="27"/>
  <c r="J30" i="27" s="1"/>
  <c r="E31" i="27"/>
  <c r="J31" i="27" s="1"/>
  <c r="E32" i="27"/>
  <c r="J32" i="27" s="1"/>
  <c r="E33" i="27"/>
  <c r="J33" i="27" s="1"/>
  <c r="E34" i="27"/>
  <c r="J34" i="27" s="1"/>
  <c r="E35" i="27"/>
  <c r="J35" i="27" s="1"/>
  <c r="C4" i="27"/>
  <c r="F4" i="27"/>
  <c r="G4" i="27"/>
  <c r="AL6" i="27"/>
  <c r="B8" i="31"/>
  <c r="I52" i="3"/>
  <c r="AC7" i="27"/>
  <c r="AC8" i="27"/>
  <c r="AC9" i="27"/>
  <c r="AC10" i="27"/>
  <c r="AC11" i="27"/>
  <c r="AC12" i="27"/>
  <c r="AC13" i="27"/>
  <c r="L36" i="27"/>
  <c r="L56" i="27"/>
  <c r="M22" i="27"/>
  <c r="C21" i="31" s="1"/>
  <c r="M27" i="27"/>
  <c r="N36" i="27"/>
  <c r="O36" i="27"/>
  <c r="O57" i="27" s="1"/>
  <c r="O56" i="27"/>
  <c r="D55" i="31" s="1"/>
  <c r="E56" i="27"/>
  <c r="O19" i="14"/>
  <c r="O13" i="14"/>
  <c r="E45" i="23"/>
  <c r="E51" i="23" s="1"/>
  <c r="D45" i="23"/>
  <c r="D51" i="23" s="1"/>
  <c r="I49" i="3"/>
  <c r="L35" i="3"/>
  <c r="U41" i="27"/>
  <c r="E40" i="31" s="1"/>
  <c r="O18" i="14"/>
  <c r="U40" i="27"/>
  <c r="E39" i="31" s="1"/>
  <c r="U43" i="27"/>
  <c r="E42" i="31" s="1"/>
  <c r="U44" i="27"/>
  <c r="E43" i="31" s="1"/>
  <c r="O21" i="14"/>
  <c r="AE36" i="27"/>
  <c r="AE56" i="27"/>
  <c r="AF56" i="27"/>
  <c r="AE9" i="27"/>
  <c r="H8" i="31" s="1"/>
  <c r="U11" i="27"/>
  <c r="E10" i="31" s="1"/>
  <c r="U12" i="27"/>
  <c r="E11" i="31" s="1"/>
  <c r="U13" i="27"/>
  <c r="U10" i="27"/>
  <c r="E9" i="31" s="1"/>
  <c r="G56" i="27"/>
  <c r="F41" i="7"/>
  <c r="I45" i="3"/>
  <c r="I51" i="3"/>
  <c r="B51" i="11"/>
  <c r="AZ23" i="11"/>
  <c r="AZ26" i="11" s="1"/>
  <c r="AY23" i="11"/>
  <c r="AY26" i="11" s="1"/>
  <c r="AX23" i="11"/>
  <c r="AX26" i="11" s="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U23" i="11"/>
  <c r="T23" i="11"/>
  <c r="U51" i="11"/>
  <c r="V51" i="11"/>
  <c r="W51" i="11"/>
  <c r="X51" i="11"/>
  <c r="Y51" i="11"/>
  <c r="T51" i="11"/>
  <c r="D25" i="11"/>
  <c r="T6" i="14"/>
  <c r="R6" i="14" s="1"/>
  <c r="T7" i="14"/>
  <c r="R7" i="14" s="1"/>
  <c r="T8" i="14"/>
  <c r="R8" i="14" s="1"/>
  <c r="T9" i="14"/>
  <c r="R9" i="14" s="1"/>
  <c r="T10" i="14"/>
  <c r="R10" i="14" s="1"/>
  <c r="T11" i="14"/>
  <c r="T12" i="14"/>
  <c r="R12" i="14" s="1"/>
  <c r="T13" i="14"/>
  <c r="R13" i="14" s="1"/>
  <c r="T14" i="14"/>
  <c r="R14" i="14" s="1"/>
  <c r="T15" i="14"/>
  <c r="R15" i="14" s="1"/>
  <c r="T16" i="14"/>
  <c r="R16" i="14" s="1"/>
  <c r="T17" i="14"/>
  <c r="T18" i="14"/>
  <c r="R18" i="14" s="1"/>
  <c r="T19" i="14"/>
  <c r="R19" i="14" s="1"/>
  <c r="T20" i="14"/>
  <c r="R20" i="14" s="1"/>
  <c r="T21" i="14"/>
  <c r="R21" i="14" s="1"/>
  <c r="T5" i="14"/>
  <c r="I23" i="11"/>
  <c r="I16" i="14"/>
  <c r="F16" i="14" s="1"/>
  <c r="AI51" i="11"/>
  <c r="AJ51" i="11"/>
  <c r="AK51" i="11"/>
  <c r="AC51" i="11"/>
  <c r="AD51" i="11"/>
  <c r="AE51" i="11"/>
  <c r="AF51" i="11"/>
  <c r="AG51" i="11"/>
  <c r="R11" i="14"/>
  <c r="AB5" i="14"/>
  <c r="Z5" i="14" s="1"/>
  <c r="AB6" i="14"/>
  <c r="AB7" i="14"/>
  <c r="AB8" i="14"/>
  <c r="Z8" i="14" s="1"/>
  <c r="AB9" i="14"/>
  <c r="Z9" i="14" s="1"/>
  <c r="AB10" i="14"/>
  <c r="AB11" i="14"/>
  <c r="Z11" i="14" s="1"/>
  <c r="AB12" i="14"/>
  <c r="Z12" i="14" s="1"/>
  <c r="AB13" i="14"/>
  <c r="Z13" i="14" s="1"/>
  <c r="AB14" i="14"/>
  <c r="AB15" i="14"/>
  <c r="Z15" i="14" s="1"/>
  <c r="AB16" i="14"/>
  <c r="AB17" i="14"/>
  <c r="Z17" i="14" s="1"/>
  <c r="AB18" i="14"/>
  <c r="Z18" i="14" s="1"/>
  <c r="AB19" i="14"/>
  <c r="Z19" i="14" s="1"/>
  <c r="AB20" i="14"/>
  <c r="AB21" i="14"/>
  <c r="Z21" i="14" s="1"/>
  <c r="AD5" i="14"/>
  <c r="AC5" i="14"/>
  <c r="AD6" i="14"/>
  <c r="AC6" i="14"/>
  <c r="AD7" i="14"/>
  <c r="AC7" i="14"/>
  <c r="AD8" i="14"/>
  <c r="AC8" i="14"/>
  <c r="AD9" i="14"/>
  <c r="AC9" i="14"/>
  <c r="X9" i="14" s="1"/>
  <c r="AD10" i="14"/>
  <c r="AC10" i="14"/>
  <c r="AC11" i="14"/>
  <c r="AD12" i="14"/>
  <c r="AC12" i="14"/>
  <c r="AD13" i="14"/>
  <c r="Y13" i="14" s="1"/>
  <c r="AC13" i="14"/>
  <c r="AD14" i="14"/>
  <c r="AC14" i="14"/>
  <c r="AD15" i="14"/>
  <c r="AC15" i="14"/>
  <c r="AD16" i="14"/>
  <c r="AC16" i="14"/>
  <c r="AD17" i="14"/>
  <c r="Y17" i="14" s="1"/>
  <c r="AC17" i="14"/>
  <c r="AD18" i="14"/>
  <c r="AC18" i="14"/>
  <c r="AD19" i="14"/>
  <c r="AC19" i="14"/>
  <c r="AD20" i="14"/>
  <c r="AC20" i="14"/>
  <c r="AD21" i="14"/>
  <c r="AC21" i="14"/>
  <c r="Z7" i="14"/>
  <c r="Z14" i="14"/>
  <c r="O17" i="14"/>
  <c r="H51" i="11"/>
  <c r="AB56" i="27"/>
  <c r="B38" i="31"/>
  <c r="I38" i="31" s="1"/>
  <c r="D36" i="27"/>
  <c r="T36" i="27"/>
  <c r="S36" i="27"/>
  <c r="R36" i="27"/>
  <c r="G26" i="24"/>
  <c r="C26" i="24"/>
  <c r="H25" i="24"/>
  <c r="I25" i="24" s="1"/>
  <c r="D25" i="24"/>
  <c r="E25" i="24" s="1"/>
  <c r="I24" i="24"/>
  <c r="L24" i="24" s="1"/>
  <c r="M24" i="24" s="1"/>
  <c r="E24" i="24"/>
  <c r="I23" i="24"/>
  <c r="L23" i="24" s="1"/>
  <c r="M23" i="24" s="1"/>
  <c r="E23" i="24"/>
  <c r="I22" i="24"/>
  <c r="L22" i="24" s="1"/>
  <c r="M22" i="24" s="1"/>
  <c r="E22" i="24"/>
  <c r="I21" i="24"/>
  <c r="L21" i="24" s="1"/>
  <c r="M21" i="24" s="1"/>
  <c r="E21" i="24"/>
  <c r="I20" i="24"/>
  <c r="L20" i="24" s="1"/>
  <c r="M20" i="24" s="1"/>
  <c r="E20" i="24"/>
  <c r="I19" i="24"/>
  <c r="E19" i="24"/>
  <c r="I18" i="24"/>
  <c r="L18" i="24" s="1"/>
  <c r="M18" i="24" s="1"/>
  <c r="E18" i="24"/>
  <c r="I17" i="24"/>
  <c r="E17" i="24"/>
  <c r="I16" i="24"/>
  <c r="E16" i="24"/>
  <c r="I15" i="24"/>
  <c r="E15" i="24"/>
  <c r="I14" i="24"/>
  <c r="E14" i="24"/>
  <c r="I13" i="24"/>
  <c r="E13" i="24"/>
  <c r="I12" i="24"/>
  <c r="E12" i="24"/>
  <c r="I11" i="24"/>
  <c r="E11" i="24"/>
  <c r="I10" i="24"/>
  <c r="E10" i="24"/>
  <c r="I9" i="24"/>
  <c r="E9" i="24"/>
  <c r="I8" i="24"/>
  <c r="E8" i="24"/>
  <c r="I7" i="24"/>
  <c r="E7" i="24"/>
  <c r="AB51" i="11"/>
  <c r="AA51" i="11"/>
  <c r="Z51" i="11"/>
  <c r="S51" i="11"/>
  <c r="R51" i="11"/>
  <c r="Q51" i="11"/>
  <c r="P51" i="11"/>
  <c r="O51" i="11"/>
  <c r="N51" i="11"/>
  <c r="M51" i="11"/>
  <c r="L51" i="11"/>
  <c r="K51" i="11"/>
  <c r="J51" i="11"/>
  <c r="I51" i="11"/>
  <c r="G51" i="11"/>
  <c r="F51" i="11"/>
  <c r="E51" i="11"/>
  <c r="D51" i="11"/>
  <c r="C51" i="11"/>
  <c r="S28" i="10"/>
  <c r="R28" i="10"/>
  <c r="Q28" i="10"/>
  <c r="P28" i="10"/>
  <c r="O28" i="10"/>
  <c r="L28" i="10"/>
  <c r="K28" i="10"/>
  <c r="J28" i="10"/>
  <c r="I28" i="10"/>
  <c r="H28" i="10"/>
  <c r="E27" i="27"/>
  <c r="J27" i="27" s="1"/>
  <c r="E25" i="27"/>
  <c r="J25" i="27" s="1"/>
  <c r="P21" i="14"/>
  <c r="P20" i="14"/>
  <c r="P19" i="14"/>
  <c r="P18" i="14"/>
  <c r="P17" i="14"/>
  <c r="P16" i="14"/>
  <c r="P15" i="14"/>
  <c r="P14" i="14"/>
  <c r="P13" i="14"/>
  <c r="P12" i="14"/>
  <c r="P11" i="14"/>
  <c r="P10" i="14"/>
  <c r="P9" i="14"/>
  <c r="P8" i="14"/>
  <c r="P7" i="14"/>
  <c r="H27" i="13"/>
  <c r="G27" i="13"/>
  <c r="F27" i="13"/>
  <c r="N79" i="7"/>
  <c r="F36" i="7"/>
  <c r="N66" i="7"/>
  <c r="F40" i="7" s="1"/>
  <c r="N5" i="7"/>
  <c r="M5" i="7"/>
  <c r="L5" i="7"/>
  <c r="F4" i="7"/>
  <c r="F18" i="5"/>
  <c r="B17" i="5"/>
  <c r="C8" i="5"/>
  <c r="F6" i="5"/>
  <c r="H47" i="3"/>
  <c r="H55" i="3"/>
  <c r="F55" i="3"/>
  <c r="I53" i="3"/>
  <c r="G47" i="3"/>
  <c r="F47" i="3"/>
  <c r="M47" i="3"/>
  <c r="M42" i="3"/>
  <c r="H41" i="3"/>
  <c r="I27" i="3"/>
  <c r="I26" i="3"/>
  <c r="I25" i="3"/>
  <c r="I24" i="3"/>
  <c r="I22" i="3"/>
  <c r="I21" i="3"/>
  <c r="I20" i="3"/>
  <c r="I19" i="3"/>
  <c r="I18" i="3"/>
  <c r="I17" i="3"/>
  <c r="I16" i="3"/>
  <c r="H14" i="3"/>
  <c r="H35" i="3" s="1"/>
  <c r="G14" i="3"/>
  <c r="G35" i="3" s="1"/>
  <c r="F14" i="3"/>
  <c r="F35" i="3" s="1"/>
  <c r="I9" i="3"/>
  <c r="I8" i="3"/>
  <c r="I7" i="3"/>
  <c r="I6" i="3"/>
  <c r="F1" i="3"/>
  <c r="C52" i="1"/>
  <c r="B36" i="1"/>
  <c r="AD11" i="14" s="1"/>
  <c r="A1" i="1"/>
  <c r="B30" i="27" l="1"/>
  <c r="F28" i="7"/>
  <c r="F26" i="7" s="1"/>
  <c r="D12" i="27" s="1"/>
  <c r="J12" i="27" s="1"/>
  <c r="B11" i="31" s="1"/>
  <c r="I93" i="7"/>
  <c r="S93" i="31"/>
  <c r="S148" i="31"/>
  <c r="I10" i="15"/>
  <c r="F30" i="15"/>
  <c r="E12" i="31"/>
  <c r="AE57" i="27"/>
  <c r="C43" i="31"/>
  <c r="B25" i="27"/>
  <c r="N110" i="31"/>
  <c r="N165" i="31"/>
  <c r="L66" i="31"/>
  <c r="D56" i="31"/>
  <c r="N166" i="31" s="1"/>
  <c r="D35" i="31"/>
  <c r="L63" i="31"/>
  <c r="L118" i="31"/>
  <c r="O64" i="31"/>
  <c r="O119" i="31"/>
  <c r="M98" i="31"/>
  <c r="M153" i="31"/>
  <c r="O121" i="31"/>
  <c r="O66" i="31"/>
  <c r="O153" i="31"/>
  <c r="O98" i="31"/>
  <c r="M131" i="31"/>
  <c r="M76" i="31"/>
  <c r="O95" i="31"/>
  <c r="O150" i="31"/>
  <c r="O122" i="31"/>
  <c r="O67" i="31"/>
  <c r="L93" i="31"/>
  <c r="L148" i="31"/>
  <c r="O65" i="31"/>
  <c r="O120" i="31"/>
  <c r="O97" i="31"/>
  <c r="O152" i="31"/>
  <c r="B53" i="27"/>
  <c r="C26" i="31"/>
  <c r="O149" i="31"/>
  <c r="O94" i="31"/>
  <c r="B46" i="27"/>
  <c r="B45" i="31" s="1"/>
  <c r="L155" i="31" s="1"/>
  <c r="C64" i="27"/>
  <c r="H57" i="3"/>
  <c r="I34" i="3"/>
  <c r="C36" i="27"/>
  <c r="B45" i="27"/>
  <c r="B44" i="31" s="1"/>
  <c r="J11" i="15"/>
  <c r="Q34" i="27" s="1"/>
  <c r="U34" i="27" s="1"/>
  <c r="F64" i="27"/>
  <c r="I14" i="3"/>
  <c r="F27" i="29"/>
  <c r="J17" i="15" s="1"/>
  <c r="N43" i="27" s="1"/>
  <c r="X13" i="14"/>
  <c r="B47" i="27"/>
  <c r="B44" i="27"/>
  <c r="B40" i="27"/>
  <c r="B39" i="31" s="1"/>
  <c r="B48" i="27"/>
  <c r="B51" i="27"/>
  <c r="B41" i="27"/>
  <c r="B40" i="31" s="1"/>
  <c r="B43" i="27"/>
  <c r="B42" i="31" s="1"/>
  <c r="B42" i="27"/>
  <c r="B49" i="27"/>
  <c r="B50" i="27"/>
  <c r="B54" i="27"/>
  <c r="B55" i="27"/>
  <c r="B52" i="27"/>
  <c r="F39" i="3"/>
  <c r="J33" i="18" s="1"/>
  <c r="F37" i="3"/>
  <c r="I37" i="3" s="1"/>
  <c r="S18" i="14"/>
  <c r="M78" i="7"/>
  <c r="R47" i="27"/>
  <c r="U47" i="27" s="1"/>
  <c r="Q51" i="27"/>
  <c r="U51" i="27" s="1"/>
  <c r="R46" i="27"/>
  <c r="U46" i="27" s="1"/>
  <c r="R53" i="27"/>
  <c r="G45" i="23"/>
  <c r="J15" i="14"/>
  <c r="G15" i="14" s="1"/>
  <c r="Q23" i="11"/>
  <c r="AF8" i="27"/>
  <c r="X20" i="14"/>
  <c r="X18" i="14"/>
  <c r="X12" i="14"/>
  <c r="AA19" i="14"/>
  <c r="AA15" i="14"/>
  <c r="J19" i="14"/>
  <c r="G19" i="14" s="1"/>
  <c r="R23" i="11"/>
  <c r="J11" i="14"/>
  <c r="G11" i="14" s="1"/>
  <c r="I21" i="14"/>
  <c r="F21" i="14" s="1"/>
  <c r="S16" i="14"/>
  <c r="H13" i="14"/>
  <c r="E13" i="14" s="1"/>
  <c r="F23" i="11"/>
  <c r="AA9" i="14"/>
  <c r="AA21" i="14"/>
  <c r="AA14" i="14"/>
  <c r="AA10" i="14"/>
  <c r="X17" i="14"/>
  <c r="Y9" i="14"/>
  <c r="J18" i="14"/>
  <c r="G18" i="14" s="1"/>
  <c r="J14" i="14"/>
  <c r="G14" i="14" s="1"/>
  <c r="S11" i="14"/>
  <c r="I19" i="14"/>
  <c r="F19" i="14" s="1"/>
  <c r="X16" i="14"/>
  <c r="X14" i="14"/>
  <c r="X6" i="14"/>
  <c r="J5" i="14"/>
  <c r="G5" i="14" s="1"/>
  <c r="I7" i="14"/>
  <c r="F7" i="14" s="1"/>
  <c r="I5" i="14"/>
  <c r="F5" i="14" s="1"/>
  <c r="H6" i="14"/>
  <c r="E6" i="14" s="1"/>
  <c r="I17" i="14"/>
  <c r="F17" i="14" s="1"/>
  <c r="D21" i="10"/>
  <c r="E21" i="10" s="1"/>
  <c r="F21" i="10" s="1"/>
  <c r="H16" i="14"/>
  <c r="E16" i="14" s="1"/>
  <c r="H15" i="14"/>
  <c r="E15" i="14" s="1"/>
  <c r="I10" i="14"/>
  <c r="F10" i="14" s="1"/>
  <c r="I20" i="14"/>
  <c r="F20" i="14" s="1"/>
  <c r="H5" i="14"/>
  <c r="E5" i="14" s="1"/>
  <c r="I26" i="24"/>
  <c r="S14" i="14"/>
  <c r="S8" i="14"/>
  <c r="I8" i="14"/>
  <c r="F8" i="14" s="1"/>
  <c r="E26" i="24"/>
  <c r="AA8" i="14"/>
  <c r="AU23" i="11"/>
  <c r="I15" i="14"/>
  <c r="F15" i="14" s="1"/>
  <c r="K23" i="11"/>
  <c r="S21" i="14"/>
  <c r="S19" i="14"/>
  <c r="Y18" i="14"/>
  <c r="H26" i="24"/>
  <c r="AA17" i="14"/>
  <c r="AA11" i="14"/>
  <c r="O23" i="11"/>
  <c r="AA7" i="14"/>
  <c r="AV23" i="11"/>
  <c r="X10" i="14"/>
  <c r="X8" i="14"/>
  <c r="Y14" i="14"/>
  <c r="S20" i="14"/>
  <c r="S7" i="14"/>
  <c r="H23" i="11"/>
  <c r="H12" i="14"/>
  <c r="E12" i="14" s="1"/>
  <c r="H10" i="14"/>
  <c r="E10" i="14" s="1"/>
  <c r="D15" i="10"/>
  <c r="E15" i="10" s="1"/>
  <c r="F15" i="10" s="1"/>
  <c r="E24" i="27" s="1"/>
  <c r="J24" i="27" s="1"/>
  <c r="J20" i="14"/>
  <c r="G20" i="14" s="1"/>
  <c r="J9" i="14"/>
  <c r="G9" i="14" s="1"/>
  <c r="J6" i="14"/>
  <c r="G6" i="14" s="1"/>
  <c r="P5" i="14"/>
  <c r="B25" i="18"/>
  <c r="I55" i="3"/>
  <c r="D14" i="10"/>
  <c r="E14" i="10" s="1"/>
  <c r="F14" i="10" s="1"/>
  <c r="E23" i="27" s="1"/>
  <c r="J23" i="27" s="1"/>
  <c r="E10" i="10"/>
  <c r="F10" i="10" s="1"/>
  <c r="I13" i="14"/>
  <c r="F13" i="14" s="1"/>
  <c r="I18" i="14"/>
  <c r="F18" i="14" s="1"/>
  <c r="AW23" i="11"/>
  <c r="H21" i="14"/>
  <c r="E21" i="14" s="1"/>
  <c r="H11" i="14"/>
  <c r="E11" i="14" s="1"/>
  <c r="I14" i="14"/>
  <c r="F14" i="14" s="1"/>
  <c r="H14" i="14"/>
  <c r="E14" i="14" s="1"/>
  <c r="J16" i="14"/>
  <c r="G16" i="14" s="1"/>
  <c r="J13" i="14"/>
  <c r="G13" i="14" s="1"/>
  <c r="J12" i="14"/>
  <c r="G12" i="14" s="1"/>
  <c r="J10" i="14"/>
  <c r="G10" i="14" s="1"/>
  <c r="P23" i="11"/>
  <c r="AA13" i="14"/>
  <c r="M23" i="11"/>
  <c r="I6" i="14"/>
  <c r="F6" i="14" s="1"/>
  <c r="H8" i="14"/>
  <c r="E8" i="14" s="1"/>
  <c r="H20" i="14"/>
  <c r="E20" i="14" s="1"/>
  <c r="J23" i="11"/>
  <c r="H17" i="14"/>
  <c r="E17" i="14" s="1"/>
  <c r="I47" i="3"/>
  <c r="S23" i="11"/>
  <c r="Y16" i="14"/>
  <c r="AA16" i="14"/>
  <c r="Y12" i="14"/>
  <c r="S6" i="14"/>
  <c r="AA5" i="14"/>
  <c r="N23" i="11"/>
  <c r="S13" i="14"/>
  <c r="X11" i="14"/>
  <c r="Y11" i="14"/>
  <c r="Y47" i="27"/>
  <c r="F46" i="31" s="1"/>
  <c r="D26" i="24"/>
  <c r="X21" i="14"/>
  <c r="X5" i="14"/>
  <c r="Y5" i="14"/>
  <c r="AA18" i="14"/>
  <c r="Z10" i="14"/>
  <c r="Y10" i="14"/>
  <c r="Z6" i="14"/>
  <c r="AA6" i="14"/>
  <c r="J21" i="14"/>
  <c r="G21" i="14" s="1"/>
  <c r="J8" i="14"/>
  <c r="G8" i="14" s="1"/>
  <c r="I11" i="14"/>
  <c r="F11" i="14" s="1"/>
  <c r="R5" i="14"/>
  <c r="S5" i="14"/>
  <c r="H9" i="14"/>
  <c r="E9" i="14" s="1"/>
  <c r="C23" i="11"/>
  <c r="Y8" i="14"/>
  <c r="AA20" i="14"/>
  <c r="S12" i="14"/>
  <c r="AA12" i="14"/>
  <c r="S9" i="14"/>
  <c r="S10" i="14"/>
  <c r="Z20" i="14"/>
  <c r="Z16" i="14"/>
  <c r="R17" i="14"/>
  <c r="S17" i="14"/>
  <c r="H19" i="14"/>
  <c r="E19" i="14" s="1"/>
  <c r="G23" i="11"/>
  <c r="E23" i="11"/>
  <c r="H18" i="14"/>
  <c r="E18" i="14" s="1"/>
  <c r="H7" i="14"/>
  <c r="B23" i="11"/>
  <c r="Y20" i="14"/>
  <c r="Y6" i="14"/>
  <c r="L23" i="11"/>
  <c r="I9" i="14"/>
  <c r="F9" i="14" s="1"/>
  <c r="D13" i="10"/>
  <c r="E13" i="10" s="1"/>
  <c r="X19" i="14"/>
  <c r="Y19" i="14"/>
  <c r="X15" i="14"/>
  <c r="Y15" i="14"/>
  <c r="X7" i="14"/>
  <c r="Y7" i="14"/>
  <c r="I12" i="14"/>
  <c r="F12" i="14" s="1"/>
  <c r="S15" i="14"/>
  <c r="Y21" i="14"/>
  <c r="D17" i="10"/>
  <c r="E17" i="10" s="1"/>
  <c r="D18" i="10"/>
  <c r="J7" i="14"/>
  <c r="D23" i="11"/>
  <c r="J17" i="14"/>
  <c r="G17" i="14" s="1"/>
  <c r="D16" i="10"/>
  <c r="D19" i="10"/>
  <c r="E19" i="10" s="1"/>
  <c r="M56" i="27"/>
  <c r="M36" i="27"/>
  <c r="K15" i="15"/>
  <c r="O12" i="14"/>
  <c r="Y24" i="27" s="1"/>
  <c r="F23" i="31" s="1"/>
  <c r="O8" i="14"/>
  <c r="Y21" i="27" s="1"/>
  <c r="F20" i="31" s="1"/>
  <c r="O14" i="14"/>
  <c r="Y20" i="27" s="1"/>
  <c r="F19" i="31" s="1"/>
  <c r="O20" i="14"/>
  <c r="Y53" i="27" s="1"/>
  <c r="F52" i="31" s="1"/>
  <c r="O7" i="14"/>
  <c r="Y23" i="27" s="1"/>
  <c r="F22" i="31" s="1"/>
  <c r="O11" i="14"/>
  <c r="Y33" i="27" s="1"/>
  <c r="F32" i="31" s="1"/>
  <c r="O16" i="14"/>
  <c r="Y25" i="27" s="1"/>
  <c r="F24" i="31" s="1"/>
  <c r="Y28" i="27"/>
  <c r="Y29" i="27"/>
  <c r="F28" i="31" s="1"/>
  <c r="I27" i="13"/>
  <c r="P6" i="14"/>
  <c r="F36" i="27"/>
  <c r="F57" i="27" s="1"/>
  <c r="C56" i="27"/>
  <c r="U42" i="27"/>
  <c r="J24" i="15"/>
  <c r="F9" i="7"/>
  <c r="F10" i="7"/>
  <c r="F8" i="29" l="1"/>
  <c r="J10" i="15" s="1"/>
  <c r="I30" i="15"/>
  <c r="L121" i="31"/>
  <c r="I97" i="7"/>
  <c r="M57" i="27"/>
  <c r="F21" i="5" s="1"/>
  <c r="C20" i="5" s="1"/>
  <c r="N111" i="31"/>
  <c r="E46" i="31"/>
  <c r="O156" i="31" s="1"/>
  <c r="C42" i="31"/>
  <c r="E41" i="31"/>
  <c r="O151" i="31" s="1"/>
  <c r="E45" i="31"/>
  <c r="O155" i="31" s="1"/>
  <c r="E50" i="31"/>
  <c r="O160" i="31" s="1"/>
  <c r="AF57" i="27"/>
  <c r="F27" i="31"/>
  <c r="F37" i="32"/>
  <c r="F42" i="32" s="1"/>
  <c r="F43" i="32" s="1"/>
  <c r="F44" i="32" s="1"/>
  <c r="F48" i="32" s="1"/>
  <c r="C57" i="27"/>
  <c r="C65" i="27" s="1"/>
  <c r="L100" i="31"/>
  <c r="F118" i="29"/>
  <c r="F119" i="29" s="1"/>
  <c r="Q32" i="27"/>
  <c r="U32" i="27" s="1"/>
  <c r="P138" i="31"/>
  <c r="P83" i="31"/>
  <c r="P130" i="31"/>
  <c r="P75" i="31"/>
  <c r="M136" i="31"/>
  <c r="M81" i="31"/>
  <c r="B52" i="31"/>
  <c r="O101" i="31"/>
  <c r="B51" i="31"/>
  <c r="L106" i="31" s="1"/>
  <c r="B50" i="31"/>
  <c r="L105" i="31" s="1"/>
  <c r="P78" i="31"/>
  <c r="P133" i="31"/>
  <c r="P137" i="31"/>
  <c r="P82" i="31"/>
  <c r="P142" i="31"/>
  <c r="P87" i="31"/>
  <c r="B47" i="31"/>
  <c r="L102" i="31" s="1"/>
  <c r="E33" i="31"/>
  <c r="C35" i="31"/>
  <c r="M97" i="31"/>
  <c r="M152" i="31"/>
  <c r="B53" i="31"/>
  <c r="L163" i="31" s="1"/>
  <c r="P134" i="31"/>
  <c r="P79" i="31"/>
  <c r="P132" i="31"/>
  <c r="P77" i="31"/>
  <c r="P101" i="31"/>
  <c r="P156" i="31"/>
  <c r="N90" i="31"/>
  <c r="N145" i="31"/>
  <c r="K17" i="15"/>
  <c r="P129" i="31"/>
  <c r="P74" i="31"/>
  <c r="B48" i="31"/>
  <c r="L103" i="31" s="1"/>
  <c r="P107" i="31"/>
  <c r="P162" i="31"/>
  <c r="L150" i="31"/>
  <c r="L95" i="31"/>
  <c r="L152" i="31"/>
  <c r="L97" i="31"/>
  <c r="K29" i="15"/>
  <c r="B54" i="31"/>
  <c r="L157" i="31"/>
  <c r="L149" i="31"/>
  <c r="L94" i="31"/>
  <c r="L154" i="31"/>
  <c r="L99" i="31"/>
  <c r="K24" i="15"/>
  <c r="B49" i="31"/>
  <c r="K18" i="15"/>
  <c r="N18" i="15" s="1"/>
  <c r="B43" i="31"/>
  <c r="K21" i="15"/>
  <c r="B46" i="31"/>
  <c r="K16" i="15"/>
  <c r="B41" i="31"/>
  <c r="F65" i="27"/>
  <c r="F66" i="27" s="1"/>
  <c r="F63" i="27"/>
  <c r="B23" i="7"/>
  <c r="C33" i="23"/>
  <c r="I35" i="3"/>
  <c r="I39" i="3"/>
  <c r="K19" i="15"/>
  <c r="J31" i="18"/>
  <c r="B30" i="18" s="1"/>
  <c r="J30" i="18"/>
  <c r="B29" i="18" s="1"/>
  <c r="J29" i="15"/>
  <c r="S55" i="27" s="1"/>
  <c r="D39" i="1"/>
  <c r="C21" i="23"/>
  <c r="C16" i="23"/>
  <c r="C32" i="23"/>
  <c r="C43" i="23"/>
  <c r="C42" i="23"/>
  <c r="C18" i="23"/>
  <c r="C38" i="23"/>
  <c r="C17" i="23"/>
  <c r="C30" i="23"/>
  <c r="C41" i="23"/>
  <c r="C20" i="23"/>
  <c r="C31" i="23"/>
  <c r="C40" i="23"/>
  <c r="C19" i="23"/>
  <c r="C39" i="23"/>
  <c r="C23" i="23"/>
  <c r="C22" i="23"/>
  <c r="C8" i="23"/>
  <c r="C5" i="23"/>
  <c r="C6" i="23"/>
  <c r="C15" i="23"/>
  <c r="C12" i="23"/>
  <c r="C36" i="23"/>
  <c r="C10" i="23"/>
  <c r="C13" i="23"/>
  <c r="C37" i="23"/>
  <c r="C7" i="23"/>
  <c r="C29" i="23"/>
  <c r="C11" i="23"/>
  <c r="C28" i="23"/>
  <c r="C9" i="23"/>
  <c r="C34" i="23"/>
  <c r="C14" i="23"/>
  <c r="C35" i="23"/>
  <c r="Z22" i="14"/>
  <c r="U53" i="27"/>
  <c r="F13" i="10"/>
  <c r="E22" i="27" s="1"/>
  <c r="J22" i="27" s="1"/>
  <c r="F19" i="10"/>
  <c r="F17" i="10"/>
  <c r="R22" i="14"/>
  <c r="N56" i="27"/>
  <c r="N57" i="27" s="1"/>
  <c r="E19" i="27"/>
  <c r="J19" i="27" s="1"/>
  <c r="K22" i="15"/>
  <c r="K28" i="15"/>
  <c r="O6" i="14"/>
  <c r="Y19" i="27" s="1"/>
  <c r="F18" i="31" s="1"/>
  <c r="K27" i="15"/>
  <c r="Y56" i="27"/>
  <c r="F55" i="31" s="1"/>
  <c r="B28" i="10"/>
  <c r="T28" i="10"/>
  <c r="C28" i="10"/>
  <c r="F22" i="14"/>
  <c r="I22" i="14"/>
  <c r="D11" i="10"/>
  <c r="E7" i="14"/>
  <c r="H22" i="14"/>
  <c r="Y22" i="14"/>
  <c r="D12" i="10"/>
  <c r="E12" i="10" s="1"/>
  <c r="X22" i="14"/>
  <c r="AA22" i="14"/>
  <c r="V6" i="14" s="1"/>
  <c r="G7" i="14"/>
  <c r="G22" i="14" s="1"/>
  <c r="J22" i="14"/>
  <c r="S22" i="14"/>
  <c r="E29" i="27"/>
  <c r="J29" i="27" s="1"/>
  <c r="K20" i="15"/>
  <c r="K23" i="15"/>
  <c r="K25" i="15"/>
  <c r="O10" i="14"/>
  <c r="Y27" i="27" s="1"/>
  <c r="F26" i="31" s="1"/>
  <c r="O9" i="14"/>
  <c r="Y26" i="27" s="1"/>
  <c r="O15" i="14"/>
  <c r="Y22" i="27" s="1"/>
  <c r="F21" i="31" s="1"/>
  <c r="P22" i="14"/>
  <c r="K26" i="15"/>
  <c r="B56" i="27"/>
  <c r="J56" i="27"/>
  <c r="H63" i="27"/>
  <c r="F53" i="7"/>
  <c r="B28" i="7" s="1"/>
  <c r="F24" i="7"/>
  <c r="O63" i="27" s="1"/>
  <c r="O96" i="31" l="1"/>
  <c r="O105" i="31"/>
  <c r="E52" i="31"/>
  <c r="L161" i="31"/>
  <c r="O100" i="31"/>
  <c r="E31" i="31"/>
  <c r="O141" i="31" s="1"/>
  <c r="Q36" i="27"/>
  <c r="F25" i="31"/>
  <c r="P135" i="31" s="1"/>
  <c r="F9" i="32"/>
  <c r="F13" i="32" s="1"/>
  <c r="L160" i="31"/>
  <c r="L158" i="31"/>
  <c r="L108" i="31"/>
  <c r="J30" i="15"/>
  <c r="F120" i="29" s="1"/>
  <c r="U36" i="27"/>
  <c r="E35" i="31" s="1"/>
  <c r="O145" i="31" s="1"/>
  <c r="C11" i="31"/>
  <c r="I11" i="31" s="1"/>
  <c r="F22" i="5"/>
  <c r="C21" i="5" s="1"/>
  <c r="M90" i="31"/>
  <c r="M145" i="31"/>
  <c r="L162" i="31"/>
  <c r="L107" i="31"/>
  <c r="P128" i="31"/>
  <c r="P73" i="31"/>
  <c r="O143" i="31"/>
  <c r="O88" i="31"/>
  <c r="P131" i="31"/>
  <c r="P76" i="31"/>
  <c r="P136" i="31"/>
  <c r="P81" i="31"/>
  <c r="O162" i="31"/>
  <c r="O107" i="31"/>
  <c r="C55" i="31"/>
  <c r="P110" i="31"/>
  <c r="P165" i="31"/>
  <c r="L101" i="31"/>
  <c r="L156" i="31"/>
  <c r="L96" i="31"/>
  <c r="L151" i="31"/>
  <c r="L153" i="31"/>
  <c r="L98" i="31"/>
  <c r="L159" i="31"/>
  <c r="L104" i="31"/>
  <c r="L164" i="31"/>
  <c r="L109" i="31"/>
  <c r="B55" i="31"/>
  <c r="L110" i="31"/>
  <c r="L165" i="31"/>
  <c r="C63" i="27"/>
  <c r="U55" i="27"/>
  <c r="J29" i="18"/>
  <c r="J34" i="18" s="1"/>
  <c r="S56" i="27"/>
  <c r="S57" i="27" s="1"/>
  <c r="B28" i="27"/>
  <c r="I28" i="27" s="1"/>
  <c r="J28" i="27" s="1"/>
  <c r="B26" i="27"/>
  <c r="B22" i="27"/>
  <c r="B29" i="27"/>
  <c r="F24" i="5"/>
  <c r="C45" i="23"/>
  <c r="W21" i="14"/>
  <c r="W11" i="14"/>
  <c r="W10" i="14"/>
  <c r="W16" i="14"/>
  <c r="W19" i="14"/>
  <c r="F12" i="10"/>
  <c r="E21" i="27" s="1"/>
  <c r="J21" i="27" s="1"/>
  <c r="V20" i="14"/>
  <c r="V16" i="14"/>
  <c r="V12" i="14"/>
  <c r="V18" i="14"/>
  <c r="V5" i="14"/>
  <c r="D28" i="10"/>
  <c r="V8" i="14"/>
  <c r="V19" i="14"/>
  <c r="V10" i="14"/>
  <c r="V17" i="14"/>
  <c r="V14" i="14"/>
  <c r="V13" i="14"/>
  <c r="V15" i="14"/>
  <c r="V21" i="14"/>
  <c r="V11" i="14"/>
  <c r="V9" i="14"/>
  <c r="V7" i="14"/>
  <c r="W7" i="14"/>
  <c r="W12" i="14"/>
  <c r="W15" i="14"/>
  <c r="W8" i="14"/>
  <c r="W5" i="14"/>
  <c r="B28" i="18"/>
  <c r="B32" i="18" s="1"/>
  <c r="E22" i="14"/>
  <c r="D7" i="14" s="1"/>
  <c r="W9" i="14"/>
  <c r="W17" i="14"/>
  <c r="W14" i="14"/>
  <c r="W18" i="14"/>
  <c r="W13" i="14"/>
  <c r="W20" i="14"/>
  <c r="W6" i="14"/>
  <c r="E11" i="10"/>
  <c r="F11" i="10" s="1"/>
  <c r="O86" i="31" l="1"/>
  <c r="E54" i="31"/>
  <c r="P80" i="31"/>
  <c r="F15" i="32"/>
  <c r="F16" i="32" s="1"/>
  <c r="I26" i="27" s="1"/>
  <c r="O90" i="31"/>
  <c r="C19" i="5"/>
  <c r="B29" i="31"/>
  <c r="L139" i="31" s="1"/>
  <c r="K9" i="15"/>
  <c r="M121" i="31"/>
  <c r="M66" i="31"/>
  <c r="M165" i="31"/>
  <c r="M110" i="31"/>
  <c r="B27" i="31"/>
  <c r="L82" i="31" s="1"/>
  <c r="B28" i="31"/>
  <c r="L83" i="31" s="1"/>
  <c r="O109" i="31"/>
  <c r="O164" i="31"/>
  <c r="J35" i="18"/>
  <c r="B24" i="27"/>
  <c r="B23" i="31" s="1"/>
  <c r="B33" i="27"/>
  <c r="B31" i="27"/>
  <c r="B30" i="31" s="1"/>
  <c r="B35" i="27"/>
  <c r="B23" i="27"/>
  <c r="B22" i="31" s="1"/>
  <c r="B24" i="31"/>
  <c r="B32" i="27"/>
  <c r="B31" i="31" s="1"/>
  <c r="B27" i="27"/>
  <c r="B19" i="27"/>
  <c r="B34" i="27"/>
  <c r="B33" i="31" s="1"/>
  <c r="B21" i="31"/>
  <c r="G14" i="27"/>
  <c r="J14" i="27" s="1"/>
  <c r="B18" i="27"/>
  <c r="B21" i="27"/>
  <c r="B20" i="31" s="1"/>
  <c r="AJ12" i="27"/>
  <c r="L12" i="34" s="1"/>
  <c r="K17" i="24"/>
  <c r="L17" i="24" s="1"/>
  <c r="M17" i="24" s="1"/>
  <c r="K11" i="24"/>
  <c r="L11" i="24" s="1"/>
  <c r="M11" i="24" s="1"/>
  <c r="N13" i="7"/>
  <c r="M13" i="7" s="1"/>
  <c r="V22" i="14"/>
  <c r="E20" i="27"/>
  <c r="E28" i="10"/>
  <c r="F5" i="10" s="1"/>
  <c r="D15" i="14"/>
  <c r="D13" i="14"/>
  <c r="D10" i="14"/>
  <c r="D14" i="14"/>
  <c r="D11" i="14"/>
  <c r="D16" i="14"/>
  <c r="D20" i="14"/>
  <c r="D5" i="14"/>
  <c r="D6" i="14"/>
  <c r="D21" i="14"/>
  <c r="D8" i="14"/>
  <c r="D18" i="14"/>
  <c r="D12" i="14"/>
  <c r="D9" i="14"/>
  <c r="D17" i="14"/>
  <c r="D19" i="14"/>
  <c r="W22" i="14"/>
  <c r="M49" i="3"/>
  <c r="M50" i="3" s="1"/>
  <c r="K19" i="24"/>
  <c r="L84" i="31" l="1"/>
  <c r="J26" i="27"/>
  <c r="I36" i="27"/>
  <c r="I57" i="27" s="1"/>
  <c r="B20" i="27"/>
  <c r="J20" i="27"/>
  <c r="AT12" i="27"/>
  <c r="S66" i="31"/>
  <c r="S121" i="31"/>
  <c r="L131" i="31"/>
  <c r="L76" i="31"/>
  <c r="B32" i="31"/>
  <c r="L87" i="31" s="1"/>
  <c r="L138" i="31"/>
  <c r="L134" i="31"/>
  <c r="L79" i="31"/>
  <c r="B34" i="31"/>
  <c r="L137" i="31"/>
  <c r="K7" i="24"/>
  <c r="L7" i="24" s="1"/>
  <c r="M7" i="24" s="1"/>
  <c r="B17" i="31"/>
  <c r="L141" i="31"/>
  <c r="L86" i="31"/>
  <c r="L77" i="31"/>
  <c r="L132" i="31"/>
  <c r="L133" i="31"/>
  <c r="L78" i="31"/>
  <c r="K16" i="24"/>
  <c r="L16" i="24" s="1"/>
  <c r="M16" i="24" s="1"/>
  <c r="B26" i="31"/>
  <c r="L85" i="31"/>
  <c r="L140" i="31"/>
  <c r="L88" i="31"/>
  <c r="L143" i="31"/>
  <c r="L75" i="31"/>
  <c r="L130" i="31"/>
  <c r="K8" i="24"/>
  <c r="L8" i="24" s="1"/>
  <c r="M8" i="24" s="1"/>
  <c r="B18" i="31"/>
  <c r="AM12" i="27"/>
  <c r="K25" i="24"/>
  <c r="L25" i="24" s="1"/>
  <c r="M25" i="24" s="1"/>
  <c r="K10" i="24"/>
  <c r="L10" i="24" s="1"/>
  <c r="M10" i="24" s="1"/>
  <c r="K12" i="24"/>
  <c r="L12" i="24" s="1"/>
  <c r="M12" i="24" s="1"/>
  <c r="K13" i="24"/>
  <c r="L13" i="24" s="1"/>
  <c r="M13" i="24" s="1"/>
  <c r="K14" i="24"/>
  <c r="L14" i="24" s="1"/>
  <c r="M14" i="24" s="1"/>
  <c r="K11" i="15"/>
  <c r="K10" i="15"/>
  <c r="B13" i="31"/>
  <c r="F28" i="10"/>
  <c r="F9" i="5"/>
  <c r="D22" i="14"/>
  <c r="E36" i="27"/>
  <c r="L19" i="24"/>
  <c r="L144" i="31" l="1"/>
  <c r="K30" i="15"/>
  <c r="L89" i="31"/>
  <c r="L142" i="31"/>
  <c r="B19" i="31"/>
  <c r="L74" i="31" s="1"/>
  <c r="L68" i="31"/>
  <c r="L123" i="31"/>
  <c r="L73" i="31"/>
  <c r="L128" i="31"/>
  <c r="L81" i="31"/>
  <c r="L136" i="31"/>
  <c r="L72" i="31"/>
  <c r="L127" i="31"/>
  <c r="G57" i="27"/>
  <c r="G63" i="27" s="1"/>
  <c r="G9" i="5"/>
  <c r="K9" i="24"/>
  <c r="B36" i="27"/>
  <c r="M19" i="24"/>
  <c r="L129" i="31" l="1"/>
  <c r="B57" i="27"/>
  <c r="M28" i="15" s="1"/>
  <c r="L9" i="24"/>
  <c r="Q49" i="27" l="1"/>
  <c r="U49" i="27" s="1"/>
  <c r="R48" i="27"/>
  <c r="R56" i="27" s="1"/>
  <c r="R57" i="27" s="1"/>
  <c r="T54" i="27"/>
  <c r="U54" i="27" s="1"/>
  <c r="Q52" i="27"/>
  <c r="U52" i="27" s="1"/>
  <c r="Q50" i="27"/>
  <c r="U50" i="27" s="1"/>
  <c r="M23" i="15"/>
  <c r="G2" i="15"/>
  <c r="M26" i="15"/>
  <c r="M22" i="15"/>
  <c r="M24" i="15"/>
  <c r="M9" i="24"/>
  <c r="E51" i="31" l="1"/>
  <c r="O161" i="31" s="1"/>
  <c r="E53" i="31"/>
  <c r="O108" i="31" s="1"/>
  <c r="E49" i="31"/>
  <c r="O159" i="31" s="1"/>
  <c r="E48" i="31"/>
  <c r="O158" i="31" s="1"/>
  <c r="M30" i="15"/>
  <c r="I2" i="15" s="1"/>
  <c r="O106" i="31"/>
  <c r="T56" i="27"/>
  <c r="T57" i="27" s="1"/>
  <c r="U48" i="27"/>
  <c r="Q56" i="27"/>
  <c r="O163" i="31"/>
  <c r="O103" i="31" l="1"/>
  <c r="O104" i="31"/>
  <c r="E47" i="31"/>
  <c r="O157" i="31" s="1"/>
  <c r="U56" i="27"/>
  <c r="U63" i="27" s="1"/>
  <c r="U62" i="27" l="1"/>
  <c r="E55" i="31"/>
  <c r="O102" i="31"/>
  <c r="F7" i="7"/>
  <c r="O165" i="31" l="1"/>
  <c r="O110" i="31"/>
  <c r="N16" i="7"/>
  <c r="E11" i="27"/>
  <c r="E57" i="27" l="1"/>
  <c r="E63" i="27" s="1"/>
  <c r="J11" i="27"/>
  <c r="M16" i="7"/>
  <c r="B10" i="31" l="1"/>
  <c r="L65" i="31"/>
  <c r="L120" i="31"/>
  <c r="O5" i="14"/>
  <c r="B25" i="13"/>
  <c r="D38" i="1" l="1"/>
  <c r="O22" i="14"/>
  <c r="Y18" i="27"/>
  <c r="Y36" i="27" l="1"/>
  <c r="F35" i="31" s="1"/>
  <c r="F17" i="31"/>
  <c r="Y14" i="27"/>
  <c r="P127" i="31" l="1"/>
  <c r="P72" i="31"/>
  <c r="P90" i="31"/>
  <c r="P145" i="31"/>
  <c r="Y57" i="27"/>
  <c r="F13" i="31"/>
  <c r="F12" i="5"/>
  <c r="F22" i="7"/>
  <c r="P68" i="31" l="1"/>
  <c r="P123" i="31"/>
  <c r="Y63" i="27"/>
  <c r="F56" i="31"/>
  <c r="G12" i="5"/>
  <c r="P166" i="31" l="1"/>
  <c r="P111" i="31"/>
  <c r="N9" i="7"/>
  <c r="F34" i="7" l="1"/>
  <c r="B18" i="7" l="1"/>
  <c r="D10" i="27"/>
  <c r="J10" i="27" l="1"/>
  <c r="AJ10" i="27"/>
  <c r="L10" i="34" s="1"/>
  <c r="B9" i="31" l="1"/>
  <c r="I9" i="31" s="1"/>
  <c r="L119" i="31"/>
  <c r="L64" i="31"/>
  <c r="S119" i="31"/>
  <c r="AT10" i="27"/>
  <c r="AM10" i="27"/>
  <c r="N72" i="7"/>
  <c r="F44" i="7" s="1"/>
  <c r="S64" i="31" l="1"/>
  <c r="L53" i="3"/>
  <c r="L54" i="3" s="1"/>
  <c r="L55" i="3" s="1"/>
  <c r="F43" i="13"/>
  <c r="F38" i="3"/>
  <c r="F41" i="3" l="1"/>
  <c r="F57" i="3" s="1"/>
  <c r="K35" i="13"/>
  <c r="I38" i="3"/>
  <c r="F56" i="13"/>
  <c r="B32" i="13"/>
  <c r="M55" i="3"/>
  <c r="L56" i="3"/>
  <c r="M56" i="3" s="1"/>
  <c r="M54" i="3"/>
  <c r="F42" i="13" l="1"/>
  <c r="K32" i="13"/>
  <c r="B30" i="13" s="1"/>
  <c r="M34" i="13"/>
  <c r="I41" i="3"/>
  <c r="I57" i="3" s="1"/>
  <c r="F46" i="13"/>
  <c r="M58" i="3"/>
  <c r="L50" i="3"/>
  <c r="N77" i="7"/>
  <c r="F35" i="7" s="1"/>
  <c r="B8" i="7"/>
  <c r="H19" i="5" l="1"/>
  <c r="D7" i="27"/>
  <c r="F48" i="13"/>
  <c r="B11" i="7"/>
  <c r="AQ2" i="27"/>
  <c r="F55" i="13"/>
  <c r="M77" i="7"/>
  <c r="Q7" i="27"/>
  <c r="C6" i="31"/>
  <c r="J7" i="27" l="1"/>
  <c r="M116" i="31"/>
  <c r="M61" i="31"/>
  <c r="F57" i="13"/>
  <c r="F50" i="13"/>
  <c r="F52" i="13" s="1"/>
  <c r="F58" i="13" s="1"/>
  <c r="H58" i="13" s="1"/>
  <c r="G19" i="5"/>
  <c r="U7" i="27"/>
  <c r="F53" i="13" l="1"/>
  <c r="B6" i="31"/>
  <c r="E6" i="31"/>
  <c r="O61" i="31" s="1"/>
  <c r="AJ7" i="27"/>
  <c r="L7" i="34" s="1"/>
  <c r="O116" i="31"/>
  <c r="I6" i="31"/>
  <c r="F59" i="13"/>
  <c r="K33" i="13" s="1"/>
  <c r="L116" i="31" l="1"/>
  <c r="L61" i="31"/>
  <c r="K29" i="13"/>
  <c r="AT7" i="27"/>
  <c r="S61" i="31"/>
  <c r="S116" i="31"/>
  <c r="F60" i="13"/>
  <c r="B31" i="13"/>
  <c r="AM7" i="27"/>
  <c r="K31" i="13" l="1"/>
  <c r="B29" i="13"/>
  <c r="K36" i="13"/>
  <c r="N12" i="7"/>
  <c r="F19" i="7" l="1"/>
  <c r="F18" i="7" s="1"/>
  <c r="F8" i="5"/>
  <c r="G8" i="5" s="1"/>
  <c r="M12" i="7"/>
  <c r="M84" i="7" s="1"/>
  <c r="B20" i="7" l="1"/>
  <c r="N98" i="7"/>
  <c r="F7" i="5"/>
  <c r="F15" i="5" s="1"/>
  <c r="G15" i="5" s="1"/>
  <c r="C13" i="5" l="1"/>
  <c r="L11" i="27" s="1"/>
  <c r="C10" i="31" l="1"/>
  <c r="I10" i="31" s="1"/>
  <c r="AJ11" i="27"/>
  <c r="L11" i="34" s="1"/>
  <c r="AT11" i="27" l="1"/>
  <c r="AM11" i="27"/>
  <c r="M65" i="31"/>
  <c r="M120" i="31"/>
  <c r="S120" i="31" l="1"/>
  <c r="S65" i="31"/>
  <c r="N47" i="7" l="1"/>
  <c r="F14" i="7" s="1"/>
  <c r="R63" i="31" l="1"/>
  <c r="R118" i="31"/>
  <c r="F6" i="7"/>
  <c r="B14" i="7" l="1"/>
  <c r="C12" i="31" l="1"/>
  <c r="D13" i="27"/>
  <c r="J13" i="27" s="1"/>
  <c r="M67" i="31"/>
  <c r="M122" i="31"/>
  <c r="F23" i="5"/>
  <c r="C18" i="5"/>
  <c r="M88" i="7"/>
  <c r="N70" i="7"/>
  <c r="N84" i="7" s="1"/>
  <c r="N88" i="7" s="1"/>
  <c r="AJ13" i="27" l="1"/>
  <c r="L13" i="34" s="1"/>
  <c r="B12" i="31"/>
  <c r="AT13" i="27"/>
  <c r="AM13" i="27"/>
  <c r="F42" i="7"/>
  <c r="L67" i="31" l="1"/>
  <c r="I12" i="31"/>
  <c r="L122" i="31"/>
  <c r="B17" i="7"/>
  <c r="F33" i="7"/>
  <c r="F50" i="7" s="1"/>
  <c r="S67" i="31" l="1"/>
  <c r="S122" i="31"/>
  <c r="D8" i="27"/>
  <c r="H20" i="5"/>
  <c r="B25" i="7"/>
  <c r="C7" i="31"/>
  <c r="G20" i="5"/>
  <c r="B29" i="7"/>
  <c r="F55" i="7"/>
  <c r="N94" i="7"/>
  <c r="L57" i="27"/>
  <c r="J8" i="27" l="1"/>
  <c r="D57" i="27"/>
  <c r="AJ67" i="27"/>
  <c r="M117" i="31"/>
  <c r="M62" i="31"/>
  <c r="C56" i="31"/>
  <c r="AJ63" i="27"/>
  <c r="N93" i="7"/>
  <c r="B7" i="31" l="1"/>
  <c r="J93" i="7"/>
  <c r="J97" i="7" s="1"/>
  <c r="AJ66" i="27"/>
  <c r="AJ68" i="27" s="1"/>
  <c r="AJ69" i="27" s="1"/>
  <c r="N97" i="7"/>
  <c r="M166" i="31"/>
  <c r="M111" i="31"/>
  <c r="L62" i="31" l="1"/>
  <c r="L117" i="31"/>
  <c r="J36" i="27"/>
  <c r="B35" i="31" l="1"/>
  <c r="J57" i="27"/>
  <c r="K15" i="24"/>
  <c r="B25" i="31"/>
  <c r="B56" i="31" l="1"/>
  <c r="C9" i="5"/>
  <c r="D9" i="5" s="1"/>
  <c r="L80" i="31"/>
  <c r="L135" i="31"/>
  <c r="L15" i="24"/>
  <c r="K26" i="24"/>
  <c r="L90" i="31"/>
  <c r="L145" i="31"/>
  <c r="M15" i="24" l="1"/>
  <c r="M26" i="24" s="1"/>
  <c r="L26" i="24"/>
  <c r="C12" i="5"/>
  <c r="C17" i="5"/>
  <c r="D17" i="5" s="1"/>
  <c r="L166" i="31"/>
  <c r="L111" i="31"/>
  <c r="C15" i="5" l="1"/>
  <c r="D12" i="5"/>
  <c r="C23" i="5"/>
  <c r="C57" i="1"/>
  <c r="F25" i="5"/>
  <c r="D49" i="1"/>
  <c r="D32" i="1"/>
  <c r="D31" i="1"/>
  <c r="C25" i="5"/>
  <c r="D29" i="1"/>
  <c r="D42" i="1"/>
  <c r="D43" i="1"/>
  <c r="D23" i="1"/>
  <c r="D37" i="1"/>
  <c r="D30" i="1"/>
  <c r="C10" i="14" l="1"/>
  <c r="C13" i="14"/>
  <c r="D52" i="1"/>
  <c r="C8" i="14"/>
  <c r="C12" i="14"/>
  <c r="C17" i="14"/>
  <c r="C16" i="14"/>
  <c r="C15" i="14"/>
  <c r="C9" i="14"/>
  <c r="C20" i="14"/>
  <c r="C14" i="14"/>
  <c r="C11" i="14"/>
  <c r="C21" i="14"/>
  <c r="C18" i="14"/>
  <c r="C7" i="14"/>
  <c r="C5" i="14"/>
  <c r="C6" i="14"/>
  <c r="C19" i="14"/>
  <c r="B21" i="14"/>
  <c r="B18" i="14"/>
  <c r="B11" i="14"/>
  <c r="B13" i="14"/>
  <c r="W28" i="27" s="1"/>
  <c r="B6" i="14"/>
  <c r="W19" i="27" s="1"/>
  <c r="B5" i="14"/>
  <c r="B9" i="14"/>
  <c r="W26" i="27" s="1"/>
  <c r="B19" i="14"/>
  <c r="W29" i="27" s="1"/>
  <c r="B14" i="14"/>
  <c r="W20" i="27" s="1"/>
  <c r="B17" i="14"/>
  <c r="B8" i="14"/>
  <c r="W21" i="27" s="1"/>
  <c r="B10" i="14"/>
  <c r="W27" i="27" s="1"/>
  <c r="B12" i="14"/>
  <c r="B15" i="14"/>
  <c r="W22" i="27" s="1"/>
  <c r="B20" i="14"/>
  <c r="W53" i="27" s="1"/>
  <c r="B16" i="14"/>
  <c r="B7" i="14"/>
  <c r="N16" i="14"/>
  <c r="N9" i="14"/>
  <c r="N11" i="14"/>
  <c r="N17" i="14"/>
  <c r="N5" i="14"/>
  <c r="N7" i="14"/>
  <c r="N21" i="14"/>
  <c r="N10" i="14"/>
  <c r="N12" i="14"/>
  <c r="N14" i="14"/>
  <c r="N19" i="14"/>
  <c r="N6" i="14"/>
  <c r="N20" i="14"/>
  <c r="N18" i="14"/>
  <c r="N8" i="14"/>
  <c r="N15" i="14"/>
  <c r="N13" i="14"/>
  <c r="M11" i="14"/>
  <c r="L8" i="14"/>
  <c r="M8" i="14"/>
  <c r="L18" i="14"/>
  <c r="L5" i="14"/>
  <c r="K9" i="14"/>
  <c r="M7" i="14"/>
  <c r="L17" i="14"/>
  <c r="L19" i="14"/>
  <c r="M6" i="14"/>
  <c r="L12" i="14"/>
  <c r="K18" i="14"/>
  <c r="M9" i="14"/>
  <c r="L21" i="14"/>
  <c r="K6" i="14"/>
  <c r="M12" i="14"/>
  <c r="L9" i="14"/>
  <c r="L20" i="14"/>
  <c r="K16" i="14"/>
  <c r="M14" i="14"/>
  <c r="M10" i="14"/>
  <c r="L15" i="14"/>
  <c r="M15" i="14"/>
  <c r="M17" i="14"/>
  <c r="K20" i="14"/>
  <c r="K10" i="14"/>
  <c r="K19" i="14"/>
  <c r="K21" i="14"/>
  <c r="L13" i="14"/>
  <c r="L14" i="14"/>
  <c r="M13" i="14"/>
  <c r="L10" i="14"/>
  <c r="K12" i="14"/>
  <c r="K7" i="14"/>
  <c r="L7" i="14"/>
  <c r="M21" i="14"/>
  <c r="M20" i="14"/>
  <c r="K17" i="14"/>
  <c r="M19" i="14"/>
  <c r="M5" i="14"/>
  <c r="K8" i="14"/>
  <c r="K15" i="14"/>
  <c r="AA22" i="27" s="1"/>
  <c r="K13" i="14"/>
  <c r="AA28" i="27" s="1"/>
  <c r="L11" i="14"/>
  <c r="L6" i="14"/>
  <c r="M16" i="14"/>
  <c r="M18" i="14"/>
  <c r="L16" i="14"/>
  <c r="K14" i="14"/>
  <c r="K11" i="14"/>
  <c r="AA33" i="27" s="1"/>
  <c r="K5" i="14"/>
  <c r="Q17" i="14"/>
  <c r="Q13" i="14"/>
  <c r="X28" i="27" s="1"/>
  <c r="Q5" i="14"/>
  <c r="Q12" i="14"/>
  <c r="X24" i="27" s="1"/>
  <c r="Q7" i="14"/>
  <c r="X23" i="27" s="1"/>
  <c r="Q18" i="14"/>
  <c r="X53" i="27" s="1"/>
  <c r="X56" i="27" s="1"/>
  <c r="Q20" i="14"/>
  <c r="Q15" i="14"/>
  <c r="X22" i="27" s="1"/>
  <c r="Q6" i="14"/>
  <c r="X19" i="27" s="1"/>
  <c r="Q10" i="14"/>
  <c r="X27" i="27" s="1"/>
  <c r="Q9" i="14"/>
  <c r="X26" i="27" s="1"/>
  <c r="Q14" i="14"/>
  <c r="X20" i="27" s="1"/>
  <c r="Q11" i="14"/>
  <c r="X33" i="27" s="1"/>
  <c r="Q21" i="14"/>
  <c r="Q16" i="14"/>
  <c r="X25" i="27" s="1"/>
  <c r="Q19" i="14"/>
  <c r="X29" i="27" s="1"/>
  <c r="Q8" i="14"/>
  <c r="X21" i="27" s="1"/>
  <c r="U16" i="14"/>
  <c r="AB25" i="27" s="1"/>
  <c r="U7" i="14"/>
  <c r="AB23" i="27" s="1"/>
  <c r="U20" i="14"/>
  <c r="U17" i="14"/>
  <c r="U18" i="14"/>
  <c r="U21" i="14"/>
  <c r="U15" i="14"/>
  <c r="AB22" i="27" s="1"/>
  <c r="U14" i="14"/>
  <c r="AB20" i="27" s="1"/>
  <c r="U9" i="14"/>
  <c r="AB26" i="27" s="1"/>
  <c r="U6" i="14"/>
  <c r="AB19" i="27" s="1"/>
  <c r="U12" i="14"/>
  <c r="AB24" i="27" s="1"/>
  <c r="U13" i="14"/>
  <c r="AB28" i="27" s="1"/>
  <c r="U10" i="14"/>
  <c r="AB27" i="27" s="1"/>
  <c r="U8" i="14"/>
  <c r="AB21" i="27" s="1"/>
  <c r="U5" i="14"/>
  <c r="U19" i="14"/>
  <c r="AB29" i="27" s="1"/>
  <c r="U11" i="14"/>
  <c r="AB33" i="27" s="1"/>
  <c r="F26" i="5"/>
  <c r="B5" i="23"/>
  <c r="B16" i="23"/>
  <c r="B7" i="23"/>
  <c r="Z20" i="27" s="1"/>
  <c r="B10" i="23"/>
  <c r="Z23" i="27" s="1"/>
  <c r="B15" i="23"/>
  <c r="Z28" i="27" s="1"/>
  <c r="B9" i="23"/>
  <c r="Z22" i="27" s="1"/>
  <c r="B8" i="23"/>
  <c r="Z21" i="27" s="1"/>
  <c r="B12" i="23"/>
  <c r="Z25" i="27" s="1"/>
  <c r="B21" i="23"/>
  <c r="Z33" i="27" s="1"/>
  <c r="B17" i="23"/>
  <c r="Z29" i="27" s="1"/>
  <c r="B41" i="23"/>
  <c r="Z53" i="27" s="1"/>
  <c r="B13" i="23"/>
  <c r="Z26" i="27" s="1"/>
  <c r="B39" i="23"/>
  <c r="Z51" i="27" s="1"/>
  <c r="B6" i="23"/>
  <c r="Z19" i="27" s="1"/>
  <c r="B14" i="23"/>
  <c r="Z27" i="27" s="1"/>
  <c r="B35" i="23"/>
  <c r="Z47" i="27" s="1"/>
  <c r="B11" i="23"/>
  <c r="Z24" i="27" s="1"/>
  <c r="B40" i="23"/>
  <c r="Z52" i="27" s="1"/>
  <c r="B32" i="23"/>
  <c r="Z44" i="27" s="1"/>
  <c r="B34" i="23"/>
  <c r="Z46" i="27" s="1"/>
  <c r="B30" i="23"/>
  <c r="Z42" i="27" s="1"/>
  <c r="B33" i="23"/>
  <c r="Z45" i="27" s="1"/>
  <c r="B29" i="23"/>
  <c r="Z41" i="27" s="1"/>
  <c r="B37" i="23"/>
  <c r="Z49" i="27" s="1"/>
  <c r="B36" i="23"/>
  <c r="Z48" i="27" s="1"/>
  <c r="B23" i="23"/>
  <c r="Z35" i="27" s="1"/>
  <c r="B19" i="23"/>
  <c r="Z31" i="27" s="1"/>
  <c r="B31" i="23"/>
  <c r="Z43" i="27" s="1"/>
  <c r="B38" i="23"/>
  <c r="Z50" i="27" s="1"/>
  <c r="B18" i="23"/>
  <c r="Z30" i="27" s="1"/>
  <c r="B22" i="23"/>
  <c r="Z34" i="27" s="1"/>
  <c r="B42" i="23"/>
  <c r="Z54" i="27" s="1"/>
  <c r="B20" i="23"/>
  <c r="Z32" i="27" s="1"/>
  <c r="B43" i="23"/>
  <c r="Z55" i="27" s="1"/>
  <c r="B28" i="23"/>
  <c r="Z40" i="27" s="1"/>
  <c r="H25" i="5"/>
  <c r="W33" i="27" l="1"/>
  <c r="AA29" i="27"/>
  <c r="AA21" i="27"/>
  <c r="AC21" i="27" s="1"/>
  <c r="W47" i="27"/>
  <c r="W56" i="27" s="1"/>
  <c r="W23" i="27"/>
  <c r="W25" i="27"/>
  <c r="G43" i="31"/>
  <c r="AC44" i="27"/>
  <c r="X18" i="27"/>
  <c r="X36" i="27" s="1"/>
  <c r="Q22" i="14"/>
  <c r="G27" i="31"/>
  <c r="AC28" i="27"/>
  <c r="G51" i="31"/>
  <c r="AC52" i="27"/>
  <c r="U22" i="14"/>
  <c r="AB18" i="27"/>
  <c r="AB36" i="27" s="1"/>
  <c r="AA19" i="27"/>
  <c r="AC19" i="27" s="1"/>
  <c r="G32" i="31"/>
  <c r="AC33" i="27"/>
  <c r="G31" i="31"/>
  <c r="AC32" i="27"/>
  <c r="G47" i="31"/>
  <c r="AC48" i="27"/>
  <c r="AA26" i="27"/>
  <c r="G25" i="31" s="1"/>
  <c r="Z56" i="27"/>
  <c r="G39" i="31"/>
  <c r="AC40" i="27"/>
  <c r="K22" i="14"/>
  <c r="AA18" i="27"/>
  <c r="AA47" i="27"/>
  <c r="L22" i="14"/>
  <c r="B45" i="23"/>
  <c r="Z18" i="27"/>
  <c r="Z36" i="27" s="1"/>
  <c r="AA23" i="27"/>
  <c r="AC23" i="27" s="1"/>
  <c r="AA25" i="27"/>
  <c r="G24" i="31" s="1"/>
  <c r="N22" i="14"/>
  <c r="G28" i="31"/>
  <c r="AC29" i="27"/>
  <c r="G54" i="31"/>
  <c r="AC55" i="27"/>
  <c r="G48" i="31"/>
  <c r="AC49" i="27"/>
  <c r="AC41" i="27"/>
  <c r="G40" i="31"/>
  <c r="G29" i="31"/>
  <c r="AC30" i="27"/>
  <c r="AA20" i="27"/>
  <c r="G19" i="31" s="1"/>
  <c r="AA24" i="27"/>
  <c r="AA27" i="27"/>
  <c r="G26" i="31" s="1"/>
  <c r="G34" i="31"/>
  <c r="AC35" i="27"/>
  <c r="G53" i="31"/>
  <c r="AC54" i="27"/>
  <c r="G44" i="31"/>
  <c r="AC45" i="27"/>
  <c r="L19" i="15"/>
  <c r="N19" i="15" s="1"/>
  <c r="G49" i="31"/>
  <c r="AC50" i="27"/>
  <c r="G41" i="31"/>
  <c r="AC42" i="27"/>
  <c r="AC51" i="27"/>
  <c r="G50" i="31"/>
  <c r="M22" i="14"/>
  <c r="AA53" i="27"/>
  <c r="AC53" i="27" s="1"/>
  <c r="AC22" i="27"/>
  <c r="G21" i="31"/>
  <c r="B22" i="14"/>
  <c r="W18" i="27"/>
  <c r="G30" i="31"/>
  <c r="AC31" i="27"/>
  <c r="G33" i="31"/>
  <c r="AC34" i="27"/>
  <c r="G42" i="31"/>
  <c r="AC43" i="27"/>
  <c r="G45" i="31"/>
  <c r="AC46" i="27"/>
  <c r="W24" i="27"/>
  <c r="C22" i="14"/>
  <c r="G18" i="31" l="1"/>
  <c r="G20" i="31"/>
  <c r="AA56" i="27"/>
  <c r="P19" i="15"/>
  <c r="AC26" i="27"/>
  <c r="Q134" i="31"/>
  <c r="Q79" i="31"/>
  <c r="Q81" i="31"/>
  <c r="Q136" i="31"/>
  <c r="O12" i="24"/>
  <c r="AH23" i="27"/>
  <c r="H22" i="31" s="1"/>
  <c r="Q74" i="31"/>
  <c r="Q129" i="31"/>
  <c r="AH53" i="27"/>
  <c r="H52" i="31" s="1"/>
  <c r="L27" i="15"/>
  <c r="N27" i="15" s="1"/>
  <c r="P27" i="15" s="1"/>
  <c r="Q80" i="31"/>
  <c r="Q135" i="31"/>
  <c r="AH51" i="27"/>
  <c r="H50" i="31" s="1"/>
  <c r="I50" i="31" s="1"/>
  <c r="L25" i="15"/>
  <c r="N25" i="15" s="1"/>
  <c r="P25" i="15" s="1"/>
  <c r="L28" i="15"/>
  <c r="N28" i="15" s="1"/>
  <c r="P28" i="15" s="1"/>
  <c r="AH54" i="27"/>
  <c r="H53" i="31" s="1"/>
  <c r="I53" i="31" s="1"/>
  <c r="Q103" i="31"/>
  <c r="Q158" i="31"/>
  <c r="G46" i="31"/>
  <c r="Q87" i="31"/>
  <c r="Q142" i="31"/>
  <c r="O17" i="24"/>
  <c r="AH28" i="27"/>
  <c r="H27" i="31" s="1"/>
  <c r="I27" i="31" s="1"/>
  <c r="AC47" i="27"/>
  <c r="AC56" i="27" s="1"/>
  <c r="O10" i="24"/>
  <c r="AH21" i="27"/>
  <c r="H20" i="31" s="1"/>
  <c r="I20" i="31" s="1"/>
  <c r="Q82" i="31"/>
  <c r="Q137" i="31"/>
  <c r="AC24" i="27"/>
  <c r="G23" i="31"/>
  <c r="Q100" i="31"/>
  <c r="Q155" i="31"/>
  <c r="Q109" i="31"/>
  <c r="Q164" i="31"/>
  <c r="Z14" i="27"/>
  <c r="Z57" i="27" s="1"/>
  <c r="Z63" i="27" s="1"/>
  <c r="AA36" i="27"/>
  <c r="Q130" i="31"/>
  <c r="Q75" i="31"/>
  <c r="AC27" i="27"/>
  <c r="Q108" i="31"/>
  <c r="Q163" i="31"/>
  <c r="L24" i="15"/>
  <c r="N24" i="15" s="1"/>
  <c r="P24" i="15" s="1"/>
  <c r="AH50" i="27"/>
  <c r="H49" i="31" s="1"/>
  <c r="I49" i="31" s="1"/>
  <c r="O19" i="24"/>
  <c r="AH30" i="27"/>
  <c r="H29" i="31" s="1"/>
  <c r="I29" i="31" s="1"/>
  <c r="L9" i="15"/>
  <c r="O18" i="24"/>
  <c r="AH29" i="27"/>
  <c r="H28" i="31" s="1"/>
  <c r="I28" i="31" s="1"/>
  <c r="L22" i="15"/>
  <c r="N22" i="15" s="1"/>
  <c r="P22" i="15" s="1"/>
  <c r="AH48" i="27"/>
  <c r="H47" i="31" s="1"/>
  <c r="I47" i="31" s="1"/>
  <c r="AH46" i="27"/>
  <c r="H45" i="31" s="1"/>
  <c r="I45" i="31" s="1"/>
  <c r="L20" i="15"/>
  <c r="N20" i="15" s="1"/>
  <c r="P20" i="15" s="1"/>
  <c r="O24" i="24"/>
  <c r="AH35" i="27"/>
  <c r="H34" i="31" s="1"/>
  <c r="I34" i="31" s="1"/>
  <c r="AH43" i="27"/>
  <c r="H42" i="31" s="1"/>
  <c r="I42" i="31" s="1"/>
  <c r="L17" i="15"/>
  <c r="N17" i="15" s="1"/>
  <c r="P17" i="15" s="1"/>
  <c r="Q159" i="31"/>
  <c r="Q104" i="31"/>
  <c r="O15" i="24"/>
  <c r="AH26" i="27"/>
  <c r="H25" i="31" s="1"/>
  <c r="I25" i="31" s="1"/>
  <c r="Q84" i="31"/>
  <c r="Q139" i="31"/>
  <c r="Q83" i="31"/>
  <c r="Q138" i="31"/>
  <c r="AC20" i="27"/>
  <c r="AH40" i="27"/>
  <c r="L15" i="15"/>
  <c r="N15" i="15" s="1"/>
  <c r="P15" i="15" s="1"/>
  <c r="Q157" i="31"/>
  <c r="Q102" i="31"/>
  <c r="AB14" i="27"/>
  <c r="AB57" i="27" s="1"/>
  <c r="AB63" i="27" s="1"/>
  <c r="Q150" i="31"/>
  <c r="Q95" i="31"/>
  <c r="AC25" i="27"/>
  <c r="Q94" i="31"/>
  <c r="Q149" i="31"/>
  <c r="L10" i="15"/>
  <c r="N10" i="15" s="1"/>
  <c r="P10" i="15" s="1"/>
  <c r="O21" i="24"/>
  <c r="AH32" i="27"/>
  <c r="H31" i="31" s="1"/>
  <c r="I31" i="31" s="1"/>
  <c r="X14" i="27"/>
  <c r="X57" i="27" s="1"/>
  <c r="X63" i="27" s="1"/>
  <c r="Q85" i="31"/>
  <c r="Q140" i="31"/>
  <c r="AH42" i="27"/>
  <c r="H41" i="31" s="1"/>
  <c r="I41" i="31" s="1"/>
  <c r="L16" i="15"/>
  <c r="N16" i="15" s="1"/>
  <c r="P16" i="15" s="1"/>
  <c r="L29" i="15"/>
  <c r="N29" i="15" s="1"/>
  <c r="P29" i="15" s="1"/>
  <c r="AH55" i="27"/>
  <c r="H54" i="31" s="1"/>
  <c r="I54" i="31" s="1"/>
  <c r="Q151" i="31"/>
  <c r="Q96" i="31"/>
  <c r="Q144" i="31"/>
  <c r="Q89" i="31"/>
  <c r="AH22" i="27"/>
  <c r="H21" i="31" s="1"/>
  <c r="I21" i="31" s="1"/>
  <c r="O11" i="24"/>
  <c r="O8" i="24"/>
  <c r="AH19" i="27"/>
  <c r="H18" i="31" s="1"/>
  <c r="Q143" i="31"/>
  <c r="Q88" i="31"/>
  <c r="AH45" i="27"/>
  <c r="H44" i="31" s="1"/>
  <c r="I44" i="31" s="1"/>
  <c r="G52" i="31"/>
  <c r="AH41" i="27"/>
  <c r="H40" i="31" s="1"/>
  <c r="I40" i="31" s="1"/>
  <c r="G22" i="31"/>
  <c r="I22" i="31" s="1"/>
  <c r="Q86" i="31"/>
  <c r="Q141" i="31"/>
  <c r="AH52" i="27"/>
  <c r="H51" i="31" s="1"/>
  <c r="I51" i="31" s="1"/>
  <c r="L26" i="15"/>
  <c r="N26" i="15" s="1"/>
  <c r="P26" i="15" s="1"/>
  <c r="P18" i="15"/>
  <c r="AH44" i="27"/>
  <c r="H43" i="31" s="1"/>
  <c r="I43" i="31" s="1"/>
  <c r="AC18" i="27"/>
  <c r="G17" i="31"/>
  <c r="W36" i="27"/>
  <c r="Q76" i="31"/>
  <c r="Q131" i="31"/>
  <c r="Q152" i="31"/>
  <c r="Q97" i="31"/>
  <c r="O23" i="24"/>
  <c r="AH34" i="27"/>
  <c r="H33" i="31" s="1"/>
  <c r="I33" i="31" s="1"/>
  <c r="L11" i="15"/>
  <c r="N11" i="15" s="1"/>
  <c r="P11" i="15" s="1"/>
  <c r="Q73" i="31"/>
  <c r="Q128" i="31"/>
  <c r="O20" i="24"/>
  <c r="AH31" i="27"/>
  <c r="H30" i="31" s="1"/>
  <c r="I30" i="31" s="1"/>
  <c r="Q105" i="31"/>
  <c r="Q160" i="31"/>
  <c r="Q154" i="31"/>
  <c r="Q99" i="31"/>
  <c r="AH49" i="27"/>
  <c r="H48" i="31" s="1"/>
  <c r="I48" i="31" s="1"/>
  <c r="L23" i="15"/>
  <c r="N23" i="15" s="1"/>
  <c r="P23" i="15" s="1"/>
  <c r="G55" i="31"/>
  <c r="O22" i="24"/>
  <c r="AH33" i="27"/>
  <c r="H32" i="31" s="1"/>
  <c r="I32" i="31" s="1"/>
  <c r="Q106" i="31"/>
  <c r="Q161" i="31"/>
  <c r="Q153" i="31"/>
  <c r="Q98" i="31"/>
  <c r="AJ40" i="27" l="1"/>
  <c r="L40" i="34" s="1"/>
  <c r="M40" i="34" s="1"/>
  <c r="H39" i="31"/>
  <c r="I39" i="31" s="1"/>
  <c r="I52" i="31"/>
  <c r="I18" i="31"/>
  <c r="S128" i="31" s="1"/>
  <c r="AJ45" i="27"/>
  <c r="L45" i="34" s="1"/>
  <c r="M45" i="34" s="1"/>
  <c r="AJ52" i="27"/>
  <c r="L52" i="34" s="1"/>
  <c r="M52" i="34" s="1"/>
  <c r="AJ26" i="27"/>
  <c r="AJ21" i="27"/>
  <c r="L21" i="34" s="1"/>
  <c r="M21" i="34" s="1"/>
  <c r="AJ41" i="27"/>
  <c r="L41" i="34" s="1"/>
  <c r="M41" i="34" s="1"/>
  <c r="AJ54" i="27"/>
  <c r="L54" i="34" s="1"/>
  <c r="M54" i="34" s="1"/>
  <c r="AJ33" i="27"/>
  <c r="L33" i="34" s="1"/>
  <c r="M33" i="34" s="1"/>
  <c r="AJ35" i="27"/>
  <c r="L35" i="34" s="1"/>
  <c r="M35" i="34" s="1"/>
  <c r="AJ51" i="27"/>
  <c r="L51" i="34" s="1"/>
  <c r="M51" i="34" s="1"/>
  <c r="AJ23" i="27"/>
  <c r="L23" i="34" s="1"/>
  <c r="M23" i="34" s="1"/>
  <c r="AJ31" i="27"/>
  <c r="L31" i="34" s="1"/>
  <c r="M31" i="34" s="1"/>
  <c r="AJ48" i="27"/>
  <c r="L48" i="34" s="1"/>
  <c r="M48" i="34" s="1"/>
  <c r="AJ49" i="27"/>
  <c r="L49" i="34" s="1"/>
  <c r="M49" i="34" s="1"/>
  <c r="AJ34" i="27"/>
  <c r="L34" i="34" s="1"/>
  <c r="M34" i="34" s="1"/>
  <c r="AJ29" i="27"/>
  <c r="L29" i="34" s="1"/>
  <c r="M29" i="34" s="1"/>
  <c r="AJ43" i="27"/>
  <c r="L43" i="34" s="1"/>
  <c r="M43" i="34" s="1"/>
  <c r="AJ32" i="27"/>
  <c r="AJ44" i="27"/>
  <c r="L44" i="34" s="1"/>
  <c r="M44" i="34" s="1"/>
  <c r="AJ22" i="27"/>
  <c r="AJ53" i="27"/>
  <c r="AJ42" i="27"/>
  <c r="L42" i="34" s="1"/>
  <c r="M42" i="34" s="1"/>
  <c r="AJ19" i="27"/>
  <c r="L19" i="34" s="1"/>
  <c r="M19" i="34" s="1"/>
  <c r="AJ50" i="27"/>
  <c r="L50" i="34" s="1"/>
  <c r="M50" i="34" s="1"/>
  <c r="AJ28" i="27"/>
  <c r="L28" i="34" s="1"/>
  <c r="M28" i="34" s="1"/>
  <c r="AJ46" i="27"/>
  <c r="AJ55" i="27"/>
  <c r="L55" i="34" s="1"/>
  <c r="M55" i="34" s="1"/>
  <c r="S139" i="31"/>
  <c r="AJ30" i="27"/>
  <c r="S131" i="31"/>
  <c r="S140" i="31"/>
  <c r="S85" i="31"/>
  <c r="S75" i="31"/>
  <c r="S130" i="31"/>
  <c r="S87" i="31"/>
  <c r="S142" i="31"/>
  <c r="S73" i="31"/>
  <c r="R161" i="31"/>
  <c r="R106" i="31"/>
  <c r="Q107" i="31"/>
  <c r="Q162" i="31"/>
  <c r="R80" i="31"/>
  <c r="R135" i="31"/>
  <c r="R97" i="31"/>
  <c r="R152" i="31"/>
  <c r="R108" i="31"/>
  <c r="R163" i="31"/>
  <c r="R132" i="31"/>
  <c r="R77" i="31"/>
  <c r="R99" i="31"/>
  <c r="R154" i="31"/>
  <c r="O9" i="24"/>
  <c r="AH20" i="27"/>
  <c r="H19" i="31" s="1"/>
  <c r="I19" i="31" s="1"/>
  <c r="R89" i="31"/>
  <c r="R144" i="31"/>
  <c r="R159" i="31"/>
  <c r="R104" i="31"/>
  <c r="R130" i="31"/>
  <c r="R75" i="31"/>
  <c r="Q72" i="31"/>
  <c r="Q127" i="31"/>
  <c r="R109" i="31"/>
  <c r="R164" i="31"/>
  <c r="S157" i="31"/>
  <c r="S102" i="31"/>
  <c r="S138" i="31"/>
  <c r="S83" i="31"/>
  <c r="S100" i="31"/>
  <c r="S155" i="31"/>
  <c r="R88" i="31"/>
  <c r="R143" i="31"/>
  <c r="G35" i="31"/>
  <c r="W14" i="27"/>
  <c r="W57" i="27" s="1"/>
  <c r="AC36" i="27"/>
  <c r="O7" i="24"/>
  <c r="AH18" i="27"/>
  <c r="R138" i="31"/>
  <c r="R83" i="31"/>
  <c r="R162" i="31"/>
  <c r="R107" i="31"/>
  <c r="R142" i="31"/>
  <c r="R87" i="31"/>
  <c r="S86" i="31"/>
  <c r="S141" i="31"/>
  <c r="O14" i="24"/>
  <c r="AH25" i="27"/>
  <c r="H24" i="31" s="1"/>
  <c r="I24" i="31" s="1"/>
  <c r="S163" i="31"/>
  <c r="S108" i="31"/>
  <c r="Q78" i="31"/>
  <c r="Q133" i="31"/>
  <c r="AH47" i="27"/>
  <c r="H46" i="31" s="1"/>
  <c r="I46" i="31" s="1"/>
  <c r="L21" i="15"/>
  <c r="N21" i="15" s="1"/>
  <c r="P21" i="15" s="1"/>
  <c r="Q101" i="31"/>
  <c r="Q156" i="31"/>
  <c r="R103" i="31"/>
  <c r="R158" i="31"/>
  <c r="R98" i="31"/>
  <c r="R153" i="31"/>
  <c r="S97" i="31"/>
  <c r="S152" i="31"/>
  <c r="Q132" i="31"/>
  <c r="Q77" i="31"/>
  <c r="R86" i="31"/>
  <c r="R141" i="31"/>
  <c r="AU46" i="27"/>
  <c r="N9" i="15"/>
  <c r="O13" i="24"/>
  <c r="AH24" i="27"/>
  <c r="H23" i="31" s="1"/>
  <c r="I23" i="31" s="1"/>
  <c r="AA14" i="27"/>
  <c r="AA57" i="27" s="1"/>
  <c r="AA63" i="27" s="1"/>
  <c r="R160" i="31"/>
  <c r="R105" i="31"/>
  <c r="R85" i="31"/>
  <c r="R140" i="31"/>
  <c r="S98" i="31"/>
  <c r="S153" i="31"/>
  <c r="R150" i="31"/>
  <c r="R95" i="31"/>
  <c r="R73" i="31"/>
  <c r="R128" i="31"/>
  <c r="AM32" i="27"/>
  <c r="AU32" i="27"/>
  <c r="R100" i="31"/>
  <c r="R155" i="31"/>
  <c r="S82" i="31"/>
  <c r="S137" i="31"/>
  <c r="R137" i="31"/>
  <c r="R82" i="31"/>
  <c r="Q110" i="31"/>
  <c r="Q165" i="31"/>
  <c r="S105" i="31"/>
  <c r="S160" i="31"/>
  <c r="S151" i="31"/>
  <c r="S96" i="31"/>
  <c r="R96" i="31"/>
  <c r="R151" i="31"/>
  <c r="R157" i="31"/>
  <c r="R102" i="31"/>
  <c r="O16" i="24"/>
  <c r="AH27" i="27"/>
  <c r="H26" i="31" s="1"/>
  <c r="I26" i="31" s="1"/>
  <c r="AU22" i="27" l="1"/>
  <c r="L22" i="34"/>
  <c r="M22" i="34" s="1"/>
  <c r="AM26" i="27"/>
  <c r="L26" i="34"/>
  <c r="M26" i="34" s="1"/>
  <c r="AM30" i="27"/>
  <c r="L30" i="34"/>
  <c r="M30" i="34" s="1"/>
  <c r="AU53" i="27"/>
  <c r="L53" i="34"/>
  <c r="M53" i="34" s="1"/>
  <c r="AM46" i="27"/>
  <c r="L46" i="34"/>
  <c r="M46" i="34" s="1"/>
  <c r="AT32" i="27"/>
  <c r="L32" i="34"/>
  <c r="M32" i="34" s="1"/>
  <c r="G56" i="31"/>
  <c r="AJ18" i="27"/>
  <c r="L18" i="34" s="1"/>
  <c r="M18" i="34" s="1"/>
  <c r="H17" i="31"/>
  <c r="I17" i="31" s="1"/>
  <c r="AT30" i="27"/>
  <c r="R76" i="31"/>
  <c r="AU30" i="27"/>
  <c r="AM22" i="27"/>
  <c r="AT22" i="27"/>
  <c r="AU26" i="27"/>
  <c r="AT26" i="27"/>
  <c r="AJ27" i="27"/>
  <c r="L27" i="34" s="1"/>
  <c r="M27" i="34" s="1"/>
  <c r="AJ25" i="27"/>
  <c r="L25" i="34" s="1"/>
  <c r="M25" i="34" s="1"/>
  <c r="AJ24" i="27"/>
  <c r="L24" i="34" s="1"/>
  <c r="M24" i="34" s="1"/>
  <c r="AJ20" i="27"/>
  <c r="L20" i="34" s="1"/>
  <c r="M20" i="34" s="1"/>
  <c r="AJ47" i="27"/>
  <c r="L47" i="34" s="1"/>
  <c r="M47" i="34" s="1"/>
  <c r="S84" i="31"/>
  <c r="R84" i="31"/>
  <c r="R139" i="31"/>
  <c r="AU19" i="27"/>
  <c r="AT46" i="27"/>
  <c r="AU29" i="27"/>
  <c r="AM52" i="27"/>
  <c r="AM51" i="27"/>
  <c r="AT53" i="27"/>
  <c r="AT33" i="27"/>
  <c r="AM41" i="27"/>
  <c r="AU48" i="27"/>
  <c r="F18" i="32"/>
  <c r="AM28" i="27"/>
  <c r="F50" i="32"/>
  <c r="S76" i="31"/>
  <c r="AT51" i="27"/>
  <c r="R131" i="31"/>
  <c r="AM29" i="27"/>
  <c r="AU51" i="27"/>
  <c r="AU41" i="27"/>
  <c r="AT41" i="27"/>
  <c r="AT29" i="27"/>
  <c r="AM19" i="27"/>
  <c r="AT19" i="27"/>
  <c r="AM33" i="27"/>
  <c r="AU33" i="27"/>
  <c r="AM53" i="27"/>
  <c r="AT48" i="27"/>
  <c r="AM48" i="27"/>
  <c r="AU52" i="27"/>
  <c r="AT52" i="27"/>
  <c r="AT28" i="27"/>
  <c r="AU28" i="27"/>
  <c r="S164" i="31"/>
  <c r="S109" i="31"/>
  <c r="AM40" i="27"/>
  <c r="AU40" i="27"/>
  <c r="AT40" i="27"/>
  <c r="P9" i="15"/>
  <c r="N30" i="15"/>
  <c r="S89" i="31"/>
  <c r="S144" i="31"/>
  <c r="S101" i="31"/>
  <c r="S156" i="31"/>
  <c r="AU55" i="27"/>
  <c r="AM55" i="27"/>
  <c r="AT55" i="27"/>
  <c r="Q145" i="31"/>
  <c r="Q90" i="31"/>
  <c r="AT21" i="27"/>
  <c r="AM21" i="27"/>
  <c r="AU21" i="27"/>
  <c r="AH56" i="27"/>
  <c r="H55" i="31" s="1"/>
  <c r="I55" i="31" s="1"/>
  <c r="S95" i="31"/>
  <c r="S150" i="31"/>
  <c r="S143" i="31"/>
  <c r="S88" i="31"/>
  <c r="AH36" i="27"/>
  <c r="H35" i="31" s="1"/>
  <c r="I35" i="31" s="1"/>
  <c r="W63" i="27"/>
  <c r="R74" i="31"/>
  <c r="R129" i="31"/>
  <c r="AU43" i="27"/>
  <c r="AM43" i="27"/>
  <c r="AT43" i="27"/>
  <c r="AU23" i="27"/>
  <c r="AM23" i="27"/>
  <c r="AT23" i="27"/>
  <c r="S99" i="31"/>
  <c r="S154" i="31"/>
  <c r="AT49" i="27"/>
  <c r="AU49" i="27"/>
  <c r="AM49" i="27"/>
  <c r="O25" i="24"/>
  <c r="S107" i="31"/>
  <c r="S162" i="31"/>
  <c r="S106" i="31"/>
  <c r="S161" i="31"/>
  <c r="R136" i="31"/>
  <c r="R81" i="31"/>
  <c r="R78" i="31"/>
  <c r="R133" i="31"/>
  <c r="AT50" i="27"/>
  <c r="AU50" i="27"/>
  <c r="AM50" i="27"/>
  <c r="R134" i="31"/>
  <c r="R79" i="31"/>
  <c r="AT44" i="27"/>
  <c r="AM44" i="27"/>
  <c r="AU44" i="27"/>
  <c r="R156" i="31"/>
  <c r="R101" i="31"/>
  <c r="AM45" i="27"/>
  <c r="AU45" i="27"/>
  <c r="S103" i="31"/>
  <c r="S158" i="31"/>
  <c r="S135" i="31"/>
  <c r="S80" i="31"/>
  <c r="AM31" i="27"/>
  <c r="AT31" i="27"/>
  <c r="AU31" i="27"/>
  <c r="AT34" i="27"/>
  <c r="AU34" i="27"/>
  <c r="AM34" i="27"/>
  <c r="AM35" i="27"/>
  <c r="AT35" i="27"/>
  <c r="AU35" i="27"/>
  <c r="S132" i="31"/>
  <c r="S77" i="31"/>
  <c r="L30" i="15"/>
  <c r="AC64" i="27" s="1"/>
  <c r="AT42" i="27"/>
  <c r="AU42" i="27"/>
  <c r="AM42" i="27"/>
  <c r="S159" i="31"/>
  <c r="S104" i="31"/>
  <c r="G13" i="31"/>
  <c r="I13" i="31" s="1"/>
  <c r="AC14" i="27"/>
  <c r="AM54" i="27"/>
  <c r="AT54" i="27"/>
  <c r="AU54" i="27"/>
  <c r="AJ60" i="27"/>
  <c r="R94" i="31"/>
  <c r="R149" i="31"/>
  <c r="AJ36" i="27" l="1"/>
  <c r="L36" i="34" s="1"/>
  <c r="M36" i="34" s="1"/>
  <c r="AH8" i="27"/>
  <c r="H7" i="31" s="1"/>
  <c r="AJ14" i="27"/>
  <c r="L14" i="34" s="1"/>
  <c r="AC57" i="27"/>
  <c r="AT24" i="27"/>
  <c r="AU24" i="27"/>
  <c r="AM24" i="27"/>
  <c r="S79" i="31"/>
  <c r="S134" i="31"/>
  <c r="AU47" i="27"/>
  <c r="AM47" i="27"/>
  <c r="AT47" i="27"/>
  <c r="AT56" i="27" s="1"/>
  <c r="S74" i="31"/>
  <c r="S129" i="31"/>
  <c r="Q123" i="31"/>
  <c r="Q68" i="31"/>
  <c r="R110" i="31"/>
  <c r="R165" i="31"/>
  <c r="AJ56" i="27"/>
  <c r="L56" i="34" s="1"/>
  <c r="M56" i="34" s="1"/>
  <c r="S136" i="31"/>
  <c r="S81" i="31"/>
  <c r="AU20" i="27"/>
  <c r="AM20" i="27"/>
  <c r="AT20" i="27"/>
  <c r="Q111" i="31"/>
  <c r="Q166" i="31"/>
  <c r="S149" i="31"/>
  <c r="S94" i="31"/>
  <c r="AM18" i="27"/>
  <c r="AU18" i="27"/>
  <c r="AT18" i="27"/>
  <c r="AU27" i="27"/>
  <c r="AT27" i="27"/>
  <c r="AM27" i="27"/>
  <c r="R127" i="31"/>
  <c r="R72" i="31"/>
  <c r="S78" i="31"/>
  <c r="S133" i="31"/>
  <c r="AU25" i="27"/>
  <c r="AM25" i="27"/>
  <c r="AT25" i="27"/>
  <c r="AT14" i="27" l="1"/>
  <c r="AM14" i="27"/>
  <c r="G1" i="15"/>
  <c r="H24" i="5" s="1"/>
  <c r="AC63" i="27"/>
  <c r="AM36" i="27"/>
  <c r="AU36" i="27"/>
  <c r="R90" i="31"/>
  <c r="R145" i="31"/>
  <c r="S123" i="31"/>
  <c r="S68" i="31"/>
  <c r="AT36" i="27"/>
  <c r="S110" i="31"/>
  <c r="S165" i="31"/>
  <c r="AH57" i="27"/>
  <c r="H56" i="31" s="1"/>
  <c r="AM56" i="27"/>
  <c r="AU56" i="27"/>
  <c r="S127" i="31"/>
  <c r="S72" i="31"/>
  <c r="J1" i="15" l="1"/>
  <c r="G3" i="15"/>
  <c r="Q8" i="27" s="1"/>
  <c r="I1" i="15"/>
  <c r="R166" i="31"/>
  <c r="R111" i="31"/>
  <c r="S90" i="31"/>
  <c r="S145" i="31"/>
  <c r="R117" i="31"/>
  <c r="R62" i="31"/>
  <c r="U8" i="27" l="1"/>
  <c r="Q9" i="27"/>
  <c r="AJ8" i="27" l="1"/>
  <c r="L8" i="34" s="1"/>
  <c r="U9" i="27"/>
  <c r="N6" i="7" s="1"/>
  <c r="I3" i="15"/>
  <c r="U57" i="27"/>
  <c r="E7" i="31"/>
  <c r="I7" i="31" s="1"/>
  <c r="Q57" i="27"/>
  <c r="E56" i="31" l="1"/>
  <c r="I56" i="31" s="1"/>
  <c r="O117" i="31"/>
  <c r="O62" i="31"/>
  <c r="N89" i="7"/>
  <c r="M6" i="7"/>
  <c r="M89" i="7" s="1"/>
  <c r="O166" i="31"/>
  <c r="AT8" i="27"/>
  <c r="AM8" i="27"/>
  <c r="E8" i="31"/>
  <c r="I8" i="31" s="1"/>
  <c r="AJ9" i="27"/>
  <c r="L9" i="34" s="1"/>
  <c r="M10" i="34" s="1"/>
  <c r="O111" i="31" l="1"/>
  <c r="AT9" i="27"/>
  <c r="AT57" i="27" s="1"/>
  <c r="AM9" i="27"/>
  <c r="O118" i="31"/>
  <c r="O63" i="31"/>
  <c r="AJ62" i="27"/>
  <c r="AJ64" i="27" s="1"/>
  <c r="AQ4" i="27" s="1"/>
  <c r="N95" i="7" s="1"/>
  <c r="AJ57" i="27"/>
  <c r="L57" i="34" s="1"/>
  <c r="M57" i="34" s="1"/>
  <c r="S62" i="31"/>
  <c r="S117" i="31"/>
  <c r="S166" i="31"/>
  <c r="S111" i="31"/>
  <c r="AQ3" i="27" l="1"/>
  <c r="AJ61" i="27"/>
  <c r="AU57" i="27"/>
  <c r="AM57" i="27"/>
  <c r="S118" i="31"/>
  <c r="S63"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tc={F5A918BF-894B-48E2-80CF-46A2BCB3DC09}</author>
    <author>Campbell, Kayla Nicole</author>
    <author>tc={875578AA-1B5B-4336-83BD-3592E5C9C100}</author>
  </authors>
  <commentList>
    <comment ref="F1" authorId="0" shapeId="0" xr:uid="{00000000-0006-0000-0300-000001000000}">
      <text>
        <r>
          <rPr>
            <sz val="11"/>
            <color rgb="FF000000"/>
            <rFont val="Calibri"/>
            <family val="2"/>
          </rPr>
          <t xml:space="preserve">[Threaded comment]
</t>
        </r>
        <r>
          <rPr>
            <sz val="11"/>
            <color rgb="FF000000"/>
            <rFont val="Calibri"/>
            <family val="2"/>
          </rPr>
          <t xml:space="preserve">
</t>
        </r>
        <r>
          <rPr>
            <sz val="11"/>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1"/>
            <color rgb="FF000000"/>
            <rFont val="Calibri"/>
            <family val="2"/>
          </rPr>
          <t xml:space="preserve">
</t>
        </r>
        <r>
          <rPr>
            <sz val="11"/>
            <color rgb="FF000000"/>
            <rFont val="Calibri"/>
            <family val="2"/>
          </rPr>
          <t xml:space="preserve">Comment:
</t>
        </r>
        <r>
          <rPr>
            <sz val="11"/>
            <color rgb="FF000000"/>
            <rFont val="Calibri"/>
            <family val="2"/>
          </rPr>
          <t xml:space="preserve">    Used COVID 7.4% numbers from Sherm Bloomer (email 5/7/20-Worksheet Budget Model Revenue Reduction Planning.xlsx)</t>
        </r>
      </text>
    </comment>
    <comment ref="B16" authorId="1" shapeId="0" xr:uid="{00000000-0006-0000-0300-000002000000}">
      <text>
        <r>
          <rPr>
            <b/>
            <sz val="9"/>
            <color indexed="81"/>
            <rFont val="Tahoma"/>
            <family val="2"/>
          </rPr>
          <t>Campbell, Kayla Nicole:</t>
        </r>
        <r>
          <rPr>
            <sz val="9"/>
            <color indexed="81"/>
            <rFont val="Tahoma"/>
            <family val="2"/>
          </rPr>
          <t xml:space="preserve">
Formerly ETIC (Engineering Technology Industry Council).
Now ETSF (Engineering Technology Sustaining Funds)</t>
        </r>
      </text>
    </comment>
    <comment ref="H30" authorId="1" shapeId="0" xr:uid="{00000000-0006-0000-0300-000003000000}">
      <text>
        <r>
          <rPr>
            <b/>
            <sz val="9"/>
            <color indexed="81"/>
            <rFont val="Tahoma"/>
            <family val="2"/>
          </rPr>
          <t>Campbell, Kayla Nicole:</t>
        </r>
        <r>
          <rPr>
            <sz val="9"/>
            <color indexed="81"/>
            <rFont val="Tahoma"/>
            <family val="2"/>
          </rPr>
          <t xml:space="preserve">
Only $80,850 to INR (RO). $11,290 to Extension (SWPS)
</t>
        </r>
      </text>
    </comment>
    <comment ref="L45" authorId="1" shapeId="0" xr:uid="{00000000-0006-0000-0300-000004000000}">
      <text>
        <r>
          <rPr>
            <b/>
            <sz val="9"/>
            <color rgb="FF000000"/>
            <rFont val="Tahoma"/>
            <family val="2"/>
          </rPr>
          <t>Campbell, Kayla Nicole:</t>
        </r>
        <r>
          <rPr>
            <sz val="9"/>
            <color rgb="FF000000"/>
            <rFont val="Tahoma"/>
            <family val="2"/>
          </rPr>
          <t xml:space="preserve">
</t>
        </r>
        <r>
          <rPr>
            <sz val="9"/>
            <color rgb="FF000000"/>
            <rFont val="Tahoma"/>
            <family val="2"/>
          </rPr>
          <t>Average of last 4 years 26.71% (2017-2020)</t>
        </r>
      </text>
    </comment>
    <comment ref="F49" authorId="1" shapeId="0" xr:uid="{00000000-0006-0000-0300-000005000000}">
      <text>
        <r>
          <rPr>
            <b/>
            <sz val="9"/>
            <color indexed="81"/>
            <rFont val="Tahoma"/>
            <family val="2"/>
          </rPr>
          <t>Campbell, Kayla Nicole:</t>
        </r>
        <r>
          <rPr>
            <sz val="9"/>
            <color indexed="81"/>
            <rFont val="Tahoma"/>
            <family val="2"/>
          </rPr>
          <t xml:space="preserve">
$200K for Uninsured Risk Pool. Had to add here otherwise cell H43 is carried via formulas. $200k set aside in IM.</t>
        </r>
      </text>
    </comment>
    <comment ref="F52" authorId="1" shapeId="0" xr:uid="{00000000-0006-0000-0300-000006000000}">
      <text>
        <r>
          <rPr>
            <b/>
            <sz val="9"/>
            <color indexed="81"/>
            <rFont val="Tahoma"/>
            <family val="2"/>
          </rPr>
          <t>Campbell, Kayla Nicole:</t>
        </r>
        <r>
          <rPr>
            <sz val="9"/>
            <color indexed="81"/>
            <rFont val="Tahoma"/>
            <family val="2"/>
          </rPr>
          <t xml:space="preserve">
Always $650,000</t>
        </r>
      </text>
    </comment>
    <comment ref="H52" authorId="1" shapeId="0" xr:uid="{00000000-0006-0000-0300-000007000000}">
      <text>
        <r>
          <rPr>
            <b/>
            <sz val="9"/>
            <color indexed="81"/>
            <rFont val="Tahoma"/>
            <family val="2"/>
          </rPr>
          <t>Campbell, Kayla Nicole:</t>
        </r>
        <r>
          <rPr>
            <sz val="9"/>
            <color indexed="81"/>
            <rFont val="Tahoma"/>
            <family val="2"/>
          </rPr>
          <t xml:space="preserve">
Reduce the Misc Income by $650,000</t>
        </r>
      </text>
    </comment>
    <comment ref="L53" authorId="2" shapeId="0" xr:uid="{00000000-0006-0000-0300-000008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was 12.4 %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Campbell, Kayla Nicole</author>
    <author>Terri Cook</author>
    <author>Real, Nicole</author>
    <author>Support</author>
    <author>Sherm Bloomer</author>
  </authors>
  <commentList>
    <comment ref="H6" authorId="0" shapeId="0" xr:uid="{00000000-0006-0000-0400-000001000000}">
      <text>
        <r>
          <rPr>
            <b/>
            <sz val="9"/>
            <color indexed="81"/>
            <rFont val="Tahoma"/>
            <family val="2"/>
          </rPr>
          <t>Campbell, Kayla Nicole:</t>
        </r>
        <r>
          <rPr>
            <sz val="9"/>
            <color indexed="81"/>
            <rFont val="Tahoma"/>
            <family val="2"/>
          </rPr>
          <t xml:space="preserve">
 RERF 8%
BUC 4%
Libraries 6%
Info Services 6%
Grad School 1%
Research Admin 8%
F&amp;A 4%
BCs 4%
Facilities Services 11%
Capital Planning 2%
Energy Operations 10%
Central Reserves 5%</t>
        </r>
      </text>
    </comment>
    <comment ref="H8" authorId="0" shapeId="0" xr:uid="{00000000-0006-0000-0400-000002000000}">
      <text>
        <r>
          <rPr>
            <b/>
            <sz val="9"/>
            <color indexed="81"/>
            <rFont val="Tahoma"/>
            <family val="2"/>
          </rPr>
          <t>Campbell, Kayla Nicole:</t>
        </r>
        <r>
          <rPr>
            <sz val="9"/>
            <color indexed="81"/>
            <rFont val="Tahoma"/>
            <family val="2"/>
          </rPr>
          <t xml:space="preserve">
Includes additional $200K for uninsured risk pool</t>
        </r>
      </text>
    </comment>
    <comment ref="L11" authorId="0" shapeId="0" xr:uid="{00000000-0006-0000-0400-000003000000}">
      <text>
        <r>
          <rPr>
            <b/>
            <sz val="9"/>
            <color indexed="81"/>
            <rFont val="Tahoma"/>
            <family val="2"/>
          </rPr>
          <t>Campbell, Kayla Nicole:</t>
        </r>
        <r>
          <rPr>
            <sz val="9"/>
            <color indexed="81"/>
            <rFont val="Tahoma"/>
            <family val="2"/>
          </rPr>
          <t xml:space="preserve">
Off from Sherm - This by $50k (Ecampus increase to reserve was not added for ALS move)</t>
        </r>
      </text>
    </comment>
    <comment ref="F21" authorId="0" shapeId="0" xr:uid="{00000000-0006-0000-0400-000004000000}">
      <text>
        <r>
          <rPr>
            <b/>
            <sz val="9"/>
            <color indexed="81"/>
            <rFont val="Tahoma"/>
            <family val="2"/>
          </rPr>
          <t>Campbell, Kayla Nicole:</t>
        </r>
        <r>
          <rPr>
            <sz val="9"/>
            <color indexed="81"/>
            <rFont val="Tahoma"/>
            <family val="2"/>
          </rPr>
          <t xml:space="preserve">
  Included the 04xxx Revenue</t>
        </r>
      </text>
    </comment>
    <comment ref="M22" authorId="1" shapeId="0" xr:uid="{00000000-0006-0000-0400-000005000000}">
      <text>
        <r>
          <rPr>
            <b/>
            <sz val="8"/>
            <color rgb="FF000000"/>
            <rFont val="Tahoma"/>
            <family val="2"/>
          </rPr>
          <t xml:space="preserve">Commitment to Nieto hire for duration of his tenure as Dean; from original startup commitment
</t>
        </r>
        <r>
          <rPr>
            <sz val="8"/>
            <color rgb="FF000000"/>
            <rFont val="Tahoma"/>
            <family val="2"/>
          </rPr>
          <t xml:space="preserve">
</t>
        </r>
      </text>
    </comment>
    <comment ref="M24" authorId="2" shapeId="0" xr:uid="{00000000-0006-0000-0400-000006000000}">
      <text>
        <r>
          <rPr>
            <b/>
            <sz val="9"/>
            <color rgb="FF000000"/>
            <rFont val="Tahoma"/>
            <family val="2"/>
          </rPr>
          <t xml:space="preserve">Real, Nicole:
</t>
        </r>
        <r>
          <rPr>
            <sz val="9"/>
            <color rgb="FF000000"/>
            <rFont val="Tahoma"/>
            <family val="2"/>
          </rPr>
          <t>Per Sherm's email 8/13/2019 and 8/7/2019 for Public Policy Search Yr2 (FY21) for 5 years</t>
        </r>
      </text>
    </comment>
    <comment ref="B25" authorId="0" shapeId="0" xr:uid="{00000000-0006-0000-0400-000007000000}">
      <text>
        <r>
          <rPr>
            <b/>
            <sz val="9"/>
            <color indexed="81"/>
            <rFont val="Tahoma"/>
            <family val="2"/>
          </rPr>
          <t>Campbell, Kayla Nicole:</t>
        </r>
        <r>
          <rPr>
            <sz val="9"/>
            <color indexed="81"/>
            <rFont val="Tahoma"/>
            <family val="2"/>
          </rPr>
          <t xml:space="preserve">
   Updated Formula to Remove Targeted State Funding - PacWave Energy</t>
        </r>
      </text>
    </comment>
    <comment ref="M25" authorId="3" shapeId="0" xr:uid="{00000000-0006-0000-0400-000008000000}">
      <text>
        <r>
          <rPr>
            <b/>
            <sz val="9"/>
            <color rgb="FF000000"/>
            <rFont val="Tahoma"/>
            <family val="2"/>
          </rPr>
          <t>Support:</t>
        </r>
        <r>
          <rPr>
            <sz val="9"/>
            <color rgb="FF000000"/>
            <rFont val="Tahoma"/>
            <family val="2"/>
          </rPr>
          <t xml:space="preserve">
</t>
        </r>
        <r>
          <rPr>
            <sz val="9"/>
            <color rgb="FF000000"/>
            <rFont val="Tahoma"/>
            <family val="2"/>
          </rPr>
          <t xml:space="preserve">Support for EVM position
</t>
        </r>
        <r>
          <rPr>
            <sz val="9"/>
            <color rgb="FF000000"/>
            <rFont val="Tahoma"/>
            <family val="2"/>
          </rPr>
          <t>to end of RVRV, SHB 6/19</t>
        </r>
      </text>
    </comment>
    <comment ref="M27" authorId="1" shapeId="0" xr:uid="{00000000-0006-0000-0400-000009000000}">
      <text>
        <r>
          <rPr>
            <b/>
            <sz val="9"/>
            <color rgb="FF000000"/>
            <rFont val="Tahoma"/>
            <family val="2"/>
          </rPr>
          <t>Terri Cook:</t>
        </r>
        <r>
          <rPr>
            <sz val="9"/>
            <color rgb="FF000000"/>
            <rFont val="Tahoma"/>
            <family val="2"/>
          </rPr>
          <t xml:space="preserve">
</t>
        </r>
        <r>
          <rPr>
            <sz val="9"/>
            <color rgb="FF000000"/>
            <rFont val="Tahoma"/>
            <family val="2"/>
          </rPr>
          <t xml:space="preserve">$500,000 support for Valley Chairs positions
</t>
        </r>
        <r>
          <rPr>
            <sz val="9"/>
            <color rgb="FF000000"/>
            <rFont val="Tahoma"/>
            <family val="2"/>
          </rPr>
          <t xml:space="preserve">$250,000 Higgenbotham support
</t>
        </r>
        <r>
          <rPr>
            <sz val="9"/>
            <color rgb="FF000000"/>
            <rFont val="Tahoma"/>
            <family val="2"/>
          </rPr>
          <t xml:space="preserve">$19,226 Pantula summer salary support
</t>
        </r>
        <r>
          <rPr>
            <sz val="9"/>
            <color rgb="FF000000"/>
            <rFont val="Tahoma"/>
            <family val="2"/>
          </rPr>
          <t xml:space="preserve">-19226 end of summer support
</t>
        </r>
        <r>
          <rPr>
            <sz val="9"/>
            <color rgb="FF000000"/>
            <rFont val="Tahoma"/>
            <family val="2"/>
          </rPr>
          <t xml:space="preserve">
</t>
        </r>
        <r>
          <rPr>
            <sz val="9"/>
            <color rgb="FF000000"/>
            <rFont val="Tahoma"/>
            <family val="2"/>
          </rPr>
          <t xml:space="preserve">              </t>
        </r>
      </text>
    </comment>
    <comment ref="M28" authorId="1" shapeId="0" xr:uid="{00000000-0006-0000-0400-00000A000000}">
      <text>
        <r>
          <rPr>
            <b/>
            <sz val="8"/>
            <color rgb="FF000000"/>
            <rFont val="Tahoma"/>
            <family val="2"/>
          </rPr>
          <t>Terri Cook:</t>
        </r>
        <r>
          <rPr>
            <sz val="8"/>
            <color rgb="FF000000"/>
            <rFont val="Tahoma"/>
            <family val="2"/>
          </rPr>
          <t xml:space="preserve">
</t>
        </r>
        <r>
          <rPr>
            <sz val="8"/>
            <color rgb="FF000000"/>
            <rFont val="Tahoma"/>
            <family val="2"/>
          </rPr>
          <t xml:space="preserve">-48,085 - Estimated fee waivers
</t>
        </r>
        <r>
          <rPr>
            <sz val="8"/>
            <color rgb="FF000000"/>
            <rFont val="Tahoma"/>
            <family val="2"/>
          </rPr>
          <t xml:space="preserve">168,913 from IM Faculty Tenure/Tenure Track positions FY16 
</t>
        </r>
        <r>
          <rPr>
            <sz val="8"/>
            <color rgb="FF000000"/>
            <rFont val="Tahoma"/>
            <family val="2"/>
          </rPr>
          <t xml:space="preserve">79,163 as 60% of base tuition for 16 non-residents.  Trying to track original agreement
</t>
        </r>
        <r>
          <rPr>
            <sz val="8"/>
            <color rgb="FF000000"/>
            <rFont val="Tahoma"/>
            <family val="2"/>
          </rPr>
          <t xml:space="preserve">FY21 add increment for 3% increase $2138
</t>
        </r>
        <r>
          <rPr>
            <sz val="8"/>
            <color rgb="FF000000"/>
            <rFont val="Tahoma"/>
            <family val="2"/>
          </rPr>
          <t xml:space="preserve">FY21 add balance for last 16 students  82,330
</t>
        </r>
        <r>
          <rPr>
            <sz val="8"/>
            <color rgb="FF000000"/>
            <rFont val="Tahoma"/>
            <family val="2"/>
          </rPr>
          <t>FY21 move net to Community Support</t>
        </r>
      </text>
    </comment>
    <comment ref="O29" authorId="0" shapeId="0" xr:uid="{00000000-0006-0000-0400-00000B000000}">
      <text>
        <r>
          <rPr>
            <b/>
            <sz val="9"/>
            <color indexed="81"/>
            <rFont val="Tahoma"/>
            <family val="2"/>
          </rPr>
          <t>Campbell, Kayla Nicole:</t>
        </r>
        <r>
          <rPr>
            <sz val="9"/>
            <color indexed="81"/>
            <rFont val="Tahoma"/>
            <family val="2"/>
          </rPr>
          <t xml:space="preserve">
230,000 - community support   
+ 350k from provost bridge funding to community support.
+ Recurring Adjustment to true up the 1.9% benchmark Toni Doolen &amp; Sherm Bloomer reviewed (20,445). Documented via Email: October 2019.
- 46,245 7.7% reduction rounded
+ $80,000 for Honrs College prestigious scholarships
+ $6,315 for raise rollup
+ $30,000 FY22 Technical</t>
        </r>
      </text>
    </comment>
    <comment ref="H31" authorId="0" shapeId="0" xr:uid="{00000000-0006-0000-0400-00000C000000}">
      <text>
        <r>
          <rPr>
            <b/>
            <sz val="9"/>
            <color indexed="81"/>
            <rFont val="Tahoma"/>
            <family val="2"/>
          </rPr>
          <t>Campbell, Kayla Nicole:</t>
        </r>
        <r>
          <rPr>
            <sz val="9"/>
            <color indexed="81"/>
            <rFont val="Tahoma"/>
            <family val="2"/>
          </rPr>
          <t xml:space="preserve">
 Per Cindy (4% BUC, 8% RERF +300k Cascades ROH)</t>
        </r>
      </text>
    </comment>
    <comment ref="N35" authorId="2" shapeId="0" xr:uid="{00000000-0006-0000-0400-00000D000000}">
      <text>
        <r>
          <rPr>
            <b/>
            <sz val="9"/>
            <color indexed="81"/>
            <rFont val="Tahoma"/>
            <family val="2"/>
          </rPr>
          <t>Real, Nicole:</t>
        </r>
        <r>
          <rPr>
            <sz val="9"/>
            <color indexed="81"/>
            <rFont val="Tahoma"/>
            <family val="2"/>
          </rPr>
          <t xml:space="preserve">
Funds for HMSC Security from MSI on Executive Detail </t>
        </r>
      </text>
    </comment>
    <comment ref="O35" authorId="0" shapeId="0" xr:uid="{00000000-0006-0000-0400-00000E000000}">
      <text>
        <r>
          <rPr>
            <b/>
            <sz val="9"/>
            <color indexed="81"/>
            <rFont val="Tahoma"/>
            <family val="2"/>
          </rPr>
          <t>Campbell, Kayla Nicole:</t>
        </r>
        <r>
          <rPr>
            <sz val="9"/>
            <color indexed="81"/>
            <rFont val="Tahoma"/>
            <family val="2"/>
          </rPr>
          <t xml:space="preserve">
7,753,200
46,207 raise rollup
40,000 FY22 Technical</t>
        </r>
      </text>
    </comment>
    <comment ref="M40" authorId="1" shapeId="0" xr:uid="{00000000-0006-0000-0400-00000F000000}">
      <text>
        <r>
          <rPr>
            <b/>
            <sz val="9"/>
            <color rgb="FF000000"/>
            <rFont val="Tahoma"/>
            <family val="2"/>
          </rPr>
          <t xml:space="preserve">Terri Cook:
$300,000 -5th year of 5 years - Equity &amp; Inclusion - ADA 
   Assessment - FY18 is last year
-300,000 - Deferring FY18 amount to FY19
$300,000 - Funding FY19 based on FY18 Deferral above
$20,000 - Eastern Promise Replication Grant
-$300,000-end of ADA commitment
-$20,000 end EOU replication grant
</t>
        </r>
      </text>
    </comment>
    <comment ref="M41" authorId="4" shapeId="0" xr:uid="{00000000-0006-0000-0400-000010000000}">
      <text>
        <r>
          <rPr>
            <b/>
            <sz val="10"/>
            <color rgb="FF000000"/>
            <rFont val="Calibri"/>
            <family val="2"/>
          </rPr>
          <t>Sherm Bloomer:</t>
        </r>
        <r>
          <rPr>
            <sz val="10"/>
            <color rgb="FF000000"/>
            <rFont val="Calibri"/>
            <family val="2"/>
          </rPr>
          <t xml:space="preserve">
FY20 balance of commitment to $8M
6/20/19 - Per Ed and Mike reduce by $250k
6/8/2020 freeze at FY20 SHB
FY22: Added $250,000 Athletics Increment Per Sherm Bloomers FY22 Tuition Budget Planning Document emailed 11.24.2020 (kc)</t>
        </r>
      </text>
    </comment>
    <comment ref="F49" authorId="2" shapeId="0" xr:uid="{00000000-0006-0000-0400-000011000000}">
      <text>
        <r>
          <rPr>
            <b/>
            <sz val="9"/>
            <color indexed="81"/>
            <rFont val="Tahoma"/>
            <family val="2"/>
          </rPr>
          <t>Real, Nicole:</t>
        </r>
        <r>
          <rPr>
            <sz val="9"/>
            <color indexed="81"/>
            <rFont val="Tahoma"/>
            <family val="2"/>
          </rPr>
          <t xml:space="preserve">
Need E&amp;G/TCF breakdown</t>
        </r>
      </text>
    </comment>
    <comment ref="M50" authorId="1" shapeId="0" xr:uid="{00000000-0006-0000-0400-000012000000}">
      <text>
        <r>
          <rPr>
            <b/>
            <sz val="8"/>
            <color rgb="FF000000"/>
            <rFont val="Tahoma"/>
            <family val="2"/>
          </rPr>
          <t>Terri Cook:</t>
        </r>
        <r>
          <rPr>
            <sz val="8"/>
            <color rgb="FF000000"/>
            <rFont val="Tahoma"/>
            <family val="2"/>
          </rPr>
          <t xml:space="preserve">
</t>
        </r>
        <r>
          <rPr>
            <sz val="8"/>
            <color rgb="FF000000"/>
            <rFont val="Tahoma"/>
            <family val="2"/>
          </rPr>
          <t xml:space="preserve">950,000 - new Graduate Fellowship &amp; Scholarship program
</t>
        </r>
        <r>
          <rPr>
            <sz val="8"/>
            <color rgb="FF000000"/>
            <rFont val="Tahoma"/>
            <family val="2"/>
          </rPr>
          <t>FY20 proportional reduction from FY19 budget recission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tc={91D14BB1-E19B-466D-BA5B-D79ADF341FA6}</author>
  </authors>
  <commentList>
    <comment ref="E14" authorId="0" shapeId="0" xr:uid="{00000000-0006-0000-0600-00000100000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Was $7,785,000 (off by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Real, Nicole</author>
    <author>Campbell, Kayla Nicole</author>
    <author>tc={8DE9F8D1-F654-48BE-93F8-6280A7355252}</author>
  </authors>
  <commentList>
    <comment ref="M31" authorId="0" shapeId="0" xr:uid="{00000000-0006-0000-0900-000001000000}">
      <text>
        <r>
          <rPr>
            <sz val="12"/>
            <rFont val="Arial"/>
            <family val="2"/>
          </rPr>
          <t>Real, Nicole:</t>
        </r>
        <r>
          <rPr>
            <b/>
            <sz val="9"/>
            <color rgb="FF000000"/>
            <rFont val="Tahoma"/>
            <family val="2"/>
          </rPr>
          <t xml:space="preserve">
FY20 expense was $2.6M
</t>
        </r>
      </text>
    </comment>
    <comment ref="M41" authorId="1" shapeId="0" xr:uid="{00000000-0006-0000-0900-000002000000}">
      <text>
        <r>
          <rPr>
            <b/>
            <sz val="9"/>
            <color indexed="81"/>
            <rFont val="Tahoma"/>
            <family val="2"/>
          </rPr>
          <t>Campbell, Kayla Nicole:</t>
        </r>
        <r>
          <rPr>
            <sz val="9"/>
            <color indexed="81"/>
            <rFont val="Tahoma"/>
            <family val="2"/>
          </rPr>
          <t xml:space="preserve">
FY22: Added $1.2M Increment to Foundation Per Sherm Bloomers FY22 Tuition Budget Planning Document emailed 11.24.2020 (kc)
</t>
        </r>
      </text>
    </comment>
    <comment ref="M56" authorId="0" shapeId="0" xr:uid="{00000000-0006-0000-0900-000003000000}">
      <text>
        <r>
          <rPr>
            <b/>
            <sz val="9"/>
            <color rgb="FF000000"/>
            <rFont val="Tahoma"/>
            <family val="2"/>
          </rPr>
          <t>Dolan, Nicole:</t>
        </r>
        <r>
          <rPr>
            <sz val="9"/>
            <color rgb="FF000000"/>
            <rFont val="Tahoma"/>
            <family val="2"/>
          </rPr>
          <t xml:space="preserve">
HP:
 $        236,088.00  OpEx 
 $        305,107.00  Utilities 
 $        541,195.00  subtotal  
 $     </t>
        </r>
        <r>
          <rPr>
            <u/>
            <sz val="9"/>
            <color rgb="FF000000"/>
            <rFont val="Tahoma"/>
            <family val="2"/>
          </rPr>
          <t xml:space="preserve">  845,991.00</t>
        </r>
        <r>
          <rPr>
            <sz val="9"/>
            <color rgb="FF000000"/>
            <rFont val="Tahoma"/>
            <family val="2"/>
          </rPr>
          <t xml:space="preserve"> space leases received, highly volatile
 $       304,796.00  Total 
 $      (692,591.00) Tooling
 $      (387,795.00) After toolinig paid
UP: 
 $        420,525.00  Base Rent 
 $          79,156.00  Amort Cap Improvements
 $        499,681.00   subtotal 
 $     </t>
        </r>
        <r>
          <rPr>
            <u/>
            <sz val="9"/>
            <color rgb="FF000000"/>
            <rFont val="Tahoma"/>
            <family val="2"/>
          </rPr>
          <t xml:space="preserve">  (353,623.00)</t>
        </r>
        <r>
          <rPr>
            <sz val="9"/>
            <color rgb="FF000000"/>
            <rFont val="Tahoma"/>
            <family val="2"/>
          </rPr>
          <t xml:space="preserve">  space leases received 
 $       (146,058.00)  Total 
Total of HP &amp; UP = $533,852
We also have lease income from:
4575 Research Way = $314,683
4100 Research Way = $304,433
I believe these are both committed lease revenues.
To be conservative, I am going to leave Oregon-wide leases at $600,000
</t>
        </r>
      </text>
    </comment>
    <comment ref="M57" authorId="0" shapeId="0" xr:uid="{00000000-0006-0000-0900-000004000000}">
      <text>
        <r>
          <rPr>
            <b/>
            <sz val="9"/>
            <color indexed="81"/>
            <rFont val="Tahoma"/>
            <family val="2"/>
          </rPr>
          <t>Dolan, Nicole:</t>
        </r>
        <r>
          <rPr>
            <sz val="9"/>
            <color indexed="81"/>
            <rFont val="Tahoma"/>
            <family val="2"/>
          </rPr>
          <t xml:space="preserve">
FY22 Rent: 
1 mo @ $122,247
11 mo @ $125,935
= $1,507,532/yr
Annual operating expenses = $340,069/yr
Total Annual Expense = $1,847,601
Lease income to OSU:
OSUF = $289,057
Beaver Sports Property = $40,752
Total Expense less income = $1,517,791</t>
        </r>
      </text>
    </comment>
    <comment ref="M58" authorId="1" shapeId="0" xr:uid="{00000000-0006-0000-0900-000005000000}">
      <text>
        <r>
          <rPr>
            <b/>
            <sz val="9"/>
            <color indexed="81"/>
            <rFont val="Tahoma"/>
            <family val="2"/>
          </rPr>
          <t>Campbell, Kayla Nicole:</t>
        </r>
        <r>
          <rPr>
            <sz val="9"/>
            <color indexed="81"/>
            <rFont val="Tahoma"/>
            <family val="2"/>
          </rPr>
          <t xml:space="preserve">
FY22: Added $1.8M Increment to Deb Service, $130M bond Per Sherm Bloomers FY22 Tuition Budget Planning Document emailed 11.24.2020 (kc)</t>
        </r>
      </text>
    </comment>
    <comment ref="M67" authorId="1" shapeId="0" xr:uid="{00000000-0006-0000-0900-000006000000}">
      <text>
        <r>
          <rPr>
            <b/>
            <sz val="9"/>
            <color indexed="81"/>
            <rFont val="Tahoma"/>
            <family val="2"/>
          </rPr>
          <t>Campbell, Kayla Nicole:</t>
        </r>
        <r>
          <rPr>
            <sz val="9"/>
            <color indexed="81"/>
            <rFont val="Tahoma"/>
            <family val="2"/>
          </rPr>
          <t xml:space="preserve">
Added 500,000 per Sherm Bloomers FY22 Tuition Budget Planning Doc emailed 11/24/2020</t>
        </r>
      </text>
    </comment>
    <comment ref="L72" authorId="1" shapeId="0" xr:uid="{00000000-0006-0000-0900-000007000000}">
      <text>
        <r>
          <rPr>
            <b/>
            <sz val="9"/>
            <color indexed="81"/>
            <rFont val="Tahoma"/>
            <family val="2"/>
          </rPr>
          <t>Campbell, Kayla Nicole:</t>
        </r>
        <r>
          <rPr>
            <sz val="9"/>
            <color indexed="81"/>
            <rFont val="Tahoma"/>
            <family val="2"/>
          </rPr>
          <t xml:space="preserve">
Per email from Cindy Alexis on 11/18/2020: I don’t know how this will affect your starting numbers for FY22 but UFIO “returned” $36,400 of the $40,000 provided to Transportation Options for Linn-Benton Loop &amp; Philomath Connection contracts. I added this back to IM under the General Resources/Community Support Funding column.</t>
        </r>
      </text>
    </comment>
    <comment ref="M73" authorId="1" shapeId="0" xr:uid="{00000000-0006-0000-0900-000008000000}">
      <text>
        <r>
          <rPr>
            <b/>
            <sz val="9"/>
            <color indexed="81"/>
            <rFont val="Tahoma"/>
            <family val="2"/>
          </rPr>
          <t>Campbell, Kayla Nicole:</t>
        </r>
        <r>
          <rPr>
            <sz val="9"/>
            <color indexed="81"/>
            <rFont val="Tahoma"/>
            <family val="2"/>
          </rPr>
          <t xml:space="preserve">
Added -846,231 in for various reductions (no detail provided on specifics) per Sherm's FY22 Tuition Budget Planning doc emailed 11.24.2020 (kc)</t>
        </r>
      </text>
    </comment>
    <comment ref="K86" authorId="2" shapeId="0" xr:uid="{00000000-0006-0000-0900-000009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The balance of IM projected revenue ($3,250,000 for FY21) should be added to the other units’ projections and listed as Departmental Resources. **FY21 Revenue Projection email from Cindy &amp; NIcci**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Campbell, Kayla Nicole</author>
  </authors>
  <commentList>
    <comment ref="C24" authorId="0" shapeId="0" xr:uid="{00000000-0006-0000-0A00-000001000000}">
      <text>
        <r>
          <rPr>
            <b/>
            <sz val="9"/>
            <color indexed="81"/>
            <rFont val="Tahoma"/>
            <family val="2"/>
          </rPr>
          <t>Campbell, Kayla Nicole:</t>
        </r>
        <r>
          <rPr>
            <sz val="9"/>
            <color indexed="81"/>
            <rFont val="Tahoma"/>
            <family val="2"/>
          </rPr>
          <t xml:space="preserve">
$1,381,485 - Dedicated Resources only
$930,050 - Strategic Funding for Provost's Fellowships. 
Per Sherm - It should stay at this level. Added it to this so it will be removed. THEN it is added again on the FINAL tab under Strategic Funding. 
(Email 11/18/2020). It nets out to be included. </t>
        </r>
      </text>
    </comment>
    <comment ref="B29" authorId="0" shapeId="0" xr:uid="{00000000-0006-0000-0A00-000002000000}">
      <text>
        <r>
          <rPr>
            <b/>
            <sz val="9"/>
            <color indexed="81"/>
            <rFont val="Tahoma"/>
            <family val="2"/>
          </rPr>
          <t>Campbell, Kayla Nicole:</t>
        </r>
        <r>
          <rPr>
            <sz val="9"/>
            <color indexed="81"/>
            <rFont val="Tahoma"/>
            <family val="2"/>
          </rPr>
          <t xml:space="preserve">
Per Cindy Alexis email on 11/18/2020 - I don’t know how this will affect your starting numbers for FY22 but UFIO “returned” $36,400 of the $40,000 provided to Transportation Options for Linn-Benton Loop &amp; Philomath Connection contracts. I added this back to IM under the General Resources/Community Support Funding column.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Campbell, Kayla Nicole</author>
  </authors>
  <commentList>
    <comment ref="F5" authorId="0" shapeId="0" xr:uid="{00000000-0006-0000-0D00-000001000000}">
      <text>
        <r>
          <rPr>
            <b/>
            <sz val="9"/>
            <color indexed="81"/>
            <rFont val="Tahoma"/>
            <family val="2"/>
          </rPr>
          <t>Campbell, Kayla Nicole:</t>
        </r>
        <r>
          <rPr>
            <sz val="9"/>
            <color indexed="81"/>
            <rFont val="Tahoma"/>
            <family val="2"/>
          </rPr>
          <t xml:space="preserve">
Increased $30k for PHHS, Increased $3k for Forestry, Increased $37k for Honors, Increased $50k for Vet Med</t>
        </r>
      </text>
    </comment>
    <comment ref="U10" authorId="0" shapeId="0" xr:uid="{00000000-0006-0000-0D00-000002000000}">
      <text>
        <r>
          <rPr>
            <b/>
            <sz val="9"/>
            <color indexed="81"/>
            <rFont val="Tahoma"/>
            <family val="2"/>
          </rPr>
          <t>Campbell, Kayla Nicole:</t>
        </r>
        <r>
          <rPr>
            <sz val="9"/>
            <color indexed="81"/>
            <rFont val="Tahoma"/>
            <family val="2"/>
          </rPr>
          <t xml:space="preserve">
increase/decrease .98
Year 2019 shows a rather large decrease which is throwing off the ratios/trends</t>
        </r>
      </text>
    </comment>
    <comment ref="U11" authorId="0" shapeId="0" xr:uid="{00000000-0006-0000-0D00-000003000000}">
      <text>
        <r>
          <rPr>
            <b/>
            <sz val="9"/>
            <color indexed="81"/>
            <rFont val="Tahoma"/>
            <family val="2"/>
          </rPr>
          <t>Campbell, Kayla Nicole:</t>
        </r>
        <r>
          <rPr>
            <sz val="9"/>
            <color indexed="81"/>
            <rFont val="Tahoma"/>
            <family val="2"/>
          </rPr>
          <t xml:space="preserve">
Average increase/decrease from 2017-2020 is .98</t>
        </r>
      </text>
    </comment>
    <comment ref="N12" authorId="0" shapeId="0" xr:uid="{00000000-0006-0000-0D00-000004000000}">
      <text>
        <r>
          <rPr>
            <b/>
            <sz val="9"/>
            <color indexed="81"/>
            <rFont val="Tahoma"/>
            <family val="2"/>
          </rPr>
          <t>Campbell, Kayla Nicole:</t>
        </r>
        <r>
          <rPr>
            <sz val="9"/>
            <color indexed="81"/>
            <rFont val="Tahoma"/>
            <family val="2"/>
          </rPr>
          <t xml:space="preserve">
$117,880 was the 5 year trend. Sunny Rong requested the initial budget be $100,000. Adjusting Gross amount to get initial budget $100,000.</t>
        </r>
      </text>
    </comment>
    <comment ref="U13" authorId="0" shapeId="0" xr:uid="{00000000-0006-0000-0D00-000005000000}">
      <text>
        <r>
          <rPr>
            <b/>
            <sz val="9"/>
            <color indexed="81"/>
            <rFont val="Tahoma"/>
            <family val="2"/>
          </rPr>
          <t>Campbell, Kayla Nicole:</t>
        </r>
        <r>
          <rPr>
            <sz val="9"/>
            <color indexed="81"/>
            <rFont val="Tahoma"/>
            <family val="2"/>
          </rPr>
          <t xml:space="preserve">
Per Tom Fenske, update the differential estimate from $203,269 (gross amount) to a gross amount that will net $160,000 which is the FY21 amount of $178,000</t>
        </r>
      </text>
    </comment>
    <comment ref="U17" authorId="0" shapeId="0" xr:uid="{00000000-0006-0000-0D00-000006000000}">
      <text>
        <r>
          <rPr>
            <b/>
            <sz val="9"/>
            <color indexed="81"/>
            <rFont val="Tahoma"/>
            <family val="2"/>
          </rPr>
          <t>Campbell, Kayla Nicole:</t>
        </r>
        <r>
          <rPr>
            <sz val="9"/>
            <color indexed="81"/>
            <rFont val="Tahoma"/>
            <family val="2"/>
          </rPr>
          <t xml:space="preserve">
Average increase/decrease 2017-2020 is 1.0266</t>
        </r>
      </text>
    </comment>
    <comment ref="U19" authorId="0" shapeId="0" xr:uid="{00000000-0006-0000-0D00-000007000000}">
      <text>
        <r>
          <rPr>
            <b/>
            <sz val="9"/>
            <color indexed="81"/>
            <rFont val="Tahoma"/>
            <family val="2"/>
          </rPr>
          <t>Campbell, Kayla Nicole:</t>
        </r>
        <r>
          <rPr>
            <sz val="9"/>
            <color indexed="81"/>
            <rFont val="Tahoma"/>
            <family val="2"/>
          </rPr>
          <t xml:space="preserve">
Per Leroy Fenn - increase 10%. Do not use trend averaging 11%.</t>
        </r>
      </text>
    </comment>
    <comment ref="N21" authorId="0" shapeId="0" xr:uid="{00000000-0006-0000-0D00-000008000000}">
      <text>
        <r>
          <rPr>
            <b/>
            <sz val="9"/>
            <color indexed="81"/>
            <rFont val="Tahoma"/>
            <family val="2"/>
          </rPr>
          <t>Campbell, Kayla Nicole:</t>
        </r>
        <r>
          <rPr>
            <sz val="9"/>
            <color indexed="81"/>
            <rFont val="Tahoma"/>
            <family val="2"/>
          </rPr>
          <t xml:space="preserve">
Per Toni Doolen - It should be $1,948,259 for the net allocation (and use this number, less 3% for the initial budget).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tc={C2A776A0-39D2-4FFA-9A30-9FDFC9F3F7F5}</author>
    <author>tc={4D235952-79C0-40A9-BEF7-8AAC33588560}</author>
    <author>tc={6CF91840-54A1-4716-931D-822B1D15B965}</author>
    <author>tc={DD57D089-B521-4B2B-93E0-F10A429C9845}</author>
    <author>Campbell, Kayla Nicole</author>
  </authors>
  <commentList>
    <comment ref="E23" authorId="0" shapeId="0" xr:uid="{00000000-0006-0000-0E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 FY19 budget model, revenue budgeted to Undergrad Edu but unit moved to Student Affairs effective 7/1/2019</t>
        </r>
      </text>
    </comment>
    <comment ref="H23" authorId="1" shapeId="0" xr:uid="{00000000-0006-0000-0E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ALS</t>
        </r>
      </text>
    </comment>
    <comment ref="E24" authorId="2" shapeId="0" xr:uid="{00000000-0006-0000-0E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overseas study</t>
        </r>
      </text>
    </comment>
    <comment ref="H24" authorId="3" shapeId="0" xr:uid="{00000000-0006-0000-0E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OSU GO Undergrad Edu</t>
        </r>
      </text>
    </comment>
    <comment ref="K31" authorId="4" shapeId="0" xr:uid="{00000000-0006-0000-0E00-000005000000}">
      <text>
        <r>
          <rPr>
            <b/>
            <sz val="9"/>
            <color indexed="81"/>
            <rFont val="Tahoma"/>
            <family val="2"/>
          </rPr>
          <t>Campbell, Kayla Nicole:</t>
        </r>
        <r>
          <rPr>
            <sz val="9"/>
            <color indexed="81"/>
            <rFont val="Tahoma"/>
            <family val="2"/>
          </rPr>
          <t xml:space="preserve">
Per Sherm make settle-up fund $4M. Manual adjustment. 
Add $50k as part of Technical Changes. Settle-up fund is now $4,050,000.</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tc={4B0B3649-615F-482A-BE55-4318BA75063F}</author>
    <author>tc={B60AB265-4071-4508-9A8E-7A9F6DD8C187}</author>
    <author>tc={AC3FDFA6-46D0-467F-8696-57C80D251E55}</author>
    <author>tc={3CA8FFE6-7529-4E53-A440-EBA9C61FB84A}</author>
    <author>tc={3F849580-D15C-43A5-B8F4-8B804039CB10}</author>
    <author>tc={AB0C1374-DCF8-4E52-BCAC-60D4CE015DBB}</author>
    <author>tc={F03F8B15-D6C7-4F25-A734-37BA6D4BC321}</author>
    <author>tc={4B93D89D-0F0A-49EC-961D-04876956EB98}</author>
  </authors>
  <commentList>
    <comment ref="H20" authorId="0" shapeId="0" xr:uid="{00000000-0006-0000-0F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ID Programs - No Final Report</t>
        </r>
      </text>
    </comment>
    <comment ref="E21" authorId="1" shapeId="0" xr:uid="{00000000-0006-0000-0F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Undergrad Studies (URISC Prog) 968</t>
        </r>
      </text>
    </comment>
    <comment ref="F22" authorId="2" shapeId="0" xr:uid="{00000000-0006-0000-0F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Promise Program</t>
        </r>
      </text>
    </comment>
    <comment ref="D23" authorId="3" shapeId="0" xr:uid="{00000000-0006-0000-0F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ALS moved to Student Affairs</t>
        </r>
      </text>
    </comment>
    <comment ref="D24" authorId="4" shapeId="0" xr:uid="{00000000-0006-0000-0F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from XUS to Student Affairs</t>
        </r>
      </text>
    </comment>
    <comment ref="E24" authorId="5" shapeId="0" xr:uid="{00000000-0006-0000-0F00-000006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Academics for Student Athletes $48,239</t>
        </r>
      </text>
    </comment>
    <comment ref="F24" authorId="6" shapeId="0" xr:uid="{00000000-0006-0000-0F00-000007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XUS Academics for Student Athletes</t>
        </r>
      </text>
    </comment>
    <comment ref="G24" authorId="7" shapeId="0" xr:uid="{00000000-0006-0000-0F00-000008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XUS - Academics for Student Athletes</t>
        </r>
      </text>
    </comment>
  </commentList>
</comments>
</file>

<file path=xl/sharedStrings.xml><?xml version="1.0" encoding="utf-8"?>
<sst xmlns="http://schemas.openxmlformats.org/spreadsheetml/2006/main" count="2112" uniqueCount="1047">
  <si>
    <t>Summary Settings in Model:</t>
  </si>
  <si>
    <t>yes</t>
  </si>
  <si>
    <t>Floor FY16 or FY17?</t>
  </si>
  <si>
    <t>FY17</t>
  </si>
  <si>
    <t>Community Support Fund Reserve:</t>
  </si>
  <si>
    <t>Strategic Investment Reserves:</t>
  </si>
  <si>
    <t>% Overhead on Dedicated Funds:</t>
  </si>
  <si>
    <t>Distribution of academic productivity pools</t>
  </si>
  <si>
    <t>Strategic Area</t>
  </si>
  <si>
    <t>Measure</t>
  </si>
  <si>
    <t>% of Academic Pool</t>
  </si>
  <si>
    <t>Total Allocation</t>
  </si>
  <si>
    <t>Degree Foundations</t>
  </si>
  <si>
    <t xml:space="preserve">LD SCH </t>
  </si>
  <si>
    <t>UD Service SCH</t>
  </si>
  <si>
    <t>Grad Service SCH</t>
  </si>
  <si>
    <t>Honors SCH</t>
  </si>
  <si>
    <t>Undergraduate completions</t>
  </si>
  <si>
    <t>UG Degrees</t>
  </si>
  <si>
    <t>UD SCH</t>
  </si>
  <si>
    <t>Graduate Completions</t>
  </si>
  <si>
    <t>Grad Degrees</t>
  </si>
  <si>
    <t>Graduate SCH</t>
  </si>
  <si>
    <t>Alternate Delivery and new participants</t>
  </si>
  <si>
    <t>by actuals</t>
  </si>
  <si>
    <t>Ecampus academic support operations</t>
  </si>
  <si>
    <t>Off-site/other delivery SCH?</t>
  </si>
  <si>
    <t>Externally funded research</t>
  </si>
  <si>
    <t>Combined Research Metric</t>
  </si>
  <si>
    <t>Strategic growth areas</t>
  </si>
  <si>
    <t>(weight for strategic areas:)</t>
  </si>
  <si>
    <t>Degrees to International Students.</t>
  </si>
  <si>
    <t>Degrees to Pell Recipients</t>
  </si>
  <si>
    <t>Cascades Participation by SCH</t>
  </si>
  <si>
    <t>Totals:</t>
  </si>
  <si>
    <t>Service and support allocations</t>
  </si>
  <si>
    <t>These are currently allocated by incremental commitments; detail on Service-Support Detail tab</t>
  </si>
  <si>
    <t>Total allocated by Service, Support, and Management Measures:</t>
  </si>
  <si>
    <t>For Fiscal Year</t>
  </si>
  <si>
    <t>Oregon State University</t>
  </si>
  <si>
    <t xml:space="preserve">Revenue Detail </t>
  </si>
  <si>
    <t>Distributed</t>
  </si>
  <si>
    <t>Departmental</t>
  </si>
  <si>
    <t>Resources</t>
  </si>
  <si>
    <t>Total</t>
  </si>
  <si>
    <t>Public University Support Fund</t>
  </si>
  <si>
    <t>Outcomes Funding Allocation</t>
  </si>
  <si>
    <t>SCH Funding Allocation</t>
  </si>
  <si>
    <t>Tuition Buydown Phase #2</t>
  </si>
  <si>
    <t>Stop Loss/Stop gain</t>
  </si>
  <si>
    <t>Mission  Differentiation Funds</t>
  </si>
  <si>
    <t>Pharmacy Differential</t>
  </si>
  <si>
    <t>Vet Med Differential</t>
  </si>
  <si>
    <t>Vet Diagnostic Lab</t>
  </si>
  <si>
    <t>Subtotal Public University Support Fund</t>
  </si>
  <si>
    <t>State Programs Funding</t>
  </si>
  <si>
    <t>Fermentation Science</t>
  </si>
  <si>
    <t>Signature Research Centers</t>
  </si>
  <si>
    <t>Ocean Vessels Research</t>
  </si>
  <si>
    <t>Natural Resource Institute</t>
  </si>
  <si>
    <t>Oregon Climate Change Research Institute</t>
  </si>
  <si>
    <t>TallWood Design Institute</t>
  </si>
  <si>
    <t>Molluscan Brood Stock</t>
  </si>
  <si>
    <t>Ocean Acidification</t>
  </si>
  <si>
    <t>Subtotal State Program &amp; Other Funding</t>
  </si>
  <si>
    <t>Subtotal -  State Appropriation</t>
  </si>
  <si>
    <t>Tuition:</t>
  </si>
  <si>
    <t xml:space="preserve">  OSU - Corvallis </t>
  </si>
  <si>
    <t xml:space="preserve">  Extended Campus</t>
  </si>
  <si>
    <t xml:space="preserve">  Summer Term</t>
  </si>
  <si>
    <t>Subtotal -  Tuition</t>
  </si>
  <si>
    <t>Tuition Waivers</t>
  </si>
  <si>
    <t>Student Fees:</t>
  </si>
  <si>
    <t xml:space="preserve">  Resource Fees </t>
  </si>
  <si>
    <t xml:space="preserve">Other Student Fees </t>
  </si>
  <si>
    <t>Subtotal -  Student Fees</t>
  </si>
  <si>
    <t>Other Resources:</t>
  </si>
  <si>
    <t>F&amp;A Rate Recovery/Returned Overhead</t>
  </si>
  <si>
    <t>BUC Portion of IDC (included in budgeted allocations)</t>
  </si>
  <si>
    <t xml:space="preserve">Sales &amp; Services </t>
  </si>
  <si>
    <t>Miscellaneous income</t>
  </si>
  <si>
    <t xml:space="preserve"> </t>
  </si>
  <si>
    <t>Interest Revenue</t>
  </si>
  <si>
    <t>Debt Service Support on SELP Loans</t>
  </si>
  <si>
    <t>Subtotal -  Other Resources</t>
  </si>
  <si>
    <t xml:space="preserve">Total  Revenue </t>
  </si>
  <si>
    <t>Subtotal Res Undergraduate</t>
  </si>
  <si>
    <t>Subtotal NR Undergraduate</t>
  </si>
  <si>
    <t>Subtotal Res Graduate</t>
  </si>
  <si>
    <t>Subtotal NR Graduate</t>
  </si>
  <si>
    <t>Subtotal VetMed</t>
  </si>
  <si>
    <t>Subtotal Pharmacy</t>
  </si>
  <si>
    <t>Subtotal Miscellaneous</t>
  </si>
  <si>
    <t>Ecampus tuition</t>
  </si>
  <si>
    <t>Ecampus fee (approx)</t>
  </si>
  <si>
    <t>Summer</t>
  </si>
  <si>
    <t>Waivers*</t>
  </si>
  <si>
    <t>Total Net Tuition</t>
  </si>
  <si>
    <t>Percentage</t>
  </si>
  <si>
    <t>Amount</t>
  </si>
  <si>
    <t>Percentage of tuition:</t>
  </si>
  <si>
    <t>Undergraduate resident</t>
  </si>
  <si>
    <t>Undergraduate Non-resident</t>
  </si>
  <si>
    <t>Ecampus and summer</t>
  </si>
  <si>
    <t>Retention fund</t>
  </si>
  <si>
    <t>Total:</t>
  </si>
  <si>
    <t>Waivers:</t>
  </si>
  <si>
    <t>OREGON STATE UNIVERSITY</t>
  </si>
  <si>
    <t>Initial Budget:</t>
  </si>
  <si>
    <t>Overhead:</t>
  </si>
  <si>
    <t>Remaining:</t>
  </si>
  <si>
    <t>Central Pools and Reserves and Executive</t>
  </si>
  <si>
    <t>Management and Support Operations</t>
  </si>
  <si>
    <t>Academic Ops</t>
  </si>
  <si>
    <t>Dedicated Purpose Funds</t>
  </si>
  <si>
    <t>Budget Unit</t>
  </si>
  <si>
    <t>Central pools and reserves</t>
  </si>
  <si>
    <t>Executive Funding</t>
  </si>
  <si>
    <t>Academic Support Operations</t>
  </si>
  <si>
    <t>Student and Faculty Support</t>
  </si>
  <si>
    <t>Plant and Facilities Operations</t>
  </si>
  <si>
    <t>Institutional Operations</t>
  </si>
  <si>
    <t>Overhead on dedicated funds, except F&amp;A</t>
  </si>
  <si>
    <t>Targeted state funding</t>
  </si>
  <si>
    <t>Capital Renewal Funding</t>
  </si>
  <si>
    <t>AY Differential and prof. tuition over base</t>
  </si>
  <si>
    <t>Fees, sales, and services</t>
  </si>
  <si>
    <t>Endowment Match</t>
  </si>
  <si>
    <t>F&amp;A recovery allocation</t>
  </si>
  <si>
    <t xml:space="preserve">Enrollment Projection Reserve Pool </t>
  </si>
  <si>
    <t>Contingency Funds or Strategic Funds</t>
  </si>
  <si>
    <t>Community Support Fund</t>
  </si>
  <si>
    <t>Capital Renewal and Depreciation Funds</t>
  </si>
  <si>
    <t>Overhead percentage components</t>
  </si>
  <si>
    <t>Pools For Academic Unit Distribution</t>
  </si>
  <si>
    <t>Original</t>
  </si>
  <si>
    <t>Share</t>
  </si>
  <si>
    <t>Pools for Salary and Benefit Increases</t>
  </si>
  <si>
    <t>Contractual obligations</t>
  </si>
  <si>
    <t>Information Services</t>
  </si>
  <si>
    <t>Graduate School</t>
  </si>
  <si>
    <t>Instruction &amp;  Research</t>
  </si>
  <si>
    <t>Research</t>
  </si>
  <si>
    <t>Bridge and Settleup Reserve</t>
  </si>
  <si>
    <t>Business Centers</t>
  </si>
  <si>
    <t xml:space="preserve">    Agricultural Sciences</t>
  </si>
  <si>
    <t>Business Affairs, F&amp;A</t>
  </si>
  <si>
    <t xml:space="preserve">    Business</t>
  </si>
  <si>
    <t>Business Services</t>
  </si>
  <si>
    <t xml:space="preserve">    Engineering</t>
  </si>
  <si>
    <t xml:space="preserve">    Forestry</t>
  </si>
  <si>
    <t xml:space="preserve">    Public Health &amp; Human Sciences</t>
  </si>
  <si>
    <t xml:space="preserve">    Education</t>
  </si>
  <si>
    <t xml:space="preserve">    Liberal Arts</t>
  </si>
  <si>
    <t xml:space="preserve">    Earth, Oceanic &amp; Atmospheric Sciences</t>
  </si>
  <si>
    <t xml:space="preserve">    Pharmacy</t>
  </si>
  <si>
    <t xml:space="preserve">    Science</t>
  </si>
  <si>
    <t xml:space="preserve">    Veterinary Medicine</t>
  </si>
  <si>
    <t xml:space="preserve">    Summer Session</t>
  </si>
  <si>
    <t xml:space="preserve">    University Honors College</t>
  </si>
  <si>
    <t xml:space="preserve">    Extended Campus</t>
  </si>
  <si>
    <t xml:space="preserve">    International Programs </t>
  </si>
  <si>
    <t>Interdisciplinary Graduate Programs</t>
  </si>
  <si>
    <t xml:space="preserve">    University Libraries</t>
  </si>
  <si>
    <t xml:space="preserve">    Research (Centers / Institutes / Programs)</t>
  </si>
  <si>
    <t xml:space="preserve">   Instruction &amp; Research Total</t>
  </si>
  <si>
    <t>Service, Support, and Management:</t>
  </si>
  <si>
    <t xml:space="preserve">    Office of the President</t>
  </si>
  <si>
    <t>Athletics</t>
  </si>
  <si>
    <t xml:space="preserve">    University Relations &amp; Marketing</t>
  </si>
  <si>
    <t xml:space="preserve">    Provost</t>
  </si>
  <si>
    <t xml:space="preserve">    Provost - Pass-through</t>
  </si>
  <si>
    <t xml:space="preserve">    Enrollment Management</t>
  </si>
  <si>
    <t xml:space="preserve">    Faculty Affairs</t>
  </si>
  <si>
    <t xml:space="preserve">    Graduate SchoolAdministration</t>
  </si>
  <si>
    <t xml:space="preserve">    Research Administration</t>
  </si>
  <si>
    <t xml:space="preserve">    Student Affairs</t>
  </si>
  <si>
    <t>Ecampus</t>
  </si>
  <si>
    <t xml:space="preserve">    Finance and Administration</t>
  </si>
  <si>
    <t xml:space="preserve">    Facilities Services</t>
  </si>
  <si>
    <t>Service, Support, and Management Total</t>
  </si>
  <si>
    <t xml:space="preserve">      Total Educational and General  Budget</t>
  </si>
  <si>
    <t>Undergraduate Differential Tuition</t>
  </si>
  <si>
    <t>Graduate Differential Tuition</t>
  </si>
  <si>
    <t>Net Allocation</t>
  </si>
  <si>
    <t>Institutional Management:</t>
  </si>
  <si>
    <t xml:space="preserve">    Research Equipment Reserve</t>
  </si>
  <si>
    <t>Academic unit settle-up reserves:</t>
  </si>
  <si>
    <t>Remaining pooled tuition and public university support fund dollars after Dedicated Funds and Capital Renewal Funds (including debt and insurance increments)  are allocated</t>
  </si>
  <si>
    <t>Tuition settleups (Ecampus, Summer, differential)</t>
  </si>
  <si>
    <t>Revenues after Dedicated Funds including Capital Renewal</t>
  </si>
  <si>
    <t>Differental and ROH on dedicated funds page</t>
  </si>
  <si>
    <t>Portion of funds to Academic Pool:</t>
  </si>
  <si>
    <t>Faculty positions to distribute</t>
  </si>
  <si>
    <t>Other reserves to distribute to academic units</t>
  </si>
  <si>
    <t>Graduate Cost Reserves (GTA/GRA health insurance)</t>
  </si>
  <si>
    <t>Community Support Funds for Colleges</t>
  </si>
  <si>
    <t>Grad remission reserves, PhD subsidy, Visa fees</t>
  </si>
  <si>
    <t>Academic productivity pool</t>
  </si>
  <si>
    <t>Portion of funds to "central" or institutional management (contracts, reserves, debt etc.) and service, support, and executive functions:</t>
  </si>
  <si>
    <t>Institutional Management Pool</t>
  </si>
  <si>
    <t>Enrollment projection reserve</t>
  </si>
  <si>
    <t>Executive funding</t>
  </si>
  <si>
    <t>Contingency funding</t>
  </si>
  <si>
    <t>Contingency, strategic and other funding</t>
  </si>
  <si>
    <t>Strategic funding</t>
  </si>
  <si>
    <t>Salary raise pool</t>
  </si>
  <si>
    <t>Mid-year raise pool</t>
  </si>
  <si>
    <t>Service, support, administrative balance</t>
  </si>
  <si>
    <t>*enrollment reserve, contingency are zeroed out elsewhere</t>
  </si>
  <si>
    <t>Productivity Split</t>
  </si>
  <si>
    <t>Degree Foundations plus Honors</t>
  </si>
  <si>
    <t xml:space="preserve">Undergrad Completions </t>
  </si>
  <si>
    <t>Alternative Delivery (Ecampus plus Summer)</t>
  </si>
  <si>
    <t>Strategic Populations and Cascades</t>
  </si>
  <si>
    <t xml:space="preserve">Graduate Completions </t>
  </si>
  <si>
    <t>Total Dedicated Purpose Funds</t>
  </si>
  <si>
    <t>Lower Divison</t>
  </si>
  <si>
    <t>Upper Division</t>
  </si>
  <si>
    <t xml:space="preserve">Graduate and Professional </t>
  </si>
  <si>
    <t>MJR</t>
  </si>
  <si>
    <t>OTH</t>
  </si>
  <si>
    <t>Agricultural Sciences</t>
  </si>
  <si>
    <t>Business</t>
  </si>
  <si>
    <t>Education</t>
  </si>
  <si>
    <t>Forestry</t>
  </si>
  <si>
    <t>Pharmacy</t>
  </si>
  <si>
    <t>Science</t>
  </si>
  <si>
    <t>Liberal Arts</t>
  </si>
  <si>
    <t>Veterinary Medicine</t>
  </si>
  <si>
    <t>Engineering</t>
  </si>
  <si>
    <t>PHHS</t>
  </si>
  <si>
    <t>CEOAS</t>
  </si>
  <si>
    <t>Defense Education</t>
  </si>
  <si>
    <t>ID Programs</t>
  </si>
  <si>
    <t>Honors College</t>
  </si>
  <si>
    <t>ALS</t>
  </si>
  <si>
    <t>Overseas Study</t>
  </si>
  <si>
    <t>PAC Hours</t>
  </si>
  <si>
    <t>Academic Year, Cascades</t>
  </si>
  <si>
    <t>Degrees Awarded</t>
  </si>
  <si>
    <t>all sites except Cascades</t>
  </si>
  <si>
    <t>Undergraduate</t>
  </si>
  <si>
    <t>PhD</t>
  </si>
  <si>
    <t>Masters and Professional</t>
  </si>
  <si>
    <t>Certificates &amp; Other - Graduate</t>
  </si>
  <si>
    <t>Certificates &amp; Other - Undergrad</t>
  </si>
  <si>
    <t>Degrees Awarded - Special Populations</t>
  </si>
  <si>
    <t>International</t>
  </si>
  <si>
    <t>Pell</t>
  </si>
  <si>
    <t>UD DEGREES</t>
  </si>
  <si>
    <t>Strategic Growth Areas</t>
  </si>
  <si>
    <t>All Levels</t>
  </si>
  <si>
    <t>Weights</t>
  </si>
  <si>
    <t>First Minors Awarded</t>
  </si>
  <si>
    <t>Central Pools by Type:</t>
  </si>
  <si>
    <t>Unit</t>
  </si>
  <si>
    <t>Description</t>
  </si>
  <si>
    <t>Index</t>
  </si>
  <si>
    <t>Inst Mgmt</t>
  </si>
  <si>
    <t>Budget Reserve</t>
  </si>
  <si>
    <t>ZARR91</t>
  </si>
  <si>
    <t>Contractual costs</t>
  </si>
  <si>
    <t>Hold out Tuition Reserve:</t>
  </si>
  <si>
    <t>Debt/Lease</t>
  </si>
  <si>
    <t>1.0% of undergraduate &amp; Ecampus  tuition revenue</t>
  </si>
  <si>
    <t>Capital Renewal and Repair Funds</t>
  </si>
  <si>
    <t>Net assessments/USSE</t>
  </si>
  <si>
    <t>Capital &amp; Repair Fund</t>
  </si>
  <si>
    <t>ZARR11</t>
  </si>
  <si>
    <t>Foundation</t>
  </si>
  <si>
    <t>Contingency and reserve funds</t>
  </si>
  <si>
    <t>INTO/International</t>
  </si>
  <si>
    <t>Pools and Reserves to distribute to Units:</t>
  </si>
  <si>
    <t>Bad debt increase</t>
  </si>
  <si>
    <t>Reserve for Ecampus Tuition Settle-up</t>
  </si>
  <si>
    <t>ZARN18</t>
  </si>
  <si>
    <t>Vacation liability increase</t>
  </si>
  <si>
    <t>Reserve for Summer Tuition Settle-up</t>
  </si>
  <si>
    <t>ZARN13</t>
  </si>
  <si>
    <t>Research audit disallowance reserve</t>
  </si>
  <si>
    <t>Contractual, debt, other costs</t>
  </si>
  <si>
    <t>ZARR40</t>
  </si>
  <si>
    <t>Institution wide costs</t>
  </si>
  <si>
    <t>Academic Units</t>
  </si>
  <si>
    <t>Reserve for differential revenue settle-ups</t>
  </si>
  <si>
    <t>ZARR71</t>
  </si>
  <si>
    <t>Risk premiums increase</t>
  </si>
  <si>
    <t>Strategic/Policy Distributions (reserves for non-recurring commitments):</t>
  </si>
  <si>
    <t>Graduate Assistant Insurance Funds</t>
  </si>
  <si>
    <t>ZARP10</t>
  </si>
  <si>
    <t>Strategic allocations</t>
  </si>
  <si>
    <t>Grad Fee Remission for PhD candidacy program</t>
  </si>
  <si>
    <t>ZARR50</t>
  </si>
  <si>
    <t>Distributed to Academic Units:</t>
  </si>
  <si>
    <t>Capital renewal and repair</t>
  </si>
  <si>
    <t>Int'l Assistant Visa fees (distr as Grad Rem)</t>
  </si>
  <si>
    <t>Tuition settleups (Ecampus, Summer,differential, INTO)</t>
  </si>
  <si>
    <t>Reserves to be distributed to Academic Units</t>
  </si>
  <si>
    <t>ROH Settleup</t>
  </si>
  <si>
    <t>Academic reserve funds (tuition, ROH, etc.)</t>
  </si>
  <si>
    <t>Graduate Cost Reserves</t>
  </si>
  <si>
    <t>Salary and Benefit Pools to be distributed</t>
  </si>
  <si>
    <t>Salary and Benefit Pools</t>
  </si>
  <si>
    <t>Community Support Funding</t>
  </si>
  <si>
    <t>Total Institutional Management Pools and Reserves:</t>
  </si>
  <si>
    <t>Management Reserves for Business Costs</t>
  </si>
  <si>
    <t xml:space="preserve">Salary Raise  Reserve Pools </t>
  </si>
  <si>
    <t>Compensated Absence Liability</t>
  </si>
  <si>
    <t>ZARN11</t>
  </si>
  <si>
    <t>Classified insurance subsidy</t>
  </si>
  <si>
    <t>Insurance subsidy for classified employees</t>
  </si>
  <si>
    <t>Sales and Service Revenue Shown Elsewhere</t>
  </si>
  <si>
    <t>Initital redistributions to units</t>
  </si>
  <si>
    <t>Total Original IM :</t>
  </si>
  <si>
    <t>Bad Debt Expense</t>
  </si>
  <si>
    <t>ZARN10</t>
  </si>
  <si>
    <t>ZARA10</t>
  </si>
  <si>
    <t>TouchNet Costs</t>
  </si>
  <si>
    <t>Contingency and strategic funds</t>
  </si>
  <si>
    <t>Finance &amp; Admin</t>
  </si>
  <si>
    <t>Boli Fees</t>
  </si>
  <si>
    <t>Capital Renewal and Repair</t>
  </si>
  <si>
    <t>Net Contingency/Uncommitted funds</t>
  </si>
  <si>
    <t>Contracts, Fees to External Agencies:</t>
  </si>
  <si>
    <t>Strategic allocations (MSI and Student Success)</t>
  </si>
  <si>
    <t>Foundation Obligation</t>
  </si>
  <si>
    <t>Foundation Obligation (Alumni Assoc)</t>
  </si>
  <si>
    <t>Net Portland, Gateway, Innovation hub</t>
  </si>
  <si>
    <t>INTO Fees - Matriculants from Pathway Program</t>
  </si>
  <si>
    <t>ZARR30</t>
  </si>
  <si>
    <t>PMECS contract position from added F&amp;A</t>
  </si>
  <si>
    <t>INTO Fees - Direct Source</t>
  </si>
  <si>
    <t>Labor relations resources</t>
  </si>
  <si>
    <t>International  Admissions</t>
  </si>
  <si>
    <t>Corvallis</t>
  </si>
  <si>
    <t>Grant to City (URM)</t>
  </si>
  <si>
    <t>INTO</t>
  </si>
  <si>
    <t>MOU w/H&amp;D for use of space in Int'l LL Center</t>
  </si>
  <si>
    <t>EOU</t>
  </si>
  <si>
    <t>Eastern Oregon University Settle-up</t>
  </si>
  <si>
    <t>CMLC</t>
  </si>
  <si>
    <t>Total Institutional Management</t>
  </si>
  <si>
    <t>Debt Service and Leases</t>
  </si>
  <si>
    <t>Oregon-wide Leases</t>
  </si>
  <si>
    <t>ZARB10</t>
  </si>
  <si>
    <t>Sales and service revenues (put elsewhere)</t>
  </si>
  <si>
    <t>OSU Portland Center</t>
  </si>
  <si>
    <t>Debt Service - Various</t>
  </si>
  <si>
    <t>ZARIOU</t>
  </si>
  <si>
    <t>Debt Service - SELP Loan Repayment (Facilities)</t>
  </si>
  <si>
    <t>Strategic Initiatives Funded Centrally</t>
  </si>
  <si>
    <t>Various</t>
  </si>
  <si>
    <t>Portland Hub, Innovation Studio, Gateway</t>
  </si>
  <si>
    <t>Provost</t>
  </si>
  <si>
    <t>Labor relations management resources as needed</t>
  </si>
  <si>
    <t>PCCM</t>
  </si>
  <si>
    <t>PMECS sets</t>
  </si>
  <si>
    <t>Student Affairs</t>
  </si>
  <si>
    <t>MSI</t>
  </si>
  <si>
    <t>MSI O&amp;M starting Feb 2020 (72,000sqft x $12 monthly)</t>
  </si>
  <si>
    <t>Contingency and Reserve Funding</t>
  </si>
  <si>
    <t>Contingency Fund</t>
  </si>
  <si>
    <t>F&amp;A Recovery kept centrally</t>
  </si>
  <si>
    <t>F&amp;A Recovery contrib - central reserve</t>
  </si>
  <si>
    <t>Assessments to be received from Aux, SWPS, INTO</t>
  </si>
  <si>
    <t>ZARC99</t>
  </si>
  <si>
    <t>Assessments to be received for Business Centers</t>
  </si>
  <si>
    <t xml:space="preserve">Total Institutional Management Allocation </t>
  </si>
  <si>
    <t>Sales &amp; Service Revenue</t>
  </si>
  <si>
    <t>Estimated Institutional Management (Centrally Held Reserves, pools, and obligations)</t>
  </si>
  <si>
    <t>Pool remaining before adjustments:</t>
  </si>
  <si>
    <t>Tax pool resources</t>
  </si>
  <si>
    <t>Excess commitments over pool:</t>
  </si>
  <si>
    <t>Incremental Commitments</t>
  </si>
  <si>
    <t>Raise Rollup</t>
  </si>
  <si>
    <t>Notes</t>
  </si>
  <si>
    <t xml:space="preserve">    Research (Centers / Institutes)</t>
  </si>
  <si>
    <t xml:space="preserve">    Graduate School Administration</t>
  </si>
  <si>
    <t xml:space="preserve">UFIO </t>
  </si>
  <si>
    <t>TOTALS</t>
  </si>
  <si>
    <t>Academic Support, Plant, Institutional Operations</t>
  </si>
  <si>
    <t>Academic Productivity Allocations</t>
  </si>
  <si>
    <t>Provost's Bridge Funding</t>
  </si>
  <si>
    <t>VPFA, Provost  Adjustments</t>
  </si>
  <si>
    <t>Distributed For reserve</t>
  </si>
  <si>
    <t>Gross differential tuition revenue (Corvallis courses; Ecampus differentials distributed with Ecampus revenues)</t>
  </si>
  <si>
    <t>Gross Differential</t>
  </si>
  <si>
    <t>Undergrad</t>
  </si>
  <si>
    <t>Graduate</t>
  </si>
  <si>
    <t>Forestry, Business, Engineering, MPH by credit hours times charge</t>
  </si>
  <si>
    <t>MPH prior to FY19 adjusted for graduate plateau</t>
  </si>
  <si>
    <t>Honors by headcount times charge per term</t>
  </si>
  <si>
    <t>Vet Med and Pharmacy by total tuition revenue less base tuition for graduate students</t>
  </si>
  <si>
    <t>Academic Year*, On Campus - Differential Tuition</t>
  </si>
  <si>
    <t>*Pharmacy &amp; Vet Med include Summer (all other differential is academic year only)</t>
  </si>
  <si>
    <t>Interdisciplinary Grad Degrees</t>
  </si>
  <si>
    <t>Additional Weighting</t>
  </si>
  <si>
    <t>Ecampus  credit hour allocation (summer and academic year)</t>
  </si>
  <si>
    <t>This is the allocation by actual amounts, in the exact way it has been done previously.</t>
  </si>
  <si>
    <t>These allocations include the differential tuition component</t>
  </si>
  <si>
    <t>Ecampus Actual allocations after settle ups</t>
  </si>
  <si>
    <t>Ecampus Actual Dollar Allocation Total</t>
  </si>
  <si>
    <t>COLLEGE</t>
  </si>
  <si>
    <t>FY18 Actual</t>
  </si>
  <si>
    <t>Earth,Ocean &amp;Atmos Sci</t>
  </si>
  <si>
    <t xml:space="preserve">Forestry </t>
  </si>
  <si>
    <t>Public Health &amp; Human Sci</t>
  </si>
  <si>
    <t xml:space="preserve">Graduate School                     </t>
  </si>
  <si>
    <t xml:space="preserve"> Research Office </t>
  </si>
  <si>
    <t xml:space="preserve">  Outreach &amp; Engagement</t>
  </si>
  <si>
    <t xml:space="preserve"> Library</t>
  </si>
  <si>
    <t>Honors</t>
  </si>
  <si>
    <t>Central Admin</t>
  </si>
  <si>
    <t>Settleup fund</t>
  </si>
  <si>
    <t>Financial aid</t>
  </si>
  <si>
    <t>Net tuition to central</t>
  </si>
  <si>
    <t>Fee portion</t>
  </si>
  <si>
    <t>Fee</t>
  </si>
  <si>
    <t>Total Tuition Revenue</t>
  </si>
  <si>
    <t>Alternative Delivery</t>
  </si>
  <si>
    <t>Summer Credit Hour Allocation</t>
  </si>
  <si>
    <t>Summer Actual allocations after settle ups</t>
  </si>
  <si>
    <t>Summer Actual Dollar Allocation Total</t>
  </si>
  <si>
    <t>overseas studies</t>
  </si>
  <si>
    <t>Reserve</t>
  </si>
  <si>
    <t>Allocation</t>
  </si>
  <si>
    <t>3 Year Total SCH</t>
  </si>
  <si>
    <t>Weighted Aggregate</t>
  </si>
  <si>
    <t>LD</t>
  </si>
  <si>
    <t>UD</t>
  </si>
  <si>
    <t>Grad</t>
  </si>
  <si>
    <t>Share of SCH Pool</t>
  </si>
  <si>
    <t>PAC Discount</t>
  </si>
  <si>
    <t>Ratios to Eight Upper Division CIPs (1.00), capped for differential tuition contribution</t>
  </si>
  <si>
    <t>Lower Division</t>
  </si>
  <si>
    <t>Master's</t>
  </si>
  <si>
    <t xml:space="preserve">Doctoral </t>
  </si>
  <si>
    <t>DVM PharmD</t>
  </si>
  <si>
    <t>All by CIP Level</t>
  </si>
  <si>
    <t>All Ratioed to Lower Division</t>
  </si>
  <si>
    <t>Updated for FY20 with Major Counts and Updated Weights (Outliers removed) WITH Kinesiology Change</t>
  </si>
  <si>
    <t>*</t>
  </si>
  <si>
    <t>UG Completion</t>
  </si>
  <si>
    <t>UD (MJR)-SCH</t>
  </si>
  <si>
    <t>Degree: Minor, UG Certificate, UG</t>
  </si>
  <si>
    <t>Grad (MJR) - SCH</t>
  </si>
  <si>
    <t>Grad SCH</t>
  </si>
  <si>
    <t>Weighted</t>
  </si>
  <si>
    <t>Degrees Awarded - Interdisciplinary</t>
  </si>
  <si>
    <t>Doctorate</t>
  </si>
  <si>
    <t>Master/Pro</t>
  </si>
  <si>
    <t>Certificate</t>
  </si>
  <si>
    <t>Provided by the Graduate School</t>
  </si>
  <si>
    <t>Weighted Degree</t>
  </si>
  <si>
    <t>Cert</t>
  </si>
  <si>
    <t>Proportion to College of Major Professor</t>
  </si>
  <si>
    <t>Proportion to Interdisciplinary Program</t>
  </si>
  <si>
    <t>TOTAL</t>
  </si>
  <si>
    <t>Cascades</t>
  </si>
  <si>
    <t>Research Activity Allocation:</t>
  </si>
  <si>
    <t>Total F&amp;A Recovery</t>
  </si>
  <si>
    <t>Average</t>
  </si>
  <si>
    <t>Master/Profession</t>
  </si>
  <si>
    <t>Doc Degree</t>
  </si>
  <si>
    <t>Interdisciplinary</t>
  </si>
  <si>
    <t>Share of Degree</t>
  </si>
  <si>
    <t>Share of SCH</t>
  </si>
  <si>
    <t>Degree: int, pell, urm</t>
  </si>
  <si>
    <t>*PHHS includes PAC Courses (no yes/no qualifier)</t>
  </si>
  <si>
    <t>Foundations</t>
  </si>
  <si>
    <t>SCH</t>
  </si>
  <si>
    <t>Cascades SCH*</t>
  </si>
  <si>
    <t>Completions</t>
  </si>
  <si>
    <t>FY16 Base vs. Targeted Allocations</t>
  </si>
  <si>
    <t>FY17 Base vs. Targeted Allocations</t>
  </si>
  <si>
    <t>Set Floor as FY16 or FY17</t>
  </si>
  <si>
    <t>FY16 Adjusted total budget</t>
  </si>
  <si>
    <t>Net dedicated and targeted funds allocation</t>
  </si>
  <si>
    <t>FY16 Floor Base Budget</t>
  </si>
  <si>
    <t>FY17 Adjusted total budget</t>
  </si>
  <si>
    <t>FY17 Floor Base Budget</t>
  </si>
  <si>
    <t>Budget Floor</t>
  </si>
  <si>
    <t>Switched floor calculation</t>
  </si>
  <si>
    <t xml:space="preserve">    Research (Centers / Institutes / Programs)*</t>
  </si>
  <si>
    <t>*FY18 targeted adds $685K that in previous years had been a part of targeted funding</t>
  </si>
  <si>
    <t>but was moved to base in FY18;  it would artifically reduce the floor if not included</t>
  </si>
  <si>
    <t>Floor Calculation</t>
  </si>
  <si>
    <t>Financial Aid</t>
  </si>
  <si>
    <t>Net Tuition (Cental)</t>
  </si>
  <si>
    <t>Initial Institutional management by estimated distribution in major categories</t>
  </si>
  <si>
    <t>Initial Institutional management detailed allocation (Budget reserve net is treated elsewhere in this model approach)</t>
  </si>
  <si>
    <t>Input</t>
  </si>
  <si>
    <t>Input/Formula</t>
  </si>
  <si>
    <t>Formula</t>
  </si>
  <si>
    <t>STEP 1</t>
  </si>
  <si>
    <t>STEP 3</t>
  </si>
  <si>
    <t>STEP 5</t>
  </si>
  <si>
    <t>STEP 1 &amp; 6</t>
  </si>
  <si>
    <t>Step 4</t>
  </si>
  <si>
    <t>Step 0</t>
  </si>
  <si>
    <t>Step 1</t>
  </si>
  <si>
    <t>Step 2</t>
  </si>
  <si>
    <t>Step 3</t>
  </si>
  <si>
    <t>Step 5</t>
  </si>
  <si>
    <t>Step 6</t>
  </si>
  <si>
    <t>Step 7</t>
  </si>
  <si>
    <t>Refer to Process Tab:</t>
  </si>
  <si>
    <t>STEP 2 in Process Tab</t>
  </si>
  <si>
    <t>General Resource Budget (formerly base budget)</t>
  </si>
  <si>
    <t>Dedicated Resources</t>
  </si>
  <si>
    <t>INITIAL BUDGET</t>
  </si>
  <si>
    <t>LAST YEAR</t>
  </si>
  <si>
    <t>BUDGET MODEL</t>
  </si>
  <si>
    <t>Faculty Affairs</t>
  </si>
  <si>
    <t>*Grad Completion</t>
  </si>
  <si>
    <t>*Foundations</t>
  </si>
  <si>
    <t>*Undergrad Completion</t>
  </si>
  <si>
    <t>Health Science weight</t>
  </si>
  <si>
    <t xml:space="preserve">It's important to note that the resources are distributed at the College or Divison level not the School or Department level. </t>
  </si>
  <si>
    <t>^^^^^   Select the Pluses (+) above to see the expanded detail.   ^^^^^</t>
  </si>
  <si>
    <t>Dashboard</t>
  </si>
  <si>
    <t>Change Log</t>
  </si>
  <si>
    <t>Step 0 Revenue Detail</t>
  </si>
  <si>
    <t>Final-Distributed E&amp;G Budget</t>
  </si>
  <si>
    <t>Add the Revenue Detail in the STEP 0 REVENUE DETAIL tab.</t>
  </si>
  <si>
    <t>Input the dedicated purpose funds in the FINAL-DISTRIBUTED E&amp;G BUDGET tab.  The Differential Data is the only dedicated fund that pulls from another tab (DIFFERENTIAL tab). The Overhead will calculate and be distributed to the Service &amp; Support Units based on the Overhead Percentage Components on the FINAL-DISTRIBUTED E&amp;G BUDGET tab. The overhead being distributed to the Service &amp; Support units will be under the Academic Support, Plant, Institutional Operations area (under General Resource Budget).</t>
  </si>
  <si>
    <t>Input the community support funding on the FINAL-DISTRIBUTED E&amp;G BUDGET tab. The total must match the community support funding on the PRODUCTIVITY SPLIT tab.</t>
  </si>
  <si>
    <t>Differential</t>
  </si>
  <si>
    <t>Productivity Calc</t>
  </si>
  <si>
    <t>Data-Credit &amp; Degree</t>
  </si>
  <si>
    <t>IM</t>
  </si>
  <si>
    <t>Service Support &amp; Mgmt</t>
  </si>
  <si>
    <t>Floor Calc</t>
  </si>
  <si>
    <t>Revenues after Dedicated Funds (including Capital Renewal) are split via % on the PRODUCTIVITY SPLIT tab.</t>
  </si>
  <si>
    <t>Estimated Institutional Management (Centrally Held Reserves, pools, and obligations) are entered on the IM tab. Formulas will pull the data from the IM tab to the FINAL-DISTRIBUTED E&amp;G BUDGET tab.</t>
  </si>
  <si>
    <t>Budget Model Steps for Allocating the E&amp;G Budget</t>
  </si>
  <si>
    <t>Tabs</t>
  </si>
  <si>
    <t>Information boxes can be found on many of the tabs.</t>
  </si>
  <si>
    <r>
      <rPr>
        <b/>
        <sz val="11"/>
        <color theme="1"/>
        <rFont val="Calibri"/>
        <family val="2"/>
        <scheme val="minor"/>
      </rPr>
      <t xml:space="preserve">Information:  </t>
    </r>
    <r>
      <rPr>
        <sz val="11"/>
        <color theme="1"/>
        <rFont val="Calibri"/>
        <family val="2"/>
        <scheme val="minor"/>
      </rPr>
      <t>The change log tab tracks adjustments made to the budget model workbook.</t>
    </r>
  </si>
  <si>
    <r>
      <rPr>
        <b/>
        <sz val="11"/>
        <color theme="1"/>
        <rFont val="Calibri"/>
        <family val="2"/>
        <scheme val="minor"/>
      </rPr>
      <t xml:space="preserve">Information:  </t>
    </r>
    <r>
      <rPr>
        <sz val="11"/>
        <color theme="1"/>
        <rFont val="Calibri"/>
        <family val="2"/>
        <scheme val="minor"/>
      </rPr>
      <t>The productivity split was moved to the second step, rather than after setting aside central commitments to contractual obligations, raise pools, and contingency funds.  This insures that the academic productivity pool grows by at least the same proportion of overall revenue growth and that it does not shrink because too much is taken "off the top".  Over the last three years of the model the proportion to academic units correspondes to 57.6% to 60.4% of the available pool.  FY19 is set at 59% (the average of the three years).</t>
    </r>
  </si>
  <si>
    <t>SCH: LD (MJR &amp; OTH), UD (OTH), &amp; Grad (OTH)</t>
  </si>
  <si>
    <t>Grad Completion</t>
  </si>
  <si>
    <t>Strategic &amp; Cascades</t>
  </si>
  <si>
    <t>SCH: Cascades</t>
  </si>
  <si>
    <t>Provides FY16 and FY17 base for the Adjustment to Floor calculation on the FINAL-DISTRIBUTED E&amp;G BUDGET tab.</t>
  </si>
  <si>
    <t>Distribute Community Fund, Adjust to Floor (yes/no)</t>
  </si>
  <si>
    <t>Correct for PAC Fee? (yes/no)</t>
  </si>
  <si>
    <t>Use Health Sciences weight for Pharm and Vet Med (no = professional school weights) (yes/no)</t>
  </si>
  <si>
    <t>Undergrad Completions - Use Desciplinary Weights? (yes/no)</t>
  </si>
  <si>
    <t>Graduate Completion - Use Desciplinary Weights? (yes/no)</t>
  </si>
  <si>
    <t>Provides a log of changes to the model</t>
  </si>
  <si>
    <t>This tab provides the E&amp;G revenue estimate that is distributed. Additions or subtractions to the total revenue on this tab will adjust the amount that is distributed.</t>
  </si>
  <si>
    <t>This is where the initial budget can be found! This page includes numbers directly input onto the page and formulas that pull totals from other pages. For example, many of the dedicated purpose funds are entered directly onto this tab. However, the Academic Productivity Allocation pulls its data from the Productivity Calc tab. This is because the Productive Calc tab has formulas that distribute the academic productivity areas based on the measures provided on the DASHBOARD tab and the weights on the WEIGHT tab. There are three pluses at the top of the page that can be clicked to expand detail on the dedicated purpose funds, Academic Support/Plant/Institutional Operations, and Academic Productivity Allocations. There are steps under the table that can be reference to the processes described above.</t>
  </si>
  <si>
    <t xml:space="preserve">This is step 2 in the process above. The pooled tuition and the public university support fund dollars (Total Revenue from the STEP 0 REVENUE DETAIL tab) less the Dedicated Funds and Capital Renewal Funds (including dept and insurance increments) entered under the dedicated funds area on the FINAL-DISTRIBUTED E&amp;G BUDGET tab is split between the funds to the Academic Pool and the portion of funds to "central" or institutional management (contracts, reserves, debts etc) and service, support, and executive functions. </t>
  </si>
  <si>
    <t>The Ecampus credit hour allocation (summer and academic year) is by actual amounts in the same way it has been done in previous years. These allocations include the differential tuition component. This data will feed to the PRODUCTIVITY CALC tab.</t>
  </si>
  <si>
    <t>The Summer credit hour allocation is the allocation by actual amounts in the same way it has been done in previous years. These allocations include the differential component. This data will feed to the PRODUCTIVITY CALC tab.</t>
  </si>
  <si>
    <t>This tab allocates the amount set aside from the Academic Productivity Pool for the Strategic Area  - Externally Funded Research. This data will feed to the FINAL-DISTRIBUTED E&amp;G BUDGET tab under the Academic Productivity area.</t>
  </si>
  <si>
    <t>The Estimated Institutional Magement (Centrally Held Reserves, Pools, and Obligations) are listed on the IM tab. This data will feed to FINAL-DISTRIBUTED E&amp;G BUDGET tab.</t>
  </si>
  <si>
    <t>Strategic Areas</t>
  </si>
  <si>
    <t>Graduate and Professional</t>
  </si>
  <si>
    <t>CALCULATION</t>
  </si>
  <si>
    <t>PROVIDED BY BIOLOGY</t>
  </si>
  <si>
    <t>Biology Taught by Others (OTH)</t>
  </si>
  <si>
    <t>This is the credit and degree data used to calculate and distribute the academic productivity pool on the PRODUCTIVITY CALC tab. The Credits Attempted that flows to the PRODUCTIVITY CALC tab takes into account various corrections (Biology classes taught by others, Honors correction, and Pre/Pro change (Pre classes are now counted as Majors for example a Pre-Forestry students taking a Forestry class is considered a 'taught to major' or 'MJR')).</t>
  </si>
  <si>
    <t>Difference</t>
  </si>
  <si>
    <t>President's</t>
  </si>
  <si>
    <t>President's Residence O&amp;M</t>
  </si>
  <si>
    <t>Checks</t>
  </si>
  <si>
    <t>The Academic Productivity Allocation on the FINAL-DISTRIBUTED E&amp;G BUDGET tab will populate based on the data in the green tabs (Productivity Calc, Ecampus, Summer, Research, Data-Credit &amp; Degree, Weights)</t>
  </si>
  <si>
    <t xml:space="preserve">Final Adjustments are made in Step 7. Adjust to floor is a formula in the FINAL-DISTRIBUTED E&amp;G BUDGET tab is based on data in the FLOOR CALC tab. Provost's Bridge Funding &amp; VPFA Provost Adjustments are input on the FINAL-DISTRIBUTED E&amp;G BUDGET tab.  Distributed for Reserve is a formula. </t>
  </si>
  <si>
    <t>The dashboard provides options to adjust the model by choosing to adjust to the floor, choosing what floor to adjust to, adjusting the measures related to the academic productivity pools, etc. It also shows how much is being distributed at the different strategic areas in the academic productivity pool.  The items in the Dashboard are set by the Office of Budget &amp; Resource Planning. Changes to this tab will result in changes to various formulas throughout the workbook and would change the FINAL allocation number on the FINAL-DISTRIBUTED E&amp;G BUDGET tab.</t>
  </si>
  <si>
    <t>The differential tab show the Gross Differential for several years and the projected amount for the new fiscal year. The projection then has an amount held back for Financial Aid and as a reserve. The Initial Budget Column feeds to the FINAL-DISTRIBUTED E&amp;G BUDGET tab under the dedicated resources (differential).  This tab does not include Ecampus or Summer differential tuition which is included on the ECAMPUS and Summer tab.</t>
  </si>
  <si>
    <t>This tab calculates the distributions for the academic productivity pools. This uses the data from most of the green tabs (ECAMPUS, SUMMER, DATA-CREDIT &amp; DEGREE, WEIGHTS) and the DASHBOARD tab. There are several pluses that will show expanded detail of the calculations. This data will feed to the FINAL-DISTRIBUTED E&amp;G BUDGET tab under the Academic Productivity area.</t>
  </si>
  <si>
    <t>The weights used in the PRODUCTIVITY CALC tab formulas.</t>
  </si>
  <si>
    <r>
      <rPr>
        <b/>
        <sz val="11"/>
        <color theme="1"/>
        <rFont val="Calibri"/>
        <family val="2"/>
        <scheme val="minor"/>
      </rPr>
      <t xml:space="preserve">Information:  </t>
    </r>
    <r>
      <rPr>
        <sz val="11"/>
        <color theme="1"/>
        <rFont val="Calibri"/>
        <family val="2"/>
        <scheme val="minor"/>
      </rPr>
      <t xml:space="preserve">The items in the Dashboard tab are set by the Office of Budget &amp; Resource Planning. Changes to this tab will result in changes to various formulas throughout the workbook and would adjust the allocations. </t>
    </r>
  </si>
  <si>
    <r>
      <rPr>
        <b/>
        <sz val="11"/>
        <color theme="1"/>
        <rFont val="Calibri"/>
        <family val="2"/>
        <scheme val="minor"/>
      </rPr>
      <t xml:space="preserve">Information:  </t>
    </r>
    <r>
      <rPr>
        <sz val="11"/>
        <color theme="1"/>
        <rFont val="Calibri"/>
        <family val="2"/>
        <scheme val="minor"/>
      </rPr>
      <t xml:space="preserve">The Revenue detail on this page is what funds the E&amp;G budget. These are resources allocated to the University. Some of these resources are provided by the State of Oregon. Others are revenue projections  that have not been earned such as tuition revenue that is realized once enrollment goals are met. The Total Revenue amount is distributed throughout the shared responsibility budget model process. </t>
    </r>
  </si>
  <si>
    <t>Red Boxes are Check Sum or Error Boxes. Used by the Office of Budget &amp; Resource Planning</t>
  </si>
  <si>
    <t>PacWave Energy Test Site</t>
  </si>
  <si>
    <t>Ag Channel Habitat Study</t>
  </si>
  <si>
    <t xml:space="preserve">    Research Equipment Reserve &amp; BUC &amp; Casc</t>
  </si>
  <si>
    <t>2019 Actual</t>
  </si>
  <si>
    <t>Less 10% Undergraduate, 10% Graduate Financial Aid</t>
  </si>
  <si>
    <t>Difference from Prior Year</t>
  </si>
  <si>
    <t>FY21Targeted and Dedicated*</t>
  </si>
  <si>
    <t>IM Page</t>
  </si>
  <si>
    <t>Central university memberships</t>
  </si>
  <si>
    <t>Service &amp; Support &amp; Research Supplements</t>
  </si>
  <si>
    <t>Mid-year Rescission (-) or Adj to Base from IM (+)</t>
  </si>
  <si>
    <t>Productivity Tab</t>
  </si>
  <si>
    <t>enrollment &amp; contingency zeroed out else where</t>
  </si>
  <si>
    <t>Academic</t>
  </si>
  <si>
    <t>Check 1</t>
  </si>
  <si>
    <t>Check 2</t>
  </si>
  <si>
    <t>F&amp;A Recovery</t>
  </si>
  <si>
    <t>FY19 Actual</t>
  </si>
  <si>
    <t>From Rev Page</t>
  </si>
  <si>
    <t>FY18</t>
  </si>
  <si>
    <t>FY19</t>
  </si>
  <si>
    <t>FY17 Actual</t>
  </si>
  <si>
    <t>From Revenue Tab</t>
  </si>
  <si>
    <t>Grey Above</t>
  </si>
  <si>
    <t>TREND</t>
  </si>
  <si>
    <t>FY20</t>
  </si>
  <si>
    <t>Financial aid -10 %</t>
  </si>
  <si>
    <t>Net tuition to central -18 %</t>
  </si>
  <si>
    <t>10% After Removing Fee</t>
  </si>
  <si>
    <t>Outreach &amp; Engagement</t>
  </si>
  <si>
    <t>Check</t>
  </si>
  <si>
    <t>(Total Revenue - Fee - Financial Aid) *.2</t>
  </si>
  <si>
    <t>Remainder</t>
  </si>
  <si>
    <t>Undergrad Studies</t>
  </si>
  <si>
    <t>Acad Svcs for Student Athletes</t>
  </si>
  <si>
    <t>Undergrad Studies (OSU Go)</t>
  </si>
  <si>
    <t>FY21 Unclassified Mid-Year Raise</t>
  </si>
  <si>
    <t>FY21 Classified Mid-year Step &amp; COLA</t>
  </si>
  <si>
    <t>President's Residence O&amp;M / New Presidental Costs</t>
  </si>
  <si>
    <t>Returned Overhead Rsv (Dept Admin on $41.7 million base)</t>
  </si>
  <si>
    <t>USSE Assessments</t>
  </si>
  <si>
    <t>Returned Overhead Rsv Cascades</t>
  </si>
  <si>
    <t>Total with Sales &amp; Service Revenue</t>
  </si>
  <si>
    <t>Total with Sales &amp; Service Revenue and Budget Reserve</t>
  </si>
  <si>
    <t>Total to Unit</t>
  </si>
  <si>
    <t>Based on Incremental Adjustments to current budgets</t>
  </si>
  <si>
    <t>Research Audit Disallowance Reserve (.5% of Recovery)</t>
  </si>
  <si>
    <t>Dean Start-Ups - Sams (AGA $350K) and Kuo (PHR $200K)</t>
  </si>
  <si>
    <t>Initial Budget- 3% Held Back (Rounded to Nearest 1000)</t>
  </si>
  <si>
    <t>New buildings</t>
  </si>
  <si>
    <t>Date</t>
  </si>
  <si>
    <t>Department or Tab</t>
  </si>
  <si>
    <t>Description of Change</t>
  </si>
  <si>
    <t>Executive Offices</t>
  </si>
  <si>
    <t>EM - Annual Bonus</t>
  </si>
  <si>
    <t>BUD0500 with BEE, PRE/PRO, and Honors Correction</t>
  </si>
  <si>
    <t>Academic Year,all sites except Ecampus (including PDX) &amp; Cascades</t>
  </si>
  <si>
    <t>Credit Type: Attempted</t>
  </si>
  <si>
    <t>Degrees to Students of Color:</t>
  </si>
  <si>
    <t>Students of Colors - Degrees</t>
  </si>
  <si>
    <t>International - Degrees</t>
  </si>
  <si>
    <t>Pell - Degrees</t>
  </si>
  <si>
    <t>Students of Color</t>
  </si>
  <si>
    <t>Data Pulled:</t>
  </si>
  <si>
    <t>FY20 Actual</t>
  </si>
  <si>
    <t>2020 Actual</t>
  </si>
  <si>
    <t>* Budget Reserve</t>
  </si>
  <si>
    <t>Distance Education Fee - From Ecampus Rev Estimate (matches Step 0 in Budget Model).</t>
  </si>
  <si>
    <t>2022 Projection</t>
  </si>
  <si>
    <t>FY22 Allocation</t>
  </si>
  <si>
    <t>FY22 Unit Share</t>
  </si>
  <si>
    <t>FY22 Estimate (Trend &gt; Scaled .98175 &gt; 90% of Budget &gt; Rounded)</t>
  </si>
  <si>
    <t>FY22 Budget Allocation</t>
  </si>
  <si>
    <t>One-time Funding</t>
  </si>
  <si>
    <t>kc</t>
  </si>
  <si>
    <t>Increments to Base</t>
  </si>
  <si>
    <t>Orange is Executive Funding</t>
  </si>
  <si>
    <t>Total Initial Budget From Final Tab</t>
  </si>
  <si>
    <t>Productivity</t>
  </si>
  <si>
    <t>Tax Allocation</t>
  </si>
  <si>
    <t>Base</t>
  </si>
  <si>
    <t>Strategic, Dedicated, Other</t>
  </si>
  <si>
    <t>Base (Prior Yr Base + Adj to Base from IM)</t>
  </si>
  <si>
    <t xml:space="preserve">Initial Budget </t>
  </si>
  <si>
    <t>Service/Support Unit and Executive Office Increments (Detail)</t>
  </si>
  <si>
    <t>Provost - Pass-through (Marine Studies Initiative)</t>
  </si>
  <si>
    <t>Support &amp; Exec Detail</t>
  </si>
  <si>
    <t>Pulls from FINAL tab</t>
  </si>
  <si>
    <t>From Detail tab</t>
  </si>
  <si>
    <t>^This does not include the Executive Offices^</t>
  </si>
  <si>
    <t xml:space="preserve">Support &amp; Executive Office Allocations:  </t>
  </si>
  <si>
    <t>Overcommitted</t>
  </si>
  <si>
    <t>Dashboard set by the Office of Budget &amp; Resouce Planning.</t>
  </si>
  <si>
    <t xml:space="preserve">Input the OSU Strategic Funding &amp; Executive Funding on the FINAL-DISTRIBUTED E&amp;G BUDGET tab. Detail on the Executive Funding can be found on the SUPPORT &amp; EXEC DETAIL tab. Once the incremental detail is added, it will populate the Service Support &amp; Mgmt tab. This tab then populates the FINAL tab. </t>
  </si>
  <si>
    <t>Input the Service &amp; Support incremental budget detail on the SERVICE &amp; EXEC detail tab. Formulas will pull the data to the Service, Support, &amp; Management units on the FINAL tab. Some information such as the Strategic Dedicated Other, Productivity, and Tax allocation will pull from the FINAL-DISTRIBUTED E&amp;G BUDGET tab to the SERVICE SUPPORT &amp; MGMT tab.</t>
  </si>
  <si>
    <t>Service and Support Units allocations are based on incremental adjustments to the current budgets. The historical (current budget information) and incremental adjustments are input on this tab. Some information (The new fiscal year Strategic Dedicated, Other, Productivity, and Tax Allocation) pull from the FINAL-DISTRIBUTED E&amp;G BUDGET tab. The Balance General Resources column will feed into the FINAL-DISTRIBUTED E&amp;G BUDGET tab. Details on the incremental commitments can be found on the Support &amp; Exec detail tab.</t>
  </si>
  <si>
    <t>Displays the incremental detail for the Service Support &amp; Mgmt and Executive Offices.  This information goes to the Service Support &amp; Mgmt tab.</t>
  </si>
  <si>
    <t>x</t>
  </si>
  <si>
    <t xml:space="preserve">    Finance and Administration (&amp; Business Ctrs)</t>
  </si>
  <si>
    <t>Budget Model Rounding (Remainder)</t>
  </si>
  <si>
    <t>Check 3</t>
  </si>
  <si>
    <t>UFIO</t>
  </si>
  <si>
    <t>Returned 36,400 provided for Transporation Options for Linn-Benton Loop &amp; Philomath Connection Contracts</t>
  </si>
  <si>
    <t>FY22 Classified Mid-year Step &amp; COLA</t>
  </si>
  <si>
    <t xml:space="preserve">    Provost - MSI</t>
  </si>
  <si>
    <t>FY21</t>
  </si>
  <si>
    <t>FY22 Estimate (Trend &gt; Scaled .98175 &gt; 95% of Budget &gt; Rounded)</t>
  </si>
  <si>
    <t>FY21 Budget Model - Revised</t>
  </si>
  <si>
    <t>Base $ Unit</t>
  </si>
  <si>
    <t>Estimated Break Out</t>
  </si>
  <si>
    <t>Differential (Net)</t>
  </si>
  <si>
    <t>To Unit</t>
  </si>
  <si>
    <t>Total Ecampus</t>
  </si>
  <si>
    <t>Fees</t>
  </si>
  <si>
    <t>Differential (Gross)</t>
  </si>
  <si>
    <t>Differential Gross</t>
  </si>
  <si>
    <t>Waiver for Tuition Portion</t>
  </si>
  <si>
    <t>Waiver for Diff</t>
  </si>
  <si>
    <t>Total for 80/20 Split</t>
  </si>
  <si>
    <t>To Units (80%)</t>
  </si>
  <si>
    <t>To Units (Net Diff)</t>
  </si>
  <si>
    <t>To Central (20%)</t>
  </si>
  <si>
    <t>Waivers</t>
  </si>
  <si>
    <t>To Unit (Base &amp; Diff)</t>
  </si>
  <si>
    <t>Settle-up</t>
  </si>
  <si>
    <t xml:space="preserve">To Central </t>
  </si>
  <si>
    <t>Refunds</t>
  </si>
  <si>
    <t>Global Affairs</t>
  </si>
  <si>
    <t>Summer Settle-up should increase based on PY Actuals</t>
  </si>
  <si>
    <t>363k</t>
  </si>
  <si>
    <t>121k</t>
  </si>
  <si>
    <t>798k</t>
  </si>
  <si>
    <t>672k</t>
  </si>
  <si>
    <t>From Unit</t>
  </si>
  <si>
    <t>Delta</t>
  </si>
  <si>
    <t>Ecampus differentials</t>
  </si>
  <si>
    <t>From  Ecampus</t>
  </si>
  <si>
    <t>Benefit Increase Rollup</t>
  </si>
  <si>
    <t>Public Service</t>
  </si>
  <si>
    <t>Orbis</t>
  </si>
  <si>
    <t>Services to Students with Disabilities</t>
  </si>
  <si>
    <t>SWPS Facilities</t>
  </si>
  <si>
    <t>No Longer from State Funded (Targeted Resources)</t>
  </si>
  <si>
    <t>General Counsel</t>
  </si>
  <si>
    <t>Board of Trustees</t>
  </si>
  <si>
    <t>Audit</t>
  </si>
  <si>
    <t>Position</t>
  </si>
  <si>
    <t>EOA</t>
  </si>
  <si>
    <t>ADA accomodation costs</t>
  </si>
  <si>
    <t>1st of 3 years (about 700,000)</t>
  </si>
  <si>
    <t>Juntos Central Oregon Coordinator</t>
  </si>
  <si>
    <t>Juntos Southern Oregon Coordinator</t>
  </si>
  <si>
    <t>Faculty Staff Mentoring Program (1 FTE)</t>
  </si>
  <si>
    <t>Indigenous Student Support (EOP - 1 FTE)</t>
  </si>
  <si>
    <t>Bacc Core Director</t>
  </si>
  <si>
    <t>Peer Support Coordinator, CTL</t>
  </si>
  <si>
    <t>Budget from Ecampus for Proctorio</t>
  </si>
  <si>
    <t>Software Increase Increment</t>
  </si>
  <si>
    <t>Proctorio</t>
  </si>
  <si>
    <t>HMSC IT position to UIT</t>
  </si>
  <si>
    <t>HMSC IT Staff (from Research)</t>
  </si>
  <si>
    <t>Contract Officer</t>
  </si>
  <si>
    <t>Managing Grant Accountant</t>
  </si>
  <si>
    <t>Annual Garbage Increase</t>
  </si>
  <si>
    <t>Controller's Unit</t>
  </si>
  <si>
    <t>Human Resources</t>
  </si>
  <si>
    <t>Labor Relations Position</t>
  </si>
  <si>
    <t>Reclass Assoc Dir Benefits to Director of Benefits</t>
  </si>
  <si>
    <t>Project Portfolio Mgmt Office</t>
  </si>
  <si>
    <t>Business Analyst</t>
  </si>
  <si>
    <t>Project Manager</t>
  </si>
  <si>
    <t>Insurance &amp; Risk Mgmt Services</t>
  </si>
  <si>
    <t>Risk Consultant Position</t>
  </si>
  <si>
    <t>RMIS - YR1. 2=58,400 and $58,400 ongoing after year 2</t>
  </si>
  <si>
    <t>Utilities - Water/Sewer</t>
  </si>
  <si>
    <t>Utilities - Transportation Maintenance Fee</t>
  </si>
  <si>
    <t>Custodial</t>
  </si>
  <si>
    <t>AiM Software</t>
  </si>
  <si>
    <t>AutoCAD</t>
  </si>
  <si>
    <t>Space Management Software</t>
  </si>
  <si>
    <t>Linn-Benton Loop Service</t>
  </si>
  <si>
    <t>Campus Operations Center</t>
  </si>
  <si>
    <t>Shops Demo (additional months)</t>
  </si>
  <si>
    <t>Certification for PM, Software, Space/Equipment/Hosting Charges</t>
  </si>
  <si>
    <t>Accumulated adjustment for new program materials</t>
  </si>
  <si>
    <t>S&amp;S</t>
  </si>
  <si>
    <t>HMSC IT Staff (to replace fees)</t>
  </si>
  <si>
    <t>Childcare Subsidy to Student Affairs (hold in IM for now)</t>
  </si>
  <si>
    <t>Distributed for Reserve</t>
  </si>
  <si>
    <t>Unclassified Salary Increase Reserve</t>
  </si>
  <si>
    <t>Leave/Benfit Cost Reserve</t>
  </si>
  <si>
    <t>Childcare contract subsidy</t>
  </si>
  <si>
    <t xml:space="preserve">    Global Affairs </t>
  </si>
  <si>
    <t>Adjustments</t>
  </si>
  <si>
    <t>Other Academic Productivity</t>
  </si>
  <si>
    <t>Ecampus &amp; Summer</t>
  </si>
  <si>
    <t>Support and Admin</t>
  </si>
  <si>
    <t>Pools, Reserves, Strategic, Executive Funding</t>
  </si>
  <si>
    <t>Net Dedicated Purpose Funds</t>
  </si>
  <si>
    <t>*Rounding Difference</t>
  </si>
  <si>
    <t>Change log starting May 25th for FINAL Budget Model</t>
  </si>
  <si>
    <t xml:space="preserve">Update Business </t>
  </si>
  <si>
    <t>Update Engineering</t>
  </si>
  <si>
    <t>FINAL</t>
  </si>
  <si>
    <t>Revenue</t>
  </si>
  <si>
    <t>Update fees, sales &amp; service to match units estimates</t>
  </si>
  <si>
    <t>Update various Fees, Sales &amp; Services/ROH estimates</t>
  </si>
  <si>
    <t>Permanent budget Change from DFA to UIT</t>
  </si>
  <si>
    <t>Jaggaer contract to UIT</t>
  </si>
  <si>
    <t>Ellucian eInvoice &amp; eProcurement Svcs to UIT</t>
  </si>
  <si>
    <t>From DFA to UIT: Jaggaer contract</t>
  </si>
  <si>
    <t>From DFA to UIT: Ellucian eInvoice &amp; eProcurement Svcs</t>
  </si>
  <si>
    <t>Add the preliminary budget model information</t>
  </si>
  <si>
    <t>Increase F&amp;A by $200K for uninsured risk pool</t>
  </si>
  <si>
    <t>Budget $200k in IM for uninsured risk pool</t>
  </si>
  <si>
    <t>F&amp;A Uninsured Risk Pool</t>
  </si>
  <si>
    <t xml:space="preserve">Adjusted 'Check' Formula to include the uninsured risk pool </t>
  </si>
  <si>
    <t>Suppot &amp; Exec Detail</t>
  </si>
  <si>
    <t>Combine Facilities, Capital Planning, and Energy Operations to one line (UFIO)</t>
  </si>
  <si>
    <t>University Facilities, Infastructure, and Operations</t>
  </si>
  <si>
    <t>Updated the FINAL 2021 differential amounts and updated the FY22 estimates (also emailed departments for confirmation/review)</t>
  </si>
  <si>
    <t>Updated PHHS differential to Tom Fenske's estimate.</t>
  </si>
  <si>
    <t>Update the FINAL 2021 ecampus amounts</t>
  </si>
  <si>
    <t>FY21 Actual</t>
  </si>
  <si>
    <t>Update COF differential to Sunny Rong's estimate.</t>
  </si>
  <si>
    <t>Update Honors differential to Toni Doolen's estimate.</t>
  </si>
  <si>
    <t>Revenue Detail</t>
  </si>
  <si>
    <t>Update Endowment Match to match FY20 Budget Model</t>
  </si>
  <si>
    <t>Update Revenu based on Sherm's June update emailed 6/29/21</t>
  </si>
  <si>
    <t>S&amp;S to DUE</t>
  </si>
  <si>
    <t>S&amp;S from Faculty Affairs</t>
  </si>
  <si>
    <t>Salary from Faculty Affairs</t>
  </si>
  <si>
    <t>Salary &amp; OPE to DUE</t>
  </si>
  <si>
    <t>Increase DUE S&amp;S budget by 7k</t>
  </si>
  <si>
    <t>Move $10k for S&amp;S from Faculty Affairs to DUE</t>
  </si>
  <si>
    <t>Move $79,720k for Salary/OPE from Faculty Affairs to DUE</t>
  </si>
  <si>
    <t>Adjusted Ecampus reduction for Proctorio was $137k now 57k</t>
  </si>
  <si>
    <t>Reduced Proctorio move to IS from $137k now 57k</t>
  </si>
  <si>
    <t xml:space="preserve">Cooperative Institute for Marine Resources Studies in augmentation of sampling along the Newport Hydrographic Line; </t>
  </si>
  <si>
    <t>Clark Meat Center Upgrades</t>
  </si>
  <si>
    <t>Avian Study</t>
  </si>
  <si>
    <t>Updated formulas for State Funding under dedicated resources</t>
  </si>
  <si>
    <t>Update Vet Med differential per Leroy Fenn</t>
  </si>
  <si>
    <t>Reduced UFIO custodial budget by $171,300. New total $328,400 (was $499,700)</t>
  </si>
  <si>
    <t>Data Pulled: 7/15/2021</t>
  </si>
  <si>
    <t>Data Pulled: 7/16/2021</t>
  </si>
  <si>
    <t>Update degree awarded data</t>
  </si>
  <si>
    <t>Updated credit data</t>
  </si>
  <si>
    <t>Update degree awarded data: international</t>
  </si>
  <si>
    <t>Update degree awarded data: students of color</t>
  </si>
  <si>
    <t>Update degree awarded data: pell</t>
  </si>
  <si>
    <t>Update minors awarded data</t>
  </si>
  <si>
    <t>Also added Jans estimates and added new ones to dedicated resources on FINAL tab</t>
  </si>
  <si>
    <t>Add Graduate Student Hardship Fund</t>
  </si>
  <si>
    <t>Graduate Student Hardship Fund</t>
  </si>
  <si>
    <t>Increased 162,000 for HSMC IT Staff to $240,000</t>
  </si>
  <si>
    <t>Removed 98,000 addition to UIT (from RO for HSMC IT Staff)</t>
  </si>
  <si>
    <t>Removed 98,000 reduction from RO (to UIT for HSMC Staff)</t>
  </si>
  <si>
    <t>Update PHR estimate to unit estimate $40,000 (was using Budget Office estimate of $60,000)</t>
  </si>
  <si>
    <t>Update Ecampus estimates based on Ecampus revised estimate emailed to the Budget Office 6/29/21</t>
  </si>
  <si>
    <t>Update the Ecampus settle-up reserve. Held $3M for Withdrawals, Ecampus revised estimate is $5,745,192</t>
  </si>
  <si>
    <t>Contingency - Unclassified</t>
  </si>
  <si>
    <t>Raise Rollup  - Block Funding Provided to bring to CSL</t>
  </si>
  <si>
    <t>Benefit Increase Rollup - Block Funding Provided to bring to CSL</t>
  </si>
  <si>
    <t>Current Service Level (CSL)</t>
  </si>
  <si>
    <t>Chief HR Officer Raise &amp; OPE</t>
  </si>
  <si>
    <t>nd&amp;kc</t>
  </si>
  <si>
    <t>Asst or Associate General Counsel - New</t>
  </si>
  <si>
    <t>Associate General Counsel Raise &amp; OPE</t>
  </si>
  <si>
    <t>Add Associate General Counsel Raise &amp; OPE</t>
  </si>
  <si>
    <t>Add HR director Raise &amp; OPE</t>
  </si>
  <si>
    <t>Increase Insurance from $1.5M to $1.6M (incremental increase)</t>
  </si>
  <si>
    <t>Add Revenue for Wildfire Risk Map</t>
  </si>
  <si>
    <t>Ecampus Estimate Difference From Units Less Remainder</t>
  </si>
  <si>
    <t>Add degrees awarded - interdisciplinary degrees</t>
  </si>
  <si>
    <t>Update 2021 to actual not estimate</t>
  </si>
  <si>
    <t>2021 Data Pulled 7/27/2021 for Actual</t>
  </si>
  <si>
    <t>2021 Actual</t>
  </si>
  <si>
    <t>Distributed to Academic Units Less Differential &amp; ROH Settleup (including Cascades ROH)</t>
  </si>
  <si>
    <t>Updated Wildfire Risk Map estimate</t>
  </si>
  <si>
    <t>Targeted Funding for Wildfire Risk Map - pulls to RO C/I</t>
  </si>
  <si>
    <t>Estimated Biology correct based on this years credits and last years % split</t>
  </si>
  <si>
    <t>Per Sherm Bloomer Decrease Reserve by $4M</t>
  </si>
  <si>
    <t>Move Grad Hardship Fund from College Reserves to Strategic</t>
  </si>
  <si>
    <t>Move Grad Hardship Fund &amp; Unclassified raises in IM</t>
  </si>
  <si>
    <t>Wildfire Risk Map-INR</t>
  </si>
  <si>
    <t>Wildfire Risk Map-FOR</t>
  </si>
  <si>
    <t>Add Forestry portion of the wildfire risk funding</t>
  </si>
  <si>
    <t xml:space="preserve">Update the off the top calc to match the total on the IM page. </t>
  </si>
  <si>
    <t>*not hardcoded. Need to manually add and update notes.</t>
  </si>
  <si>
    <t>CMLC Year 4 of 5</t>
  </si>
  <si>
    <t>Adjustments to IM per Cindy, Nicci, and Sherm</t>
  </si>
  <si>
    <t>Adjustment to Ecampus reserve (total = $4M)</t>
  </si>
  <si>
    <t>Adjustment to waivers</t>
  </si>
  <si>
    <t>Move SWPS to state funding area</t>
  </si>
  <si>
    <t>Research Way, Magruder, FSC, Cascade West, Campus Ops, Gilkey?</t>
  </si>
  <si>
    <t>Clean up IM</t>
  </si>
  <si>
    <t>Grad Hardship Fund</t>
  </si>
  <si>
    <t>Update State Program Funding estimates based on Jan Lewis update</t>
  </si>
  <si>
    <t>Engineering - ETSF</t>
  </si>
  <si>
    <t>Salary Pool Off Top</t>
  </si>
  <si>
    <t>Adjust the off-top calculation to split out Salary &amp; Benefit Raise Pools</t>
  </si>
  <si>
    <t>Add 500k for Liberal Arts &amp; Science - Provost Adj</t>
  </si>
  <si>
    <t>Move the IM $4.3M Distributed for Resv to Contingency in IM</t>
  </si>
  <si>
    <t>FY22 FINAL BUDGET MODEL</t>
  </si>
  <si>
    <t>CHANGE SUMMARY</t>
  </si>
  <si>
    <t>FY22 PRELIMINARY BUDGET MODEL</t>
  </si>
  <si>
    <t>FY21 FINAL BUDGET MODEL</t>
  </si>
  <si>
    <t>FY21 Total Initial Budget</t>
  </si>
  <si>
    <t>FY22 Prelim Budget</t>
  </si>
  <si>
    <t>FY22 Total FINAL Budget</t>
  </si>
  <si>
    <t>Total Difference</t>
  </si>
  <si>
    <t>Change Summary</t>
  </si>
  <si>
    <t>Update Change Summary</t>
  </si>
  <si>
    <t>Updated FY21 initial budget - AASA, SJEI, WLBO move from Faculty Affairs ($346,951) to F&amp;A (HR) $346,951</t>
  </si>
  <si>
    <t>Academic Affairs</t>
  </si>
  <si>
    <t>University Information &amp; Technology</t>
  </si>
  <si>
    <t xml:space="preserve">    Extension &amp; Engagement</t>
  </si>
  <si>
    <t>Updated FY21 initial budget - AASA, SJEI, WLBO move from Faculty Affairs ($346,951) to F&amp;A (HR) $346,952</t>
  </si>
  <si>
    <t>Correct Unit Titles for UIT, Extension &amp; Engagement, Academic Affairs</t>
  </si>
  <si>
    <t>BEGIN TRACKING TECHNICAL CHANGES</t>
  </si>
  <si>
    <t>Zero out 7.4% tax rate</t>
  </si>
  <si>
    <t>Data - Credit &amp; Degree</t>
  </si>
  <si>
    <t>Zero out degrees for ALS, Overseas Study</t>
  </si>
  <si>
    <t>Zero out credits for Defense Education, ALS, and Overseas Study</t>
  </si>
  <si>
    <t>Admin</t>
  </si>
  <si>
    <t>Vet Med</t>
  </si>
  <si>
    <t>Zero out Admin Units</t>
  </si>
  <si>
    <t>Zero out Pharmacy</t>
  </si>
  <si>
    <t>Zero out Vet Med</t>
  </si>
  <si>
    <t>Zero out ALS</t>
  </si>
  <si>
    <t>Increase Settle-up fund $50,000 for ALS</t>
  </si>
  <si>
    <t>Floor Funding- not in use</t>
  </si>
  <si>
    <t>Remove Floor funding calculation</t>
  </si>
  <si>
    <t>Increased Distributed for Reserve percentage from .8% to 1%</t>
  </si>
  <si>
    <t>Change the academic pool percentages</t>
  </si>
  <si>
    <t>Pool</t>
  </si>
  <si>
    <t>Current %</t>
  </si>
  <si>
    <t>Change %</t>
  </si>
  <si>
    <t>UG Completions - SCH</t>
  </si>
  <si>
    <t>Grad Completions - SCH</t>
  </si>
  <si>
    <t>Grad Completions - degree</t>
  </si>
  <si>
    <t>Diff</t>
  </si>
  <si>
    <t>Strategic Mission Funding (formerly Community Support)</t>
  </si>
  <si>
    <t>OSU Limited Term Strategic Funding (formerly OSU Strategic)</t>
  </si>
  <si>
    <t>Rename Community Support to Strategic Mission Funding</t>
  </si>
  <si>
    <t>Rename OSU Strategic Funding to OSU Limited Term Strategic Funding</t>
  </si>
  <si>
    <t>Vet Med &amp; Pharmacy Block Funding Calculation</t>
  </si>
  <si>
    <t>Zero out raise pools</t>
  </si>
  <si>
    <t>Zero out Grad Fee Remissions</t>
  </si>
  <si>
    <t>Zero out Intnl Assistant Visa fees</t>
  </si>
  <si>
    <t>Zero out PhD candidacy funds</t>
  </si>
  <si>
    <t>Responsibility shifts to units for planning to fund these out of allocated initial budget.</t>
  </si>
  <si>
    <t>Unit now responsible</t>
  </si>
  <si>
    <t>Move the IM fundsin Central Pools and Reserves to the dedicated funds section</t>
  </si>
  <si>
    <t xml:space="preserve">under capital renewal - this moves them to the "off the top" section. </t>
  </si>
  <si>
    <t>Zero out Ecampus out of Dedicated Funds - Moving to Management &amp; Support Operations</t>
  </si>
  <si>
    <t>FY22 Technical Change</t>
  </si>
  <si>
    <t>Add Ecampus</t>
  </si>
  <si>
    <t>Add Ecampus FY22 Technical Change</t>
  </si>
  <si>
    <t>VER21</t>
  </si>
  <si>
    <t>Change version to 21</t>
  </si>
  <si>
    <t>Add Ecampus to Academic Support Operations</t>
  </si>
  <si>
    <t>Zero out Pharmacy &amp; Vet Med credits</t>
  </si>
  <si>
    <t>Zero out Pharmacy &amp; Vet Med degrees</t>
  </si>
  <si>
    <t>Add FINAL Budget Model #'s before technical changes for comparison purposes</t>
  </si>
  <si>
    <t>Zero out Enrollment projection reserve and contingency funding. These were moved off the top.</t>
  </si>
  <si>
    <t>Decrease Community Support from $23,193,422 to $21,738,322 (1,455,100)</t>
  </si>
  <si>
    <t>FY22 Technical Changes</t>
  </si>
  <si>
    <t>Add FY22 Technical Changes - increase</t>
  </si>
  <si>
    <t>Increase Strategic Mission Funding (formerly Community Support)</t>
  </si>
  <si>
    <t>$40,000 to Education for FY22 Technical</t>
  </si>
  <si>
    <t>$30,000 to Honors for FY22 Technical</t>
  </si>
  <si>
    <t>$40,000 to Centers for FY22 Technical</t>
  </si>
  <si>
    <t>PHARMACY</t>
  </si>
  <si>
    <t>FY22</t>
  </si>
  <si>
    <t>Initial budget:</t>
  </si>
  <si>
    <t>Differential tuition</t>
  </si>
  <si>
    <t>Productivity funding less  Ecampus</t>
  </si>
  <si>
    <t>Community Support</t>
  </si>
  <si>
    <t>Total Initial budget:</t>
  </si>
  <si>
    <t>Estimated "other budget resources"</t>
  </si>
  <si>
    <t>Revenue adjustment to actuals</t>
  </si>
  <si>
    <t>Total resources</t>
  </si>
  <si>
    <t>CURRENT</t>
  </si>
  <si>
    <t>Overhead</t>
  </si>
  <si>
    <t>OSU Strategic Funding</t>
  </si>
  <si>
    <t>Provost Bridget Funding</t>
  </si>
  <si>
    <t>VPFA, Provost Adjustments</t>
  </si>
  <si>
    <t>Assume other budget resources costs (mid-year salary increases, grad health insurance)</t>
  </si>
  <si>
    <t>Assume cost of institutional scholarships/tuition discounts (5% placeholder)</t>
  </si>
  <si>
    <t>Likely some charge/contribution to library costs</t>
  </si>
  <si>
    <t>Revision</t>
  </si>
  <si>
    <t>Sales, Fees</t>
  </si>
  <si>
    <t>Fees, Sales</t>
  </si>
  <si>
    <t>Central OHSU Ops &amp; Debt</t>
  </si>
  <si>
    <t>10% to Overhead costs</t>
  </si>
  <si>
    <t>Total Resources</t>
  </si>
  <si>
    <t>VET MDED</t>
  </si>
  <si>
    <t>Vet Med &amp; Pharm</t>
  </si>
  <si>
    <t>Create a Vet Med &amp; Pharm block funding tab</t>
  </si>
  <si>
    <t>Add FY22 FINAL/Current Amounts</t>
  </si>
  <si>
    <t>Add estimated 'other budget resources' - sherm calculations</t>
  </si>
  <si>
    <t>Create revised FY22 columns</t>
  </si>
  <si>
    <t>State VDL</t>
  </si>
  <si>
    <t>Strategic mission Support</t>
  </si>
  <si>
    <t>Target Budget</t>
  </si>
  <si>
    <t>Final Adjustments</t>
  </si>
  <si>
    <t>Gross Resident Tuition</t>
  </si>
  <si>
    <t>Gross Non-Resident Tuition</t>
  </si>
  <si>
    <t>Winter Term 4th Week Estimate</t>
  </si>
  <si>
    <t>Vet Med &amp; Pharmacy Block Funding</t>
  </si>
  <si>
    <t>Zero out 'No Longer from State Funded (Targeted Resources)' for Vet Med &amp; Pharmacy.</t>
  </si>
  <si>
    <t>Now part of block funding</t>
  </si>
  <si>
    <t>Zero out differential for Vet Med &amp; Pharmacy</t>
  </si>
  <si>
    <t>Zero out Pharmacy Community Support</t>
  </si>
  <si>
    <t>Pulls from another tab</t>
  </si>
  <si>
    <t>Reduce Community Support for Vet Med by $58,500.</t>
  </si>
  <si>
    <t>Add floor funding for PHHS to VPFA/Provost Adjustment - Prior FINAL amount of $2,161,000</t>
  </si>
  <si>
    <t>FY22 Technical Changes (not included on Admin Tab)</t>
  </si>
  <si>
    <t>Costs of Proctorio Moved to UIT</t>
  </si>
  <si>
    <t>FY22 for Highest Need</t>
  </si>
  <si>
    <t>Zero out Defense Education Minors</t>
  </si>
  <si>
    <t>Made a Vet Med &amp; Pharmacy Block Funding column.</t>
  </si>
  <si>
    <t>This column is the difference of the amounts on the block funding tab and what is already shown on the FINAL tab.</t>
  </si>
  <si>
    <t xml:space="preserve">Add the FY22 Technical Fix column on the FINAL tab. Adjustments should match the FY22 SRBM Technical Change Guide. </t>
  </si>
  <si>
    <t>*Take off the top (less Salary Pool)</t>
  </si>
  <si>
    <t>Adjust the IM Check formulas for off the top calculations</t>
  </si>
  <si>
    <t>OK - kc</t>
  </si>
  <si>
    <t>FY22 Technical Fix BUDGET MODEL</t>
  </si>
  <si>
    <t>FY22 Technical Fix BUDGET MODEL LESS FY22 PRELIM BUDGET MODEL</t>
  </si>
  <si>
    <t>FY22 Technical Fix BUDGET MODEL LESS FY21 FINAL BUDGET MODEL</t>
  </si>
  <si>
    <t>OK -Zero out - moved off the top</t>
  </si>
  <si>
    <t>Tuition for Pharmacy &amp; Vet Med are on the Blockfunding tab.</t>
  </si>
  <si>
    <t>Currently zeroed out on the FINAL tab.</t>
  </si>
  <si>
    <t>Estimated</t>
  </si>
  <si>
    <t>Target State Funding</t>
  </si>
  <si>
    <t>FY22 with Budget Model Adjustments</t>
  </si>
  <si>
    <t>7.4% restore</t>
  </si>
  <si>
    <t>Productivity Remove Support units</t>
  </si>
  <si>
    <t>Eliminate floor funding replace as bridge funding</t>
  </si>
  <si>
    <t xml:space="preserve">True up for adjustments </t>
  </si>
  <si>
    <t>Target FY22 Budget before CN, Telecom change</t>
  </si>
  <si>
    <t>Modified FY22 SRBM</t>
  </si>
  <si>
    <t>Restore Tax Distribution</t>
  </si>
  <si>
    <t>FY22 FINAL Budget</t>
  </si>
  <si>
    <t>excluded</t>
  </si>
  <si>
    <t>No central grad health</t>
  </si>
  <si>
    <t>Budget Reerve</t>
  </si>
  <si>
    <t>Prodcutivty Pool</t>
  </si>
  <si>
    <t>Graduate Health Costs</t>
  </si>
  <si>
    <t>By Model</t>
  </si>
  <si>
    <t>Actual</t>
  </si>
  <si>
    <t>Miss</t>
  </si>
  <si>
    <t>Model to Actual</t>
  </si>
  <si>
    <t>SRBM Adjust for FY22 and FY23</t>
  </si>
  <si>
    <t>Classified Salary Increment</t>
  </si>
  <si>
    <t>Grad Health Adjustment (see TECH CHANGE - Grad Health tab)</t>
  </si>
  <si>
    <t>FY22 Technical Fix (Applied to Support &amp; Exec Detail tab)</t>
  </si>
  <si>
    <t>This adjustment is applied within the modified SRBM.</t>
  </si>
  <si>
    <t>FY22 Unclassified Increment (Full Year)</t>
  </si>
  <si>
    <t>Tech Change</t>
  </si>
  <si>
    <t>Add a technical change tab.</t>
  </si>
  <si>
    <t>This outlines how the fix amounts were calculated.</t>
  </si>
  <si>
    <t>Tech Change - Grad Health</t>
  </si>
  <si>
    <t>Add a technical change tab related to grad health.</t>
  </si>
  <si>
    <t>This outlines how the grad health amounts were calculated.</t>
  </si>
  <si>
    <t>Grad Health - FY21 distribution (estimated)</t>
  </si>
  <si>
    <t>FY22 Technical Fix (7.4% Tax + Grad Health for Academic) - Applied to FINAL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</si>
</sst>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0.0"/>
    <numFmt numFmtId="167" formatCode="_(* #,##0_);_(* \(#,##0\);_(* &quot;-&quot;??_);_(@_)"/>
    <numFmt numFmtId="168" formatCode="0.000"/>
    <numFmt numFmtId="169" formatCode="[$-10409]#,##0;\(#,##0\)"/>
    <numFmt numFmtId="170" formatCode="_(* #,##0.0000_);_(* \(#,##0.0000\);_(* &quot;-&quot;??_);_(@_)"/>
    <numFmt numFmtId="171" formatCode="_(* #,##0.000_);_(* \(#,##0.000\);_(* &quot;-&quot;??_);_(@_)"/>
  </numFmts>
  <fonts count="90" x14ac:knownFonts="1">
    <font>
      <sz val="11"/>
      <color theme="1"/>
      <name val="Calibri"/>
      <family val="2"/>
      <scheme val="minor"/>
    </font>
    <font>
      <sz val="11"/>
      <color theme="1"/>
      <name val="Calibri"/>
      <family val="2"/>
      <scheme val="minor"/>
    </font>
    <font>
      <sz val="11"/>
      <color rgb="FF3F3F76"/>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2"/>
      <color theme="1"/>
      <name val="Calibri"/>
      <family val="2"/>
      <charset val="238"/>
      <scheme val="minor"/>
    </font>
    <font>
      <sz val="12"/>
      <color rgb="FF000000"/>
      <name val="Calibri"/>
      <family val="2"/>
      <charset val="238"/>
      <scheme val="minor"/>
    </font>
    <font>
      <sz val="16"/>
      <name val="Trebuchet MS"/>
      <family val="2"/>
    </font>
    <font>
      <b/>
      <sz val="12"/>
      <name val="Trebuchet MS"/>
      <family val="2"/>
    </font>
    <font>
      <b/>
      <sz val="10"/>
      <name val="Trebuchet MS"/>
      <family val="2"/>
    </font>
    <font>
      <b/>
      <sz val="14"/>
      <name val="Trebuchet MS"/>
      <family val="2"/>
    </font>
    <font>
      <sz val="10"/>
      <name val="Trebuchet MS"/>
      <family val="2"/>
    </font>
    <font>
      <b/>
      <sz val="12"/>
      <color rgb="FFFF0000"/>
      <name val="Trebuchet MS"/>
      <family val="2"/>
    </font>
    <font>
      <sz val="10"/>
      <name val="Arial"/>
      <family val="2"/>
    </font>
    <font>
      <b/>
      <u/>
      <sz val="12"/>
      <name val="Trebuchet MS"/>
      <family val="2"/>
    </font>
    <font>
      <sz val="12"/>
      <name val="Trebuchet MS"/>
      <family val="2"/>
    </font>
    <font>
      <sz val="12"/>
      <color rgb="FFFF0000"/>
      <name val="Trebuchet MS"/>
      <family val="2"/>
    </font>
    <font>
      <sz val="12"/>
      <name val="Arial"/>
      <family val="2"/>
    </font>
    <font>
      <b/>
      <sz val="9"/>
      <color rgb="FF000000"/>
      <name val="Tahoma"/>
      <family val="2"/>
    </font>
    <font>
      <sz val="9"/>
      <color rgb="FF000000"/>
      <name val="Tahoma"/>
      <family val="2"/>
    </font>
    <font>
      <sz val="10"/>
      <color theme="1"/>
      <name val="Calibri"/>
      <family val="2"/>
      <scheme val="minor"/>
    </font>
    <font>
      <b/>
      <sz val="10"/>
      <color theme="1"/>
      <name val="Calibri"/>
      <family val="2"/>
      <scheme val="minor"/>
    </font>
    <font>
      <b/>
      <sz val="9"/>
      <color indexed="81"/>
      <name val="Tahoma"/>
      <family val="2"/>
    </font>
    <font>
      <sz val="9"/>
      <color indexed="81"/>
      <name val="Tahoma"/>
      <family val="2"/>
    </font>
    <font>
      <b/>
      <sz val="12"/>
      <name val="Arial"/>
      <family val="2"/>
    </font>
    <font>
      <sz val="12"/>
      <color theme="1"/>
      <name val="Arial"/>
      <family val="2"/>
    </font>
    <font>
      <b/>
      <sz val="11"/>
      <name val="Arial"/>
      <family val="2"/>
    </font>
    <font>
      <sz val="11"/>
      <name val="Arial"/>
      <family val="2"/>
    </font>
    <font>
      <b/>
      <sz val="10"/>
      <name val="Arial"/>
      <family val="2"/>
    </font>
    <font>
      <sz val="10"/>
      <color theme="1"/>
      <name val="Arial"/>
      <family val="2"/>
    </font>
    <font>
      <b/>
      <u/>
      <sz val="10"/>
      <name val="Arial"/>
      <family val="2"/>
    </font>
    <font>
      <b/>
      <sz val="10"/>
      <color theme="1"/>
      <name val="Arial"/>
      <family val="2"/>
    </font>
    <font>
      <sz val="10"/>
      <color rgb="FF000000"/>
      <name val="Calibri"/>
      <family val="2"/>
      <scheme val="minor"/>
    </font>
    <font>
      <sz val="10"/>
      <color theme="0"/>
      <name val="Arial"/>
      <family val="2"/>
    </font>
    <font>
      <b/>
      <sz val="10"/>
      <color rgb="FF000000"/>
      <name val="Calibri"/>
      <family val="2"/>
    </font>
    <font>
      <sz val="10"/>
      <color rgb="FF000000"/>
      <name val="Calibri"/>
      <family val="2"/>
    </font>
    <font>
      <b/>
      <u/>
      <sz val="10"/>
      <color theme="1"/>
      <name val="Arial"/>
      <family val="2"/>
    </font>
    <font>
      <sz val="9"/>
      <name val="Geneva"/>
      <family val="2"/>
    </font>
    <font>
      <sz val="9"/>
      <name val="Trebuchet MS"/>
      <family val="2"/>
    </font>
    <font>
      <sz val="12"/>
      <color rgb="FF000000"/>
      <name val="Calibri"/>
      <family val="2"/>
      <scheme val="minor"/>
    </font>
    <font>
      <sz val="10"/>
      <color rgb="FF000000"/>
      <name val="Arial"/>
      <family val="2"/>
    </font>
    <font>
      <sz val="11"/>
      <color rgb="FF006100"/>
      <name val="Calibri"/>
      <family val="2"/>
      <scheme val="minor"/>
    </font>
    <font>
      <sz val="11"/>
      <color rgb="FF9C0006"/>
      <name val="Calibri"/>
      <family val="2"/>
      <scheme val="minor"/>
    </font>
    <font>
      <b/>
      <sz val="11"/>
      <color rgb="FFFA7D00"/>
      <name val="Calibri"/>
      <family val="2"/>
      <scheme val="minor"/>
    </font>
    <font>
      <sz val="10"/>
      <color rgb="FFFF0000"/>
      <name val="Arial"/>
      <family val="2"/>
    </font>
    <font>
      <b/>
      <sz val="10"/>
      <color indexed="8"/>
      <name val="Trebuchet MS"/>
      <family val="2"/>
    </font>
    <font>
      <b/>
      <sz val="10"/>
      <color indexed="8"/>
      <name val="Arial"/>
      <family val="2"/>
    </font>
    <font>
      <sz val="10"/>
      <name val="Calibri"/>
      <family val="2"/>
      <scheme val="minor"/>
    </font>
    <font>
      <b/>
      <sz val="10"/>
      <color rgb="FF000000"/>
      <name val="Calibri"/>
      <family val="2"/>
      <scheme val="minor"/>
    </font>
    <font>
      <sz val="9"/>
      <color rgb="FFFF0000"/>
      <name val="Trebuchet MS"/>
      <family val="2"/>
    </font>
    <font>
      <i/>
      <sz val="12"/>
      <color theme="1"/>
      <name val="Calibri"/>
      <family val="2"/>
      <scheme val="minor"/>
    </font>
    <font>
      <i/>
      <sz val="10"/>
      <color rgb="FF000000"/>
      <name val="Calibri"/>
      <family val="2"/>
      <scheme val="minor"/>
    </font>
    <font>
      <sz val="10"/>
      <color theme="1"/>
      <name val="Trebuchet MS"/>
      <family val="2"/>
    </font>
    <font>
      <b/>
      <sz val="8"/>
      <color rgb="FF000000"/>
      <name val="Tahoma"/>
      <family val="2"/>
    </font>
    <font>
      <sz val="8"/>
      <color rgb="FF000000"/>
      <name val="Tahoma"/>
      <family val="2"/>
    </font>
    <font>
      <b/>
      <i/>
      <sz val="10"/>
      <color theme="1"/>
      <name val="Arial"/>
      <family val="2"/>
    </font>
    <font>
      <i/>
      <sz val="10"/>
      <name val="Arial"/>
      <family val="2"/>
    </font>
    <font>
      <sz val="11"/>
      <name val="Calibri"/>
      <family val="2"/>
      <scheme val="minor"/>
    </font>
    <font>
      <b/>
      <sz val="12"/>
      <name val="Calibri"/>
      <family val="2"/>
      <scheme val="minor"/>
    </font>
    <font>
      <i/>
      <sz val="10"/>
      <color theme="1"/>
      <name val="Calibri"/>
      <family val="2"/>
      <scheme val="minor"/>
    </font>
    <font>
      <b/>
      <i/>
      <sz val="10"/>
      <color theme="1"/>
      <name val="Calibri"/>
      <family val="2"/>
      <scheme val="minor"/>
    </font>
    <font>
      <sz val="11"/>
      <color theme="1"/>
      <name val="Calibri"/>
      <family val="2"/>
    </font>
    <font>
      <sz val="11"/>
      <color rgb="FF7030A0"/>
      <name val="Calibri"/>
      <family val="2"/>
    </font>
    <font>
      <b/>
      <sz val="11"/>
      <color theme="1"/>
      <name val="Calibri"/>
      <family val="2"/>
    </font>
    <font>
      <sz val="12"/>
      <color theme="1"/>
      <name val="Calibri"/>
      <family val="2"/>
      <scheme val="minor"/>
    </font>
    <font>
      <b/>
      <sz val="16"/>
      <color theme="1"/>
      <name val="Calibri"/>
      <family val="2"/>
      <scheme val="minor"/>
    </font>
    <font>
      <sz val="11"/>
      <color indexed="8"/>
      <name val="Calibri"/>
      <family val="2"/>
      <scheme val="minor"/>
    </font>
    <font>
      <i/>
      <sz val="10"/>
      <color rgb="FFFF0000"/>
      <name val="Arial"/>
      <family val="2"/>
    </font>
    <font>
      <i/>
      <sz val="12"/>
      <color rgb="FFFF0000"/>
      <name val="Calibri"/>
      <family val="2"/>
      <scheme val="minor"/>
    </font>
    <font>
      <b/>
      <i/>
      <sz val="11"/>
      <color rgb="FFFF0000"/>
      <name val="Calibri"/>
      <family val="2"/>
      <scheme val="minor"/>
    </font>
    <font>
      <b/>
      <sz val="12"/>
      <color theme="1"/>
      <name val="Calibri"/>
      <family val="2"/>
      <scheme val="minor"/>
    </font>
    <font>
      <b/>
      <sz val="12"/>
      <color theme="1"/>
      <name val="Arial"/>
      <family val="2"/>
    </font>
    <font>
      <sz val="11"/>
      <color rgb="FF9C6500"/>
      <name val="Calibri"/>
      <family val="2"/>
      <scheme val="minor"/>
    </font>
    <font>
      <sz val="16"/>
      <color theme="1"/>
      <name val="Trebuchet MS"/>
      <family val="2"/>
    </font>
    <font>
      <b/>
      <sz val="16"/>
      <name val="Trebuchet MS"/>
      <family val="2"/>
    </font>
    <font>
      <b/>
      <sz val="12"/>
      <color rgb="FFFF0000"/>
      <name val="Calibri"/>
      <family val="2"/>
      <charset val="238"/>
      <scheme val="minor"/>
    </font>
    <font>
      <sz val="11"/>
      <name val="Calibri"/>
      <family val="2"/>
    </font>
    <font>
      <i/>
      <sz val="11"/>
      <color theme="1"/>
      <name val="Calibri"/>
      <family val="2"/>
      <scheme val="minor"/>
    </font>
    <font>
      <b/>
      <sz val="10"/>
      <color theme="1"/>
      <name val="Trebuchet MS"/>
      <family val="2"/>
    </font>
    <font>
      <u/>
      <sz val="9"/>
      <color rgb="FF000000"/>
      <name val="Tahoma"/>
      <family val="2"/>
    </font>
    <font>
      <b/>
      <sz val="11"/>
      <color rgb="FF006100"/>
      <name val="Calibri"/>
      <family val="2"/>
      <scheme val="minor"/>
    </font>
    <font>
      <sz val="10"/>
      <color rgb="FFFF0000"/>
      <name val="Calibri"/>
      <family val="2"/>
      <scheme val="minor"/>
    </font>
    <font>
      <sz val="11"/>
      <color rgb="FF000000"/>
      <name val="Calibri"/>
      <family val="2"/>
    </font>
    <font>
      <sz val="11"/>
      <color theme="0"/>
      <name val="Calibri"/>
      <family val="2"/>
      <scheme val="minor"/>
    </font>
    <font>
      <sz val="11"/>
      <color rgb="FF7030A0"/>
      <name val="Calibri"/>
      <family val="2"/>
      <scheme val="minor"/>
    </font>
    <font>
      <sz val="11"/>
      <color theme="1"/>
      <name val="Arial"/>
      <family val="2"/>
    </font>
    <font>
      <sz val="12"/>
      <color rgb="FF006100"/>
      <name val="Calibri"/>
      <family val="2"/>
      <scheme val="minor"/>
    </font>
    <font>
      <b/>
      <sz val="11"/>
      <color theme="1"/>
      <name val="Arial"/>
      <family val="2"/>
    </font>
    <font>
      <i/>
      <sz val="11"/>
      <name val="Calibri"/>
      <family val="2"/>
      <scheme val="minor"/>
    </font>
  </fonts>
  <fills count="50">
    <fill>
      <patternFill patternType="none"/>
    </fill>
    <fill>
      <patternFill patternType="gray125"/>
    </fill>
    <fill>
      <patternFill patternType="solid">
        <fgColor rgb="FFFFCC99"/>
      </patternFill>
    </fill>
    <fill>
      <patternFill patternType="solid">
        <fgColor theme="0" tint="-0.149998474074526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indexed="43"/>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6600"/>
        <bgColor indexed="64"/>
      </patternFill>
    </fill>
    <fill>
      <patternFill patternType="solid">
        <fgColor indexed="22"/>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rgb="FFC0C0C0"/>
        <bgColor rgb="FF000000"/>
      </patternFill>
    </fill>
    <fill>
      <patternFill patternType="solid">
        <fgColor rgb="FFFFFF00"/>
        <bgColor rgb="FF000000"/>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C6EFCE"/>
      </patternFill>
    </fill>
    <fill>
      <patternFill patternType="solid">
        <fgColor rgb="FFFFC7CE"/>
      </patternFill>
    </fill>
    <fill>
      <patternFill patternType="solid">
        <fgColor rgb="FFF2F2F2"/>
      </patternFill>
    </fill>
    <fill>
      <patternFill patternType="solid">
        <fgColor theme="4" tint="0.39997558519241921"/>
        <bgColor indexed="64"/>
      </patternFill>
    </fill>
    <fill>
      <patternFill patternType="solid">
        <fgColor theme="7" tint="0.39997558519241921"/>
        <bgColor indexed="64"/>
      </patternFill>
    </fill>
    <fill>
      <patternFill patternType="solid">
        <fgColor rgb="FFD9D9D9"/>
        <bgColor rgb="FF000000"/>
      </patternFill>
    </fill>
    <fill>
      <patternFill patternType="solid">
        <fgColor theme="5"/>
        <bgColor indexed="64"/>
      </patternFill>
    </fill>
    <fill>
      <patternFill patternType="solid">
        <fgColor theme="4"/>
        <bgColor indexed="64"/>
      </patternFill>
    </fill>
    <fill>
      <patternFill patternType="solid">
        <fgColor theme="0" tint="-0.499984740745262"/>
        <bgColor indexed="64"/>
      </patternFill>
    </fill>
    <fill>
      <patternFill patternType="solid">
        <fgColor rgb="FFFFEB9C"/>
      </patternFill>
    </fill>
    <fill>
      <patternFill patternType="solid">
        <fgColor theme="5"/>
        <bgColor rgb="FF000000"/>
      </patternFill>
    </fill>
    <fill>
      <patternFill patternType="solid">
        <fgColor rgb="FFFFFFCC"/>
      </patternFill>
    </fill>
    <fill>
      <patternFill patternType="solid">
        <fgColor theme="2" tint="-0.249977111117893"/>
        <bgColor indexed="64"/>
      </patternFill>
    </fill>
    <fill>
      <patternFill patternType="solid">
        <fgColor rgb="FFBFBFBF"/>
        <bgColor rgb="FF000000"/>
      </patternFill>
    </fill>
    <fill>
      <patternFill patternType="solid">
        <fgColor theme="5" tint="0.59999389629810485"/>
        <bgColor indexed="65"/>
      </patternFill>
    </fill>
    <fill>
      <patternFill patternType="lightUp">
        <bgColor theme="5" tint="0.79998168889431442"/>
      </patternFill>
    </fill>
    <fill>
      <patternFill patternType="lightUp">
        <bgColor theme="5" tint="0.59999389629810485"/>
      </patternFill>
    </fill>
    <fill>
      <patternFill patternType="lightUp">
        <bgColor theme="5" tint="0.39997558519241921"/>
      </patternFill>
    </fill>
    <fill>
      <patternFill patternType="lightUp">
        <bgColor theme="1"/>
      </patternFill>
    </fill>
    <fill>
      <patternFill patternType="lightUp"/>
    </fill>
    <fill>
      <patternFill patternType="lightUp">
        <bgColor indexed="22"/>
      </patternFill>
    </fill>
    <fill>
      <patternFill patternType="lightUp">
        <bgColor rgb="FFC6EFCE"/>
      </patternFill>
    </fill>
    <fill>
      <patternFill patternType="solid">
        <fgColor theme="7"/>
      </patternFill>
    </fill>
  </fills>
  <borders count="57">
    <border>
      <left/>
      <right/>
      <top/>
      <bottom/>
      <diagonal/>
    </border>
    <border>
      <left style="thin">
        <color rgb="FF7F7F7F"/>
      </left>
      <right style="thin">
        <color rgb="FF7F7F7F"/>
      </right>
      <top style="thin">
        <color rgb="FF7F7F7F"/>
      </top>
      <bottom style="thin">
        <color rgb="FF7F7F7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double">
        <color auto="1"/>
      </bottom>
      <diagonal/>
    </border>
    <border>
      <left/>
      <right style="medium">
        <color auto="1"/>
      </right>
      <top style="thin">
        <color indexed="64"/>
      </top>
      <bottom style="double">
        <color indexed="64"/>
      </bottom>
      <diagonal/>
    </border>
    <border>
      <left/>
      <right style="medium">
        <color auto="1"/>
      </right>
      <top style="thin">
        <color indexed="64"/>
      </top>
      <bottom style="medium">
        <color indexed="64"/>
      </bottom>
      <diagonal/>
    </border>
    <border>
      <left/>
      <right/>
      <top/>
      <bottom style="double">
        <color auto="1"/>
      </bottom>
      <diagonal/>
    </border>
    <border>
      <left/>
      <right/>
      <top/>
      <bottom style="thin">
        <color rgb="FFD3D3D3"/>
      </bottom>
      <diagonal/>
    </border>
    <border>
      <left style="thin">
        <color rgb="FF7F7F7F"/>
      </left>
      <right style="thin">
        <color rgb="FF7F7F7F"/>
      </right>
      <top style="medium">
        <color indexed="64"/>
      </top>
      <bottom style="thin">
        <color rgb="FF7F7F7F"/>
      </bottom>
      <diagonal/>
    </border>
    <border>
      <left style="thin">
        <color rgb="FF7F7F7F"/>
      </left>
      <right style="thin">
        <color rgb="FF7F7F7F"/>
      </right>
      <top style="thin">
        <color rgb="FF7F7F7F"/>
      </top>
      <bottom style="medium">
        <color indexed="64"/>
      </bottom>
      <diagonal/>
    </border>
    <border>
      <left/>
      <right/>
      <top style="double">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thin">
        <color indexed="64"/>
      </top>
      <bottom style="double">
        <color indexed="64"/>
      </bottom>
      <diagonal/>
    </border>
    <border>
      <left/>
      <right style="thin">
        <color auto="1"/>
      </right>
      <top style="thin">
        <color indexed="64"/>
      </top>
      <bottom style="double">
        <color indexed="64"/>
      </bottom>
      <diagonal/>
    </border>
    <border>
      <left style="thin">
        <color rgb="FFB2B2B2"/>
      </left>
      <right style="thin">
        <color rgb="FFB2B2B2"/>
      </right>
      <top style="thin">
        <color rgb="FFB2B2B2"/>
      </top>
      <bottom style="thin">
        <color rgb="FFB2B2B2"/>
      </bottom>
      <diagonal/>
    </border>
  </borders>
  <cellStyleXfs count="2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43" fontId="14" fillId="0" borderId="0" applyFont="0" applyFill="0" applyBorder="0" applyAlignment="0" applyProtection="0"/>
    <xf numFmtId="0" fontId="14" fillId="0" borderId="0"/>
    <xf numFmtId="0" fontId="38" fillId="0" borderId="0"/>
    <xf numFmtId="0" fontId="42"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38" fillId="0" borderId="0"/>
    <xf numFmtId="0" fontId="1" fillId="0" borderId="0"/>
    <xf numFmtId="0" fontId="1" fillId="38" borderId="56" applyNumberFormat="0" applyFont="0" applyAlignment="0" applyProtection="0"/>
    <xf numFmtId="0" fontId="73" fillId="36" borderId="0" applyNumberFormat="0" applyBorder="0" applyAlignment="0" applyProtection="0"/>
    <xf numFmtId="0" fontId="65" fillId="0" borderId="0"/>
    <xf numFmtId="43" fontId="65" fillId="0" borderId="0" applyFont="0" applyFill="0" applyBorder="0" applyAlignment="0" applyProtection="0"/>
    <xf numFmtId="0" fontId="87" fillId="27" borderId="0" applyNumberFormat="0" applyBorder="0" applyAlignment="0" applyProtection="0"/>
    <xf numFmtId="0" fontId="1" fillId="41" borderId="0" applyNumberFormat="0" applyBorder="0" applyAlignment="0" applyProtection="0"/>
    <xf numFmtId="0" fontId="84" fillId="49" borderId="0" applyNumberFormat="0" applyBorder="0" applyAlignment="0" applyProtection="0"/>
    <xf numFmtId="9" fontId="65" fillId="0" borderId="0" applyFont="0" applyFill="0" applyBorder="0" applyAlignment="0" applyProtection="0"/>
  </cellStyleXfs>
  <cellXfs count="1282">
    <xf numFmtId="0" fontId="0" fillId="0" borderId="0" xfId="0"/>
    <xf numFmtId="0" fontId="5" fillId="0" borderId="0" xfId="0" applyFont="1" applyAlignment="1" applyProtection="1">
      <alignment vertical="center"/>
      <protection locked="0"/>
    </xf>
    <xf numFmtId="15" fontId="0" fillId="0" borderId="0" xfId="0" applyNumberFormat="1" applyFont="1" applyAlignment="1" applyProtection="1">
      <alignment horizontal="center" vertical="center"/>
      <protection locked="0"/>
    </xf>
    <xf numFmtId="15" fontId="0" fillId="0" borderId="0" xfId="0" applyNumberFormat="1" applyFont="1" applyProtection="1">
      <protection locked="0"/>
    </xf>
    <xf numFmtId="0" fontId="6" fillId="0" borderId="0" xfId="0" applyFont="1" applyProtection="1">
      <protection locked="0"/>
    </xf>
    <xf numFmtId="0" fontId="2" fillId="2" borderId="1" xfId="4" applyAlignment="1" applyProtection="1">
      <alignment horizontal="center" vertical="center"/>
      <protection locked="0"/>
    </xf>
    <xf numFmtId="0" fontId="0" fillId="0" borderId="8" xfId="0" applyFont="1" applyBorder="1" applyProtection="1">
      <protection locked="0"/>
    </xf>
    <xf numFmtId="0" fontId="0" fillId="0" borderId="11" xfId="0" applyFont="1" applyBorder="1" applyProtection="1">
      <protection locked="0"/>
    </xf>
    <xf numFmtId="0" fontId="0" fillId="0" borderId="11" xfId="0" applyFont="1" applyFill="1" applyBorder="1" applyProtection="1">
      <protection locked="0"/>
    </xf>
    <xf numFmtId="0" fontId="6" fillId="0" borderId="13" xfId="0" applyFont="1" applyBorder="1" applyProtection="1">
      <protection locked="0"/>
    </xf>
    <xf numFmtId="0" fontId="6" fillId="0" borderId="14" xfId="0" applyFont="1" applyBorder="1" applyProtection="1">
      <protection locked="0"/>
    </xf>
    <xf numFmtId="0" fontId="6" fillId="0" borderId="14" xfId="0" applyFont="1" applyBorder="1" applyAlignment="1" applyProtection="1">
      <alignment horizontal="center"/>
      <protection locked="0"/>
    </xf>
    <xf numFmtId="0" fontId="6" fillId="0" borderId="8" xfId="0" applyFont="1" applyBorder="1" applyAlignment="1" applyProtection="1">
      <alignment vertical="center"/>
      <protection locked="0"/>
    </xf>
    <xf numFmtId="0" fontId="7" fillId="0" borderId="9" xfId="0" applyFont="1" applyBorder="1" applyAlignment="1" applyProtection="1">
      <alignment horizontal="left" vertical="center" wrapText="1" indent="1"/>
      <protection locked="0"/>
    </xf>
    <xf numFmtId="0" fontId="6" fillId="0" borderId="11" xfId="0" applyFont="1" applyBorder="1" applyAlignment="1" applyProtection="1">
      <alignment vertical="center"/>
      <protection locked="0"/>
    </xf>
    <xf numFmtId="0" fontId="7" fillId="0" borderId="0" xfId="0" applyFont="1" applyBorder="1" applyAlignment="1" applyProtection="1">
      <alignment horizontal="left" vertical="center" wrapText="1" indent="1"/>
      <protection locked="0"/>
    </xf>
    <xf numFmtId="0" fontId="0" fillId="5" borderId="17" xfId="0" applyFont="1" applyFill="1" applyBorder="1" applyAlignment="1">
      <alignment horizontal="center" vertical="center"/>
    </xf>
    <xf numFmtId="165" fontId="0" fillId="6" borderId="18" xfId="2" applyNumberFormat="1" applyFont="1" applyFill="1" applyBorder="1" applyAlignment="1" applyProtection="1">
      <alignment horizontal="center" vertical="center"/>
      <protection locked="0"/>
    </xf>
    <xf numFmtId="0" fontId="6" fillId="0" borderId="5" xfId="0" applyFont="1" applyBorder="1" applyAlignment="1" applyProtection="1">
      <alignment vertical="center"/>
      <protection locked="0"/>
    </xf>
    <xf numFmtId="0" fontId="0" fillId="0" borderId="6" xfId="0" applyFont="1" applyBorder="1" applyAlignment="1" applyProtection="1">
      <alignment horizontal="left" vertical="center" indent="1"/>
      <protection locked="0"/>
    </xf>
    <xf numFmtId="10" fontId="0" fillId="5" borderId="19" xfId="3" applyNumberFormat="1" applyFont="1" applyFill="1" applyBorder="1" applyAlignment="1" applyProtection="1">
      <alignment horizontal="center" vertical="center"/>
      <protection locked="0"/>
    </xf>
    <xf numFmtId="165" fontId="0" fillId="6" borderId="19" xfId="2" applyNumberFormat="1" applyFont="1" applyFill="1" applyBorder="1" applyAlignment="1" applyProtection="1">
      <alignment horizontal="left" vertical="center"/>
      <protection locked="0"/>
    </xf>
    <xf numFmtId="10" fontId="0" fillId="5" borderId="16" xfId="0" applyNumberFormat="1" applyFont="1" applyFill="1" applyBorder="1" applyAlignment="1" applyProtection="1">
      <alignment horizontal="center" vertical="center"/>
      <protection locked="0"/>
    </xf>
    <xf numFmtId="0" fontId="7" fillId="0" borderId="6" xfId="0" applyFont="1" applyBorder="1" applyAlignment="1" applyProtection="1">
      <alignment horizontal="left" vertical="center" wrapText="1" indent="1"/>
      <protection locked="0"/>
    </xf>
    <xf numFmtId="10" fontId="0" fillId="5" borderId="16" xfId="3" applyNumberFormat="1" applyFont="1" applyFill="1" applyBorder="1" applyAlignment="1" applyProtection="1">
      <alignment horizontal="center" vertical="center"/>
      <protection locked="0"/>
    </xf>
    <xf numFmtId="10" fontId="0" fillId="5" borderId="18" xfId="3" applyNumberFormat="1" applyFont="1" applyFill="1" applyBorder="1" applyAlignment="1" applyProtection="1">
      <alignment horizontal="center" vertical="center"/>
      <protection locked="0"/>
    </xf>
    <xf numFmtId="165" fontId="0" fillId="6" borderId="18" xfId="2" applyNumberFormat="1" applyFont="1" applyFill="1" applyBorder="1" applyAlignment="1" applyProtection="1">
      <alignment horizontal="left" vertical="center"/>
      <protection locked="0"/>
    </xf>
    <xf numFmtId="10" fontId="0" fillId="7" borderId="19" xfId="0" applyNumberFormat="1" applyFont="1" applyFill="1" applyBorder="1" applyAlignment="1" applyProtection="1">
      <alignment horizontal="center" vertical="center"/>
      <protection locked="0"/>
    </xf>
    <xf numFmtId="165" fontId="0" fillId="7" borderId="19" xfId="2" applyNumberFormat="1" applyFont="1" applyFill="1" applyBorder="1" applyAlignment="1" applyProtection="1">
      <alignment horizontal="left" vertical="center"/>
      <protection locked="0"/>
    </xf>
    <xf numFmtId="0" fontId="6" fillId="0" borderId="2" xfId="0" applyFont="1" applyBorder="1" applyAlignment="1" applyProtection="1">
      <alignment horizontal="left"/>
      <protection locked="0"/>
    </xf>
    <xf numFmtId="0" fontId="7" fillId="0" borderId="3" xfId="0" applyFont="1" applyFill="1" applyBorder="1" applyAlignment="1" applyProtection="1">
      <alignment horizontal="left" vertical="center" wrapText="1" indent="1"/>
      <protection locked="0"/>
    </xf>
    <xf numFmtId="0" fontId="6" fillId="0" borderId="20" xfId="0" applyFont="1" applyBorder="1" applyAlignment="1" applyProtection="1">
      <alignment horizontal="left" vertical="center"/>
      <protection locked="0"/>
    </xf>
    <xf numFmtId="0" fontId="7" fillId="0" borderId="21" xfId="0" applyFont="1" applyFill="1" applyBorder="1" applyAlignment="1" applyProtection="1">
      <alignment horizontal="left" vertical="center" wrapText="1" indent="1"/>
      <protection locked="0"/>
    </xf>
    <xf numFmtId="0" fontId="0" fillId="0" borderId="23" xfId="0" applyFont="1" applyBorder="1" applyAlignment="1" applyProtection="1">
      <alignment horizontal="left" indent="1"/>
      <protection locked="0"/>
    </xf>
    <xf numFmtId="166" fontId="7" fillId="0" borderId="24" xfId="0" applyNumberFormat="1" applyFont="1" applyFill="1" applyBorder="1" applyAlignment="1" applyProtection="1">
      <alignment horizontal="left" vertical="center" wrapText="1" indent="3"/>
      <protection locked="0"/>
    </xf>
    <xf numFmtId="0" fontId="0" fillId="0" borderId="28" xfId="0" applyFont="1" applyBorder="1" applyAlignment="1" applyProtection="1">
      <alignment horizontal="left" indent="1"/>
      <protection locked="0"/>
    </xf>
    <xf numFmtId="166" fontId="7" fillId="0" borderId="29" xfId="0" applyNumberFormat="1" applyFont="1" applyFill="1" applyBorder="1" applyAlignment="1" applyProtection="1">
      <alignment horizontal="left" vertical="center" wrapText="1" indent="3"/>
      <protection locked="0"/>
    </xf>
    <xf numFmtId="10" fontId="0" fillId="8" borderId="30" xfId="0" applyNumberFormat="1" applyFont="1" applyFill="1" applyBorder="1" applyAlignment="1" applyProtection="1">
      <alignment horizontal="center" vertical="center"/>
      <protection locked="0"/>
    </xf>
    <xf numFmtId="0" fontId="0" fillId="0" borderId="0" xfId="0" applyFont="1"/>
    <xf numFmtId="0" fontId="0" fillId="0" borderId="0" xfId="0" applyFont="1" applyProtection="1">
      <protection locked="0"/>
    </xf>
    <xf numFmtId="0" fontId="6" fillId="6" borderId="0" xfId="0" applyFont="1" applyFill="1" applyProtection="1">
      <protection locked="0"/>
    </xf>
    <xf numFmtId="10" fontId="6" fillId="6" borderId="0" xfId="3" applyNumberFormat="1" applyFont="1" applyFill="1" applyAlignment="1" applyProtection="1">
      <alignment horizontal="center"/>
      <protection locked="0"/>
    </xf>
    <xf numFmtId="165" fontId="6" fillId="6" borderId="0" xfId="2" applyNumberFormat="1" applyFont="1" applyFill="1" applyProtection="1">
      <protection locked="0"/>
    </xf>
    <xf numFmtId="0" fontId="0" fillId="10" borderId="0" xfId="0" applyFont="1" applyFill="1" applyProtection="1">
      <protection locked="0"/>
    </xf>
    <xf numFmtId="0" fontId="6" fillId="3" borderId="2" xfId="0" applyFont="1" applyFill="1" applyBorder="1" applyAlignment="1" applyProtection="1">
      <alignment vertical="center" wrapText="1"/>
      <protection locked="0"/>
    </xf>
    <xf numFmtId="0" fontId="6" fillId="3" borderId="5" xfId="0" applyFont="1" applyFill="1" applyBorder="1" applyAlignment="1" applyProtection="1">
      <alignment vertical="center" wrapText="1"/>
      <protection locked="0"/>
    </xf>
    <xf numFmtId="0" fontId="2" fillId="2" borderId="1" xfId="4"/>
    <xf numFmtId="0" fontId="9" fillId="0" borderId="0" xfId="0" applyFont="1" applyBorder="1" applyAlignment="1">
      <alignment horizontal="left"/>
    </xf>
    <xf numFmtId="0" fontId="0" fillId="0" borderId="18" xfId="0" applyBorder="1"/>
    <xf numFmtId="0" fontId="10" fillId="0" borderId="0" xfId="0" applyFont="1" applyFill="1" applyBorder="1"/>
    <xf numFmtId="0" fontId="0" fillId="0" borderId="0" xfId="0" applyBorder="1"/>
    <xf numFmtId="167" fontId="10" fillId="0" borderId="33" xfId="1" applyNumberFormat="1" applyFont="1" applyBorder="1" applyAlignment="1">
      <alignment horizontal="center"/>
    </xf>
    <xf numFmtId="0" fontId="10" fillId="0" borderId="34" xfId="0" applyFont="1" applyBorder="1"/>
    <xf numFmtId="0" fontId="10" fillId="0" borderId="34" xfId="0" applyFont="1" applyBorder="1" applyAlignment="1">
      <alignment horizontal="center"/>
    </xf>
    <xf numFmtId="0" fontId="13" fillId="0" borderId="0" xfId="0" applyFont="1"/>
    <xf numFmtId="0" fontId="9" fillId="0" borderId="0" xfId="0" applyFont="1"/>
    <xf numFmtId="0" fontId="12" fillId="0" borderId="0" xfId="0" applyFont="1"/>
    <xf numFmtId="167" fontId="10" fillId="0" borderId="35" xfId="1" applyNumberFormat="1" applyFont="1" applyBorder="1" applyAlignment="1">
      <alignment horizontal="center"/>
    </xf>
    <xf numFmtId="0" fontId="10" fillId="0" borderId="36" xfId="0" applyFont="1" applyBorder="1"/>
    <xf numFmtId="0" fontId="10" fillId="0" borderId="36" xfId="0" applyFont="1" applyBorder="1" applyAlignment="1">
      <alignment horizontal="center"/>
    </xf>
    <xf numFmtId="0" fontId="12" fillId="0" borderId="0" xfId="0" applyFont="1" applyFill="1" applyBorder="1"/>
    <xf numFmtId="0" fontId="12" fillId="0" borderId="33" xfId="0" applyFont="1" applyBorder="1" applyAlignment="1">
      <alignment horizontal="right"/>
    </xf>
    <xf numFmtId="0" fontId="12" fillId="0" borderId="0" xfId="0" applyFont="1" applyBorder="1" applyAlignment="1">
      <alignment horizontal="right"/>
    </xf>
    <xf numFmtId="0" fontId="14" fillId="0" borderId="0" xfId="0" applyFont="1" applyBorder="1"/>
    <xf numFmtId="0" fontId="15" fillId="0" borderId="0" xfId="0" applyFont="1"/>
    <xf numFmtId="0" fontId="16" fillId="0" borderId="0" xfId="0" applyFont="1"/>
    <xf numFmtId="0" fontId="12" fillId="0" borderId="37" xfId="0" applyFont="1" applyBorder="1" applyAlignment="1">
      <alignment horizontal="right"/>
    </xf>
    <xf numFmtId="167" fontId="16" fillId="0" borderId="0" xfId="1" applyNumberFormat="1" applyFont="1" applyFill="1" applyBorder="1"/>
    <xf numFmtId="167" fontId="16" fillId="0" borderId="37" xfId="1" applyNumberFormat="1" applyFont="1" applyFill="1" applyBorder="1"/>
    <xf numFmtId="167" fontId="16" fillId="0" borderId="0" xfId="1" applyNumberFormat="1" applyFont="1" applyBorder="1"/>
    <xf numFmtId="167" fontId="16" fillId="0" borderId="17" xfId="1" applyNumberFormat="1" applyFont="1" applyBorder="1"/>
    <xf numFmtId="167" fontId="16" fillId="0" borderId="17" xfId="1" applyNumberFormat="1" applyFont="1" applyFill="1" applyBorder="1"/>
    <xf numFmtId="0" fontId="16" fillId="0" borderId="0" xfId="0" applyFont="1" applyFill="1" applyBorder="1"/>
    <xf numFmtId="0" fontId="9" fillId="0" borderId="0" xfId="0" applyFont="1" applyFill="1" applyBorder="1"/>
    <xf numFmtId="167" fontId="16" fillId="0" borderId="38" xfId="1" applyNumberFormat="1" applyFont="1" applyFill="1" applyBorder="1"/>
    <xf numFmtId="167" fontId="16" fillId="0" borderId="31" xfId="1" applyNumberFormat="1" applyFont="1" applyFill="1" applyBorder="1"/>
    <xf numFmtId="167" fontId="16" fillId="0" borderId="32" xfId="1" applyNumberFormat="1" applyFont="1" applyFill="1" applyBorder="1"/>
    <xf numFmtId="167" fontId="16" fillId="0" borderId="24" xfId="1" applyNumberFormat="1" applyFont="1" applyFill="1" applyBorder="1"/>
    <xf numFmtId="0" fontId="15" fillId="0" borderId="0" xfId="0" applyFont="1" applyFill="1" applyBorder="1"/>
    <xf numFmtId="167" fontId="16" fillId="0" borderId="33" xfId="1" applyNumberFormat="1" applyFont="1" applyFill="1" applyBorder="1"/>
    <xf numFmtId="167" fontId="16" fillId="0" borderId="34" xfId="1" applyNumberFormat="1" applyFont="1" applyFill="1" applyBorder="1"/>
    <xf numFmtId="167" fontId="16" fillId="0" borderId="39" xfId="1" applyNumberFormat="1" applyFont="1" applyFill="1" applyBorder="1"/>
    <xf numFmtId="167" fontId="16" fillId="0" borderId="40" xfId="1" applyNumberFormat="1" applyFont="1" applyFill="1" applyBorder="1"/>
    <xf numFmtId="0" fontId="0" fillId="0" borderId="0" xfId="0" applyFill="1"/>
    <xf numFmtId="0" fontId="16" fillId="0" borderId="0" xfId="0" applyFont="1" applyBorder="1"/>
    <xf numFmtId="167" fontId="9" fillId="0" borderId="0" xfId="1" applyNumberFormat="1" applyFont="1" applyFill="1" applyBorder="1"/>
    <xf numFmtId="167" fontId="16" fillId="0" borderId="35" xfId="1" applyNumberFormat="1" applyFont="1" applyFill="1" applyBorder="1"/>
    <xf numFmtId="167" fontId="16" fillId="0" borderId="17" xfId="5" applyNumberFormat="1" applyFont="1" applyFill="1" applyBorder="1"/>
    <xf numFmtId="0" fontId="9" fillId="0" borderId="0" xfId="0" applyFont="1" applyBorder="1"/>
    <xf numFmtId="37" fontId="9" fillId="0" borderId="34" xfId="1" applyNumberFormat="1" applyFont="1" applyFill="1" applyBorder="1"/>
    <xf numFmtId="37" fontId="9" fillId="0" borderId="34" xfId="1" applyNumberFormat="1" applyFont="1" applyBorder="1"/>
    <xf numFmtId="0" fontId="9" fillId="12" borderId="38" xfId="0" applyFont="1" applyFill="1" applyBorder="1"/>
    <xf numFmtId="0" fontId="9" fillId="12" borderId="31" xfId="0" applyFont="1" applyFill="1" applyBorder="1"/>
    <xf numFmtId="0" fontId="16" fillId="12" borderId="31" xfId="0" applyFont="1" applyFill="1" applyBorder="1"/>
    <xf numFmtId="167" fontId="16" fillId="12" borderId="31" xfId="1" applyNumberFormat="1" applyFont="1" applyFill="1" applyBorder="1"/>
    <xf numFmtId="167" fontId="9" fillId="12" borderId="38" xfId="0" applyNumberFormat="1" applyFont="1" applyFill="1" applyBorder="1"/>
    <xf numFmtId="167" fontId="9" fillId="12" borderId="31" xfId="0" applyNumberFormat="1" applyFont="1" applyFill="1" applyBorder="1"/>
    <xf numFmtId="10" fontId="16" fillId="0" borderId="0" xfId="1" applyNumberFormat="1" applyFont="1" applyFill="1" applyBorder="1"/>
    <xf numFmtId="167" fontId="9" fillId="0" borderId="37" xfId="0" applyNumberFormat="1" applyFont="1" applyFill="1" applyBorder="1"/>
    <xf numFmtId="167" fontId="9" fillId="0" borderId="17" xfId="0" applyNumberFormat="1" applyFont="1" applyFill="1" applyBorder="1"/>
    <xf numFmtId="167" fontId="16" fillId="0" borderId="37" xfId="1" applyNumberFormat="1" applyFont="1" applyBorder="1"/>
    <xf numFmtId="0" fontId="0" fillId="0" borderId="17" xfId="0" applyBorder="1"/>
    <xf numFmtId="167" fontId="16" fillId="0" borderId="35" xfId="1" applyNumberFormat="1" applyFont="1" applyBorder="1"/>
    <xf numFmtId="167" fontId="16" fillId="0" borderId="36" xfId="1" applyNumberFormat="1" applyFont="1" applyBorder="1"/>
    <xf numFmtId="0" fontId="0" fillId="0" borderId="41" xfId="0" applyBorder="1"/>
    <xf numFmtId="0" fontId="16" fillId="0" borderId="0" xfId="0" applyFont="1" applyFill="1" applyBorder="1" applyAlignment="1">
      <alignment horizontal="left" indent="1"/>
    </xf>
    <xf numFmtId="0" fontId="16" fillId="12" borderId="38" xfId="0" applyFont="1" applyFill="1" applyBorder="1"/>
    <xf numFmtId="167" fontId="9" fillId="12" borderId="38" xfId="1" applyNumberFormat="1" applyFont="1" applyFill="1" applyBorder="1"/>
    <xf numFmtId="167" fontId="16" fillId="12" borderId="36" xfId="1" applyNumberFormat="1" applyFont="1" applyFill="1" applyBorder="1"/>
    <xf numFmtId="167" fontId="9" fillId="12" borderId="32" xfId="1" applyNumberFormat="1" applyFont="1" applyFill="1" applyBorder="1"/>
    <xf numFmtId="167" fontId="9" fillId="0" borderId="37" xfId="1" applyNumberFormat="1" applyFont="1" applyBorder="1"/>
    <xf numFmtId="167" fontId="9" fillId="0" borderId="17" xfId="1" applyNumberFormat="1" applyFont="1" applyBorder="1"/>
    <xf numFmtId="41" fontId="9" fillId="12" borderId="32" xfId="1" applyNumberFormat="1" applyFont="1" applyFill="1" applyBorder="1"/>
    <xf numFmtId="167" fontId="9" fillId="0" borderId="33" xfId="1" applyNumberFormat="1" applyFont="1" applyFill="1" applyBorder="1"/>
    <xf numFmtId="41" fontId="9" fillId="0" borderId="39" xfId="1" applyNumberFormat="1" applyFont="1" applyFill="1" applyBorder="1"/>
    <xf numFmtId="167" fontId="9" fillId="0" borderId="40" xfId="1" applyNumberFormat="1" applyFont="1" applyFill="1" applyBorder="1"/>
    <xf numFmtId="167" fontId="16" fillId="0" borderId="18" xfId="5" applyNumberFormat="1" applyFont="1" applyFill="1" applyBorder="1"/>
    <xf numFmtId="167" fontId="16" fillId="0" borderId="42" xfId="5" applyNumberFormat="1" applyFont="1" applyFill="1" applyBorder="1"/>
    <xf numFmtId="167" fontId="9" fillId="12" borderId="35" xfId="1" applyNumberFormat="1" applyFont="1" applyFill="1" applyBorder="1"/>
    <xf numFmtId="167" fontId="9" fillId="12" borderId="31" xfId="1" applyNumberFormat="1" applyFont="1" applyFill="1" applyBorder="1"/>
    <xf numFmtId="167" fontId="9" fillId="12" borderId="36" xfId="1" applyNumberFormat="1" applyFont="1" applyFill="1" applyBorder="1"/>
    <xf numFmtId="41" fontId="9" fillId="0" borderId="37" xfId="1" applyNumberFormat="1" applyFont="1" applyFill="1" applyBorder="1" applyAlignment="1">
      <alignment horizontal="left"/>
    </xf>
    <xf numFmtId="37" fontId="9" fillId="0" borderId="17" xfId="1" applyNumberFormat="1" applyFont="1" applyFill="1" applyBorder="1"/>
    <xf numFmtId="167" fontId="16" fillId="0" borderId="37" xfId="5" applyNumberFormat="1" applyFont="1" applyFill="1" applyBorder="1"/>
    <xf numFmtId="167" fontId="16" fillId="0" borderId="0" xfId="5" applyNumberFormat="1" applyFont="1" applyFill="1" applyBorder="1"/>
    <xf numFmtId="0" fontId="16" fillId="14" borderId="0" xfId="0" applyFont="1" applyFill="1" applyBorder="1"/>
    <xf numFmtId="167" fontId="16" fillId="14" borderId="0" xfId="1" applyNumberFormat="1" applyFont="1" applyFill="1" applyBorder="1"/>
    <xf numFmtId="167" fontId="16" fillId="14" borderId="37" xfId="0" applyNumberFormat="1" applyFont="1" applyFill="1" applyBorder="1"/>
    <xf numFmtId="167" fontId="16" fillId="14" borderId="0" xfId="5" applyNumberFormat="1" applyFont="1" applyFill="1" applyBorder="1"/>
    <xf numFmtId="167" fontId="12" fillId="0" borderId="0" xfId="1" applyNumberFormat="1" applyFont="1" applyFill="1" applyBorder="1"/>
    <xf numFmtId="0" fontId="0" fillId="0" borderId="0" xfId="0" applyFill="1" applyBorder="1"/>
    <xf numFmtId="167" fontId="0" fillId="0" borderId="0" xfId="0" applyNumberFormat="1"/>
    <xf numFmtId="0" fontId="18" fillId="0" borderId="0" xfId="0" applyFont="1" applyBorder="1"/>
    <xf numFmtId="167" fontId="18" fillId="0" borderId="0" xfId="1" applyNumberFormat="1" applyFont="1" applyBorder="1"/>
    <xf numFmtId="167" fontId="18" fillId="0" borderId="0" xfId="3" applyNumberFormat="1" applyFont="1" applyBorder="1"/>
    <xf numFmtId="0" fontId="12" fillId="0" borderId="39" xfId="0" applyFont="1" applyBorder="1"/>
    <xf numFmtId="0" fontId="10" fillId="0" borderId="41" xfId="0" applyFont="1" applyBorder="1" applyAlignment="1">
      <alignment horizontal="center"/>
    </xf>
    <xf numFmtId="37" fontId="9" fillId="0" borderId="40" xfId="1" applyNumberFormat="1" applyFont="1" applyBorder="1"/>
    <xf numFmtId="167" fontId="9" fillId="13" borderId="32" xfId="0" applyNumberFormat="1" applyFont="1" applyFill="1" applyBorder="1"/>
    <xf numFmtId="167" fontId="9" fillId="0" borderId="18" xfId="0" applyNumberFormat="1" applyFont="1" applyFill="1" applyBorder="1"/>
    <xf numFmtId="167" fontId="9" fillId="13" borderId="24" xfId="1" applyNumberFormat="1" applyFont="1" applyFill="1" applyBorder="1"/>
    <xf numFmtId="167" fontId="9" fillId="0" borderId="18" xfId="1" applyNumberFormat="1" applyFont="1" applyBorder="1"/>
    <xf numFmtId="167" fontId="9" fillId="13" borderId="42" xfId="1" applyNumberFormat="1" applyFont="1" applyFill="1" applyBorder="1"/>
    <xf numFmtId="167" fontId="9" fillId="0" borderId="18" xfId="1" applyNumberFormat="1" applyFont="1" applyFill="1" applyBorder="1"/>
    <xf numFmtId="167" fontId="16" fillId="14" borderId="17" xfId="5" applyNumberFormat="1" applyFont="1" applyFill="1" applyBorder="1"/>
    <xf numFmtId="0" fontId="16" fillId="0" borderId="18" xfId="0" applyFont="1" applyBorder="1"/>
    <xf numFmtId="0" fontId="4" fillId="0" borderId="31" xfId="0" applyFont="1" applyBorder="1"/>
    <xf numFmtId="167" fontId="0" fillId="0" borderId="0" xfId="1" applyNumberFormat="1" applyFont="1"/>
    <xf numFmtId="0" fontId="1" fillId="0" borderId="43" xfId="0" applyFont="1" applyBorder="1" applyAlignment="1">
      <alignment horizontal="left"/>
    </xf>
    <xf numFmtId="167" fontId="4" fillId="0" borderId="43" xfId="0" applyNumberFormat="1" applyFont="1" applyBorder="1"/>
    <xf numFmtId="0" fontId="21" fillId="0" borderId="43" xfId="0" applyFont="1" applyBorder="1" applyAlignment="1">
      <alignment horizontal="right"/>
    </xf>
    <xf numFmtId="0" fontId="21" fillId="0" borderId="0" xfId="0" applyFont="1"/>
    <xf numFmtId="43" fontId="21" fillId="0" borderId="0" xfId="0" applyNumberFormat="1" applyFont="1" applyFill="1"/>
    <xf numFmtId="0" fontId="21" fillId="0" borderId="0" xfId="0" applyFont="1" applyFill="1"/>
    <xf numFmtId="167" fontId="21" fillId="0" borderId="0" xfId="0" applyNumberFormat="1" applyFont="1" applyFill="1"/>
    <xf numFmtId="0" fontId="22" fillId="0" borderId="31" xfId="0" applyFont="1" applyFill="1" applyBorder="1"/>
    <xf numFmtId="0" fontId="22" fillId="0" borderId="31" xfId="0" applyFont="1" applyBorder="1"/>
    <xf numFmtId="167" fontId="22" fillId="0" borderId="31" xfId="0" applyNumberFormat="1" applyFont="1" applyFill="1" applyBorder="1"/>
    <xf numFmtId="164" fontId="2" fillId="2" borderId="1" xfId="4" applyNumberFormat="1"/>
    <xf numFmtId="0" fontId="21" fillId="0" borderId="31" xfId="0" applyFont="1" applyBorder="1" applyAlignment="1">
      <alignment horizontal="right"/>
    </xf>
    <xf numFmtId="0" fontId="25" fillId="0" borderId="0" xfId="0" applyFont="1" applyAlignment="1"/>
    <xf numFmtId="0" fontId="26" fillId="0" borderId="0" xfId="0" applyFont="1"/>
    <xf numFmtId="0" fontId="27" fillId="11" borderId="8" xfId="0" applyFont="1" applyFill="1" applyBorder="1" applyAlignment="1"/>
    <xf numFmtId="0" fontId="27" fillId="11" borderId="9" xfId="0" applyFont="1" applyFill="1" applyBorder="1" applyAlignment="1"/>
    <xf numFmtId="167" fontId="28" fillId="11" borderId="10" xfId="1" applyNumberFormat="1" applyFont="1" applyFill="1" applyBorder="1"/>
    <xf numFmtId="164" fontId="25" fillId="0" borderId="0" xfId="0" applyNumberFormat="1" applyFont="1" applyAlignment="1">
      <alignment horizontal="center"/>
    </xf>
    <xf numFmtId="0" fontId="27" fillId="11" borderId="5" xfId="0" applyFont="1" applyFill="1" applyBorder="1" applyAlignment="1"/>
    <xf numFmtId="0" fontId="27" fillId="11" borderId="6" xfId="0" applyFont="1" applyFill="1" applyBorder="1" applyAlignment="1"/>
    <xf numFmtId="167" fontId="27" fillId="11" borderId="7" xfId="0" applyNumberFormat="1" applyFont="1" applyFill="1" applyBorder="1" applyAlignment="1"/>
    <xf numFmtId="37" fontId="29" fillId="0" borderId="0" xfId="0" applyNumberFormat="1" applyFont="1" applyBorder="1" applyAlignment="1">
      <alignment vertical="center"/>
    </xf>
    <xf numFmtId="37" fontId="29" fillId="0" borderId="0" xfId="0" applyNumberFormat="1" applyFont="1" applyFill="1" applyBorder="1" applyAlignment="1">
      <alignment horizontal="center" vertical="center"/>
    </xf>
    <xf numFmtId="0" fontId="29" fillId="0" borderId="0" xfId="0" applyFont="1" applyAlignment="1">
      <alignment wrapText="1"/>
    </xf>
    <xf numFmtId="0" fontId="29" fillId="0" borderId="36" xfId="0" applyFont="1" applyFill="1" applyBorder="1" applyAlignment="1">
      <alignment horizontal="center" vertical="center" wrapText="1"/>
    </xf>
    <xf numFmtId="0" fontId="29" fillId="0" borderId="36" xfId="0" applyFont="1" applyBorder="1" applyAlignment="1">
      <alignment horizontal="center" vertical="center" wrapText="1"/>
    </xf>
    <xf numFmtId="0" fontId="0" fillId="0" borderId="0" xfId="0" applyAlignment="1">
      <alignment wrapText="1"/>
    </xf>
    <xf numFmtId="0" fontId="30" fillId="19" borderId="0" xfId="0" applyFont="1" applyFill="1"/>
    <xf numFmtId="167" fontId="14" fillId="19" borderId="0" xfId="1" applyNumberFormat="1" applyFont="1" applyFill="1"/>
    <xf numFmtId="167" fontId="14" fillId="19" borderId="0" xfId="1" applyNumberFormat="1" applyFont="1" applyFill="1" applyBorder="1"/>
    <xf numFmtId="0" fontId="30" fillId="0" borderId="0" xfId="0" applyFont="1"/>
    <xf numFmtId="167" fontId="14" fillId="19" borderId="0" xfId="5" applyNumberFormat="1" applyFont="1" applyFill="1"/>
    <xf numFmtId="167" fontId="14" fillId="20" borderId="0" xfId="1" applyNumberFormat="1" applyFont="1" applyFill="1"/>
    <xf numFmtId="167" fontId="6" fillId="0" borderId="0" xfId="0" applyNumberFormat="1" applyFont="1"/>
    <xf numFmtId="0" fontId="0" fillId="0" borderId="8" xfId="0" applyBorder="1"/>
    <xf numFmtId="10" fontId="0" fillId="0" borderId="9" xfId="0" applyNumberFormat="1" applyBorder="1"/>
    <xf numFmtId="10" fontId="0" fillId="0" borderId="10" xfId="0" applyNumberFormat="1" applyBorder="1"/>
    <xf numFmtId="0" fontId="0" fillId="0" borderId="11" xfId="0" applyBorder="1"/>
    <xf numFmtId="10" fontId="0" fillId="0" borderId="0" xfId="0" applyNumberFormat="1" applyBorder="1"/>
    <xf numFmtId="10" fontId="0" fillId="0" borderId="12" xfId="0" applyNumberFormat="1" applyBorder="1"/>
    <xf numFmtId="0" fontId="30" fillId="0" borderId="0" xfId="0" applyFont="1" applyFill="1"/>
    <xf numFmtId="167" fontId="14" fillId="0" borderId="0" xfId="1" applyNumberFormat="1" applyFont="1" applyFill="1"/>
    <xf numFmtId="0" fontId="30" fillId="0" borderId="0" xfId="0" applyFont="1" applyFill="1" applyBorder="1"/>
    <xf numFmtId="0" fontId="14" fillId="0" borderId="0" xfId="0" applyFont="1" applyFill="1"/>
    <xf numFmtId="0" fontId="31" fillId="0" borderId="0" xfId="0" applyFont="1"/>
    <xf numFmtId="0" fontId="14" fillId="0" borderId="0" xfId="0" applyFont="1"/>
    <xf numFmtId="167" fontId="30" fillId="0" borderId="0" xfId="0" applyNumberFormat="1" applyFont="1"/>
    <xf numFmtId="0" fontId="14" fillId="0" borderId="0" xfId="0" applyFont="1" applyFill="1" applyBorder="1" applyAlignment="1">
      <alignment horizontal="left" indent="1"/>
    </xf>
    <xf numFmtId="167" fontId="14" fillId="0" borderId="0" xfId="0" applyNumberFormat="1" applyFont="1"/>
    <xf numFmtId="0" fontId="30" fillId="19" borderId="0" xfId="0" applyFont="1" applyFill="1" applyBorder="1"/>
    <xf numFmtId="41" fontId="14" fillId="19" borderId="0" xfId="1" applyNumberFormat="1" applyFont="1" applyFill="1"/>
    <xf numFmtId="41" fontId="0" fillId="0" borderId="0" xfId="0" applyNumberFormat="1"/>
    <xf numFmtId="0" fontId="14" fillId="0" borderId="0" xfId="0" applyFont="1" applyFill="1" applyBorder="1"/>
    <xf numFmtId="167" fontId="14" fillId="0" borderId="0" xfId="1" applyNumberFormat="1" applyFont="1" applyFill="1" applyBorder="1"/>
    <xf numFmtId="0" fontId="6" fillId="4" borderId="5" xfId="0" applyFont="1" applyFill="1" applyBorder="1"/>
    <xf numFmtId="10" fontId="6" fillId="4" borderId="6" xfId="0" applyNumberFormat="1" applyFont="1" applyFill="1" applyBorder="1"/>
    <xf numFmtId="10" fontId="6" fillId="4" borderId="7" xfId="0" applyNumberFormat="1" applyFont="1" applyFill="1" applyBorder="1"/>
    <xf numFmtId="167" fontId="14" fillId="20" borderId="0" xfId="1" applyNumberFormat="1" applyFont="1" applyFill="1" applyBorder="1"/>
    <xf numFmtId="41" fontId="14" fillId="0" borderId="0" xfId="1" applyNumberFormat="1" applyFont="1" applyFill="1" applyBorder="1"/>
    <xf numFmtId="0" fontId="30" fillId="20" borderId="0" xfId="0" applyFont="1" applyFill="1" applyBorder="1"/>
    <xf numFmtId="0" fontId="30" fillId="0" borderId="0" xfId="0" applyFont="1" applyFill="1" applyBorder="1" applyAlignment="1">
      <alignment horizontal="left" indent="1"/>
    </xf>
    <xf numFmtId="167" fontId="14" fillId="0" borderId="0" xfId="6" applyNumberFormat="1" applyFont="1" applyFill="1" applyBorder="1"/>
    <xf numFmtId="167" fontId="30" fillId="20" borderId="0" xfId="0" applyNumberFormat="1" applyFont="1" applyFill="1" applyBorder="1"/>
    <xf numFmtId="0" fontId="14" fillId="5" borderId="0" xfId="0" applyFont="1" applyFill="1" applyBorder="1"/>
    <xf numFmtId="167" fontId="30" fillId="5" borderId="31" xfId="0" applyNumberFormat="1" applyFont="1" applyFill="1" applyBorder="1"/>
    <xf numFmtId="167" fontId="32" fillId="5" borderId="31" xfId="0" applyNumberFormat="1" applyFont="1" applyFill="1" applyBorder="1"/>
    <xf numFmtId="167" fontId="0" fillId="0" borderId="0" xfId="0" applyNumberFormat="1" applyFill="1"/>
    <xf numFmtId="167" fontId="30" fillId="0" borderId="0" xfId="1" applyNumberFormat="1" applyFont="1" applyFill="1"/>
    <xf numFmtId="0" fontId="33" fillId="0" borderId="0" xfId="0" applyFont="1" applyAlignment="1">
      <alignment horizontal="left" vertical="center" readingOrder="1"/>
    </xf>
    <xf numFmtId="167" fontId="14" fillId="19" borderId="0" xfId="6" applyNumberFormat="1" applyFont="1" applyFill="1" applyBorder="1"/>
    <xf numFmtId="167" fontId="14" fillId="19" borderId="0" xfId="5" applyNumberFormat="1" applyFont="1" applyFill="1" applyBorder="1"/>
    <xf numFmtId="167" fontId="30" fillId="0" borderId="0" xfId="0" applyNumberFormat="1" applyFont="1" applyFill="1" applyBorder="1"/>
    <xf numFmtId="167" fontId="0" fillId="0" borderId="0" xfId="5" applyNumberFormat="1" applyFont="1" applyFill="1"/>
    <xf numFmtId="167" fontId="14" fillId="0" borderId="0" xfId="5" applyNumberFormat="1" applyFont="1" applyFill="1" applyBorder="1"/>
    <xf numFmtId="0" fontId="30" fillId="5" borderId="0" xfId="0" applyFont="1" applyFill="1" applyBorder="1"/>
    <xf numFmtId="167" fontId="14" fillId="5" borderId="31" xfId="6" applyNumberFormat="1" applyFont="1" applyFill="1" applyBorder="1"/>
    <xf numFmtId="167" fontId="29" fillId="5" borderId="31" xfId="6" applyNumberFormat="1" applyFont="1" applyFill="1" applyBorder="1"/>
    <xf numFmtId="0" fontId="34" fillId="21" borderId="0" xfId="0" applyFont="1" applyFill="1" applyBorder="1"/>
    <xf numFmtId="167" fontId="34" fillId="21" borderId="43" xfId="1" applyNumberFormat="1" applyFont="1" applyFill="1" applyBorder="1"/>
    <xf numFmtId="167" fontId="34" fillId="21" borderId="0" xfId="1" applyNumberFormat="1" applyFont="1" applyFill="1" applyBorder="1"/>
    <xf numFmtId="41" fontId="30" fillId="0" borderId="0" xfId="0" applyNumberFormat="1" applyFont="1"/>
    <xf numFmtId="167" fontId="21" fillId="0" borderId="0" xfId="0" applyNumberFormat="1" applyFont="1"/>
    <xf numFmtId="43" fontId="0" fillId="0" borderId="0" xfId="0" applyNumberFormat="1"/>
    <xf numFmtId="44" fontId="0" fillId="0" borderId="0" xfId="0" applyNumberFormat="1"/>
    <xf numFmtId="0" fontId="29" fillId="0" borderId="0" xfId="0" applyFont="1" applyAlignment="1">
      <alignment vertical="center"/>
    </xf>
    <xf numFmtId="0" fontId="22" fillId="0" borderId="0" xfId="0" applyFont="1" applyAlignment="1">
      <alignment horizontal="center" vertical="center" wrapText="1"/>
    </xf>
    <xf numFmtId="0" fontId="14" fillId="22" borderId="0" xfId="0" applyFont="1" applyFill="1"/>
    <xf numFmtId="165" fontId="0" fillId="20" borderId="0" xfId="2" applyNumberFormat="1" applyFont="1" applyFill="1"/>
    <xf numFmtId="165" fontId="0" fillId="0" borderId="0" xfId="2" applyNumberFormat="1" applyFont="1"/>
    <xf numFmtId="0" fontId="37" fillId="0" borderId="0" xfId="0" applyFont="1"/>
    <xf numFmtId="0" fontId="0" fillId="20" borderId="0" xfId="0" applyFont="1" applyFill="1"/>
    <xf numFmtId="165" fontId="0" fillId="0" borderId="0" xfId="2" applyNumberFormat="1" applyFont="1" applyFill="1"/>
    <xf numFmtId="167" fontId="0" fillId="0" borderId="0" xfId="1" applyNumberFormat="1" applyFont="1" applyFill="1"/>
    <xf numFmtId="167" fontId="0" fillId="20" borderId="0" xfId="1" applyNumberFormat="1" applyFont="1" applyFill="1"/>
    <xf numFmtId="165" fontId="0" fillId="5" borderId="0" xfId="2" applyNumberFormat="1" applyFont="1" applyFill="1"/>
    <xf numFmtId="0" fontId="0" fillId="0" borderId="9" xfId="0" applyBorder="1"/>
    <xf numFmtId="0" fontId="0" fillId="0" borderId="10" xfId="0" applyBorder="1"/>
    <xf numFmtId="165" fontId="0" fillId="0" borderId="0" xfId="0" applyNumberFormat="1"/>
    <xf numFmtId="0" fontId="6" fillId="0" borderId="8" xfId="0" applyFont="1" applyBorder="1"/>
    <xf numFmtId="0" fontId="0" fillId="0" borderId="12" xfId="0" applyBorder="1"/>
    <xf numFmtId="0" fontId="6" fillId="0" borderId="12" xfId="0" applyFont="1" applyBorder="1" applyAlignment="1">
      <alignment horizontal="center"/>
    </xf>
    <xf numFmtId="0" fontId="39" fillId="0" borderId="11" xfId="7" applyFont="1" applyFill="1" applyBorder="1" applyAlignment="1">
      <alignment horizontal="left" indent="1"/>
    </xf>
    <xf numFmtId="41" fontId="16" fillId="9" borderId="12" xfId="7" applyNumberFormat="1" applyFont="1" applyFill="1" applyBorder="1"/>
    <xf numFmtId="0" fontId="6" fillId="0" borderId="11" xfId="0" applyFont="1" applyBorder="1"/>
    <xf numFmtId="0" fontId="6" fillId="0" borderId="0" xfId="0" applyFont="1" applyBorder="1"/>
    <xf numFmtId="0" fontId="39" fillId="0" borderId="11" xfId="7" applyFont="1" applyFill="1" applyBorder="1" applyAlignment="1">
      <alignment horizontal="left" indent="2"/>
    </xf>
    <xf numFmtId="41" fontId="39" fillId="9" borderId="12" xfId="7" applyNumberFormat="1" applyFont="1" applyFill="1" applyBorder="1"/>
    <xf numFmtId="165" fontId="6" fillId="0" borderId="12" xfId="2" applyNumberFormat="1" applyFont="1" applyBorder="1"/>
    <xf numFmtId="10" fontId="0" fillId="0" borderId="0" xfId="3" applyNumberFormat="1" applyFont="1"/>
    <xf numFmtId="0" fontId="6" fillId="0" borderId="11" xfId="0" applyFont="1" applyBorder="1" applyAlignment="1">
      <alignment horizontal="left" indent="1"/>
    </xf>
    <xf numFmtId="164" fontId="6" fillId="0" borderId="0" xfId="0" applyNumberFormat="1" applyFont="1" applyFill="1" applyBorder="1"/>
    <xf numFmtId="0" fontId="21" fillId="0" borderId="11" xfId="0" applyFont="1" applyBorder="1" applyAlignment="1">
      <alignment horizontal="left" indent="1"/>
    </xf>
    <xf numFmtId="167" fontId="40" fillId="9" borderId="12" xfId="0" applyNumberFormat="1" applyFont="1" applyFill="1" applyBorder="1"/>
    <xf numFmtId="0" fontId="39" fillId="0" borderId="5" xfId="7" applyFont="1" applyFill="1" applyBorder="1" applyAlignment="1">
      <alignment horizontal="left" indent="1"/>
    </xf>
    <xf numFmtId="41" fontId="6" fillId="0" borderId="7" xfId="0" applyNumberFormat="1" applyFont="1" applyBorder="1"/>
    <xf numFmtId="164" fontId="6" fillId="0" borderId="0" xfId="0" applyNumberFormat="1" applyFont="1" applyBorder="1"/>
    <xf numFmtId="0" fontId="6" fillId="0" borderId="11" xfId="0" applyFont="1" applyBorder="1" applyAlignment="1">
      <alignment wrapText="1"/>
    </xf>
    <xf numFmtId="0" fontId="6" fillId="0" borderId="11" xfId="0" applyFont="1" applyBorder="1" applyAlignment="1">
      <alignment horizontal="left" wrapText="1" indent="2"/>
    </xf>
    <xf numFmtId="0" fontId="6" fillId="0" borderId="11" xfId="0" applyFont="1" applyFill="1" applyBorder="1" applyAlignment="1">
      <alignment horizontal="left" wrapText="1" indent="2"/>
    </xf>
    <xf numFmtId="165" fontId="21" fillId="0" borderId="12" xfId="0" applyNumberFormat="1" applyFont="1" applyBorder="1"/>
    <xf numFmtId="0" fontId="0" fillId="0" borderId="5" xfId="0" applyBorder="1"/>
    <xf numFmtId="0" fontId="0" fillId="0" borderId="6" xfId="0" applyBorder="1"/>
    <xf numFmtId="0" fontId="0" fillId="0" borderId="7" xfId="0" applyBorder="1"/>
    <xf numFmtId="0" fontId="39" fillId="0" borderId="0" xfId="7" applyFont="1" applyFill="1" applyBorder="1" applyAlignment="1">
      <alignment horizontal="left" indent="1"/>
    </xf>
    <xf numFmtId="0" fontId="6" fillId="0" borderId="0" xfId="0" applyFont="1"/>
    <xf numFmtId="0" fontId="6" fillId="0" borderId="0" xfId="0" applyFont="1" applyFill="1" applyBorder="1"/>
    <xf numFmtId="0" fontId="6" fillId="0" borderId="10" xfId="0" applyFont="1" applyBorder="1" applyAlignment="1">
      <alignment horizontal="center"/>
    </xf>
    <xf numFmtId="0" fontId="7" fillId="0" borderId="15" xfId="0" applyFont="1" applyBorder="1" applyAlignment="1" applyProtection="1">
      <alignment horizontal="left" vertical="center" wrapText="1" indent="1"/>
      <protection locked="0"/>
    </xf>
    <xf numFmtId="0" fontId="7" fillId="0" borderId="17" xfId="0" applyFont="1" applyBorder="1" applyAlignment="1" applyProtection="1">
      <alignment horizontal="left" vertical="center" wrapText="1" indent="1"/>
      <protection locked="0"/>
    </xf>
    <xf numFmtId="165" fontId="6" fillId="0" borderId="44" xfId="0" applyNumberFormat="1" applyFont="1" applyBorder="1"/>
    <xf numFmtId="165" fontId="6" fillId="0" borderId="45" xfId="2" applyNumberFormat="1" applyFont="1" applyFill="1" applyBorder="1"/>
    <xf numFmtId="37" fontId="29" fillId="0" borderId="0" xfId="0" applyNumberFormat="1" applyFont="1" applyFill="1" applyBorder="1" applyAlignment="1">
      <alignment vertical="center"/>
    </xf>
    <xf numFmtId="167" fontId="14" fillId="0" borderId="0" xfId="5" applyNumberFormat="1" applyFont="1" applyFill="1"/>
    <xf numFmtId="167" fontId="14" fillId="20" borderId="0" xfId="5" applyNumberFormat="1" applyFont="1" applyFill="1"/>
    <xf numFmtId="167" fontId="14" fillId="5" borderId="0" xfId="1" applyNumberFormat="1" applyFont="1" applyFill="1" applyBorder="1"/>
    <xf numFmtId="0" fontId="30" fillId="0" borderId="0" xfId="0" applyFont="1" applyBorder="1"/>
    <xf numFmtId="167" fontId="30" fillId="0" borderId="0" xfId="0" applyNumberFormat="1" applyFont="1" applyBorder="1"/>
    <xf numFmtId="0" fontId="0" fillId="0" borderId="0" xfId="0" applyAlignment="1">
      <alignment horizontal="left"/>
    </xf>
    <xf numFmtId="0" fontId="4" fillId="0" borderId="0" xfId="0" applyFont="1"/>
    <xf numFmtId="167" fontId="0" fillId="24" borderId="43" xfId="1" applyNumberFormat="1" applyFont="1" applyFill="1" applyBorder="1"/>
    <xf numFmtId="167" fontId="0" fillId="25" borderId="43" xfId="1" applyNumberFormat="1" applyFont="1" applyFill="1" applyBorder="1"/>
    <xf numFmtId="167" fontId="0" fillId="26" borderId="43" xfId="1" applyNumberFormat="1" applyFont="1" applyFill="1" applyBorder="1"/>
    <xf numFmtId="167" fontId="0" fillId="0" borderId="43" xfId="1" applyNumberFormat="1" applyFont="1" applyBorder="1"/>
    <xf numFmtId="0" fontId="0" fillId="0" borderId="36" xfId="0" applyBorder="1"/>
    <xf numFmtId="44" fontId="0" fillId="6" borderId="19" xfId="2" applyNumberFormat="1" applyFont="1" applyFill="1" applyBorder="1" applyAlignment="1" applyProtection="1">
      <alignment horizontal="left" vertical="center"/>
      <protection locked="0"/>
    </xf>
    <xf numFmtId="44" fontId="0" fillId="6" borderId="16" xfId="2" applyNumberFormat="1" applyFont="1" applyFill="1" applyBorder="1" applyAlignment="1" applyProtection="1">
      <alignment horizontal="left" vertical="center"/>
      <protection locked="0"/>
    </xf>
    <xf numFmtId="0" fontId="0" fillId="0" borderId="0" xfId="0" applyAlignment="1">
      <alignment horizontal="center"/>
    </xf>
    <xf numFmtId="0" fontId="0" fillId="0" borderId="43" xfId="0" applyBorder="1"/>
    <xf numFmtId="167" fontId="0" fillId="0" borderId="43" xfId="0" applyNumberFormat="1" applyBorder="1"/>
    <xf numFmtId="37" fontId="29" fillId="16" borderId="0" xfId="0" applyNumberFormat="1" applyFont="1" applyFill="1" applyBorder="1" applyAlignment="1">
      <alignment horizontal="center" vertical="center"/>
    </xf>
    <xf numFmtId="0" fontId="0" fillId="0" borderId="0" xfId="0" applyAlignment="1">
      <alignment horizontal="center"/>
    </xf>
    <xf numFmtId="167" fontId="0" fillId="0" borderId="43" xfId="1" applyNumberFormat="1" applyFont="1" applyFill="1" applyBorder="1"/>
    <xf numFmtId="168" fontId="0" fillId="0" borderId="0" xfId="0" applyNumberFormat="1"/>
    <xf numFmtId="43" fontId="0" fillId="0" borderId="0" xfId="1" applyFont="1"/>
    <xf numFmtId="168" fontId="7" fillId="0" borderId="24" xfId="0" applyNumberFormat="1" applyFont="1" applyFill="1" applyBorder="1" applyAlignment="1" applyProtection="1">
      <alignment horizontal="left" vertical="center" wrapText="1" indent="3"/>
      <protection locked="0"/>
    </xf>
    <xf numFmtId="168" fontId="7" fillId="9" borderId="24" xfId="0" applyNumberFormat="1" applyFont="1" applyFill="1" applyBorder="1" applyAlignment="1" applyProtection="1">
      <alignment horizontal="left" vertical="center" wrapText="1" indent="3"/>
      <protection locked="0"/>
    </xf>
    <xf numFmtId="167" fontId="45" fillId="0" borderId="0" xfId="1" applyNumberFormat="1" applyFont="1" applyFill="1" applyBorder="1"/>
    <xf numFmtId="0" fontId="22" fillId="0" borderId="0" xfId="0" applyFont="1" applyAlignment="1">
      <alignment horizontal="center"/>
    </xf>
    <xf numFmtId="0" fontId="21" fillId="0" borderId="43" xfId="0" applyFont="1" applyBorder="1"/>
    <xf numFmtId="0" fontId="46" fillId="0" borderId="38" xfId="7" applyFont="1" applyBorder="1" applyAlignment="1">
      <alignment horizontal="center"/>
    </xf>
    <xf numFmtId="0" fontId="46" fillId="0" borderId="31" xfId="7" applyFont="1" applyBorder="1" applyAlignment="1">
      <alignment horizontal="left"/>
    </xf>
    <xf numFmtId="0" fontId="10" fillId="0" borderId="32" xfId="7" applyFont="1" applyBorder="1" applyAlignment="1"/>
    <xf numFmtId="0" fontId="47" fillId="0" borderId="24" xfId="11" applyFont="1" applyBorder="1" applyAlignment="1">
      <alignment horizontal="center" wrapText="1"/>
    </xf>
    <xf numFmtId="0" fontId="47" fillId="0" borderId="24" xfId="11" applyFont="1" applyFill="1" applyBorder="1" applyAlignment="1">
      <alignment horizontal="center" wrapText="1"/>
    </xf>
    <xf numFmtId="0" fontId="38" fillId="19" borderId="24" xfId="5" applyNumberFormat="1" applyFont="1" applyFill="1" applyBorder="1" applyAlignment="1">
      <alignment horizontal="center" wrapText="1"/>
    </xf>
    <xf numFmtId="0" fontId="39" fillId="0" borderId="0" xfId="7" applyFont="1"/>
    <xf numFmtId="0" fontId="46" fillId="0" borderId="0" xfId="7" applyFont="1" applyBorder="1" applyAlignment="1">
      <alignment horizontal="center"/>
    </xf>
    <xf numFmtId="49" fontId="39" fillId="0" borderId="0" xfId="7" applyNumberFormat="1" applyFont="1" applyFill="1" applyAlignment="1">
      <alignment vertical="center"/>
    </xf>
    <xf numFmtId="0" fontId="12" fillId="0" borderId="0" xfId="7" applyFont="1" applyFill="1" applyAlignment="1">
      <alignment vertical="center"/>
    </xf>
    <xf numFmtId="41" fontId="10" fillId="0" borderId="0" xfId="7" applyNumberFormat="1" applyFont="1" applyFill="1" applyAlignment="1">
      <alignment vertical="center"/>
    </xf>
    <xf numFmtId="0" fontId="0" fillId="17" borderId="31" xfId="0" applyFill="1" applyBorder="1"/>
    <xf numFmtId="0" fontId="21" fillId="20" borderId="0" xfId="0" applyFont="1" applyFill="1"/>
    <xf numFmtId="167" fontId="33" fillId="20" borderId="0" xfId="0" applyNumberFormat="1" applyFont="1" applyFill="1"/>
    <xf numFmtId="0" fontId="39" fillId="0" borderId="0" xfId="7" applyFont="1" applyFill="1"/>
    <xf numFmtId="0" fontId="12" fillId="0" borderId="0" xfId="7" applyFont="1" applyFill="1" applyAlignment="1">
      <alignment horizontal="left" indent="2"/>
    </xf>
    <xf numFmtId="41" fontId="39" fillId="9" borderId="0" xfId="7" applyNumberFormat="1" applyFont="1" applyFill="1"/>
    <xf numFmtId="0" fontId="48" fillId="0" borderId="0" xfId="7" applyFont="1" applyAlignment="1">
      <alignment horizontal="left" indent="1"/>
    </xf>
    <xf numFmtId="167" fontId="49" fillId="11" borderId="0" xfId="0" applyNumberFormat="1" applyFont="1" applyFill="1"/>
    <xf numFmtId="167" fontId="33" fillId="0" borderId="0" xfId="0" applyNumberFormat="1" applyFont="1"/>
    <xf numFmtId="0" fontId="46" fillId="0" borderId="0" xfId="7" applyFont="1" applyBorder="1" applyAlignment="1">
      <alignment horizontal="left"/>
    </xf>
    <xf numFmtId="0" fontId="10" fillId="0" borderId="0" xfId="7" applyFont="1"/>
    <xf numFmtId="167" fontId="49" fillId="0" borderId="0" xfId="0" applyNumberFormat="1" applyFont="1" applyFill="1"/>
    <xf numFmtId="49" fontId="39" fillId="0" borderId="0" xfId="7" applyNumberFormat="1" applyFont="1" applyAlignment="1">
      <alignment vertical="center"/>
    </xf>
    <xf numFmtId="0" fontId="12" fillId="0" borderId="0" xfId="7" applyFont="1" applyAlignment="1">
      <alignment vertical="center"/>
    </xf>
    <xf numFmtId="0" fontId="21" fillId="0" borderId="0" xfId="0" applyFont="1" applyAlignment="1">
      <alignment horizontal="left" indent="1"/>
    </xf>
    <xf numFmtId="167" fontId="33" fillId="26" borderId="0" xfId="0" applyNumberFormat="1" applyFont="1" applyFill="1"/>
    <xf numFmtId="41" fontId="10" fillId="0" borderId="0" xfId="7" applyNumberFormat="1" applyFont="1" applyFill="1" applyBorder="1" applyAlignment="1">
      <alignment vertical="center"/>
    </xf>
    <xf numFmtId="41" fontId="10" fillId="20" borderId="0" xfId="7" applyNumberFormat="1" applyFont="1" applyFill="1" applyBorder="1" applyAlignment="1">
      <alignment vertical="center"/>
    </xf>
    <xf numFmtId="0" fontId="12" fillId="20" borderId="0" xfId="7" applyFont="1" applyFill="1"/>
    <xf numFmtId="0" fontId="48" fillId="0" borderId="0" xfId="7" applyFont="1" applyFill="1" applyAlignment="1">
      <alignment horizontal="left" indent="1"/>
    </xf>
    <xf numFmtId="167" fontId="49" fillId="30" borderId="0" xfId="0" applyNumberFormat="1" applyFont="1" applyFill="1"/>
    <xf numFmtId="0" fontId="12" fillId="0" borderId="0" xfId="0" applyFont="1" applyAlignment="1">
      <alignment horizontal="left" indent="2"/>
    </xf>
    <xf numFmtId="0" fontId="12" fillId="0" borderId="0" xfId="7" applyFont="1" applyFill="1" applyBorder="1" applyAlignment="1">
      <alignment vertical="center"/>
    </xf>
    <xf numFmtId="0" fontId="48" fillId="0" borderId="0" xfId="7" applyFont="1" applyFill="1" applyBorder="1" applyAlignment="1">
      <alignment horizontal="left" indent="1"/>
    </xf>
    <xf numFmtId="167" fontId="49" fillId="4" borderId="0" xfId="0" applyNumberFormat="1" applyFont="1" applyFill="1" applyBorder="1"/>
    <xf numFmtId="167" fontId="33" fillId="17" borderId="31" xfId="0" applyNumberFormat="1" applyFont="1" applyFill="1" applyBorder="1"/>
    <xf numFmtId="0" fontId="39" fillId="0" borderId="0" xfId="7" applyFont="1" applyFill="1" applyAlignment="1">
      <alignment horizontal="left" indent="1"/>
    </xf>
    <xf numFmtId="167" fontId="33" fillId="0" borderId="0" xfId="0" applyNumberFormat="1" applyFont="1" applyFill="1"/>
    <xf numFmtId="167" fontId="33" fillId="9" borderId="0" xfId="0" applyNumberFormat="1" applyFont="1" applyFill="1"/>
    <xf numFmtId="167" fontId="33" fillId="0" borderId="0" xfId="0" applyNumberFormat="1" applyFont="1" applyFill="1" applyBorder="1"/>
    <xf numFmtId="0" fontId="0" fillId="0" borderId="46" xfId="0" applyBorder="1"/>
    <xf numFmtId="0" fontId="22" fillId="0" borderId="0" xfId="0" applyFont="1"/>
    <xf numFmtId="0" fontId="39" fillId="0" borderId="0" xfId="0" applyFont="1" applyAlignment="1">
      <alignment horizontal="left" indent="1"/>
    </xf>
    <xf numFmtId="41" fontId="39" fillId="9" borderId="0" xfId="0" applyNumberFormat="1" applyFont="1" applyFill="1"/>
    <xf numFmtId="0" fontId="51" fillId="0" borderId="0" xfId="0" applyFont="1"/>
    <xf numFmtId="167" fontId="52" fillId="0" borderId="0" xfId="0" applyNumberFormat="1" applyFont="1" applyFill="1"/>
    <xf numFmtId="0" fontId="53" fillId="0" borderId="0" xfId="7" applyFont="1" applyAlignment="1">
      <alignment vertical="center"/>
    </xf>
    <xf numFmtId="0" fontId="12" fillId="0" borderId="0" xfId="7" applyFont="1" applyFill="1"/>
    <xf numFmtId="49" fontId="39" fillId="0" borderId="0" xfId="7" applyNumberFormat="1" applyFont="1" applyBorder="1" applyAlignment="1">
      <alignment vertical="center"/>
    </xf>
    <xf numFmtId="0" fontId="6" fillId="17" borderId="31" xfId="0" applyFont="1" applyFill="1" applyBorder="1"/>
    <xf numFmtId="167" fontId="49" fillId="17" borderId="31" xfId="0" applyNumberFormat="1" applyFont="1" applyFill="1" applyBorder="1"/>
    <xf numFmtId="41" fontId="39" fillId="0" borderId="0" xfId="7" applyNumberFormat="1" applyFont="1"/>
    <xf numFmtId="167" fontId="10" fillId="0" borderId="31" xfId="5" applyNumberFormat="1" applyFont="1" applyFill="1" applyBorder="1" applyAlignment="1">
      <alignment vertical="center"/>
    </xf>
    <xf numFmtId="0" fontId="39" fillId="0" borderId="0" xfId="7" applyFont="1" applyFill="1" applyBorder="1" applyAlignment="1">
      <alignment vertical="center"/>
    </xf>
    <xf numFmtId="0" fontId="12" fillId="0" borderId="0" xfId="7" applyFont="1" applyFill="1" applyAlignment="1">
      <alignment horizontal="right" vertical="center"/>
    </xf>
    <xf numFmtId="167" fontId="10" fillId="0" borderId="0" xfId="5" applyNumberFormat="1" applyFont="1" applyFill="1" applyBorder="1" applyAlignment="1">
      <alignment vertical="center"/>
    </xf>
    <xf numFmtId="0" fontId="10" fillId="0" borderId="0" xfId="7" applyFont="1" applyFill="1"/>
    <xf numFmtId="49" fontId="12" fillId="0" borderId="0" xfId="7" applyNumberFormat="1" applyFont="1" applyAlignment="1">
      <alignment vertical="center"/>
    </xf>
    <xf numFmtId="49" fontId="10" fillId="0" borderId="0" xfId="7" applyNumberFormat="1" applyFont="1" applyAlignment="1">
      <alignment vertical="center"/>
    </xf>
    <xf numFmtId="0" fontId="14" fillId="0" borderId="0" xfId="6"/>
    <xf numFmtId="0" fontId="21" fillId="0" borderId="0" xfId="0" applyFont="1" applyFill="1" applyBorder="1"/>
    <xf numFmtId="167" fontId="49" fillId="0" borderId="0" xfId="0" applyNumberFormat="1" applyFont="1" applyFill="1" applyBorder="1"/>
    <xf numFmtId="0" fontId="25" fillId="0" borderId="0" xfId="0" applyFont="1" applyFill="1" applyAlignment="1"/>
    <xf numFmtId="0" fontId="32" fillId="0" borderId="0" xfId="0" applyFont="1"/>
    <xf numFmtId="0" fontId="30" fillId="0" borderId="2" xfId="0" applyFont="1" applyBorder="1"/>
    <xf numFmtId="0" fontId="30" fillId="0" borderId="3" xfId="0" applyFont="1" applyBorder="1"/>
    <xf numFmtId="167" fontId="32" fillId="0" borderId="4" xfId="1" applyNumberFormat="1" applyFont="1" applyBorder="1"/>
    <xf numFmtId="41" fontId="30" fillId="0" borderId="2" xfId="0" applyNumberFormat="1" applyFont="1" applyBorder="1"/>
    <xf numFmtId="167" fontId="30" fillId="20" borderId="0" xfId="1" applyNumberFormat="1" applyFont="1" applyFill="1"/>
    <xf numFmtId="167" fontId="30" fillId="0" borderId="0" xfId="1" applyNumberFormat="1" applyFont="1"/>
    <xf numFmtId="167" fontId="30" fillId="0" borderId="0" xfId="0" applyNumberFormat="1" applyFont="1" applyFill="1"/>
    <xf numFmtId="0" fontId="30" fillId="3" borderId="0" xfId="0" applyFont="1" applyFill="1" applyBorder="1"/>
    <xf numFmtId="0" fontId="30" fillId="5" borderId="0" xfId="0" applyFont="1" applyFill="1"/>
    <xf numFmtId="43" fontId="30" fillId="0" borderId="0" xfId="0" applyNumberFormat="1" applyFont="1"/>
    <xf numFmtId="164" fontId="30" fillId="0" borderId="0" xfId="3" applyNumberFormat="1" applyFont="1" applyFill="1"/>
    <xf numFmtId="167" fontId="30" fillId="0" borderId="0" xfId="1" applyNumberFormat="1" applyFont="1" applyBorder="1"/>
    <xf numFmtId="167" fontId="56" fillId="0" borderId="0" xfId="0" applyNumberFormat="1" applyFont="1"/>
    <xf numFmtId="41" fontId="26" fillId="0" borderId="0" xfId="0" applyNumberFormat="1" applyFont="1"/>
    <xf numFmtId="0" fontId="29" fillId="16" borderId="36" xfId="0" applyFont="1" applyFill="1" applyBorder="1" applyAlignment="1">
      <alignment horizontal="center" vertical="center" wrapText="1"/>
    </xf>
    <xf numFmtId="43" fontId="14" fillId="0" borderId="0" xfId="0" applyNumberFormat="1" applyFont="1"/>
    <xf numFmtId="167" fontId="57" fillId="0" borderId="0" xfId="1" applyNumberFormat="1" applyFont="1" applyFill="1"/>
    <xf numFmtId="167" fontId="30" fillId="0" borderId="0" xfId="1" applyNumberFormat="1" applyFont="1" applyFill="1" applyBorder="1"/>
    <xf numFmtId="167" fontId="30" fillId="19" borderId="0" xfId="1" applyNumberFormat="1" applyFont="1" applyFill="1" applyBorder="1"/>
    <xf numFmtId="167" fontId="30" fillId="20" borderId="0" xfId="1" applyNumberFormat="1" applyFont="1" applyFill="1" applyBorder="1"/>
    <xf numFmtId="167" fontId="30" fillId="0" borderId="0" xfId="1" applyNumberFormat="1" applyFont="1" applyFill="1" applyBorder="1" applyAlignment="1">
      <alignment horizontal="left" indent="1"/>
    </xf>
    <xf numFmtId="167" fontId="0" fillId="5" borderId="0" xfId="1" applyNumberFormat="1" applyFont="1" applyFill="1"/>
    <xf numFmtId="0" fontId="7" fillId="0" borderId="31" xfId="0" applyFont="1" applyBorder="1"/>
    <xf numFmtId="0" fontId="49" fillId="32" borderId="31" xfId="0" applyFont="1" applyFill="1" applyBorder="1" applyAlignment="1" applyProtection="1">
      <alignment horizontal="center" vertical="top" wrapText="1"/>
      <protection locked="0"/>
    </xf>
    <xf numFmtId="0" fontId="4" fillId="0" borderId="31" xfId="12" applyFont="1" applyFill="1" applyBorder="1" applyAlignment="1">
      <alignment vertical="center"/>
    </xf>
    <xf numFmtId="0" fontId="49" fillId="0" borderId="47" xfId="0" applyFont="1" applyBorder="1" applyAlignment="1" applyProtection="1">
      <alignment horizontal="left" vertical="top" indent="1"/>
      <protection locked="0"/>
    </xf>
    <xf numFmtId="169" fontId="21" fillId="0" borderId="0" xfId="0" applyNumberFormat="1" applyFont="1" applyBorder="1" applyAlignment="1" applyProtection="1">
      <alignment vertical="top" wrapText="1"/>
      <protection locked="0"/>
    </xf>
    <xf numFmtId="169" fontId="60" fillId="0" borderId="0" xfId="0" applyNumberFormat="1" applyFont="1" applyBorder="1" applyAlignment="1" applyProtection="1">
      <alignment vertical="top" wrapText="1"/>
      <protection locked="0"/>
    </xf>
    <xf numFmtId="0" fontId="4" fillId="0" borderId="0" xfId="12" applyFont="1" applyFill="1" applyBorder="1" applyAlignment="1">
      <alignment vertical="center"/>
    </xf>
    <xf numFmtId="42" fontId="1" fillId="0" borderId="0" xfId="12" applyNumberFormat="1" applyFont="1" applyFill="1" applyBorder="1" applyAlignment="1"/>
    <xf numFmtId="42" fontId="21" fillId="0" borderId="0" xfId="0" applyNumberFormat="1" applyFont="1" applyBorder="1"/>
    <xf numFmtId="42" fontId="21" fillId="0" borderId="0" xfId="0" applyNumberFormat="1" applyFont="1" applyFill="1" applyBorder="1"/>
    <xf numFmtId="165" fontId="21" fillId="0" borderId="0" xfId="0" applyNumberFormat="1" applyFont="1" applyBorder="1"/>
    <xf numFmtId="0" fontId="49" fillId="32" borderId="47" xfId="0" applyFont="1" applyFill="1" applyBorder="1" applyAlignment="1" applyProtection="1">
      <alignment horizontal="left" vertical="top" indent="1"/>
      <protection locked="0"/>
    </xf>
    <xf numFmtId="42" fontId="1" fillId="0" borderId="0" xfId="12" applyNumberFormat="1" applyFont="1" applyFill="1" applyBorder="1" applyAlignment="1">
      <alignment wrapText="1"/>
    </xf>
    <xf numFmtId="42" fontId="60" fillId="0" borderId="0" xfId="0" applyNumberFormat="1" applyFont="1" applyFill="1" applyBorder="1"/>
    <xf numFmtId="0" fontId="49" fillId="0" borderId="0" xfId="0" applyFont="1" applyAlignment="1" applyProtection="1">
      <alignment horizontal="left" vertical="top" indent="1"/>
      <protection locked="0"/>
    </xf>
    <xf numFmtId="0" fontId="49" fillId="0" borderId="31" xfId="0" applyFont="1" applyBorder="1" applyAlignment="1" applyProtection="1">
      <alignment horizontal="left" vertical="top" wrapText="1" indent="1"/>
      <protection locked="0"/>
    </xf>
    <xf numFmtId="169" fontId="61" fillId="0" borderId="31" xfId="0" applyNumberFormat="1" applyFont="1" applyBorder="1" applyAlignment="1" applyProtection="1">
      <alignment vertical="top" wrapText="1"/>
      <protection locked="0"/>
    </xf>
    <xf numFmtId="169" fontId="51" fillId="0" borderId="0" xfId="0" applyNumberFormat="1" applyFont="1"/>
    <xf numFmtId="0" fontId="1" fillId="0" borderId="0" xfId="12" applyFill="1" applyBorder="1"/>
    <xf numFmtId="164" fontId="21" fillId="0" borderId="0" xfId="3" applyNumberFormat="1" applyFont="1" applyBorder="1"/>
    <xf numFmtId="164" fontId="21" fillId="0" borderId="0" xfId="3" applyNumberFormat="1" applyFont="1" applyFill="1" applyBorder="1"/>
    <xf numFmtId="42" fontId="1" fillId="0" borderId="34" xfId="12" applyNumberFormat="1" applyFont="1" applyFill="1" applyBorder="1" applyAlignment="1"/>
    <xf numFmtId="169" fontId="21" fillId="0" borderId="34" xfId="0" applyNumberFormat="1" applyFont="1" applyBorder="1" applyAlignment="1" applyProtection="1">
      <alignment vertical="top" wrapText="1"/>
      <protection locked="0"/>
    </xf>
    <xf numFmtId="169" fontId="60" fillId="0" borderId="34" xfId="0" applyNumberFormat="1" applyFont="1" applyBorder="1" applyAlignment="1" applyProtection="1">
      <alignment vertical="top" wrapText="1"/>
      <protection locked="0"/>
    </xf>
    <xf numFmtId="0" fontId="0" fillId="0" borderId="34" xfId="0" applyBorder="1"/>
    <xf numFmtId="169" fontId="22" fillId="0" borderId="0" xfId="0" applyNumberFormat="1" applyFont="1" applyBorder="1" applyAlignment="1" applyProtection="1">
      <alignment vertical="top" wrapText="1"/>
      <protection locked="0"/>
    </xf>
    <xf numFmtId="42" fontId="21" fillId="0" borderId="36" xfId="0" applyNumberFormat="1" applyFont="1" applyBorder="1"/>
    <xf numFmtId="0" fontId="6" fillId="0" borderId="36" xfId="0" applyFont="1" applyBorder="1"/>
    <xf numFmtId="169" fontId="22" fillId="0" borderId="36" xfId="0" applyNumberFormat="1" applyFont="1" applyBorder="1" applyAlignment="1" applyProtection="1">
      <alignment vertical="top" wrapText="1"/>
      <protection locked="0"/>
    </xf>
    <xf numFmtId="169" fontId="61" fillId="0" borderId="36" xfId="0" applyNumberFormat="1" applyFont="1" applyBorder="1" applyAlignment="1" applyProtection="1">
      <alignment vertical="top" wrapText="1"/>
      <protection locked="0"/>
    </xf>
    <xf numFmtId="167" fontId="62" fillId="0" borderId="0" xfId="1" applyNumberFormat="1" applyFont="1"/>
    <xf numFmtId="0" fontId="1" fillId="0" borderId="0" xfId="12" applyFont="1" applyFill="1" applyBorder="1"/>
    <xf numFmtId="167" fontId="64" fillId="0" borderId="43" xfId="1" applyNumberFormat="1" applyFont="1" applyBorder="1"/>
    <xf numFmtId="0" fontId="3" fillId="0" borderId="0" xfId="0" applyFont="1"/>
    <xf numFmtId="9" fontId="0" fillId="0" borderId="43" xfId="3" applyFont="1" applyBorder="1"/>
    <xf numFmtId="42" fontId="21" fillId="0" borderId="43" xfId="0" applyNumberFormat="1" applyFont="1" applyBorder="1"/>
    <xf numFmtId="42" fontId="21" fillId="0" borderId="43" xfId="0" applyNumberFormat="1" applyFont="1" applyFill="1" applyBorder="1"/>
    <xf numFmtId="167" fontId="3" fillId="0" borderId="0" xfId="1" applyNumberFormat="1" applyFont="1"/>
    <xf numFmtId="167" fontId="58" fillId="0" borderId="43" xfId="0" applyNumberFormat="1" applyFont="1" applyBorder="1"/>
    <xf numFmtId="10" fontId="0" fillId="5" borderId="18" xfId="0" applyNumberFormat="1" applyFont="1" applyFill="1" applyBorder="1" applyAlignment="1" applyProtection="1">
      <alignment horizontal="center" vertical="center"/>
      <protection locked="0"/>
    </xf>
    <xf numFmtId="44" fontId="0" fillId="6" borderId="18" xfId="2" applyNumberFormat="1" applyFont="1" applyFill="1" applyBorder="1" applyAlignment="1" applyProtection="1">
      <alignment horizontal="left" vertical="center"/>
      <protection locked="0"/>
    </xf>
    <xf numFmtId="0" fontId="65" fillId="0" borderId="11" xfId="0" applyFont="1" applyBorder="1" applyAlignment="1" applyProtection="1">
      <alignment horizontal="left" vertical="center" indent="1"/>
      <protection locked="0"/>
    </xf>
    <xf numFmtId="0" fontId="5" fillId="0" borderId="0" xfId="0" applyFont="1"/>
    <xf numFmtId="0" fontId="66" fillId="0" borderId="0" xfId="0" applyFont="1"/>
    <xf numFmtId="0" fontId="67" fillId="0" borderId="43" xfId="0" applyFont="1" applyBorder="1"/>
    <xf numFmtId="0" fontId="6" fillId="0" borderId="43" xfId="0" applyFont="1" applyBorder="1" applyAlignment="1">
      <alignment horizontal="center" wrapText="1"/>
    </xf>
    <xf numFmtId="0" fontId="67" fillId="0" borderId="43" xfId="0" applyFont="1" applyBorder="1" applyAlignment="1">
      <alignment horizontal="center"/>
    </xf>
    <xf numFmtId="0" fontId="67" fillId="0" borderId="43" xfId="0" applyFont="1" applyBorder="1" applyAlignment="1">
      <alignment horizontal="center" wrapText="1"/>
    </xf>
    <xf numFmtId="167" fontId="68" fillId="0" borderId="0" xfId="1" applyNumberFormat="1" applyFont="1" applyFill="1" applyBorder="1"/>
    <xf numFmtId="167" fontId="68" fillId="5" borderId="31" xfId="0" applyNumberFormat="1" applyFont="1" applyFill="1" applyBorder="1"/>
    <xf numFmtId="0" fontId="69" fillId="0" borderId="0" xfId="0" applyFont="1" applyFill="1"/>
    <xf numFmtId="0" fontId="69" fillId="0" borderId="0" xfId="0" applyFont="1"/>
    <xf numFmtId="10" fontId="21" fillId="0" borderId="0" xfId="3" applyNumberFormat="1" applyFont="1"/>
    <xf numFmtId="167" fontId="21" fillId="0" borderId="0" xfId="1" applyNumberFormat="1" applyFont="1"/>
    <xf numFmtId="4" fontId="0" fillId="0" borderId="0" xfId="0" applyNumberFormat="1"/>
    <xf numFmtId="167" fontId="3" fillId="0" borderId="0" xfId="1" applyNumberFormat="1" applyFont="1" applyFill="1"/>
    <xf numFmtId="0" fontId="1" fillId="0" borderId="0" xfId="0" applyFont="1"/>
    <xf numFmtId="0" fontId="67" fillId="0" borderId="0" xfId="0" applyFont="1" applyBorder="1" applyAlignment="1">
      <alignment horizontal="center"/>
    </xf>
    <xf numFmtId="167" fontId="70" fillId="0" borderId="0" xfId="1" applyNumberFormat="1" applyFont="1"/>
    <xf numFmtId="167" fontId="3" fillId="0" borderId="0" xfId="1" applyNumberFormat="1" applyFont="1" applyBorder="1"/>
    <xf numFmtId="167" fontId="3" fillId="0" borderId="0" xfId="0" applyNumberFormat="1" applyFont="1"/>
    <xf numFmtId="10" fontId="14" fillId="19" borderId="0" xfId="3" applyNumberFormat="1" applyFont="1" applyFill="1"/>
    <xf numFmtId="10" fontId="14" fillId="0" borderId="0" xfId="3" applyNumberFormat="1" applyFont="1" applyFill="1"/>
    <xf numFmtId="10" fontId="14" fillId="0" borderId="0" xfId="3" applyNumberFormat="1" applyFont="1" applyFill="1" applyBorder="1"/>
    <xf numFmtId="10" fontId="14" fillId="20" borderId="0" xfId="3" applyNumberFormat="1" applyFont="1" applyFill="1"/>
    <xf numFmtId="10" fontId="14" fillId="5" borderId="31" xfId="3" applyNumberFormat="1" applyFont="1" applyFill="1" applyBorder="1"/>
    <xf numFmtId="10" fontId="34" fillId="21" borderId="43" xfId="3" applyNumberFormat="1" applyFont="1" applyFill="1" applyBorder="1"/>
    <xf numFmtId="164" fontId="44" fillId="29" borderId="1" xfId="10" applyNumberFormat="1"/>
    <xf numFmtId="43" fontId="30" fillId="0" borderId="0" xfId="1" applyFont="1"/>
    <xf numFmtId="0" fontId="6" fillId="0" borderId="0" xfId="0" applyFont="1" applyFill="1" applyAlignment="1">
      <alignment horizontal="center"/>
    </xf>
    <xf numFmtId="37" fontId="29" fillId="0" borderId="31" xfId="0" applyNumberFormat="1" applyFont="1" applyBorder="1" applyAlignment="1">
      <alignment horizontal="center" vertical="center" wrapText="1"/>
    </xf>
    <xf numFmtId="37" fontId="29" fillId="0" borderId="0" xfId="0" applyNumberFormat="1" applyFont="1" applyFill="1" applyBorder="1" applyAlignment="1">
      <alignment horizontal="center" vertical="center" wrapText="1"/>
    </xf>
    <xf numFmtId="0" fontId="32" fillId="0" borderId="31" xfId="0" applyFont="1" applyBorder="1" applyAlignment="1">
      <alignment horizontal="center" wrapText="1"/>
    </xf>
    <xf numFmtId="37" fontId="29" fillId="0" borderId="31" xfId="0" applyNumberFormat="1" applyFont="1" applyFill="1" applyBorder="1" applyAlignment="1">
      <alignment horizontal="center" vertical="center" wrapText="1"/>
    </xf>
    <xf numFmtId="0" fontId="31" fillId="0" borderId="0" xfId="0" applyFont="1" applyFill="1"/>
    <xf numFmtId="0" fontId="71" fillId="0" borderId="0" xfId="0" applyFont="1"/>
    <xf numFmtId="37" fontId="29" fillId="17" borderId="0" xfId="0" applyNumberFormat="1" applyFont="1" applyFill="1" applyBorder="1" applyAlignment="1">
      <alignment vertical="center"/>
    </xf>
    <xf numFmtId="37" fontId="29" fillId="23" borderId="36"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42" fillId="27" borderId="0" xfId="8" applyAlignment="1"/>
    <xf numFmtId="0" fontId="30" fillId="0" borderId="46" xfId="0" applyFont="1" applyBorder="1"/>
    <xf numFmtId="41" fontId="30" fillId="0" borderId="43" xfId="0" applyNumberFormat="1" applyFont="1" applyBorder="1"/>
    <xf numFmtId="167" fontId="42" fillId="27" borderId="0" xfId="8" applyNumberFormat="1" applyAlignment="1"/>
    <xf numFmtId="167" fontId="34" fillId="0" borderId="0" xfId="1" applyNumberFormat="1" applyFont="1" applyFill="1" applyBorder="1"/>
    <xf numFmtId="0" fontId="25" fillId="0" borderId="0" xfId="0" applyFont="1" applyFill="1" applyBorder="1" applyAlignment="1"/>
    <xf numFmtId="0" fontId="0" fillId="0" borderId="0" xfId="0" applyFill="1" applyBorder="1" applyAlignment="1">
      <alignment wrapText="1"/>
    </xf>
    <xf numFmtId="167" fontId="32" fillId="0" borderId="0" xfId="0" applyNumberFormat="1" applyFont="1" applyFill="1" applyBorder="1"/>
    <xf numFmtId="167" fontId="29" fillId="0" borderId="0" xfId="6" applyNumberFormat="1" applyFont="1" applyFill="1" applyBorder="1"/>
    <xf numFmtId="0" fontId="8" fillId="0" borderId="0" xfId="0" applyFont="1" applyBorder="1" applyAlignment="1"/>
    <xf numFmtId="0" fontId="8" fillId="0" borderId="0" xfId="0" applyFont="1" applyFill="1" applyBorder="1" applyAlignment="1"/>
    <xf numFmtId="0" fontId="29" fillId="0" borderId="0" xfId="0" applyFont="1" applyFill="1" applyBorder="1" applyAlignment="1">
      <alignment wrapText="1"/>
    </xf>
    <xf numFmtId="0" fontId="31" fillId="0" borderId="0" xfId="0" applyFont="1" applyFill="1" applyBorder="1"/>
    <xf numFmtId="0" fontId="8" fillId="0" borderId="0" xfId="0" applyFont="1" applyAlignment="1"/>
    <xf numFmtId="0" fontId="0" fillId="0" borderId="0" xfId="0" applyFont="1" applyBorder="1" applyProtection="1">
      <protection locked="0"/>
    </xf>
    <xf numFmtId="0" fontId="0" fillId="0" borderId="0" xfId="0" applyFont="1" applyFill="1" applyBorder="1" applyProtection="1">
      <protection locked="0"/>
    </xf>
    <xf numFmtId="0" fontId="0" fillId="0" borderId="9" xfId="0" applyFont="1" applyBorder="1" applyProtection="1">
      <protection locked="0"/>
    </xf>
    <xf numFmtId="164" fontId="2" fillId="2" borderId="48" xfId="4" applyNumberFormat="1" applyBorder="1" applyAlignment="1" applyProtection="1">
      <alignment horizontal="center"/>
      <protection locked="0"/>
    </xf>
    <xf numFmtId="164" fontId="2" fillId="2" borderId="1" xfId="4" applyNumberFormat="1" applyBorder="1" applyAlignment="1" applyProtection="1">
      <alignment horizontal="center"/>
      <protection locked="0"/>
    </xf>
    <xf numFmtId="9" fontId="2" fillId="2" borderId="1" xfId="4" applyNumberFormat="1" applyBorder="1" applyAlignment="1" applyProtection="1">
      <alignment horizontal="center" vertical="center"/>
      <protection locked="0"/>
    </xf>
    <xf numFmtId="43" fontId="2" fillId="2" borderId="1" xfId="4" applyNumberFormat="1" applyBorder="1" applyAlignment="1" applyProtection="1">
      <alignment horizontal="center" vertical="center"/>
      <protection locked="0"/>
    </xf>
    <xf numFmtId="0" fontId="0" fillId="0" borderId="11" xfId="0" applyFont="1" applyFill="1" applyBorder="1" applyAlignment="1" applyProtection="1">
      <alignment wrapText="1"/>
      <protection locked="0"/>
    </xf>
    <xf numFmtId="0" fontId="2" fillId="2" borderId="1" xfId="4" applyBorder="1"/>
    <xf numFmtId="0" fontId="2" fillId="2" borderId="49" xfId="4" applyBorder="1"/>
    <xf numFmtId="0" fontId="16" fillId="0" borderId="0" xfId="0" applyFont="1" applyBorder="1" applyAlignment="1"/>
    <xf numFmtId="0" fontId="25" fillId="35" borderId="0" xfId="0" applyFont="1" applyFill="1" applyAlignment="1"/>
    <xf numFmtId="165" fontId="58" fillId="6" borderId="16" xfId="2" applyNumberFormat="1" applyFont="1" applyFill="1" applyBorder="1" applyAlignment="1" applyProtection="1">
      <alignment horizontal="left" vertical="center"/>
      <protection locked="0"/>
    </xf>
    <xf numFmtId="43" fontId="30" fillId="0" borderId="0" xfId="1" applyFont="1" applyBorder="1"/>
    <xf numFmtId="164" fontId="42" fillId="27" borderId="0" xfId="8" applyNumberFormat="1" applyBorder="1"/>
    <xf numFmtId="0" fontId="42" fillId="27" borderId="0" xfId="8"/>
    <xf numFmtId="10" fontId="0" fillId="8" borderId="14" xfId="0" applyNumberFormat="1" applyFont="1" applyFill="1" applyBorder="1" applyAlignment="1" applyProtection="1">
      <alignment horizontal="center" vertical="center"/>
      <protection locked="0"/>
    </xf>
    <xf numFmtId="165" fontId="0" fillId="0" borderId="0" xfId="0" applyNumberFormat="1" applyFill="1"/>
    <xf numFmtId="0" fontId="0" fillId="0" borderId="0" xfId="0" applyFill="1" applyAlignment="1">
      <alignment wrapText="1"/>
    </xf>
    <xf numFmtId="0" fontId="75" fillId="0" borderId="0" xfId="0" applyFont="1" applyBorder="1" applyAlignment="1"/>
    <xf numFmtId="0" fontId="0" fillId="0" borderId="5" xfId="0" applyFont="1" applyFill="1" applyBorder="1" applyAlignment="1" applyProtection="1">
      <alignment wrapText="1"/>
      <protection locked="0"/>
    </xf>
    <xf numFmtId="37" fontId="30" fillId="0" borderId="0" xfId="0" applyNumberFormat="1" applyFont="1"/>
    <xf numFmtId="41" fontId="50" fillId="9" borderId="12" xfId="7" applyNumberFormat="1" applyFont="1" applyFill="1" applyBorder="1"/>
    <xf numFmtId="0" fontId="25" fillId="34" borderId="0" xfId="0" applyFont="1" applyFill="1" applyAlignment="1"/>
    <xf numFmtId="0" fontId="0" fillId="0" borderId="43" xfId="0" applyFont="1" applyBorder="1" applyAlignment="1">
      <alignment horizontal="center"/>
    </xf>
    <xf numFmtId="170" fontId="0" fillId="0" borderId="0" xfId="1" applyNumberFormat="1" applyFont="1"/>
    <xf numFmtId="170" fontId="0" fillId="0" borderId="0" xfId="0" applyNumberFormat="1"/>
    <xf numFmtId="43" fontId="42" fillId="27" borderId="0" xfId="8" applyNumberFormat="1"/>
    <xf numFmtId="0" fontId="0" fillId="0" borderId="0" xfId="0"/>
    <xf numFmtId="0" fontId="26" fillId="0" borderId="0" xfId="0" applyFont="1"/>
    <xf numFmtId="0" fontId="29" fillId="0" borderId="36" xfId="0" applyFont="1" applyBorder="1" applyAlignment="1">
      <alignment horizontal="center" vertical="center" wrapText="1"/>
    </xf>
    <xf numFmtId="167" fontId="14" fillId="19" borderId="0" xfId="1" applyNumberFormat="1" applyFont="1" applyFill="1"/>
    <xf numFmtId="0" fontId="30" fillId="0" borderId="0" xfId="0" applyFont="1"/>
    <xf numFmtId="167" fontId="14" fillId="19" borderId="0" xfId="5" applyNumberFormat="1" applyFont="1" applyFill="1"/>
    <xf numFmtId="167" fontId="14" fillId="20" borderId="0" xfId="1" applyNumberFormat="1" applyFont="1" applyFill="1"/>
    <xf numFmtId="0" fontId="30" fillId="0" borderId="0" xfId="0" applyFont="1" applyFill="1"/>
    <xf numFmtId="167" fontId="14" fillId="0" borderId="0" xfId="1" applyNumberFormat="1" applyFont="1" applyFill="1"/>
    <xf numFmtId="0" fontId="30" fillId="0" borderId="0" xfId="0" applyFont="1" applyFill="1" applyBorder="1"/>
    <xf numFmtId="0" fontId="14" fillId="0" borderId="0" xfId="0" applyFont="1"/>
    <xf numFmtId="167" fontId="30" fillId="0" borderId="0" xfId="0" applyNumberFormat="1" applyFont="1"/>
    <xf numFmtId="167" fontId="14" fillId="0" borderId="0" xfId="0" applyNumberFormat="1" applyFont="1"/>
    <xf numFmtId="167" fontId="14" fillId="0" borderId="0" xfId="1" applyNumberFormat="1" applyFont="1" applyFill="1" applyBorder="1"/>
    <xf numFmtId="167" fontId="14" fillId="20" borderId="0" xfId="1" applyNumberFormat="1" applyFont="1" applyFill="1" applyBorder="1"/>
    <xf numFmtId="167" fontId="32" fillId="5" borderId="31" xfId="0" applyNumberFormat="1" applyFont="1" applyFill="1" applyBorder="1"/>
    <xf numFmtId="167" fontId="30" fillId="0" borderId="0" xfId="1" applyNumberFormat="1" applyFont="1" applyFill="1"/>
    <xf numFmtId="167" fontId="14" fillId="0" borderId="0" xfId="5" applyNumberFormat="1" applyFont="1" applyFill="1" applyBorder="1"/>
    <xf numFmtId="167" fontId="29" fillId="5" borderId="31" xfId="6" applyNumberFormat="1" applyFont="1" applyFill="1" applyBorder="1"/>
    <xf numFmtId="167" fontId="34" fillId="21" borderId="0" xfId="1" applyNumberFormat="1" applyFont="1" applyFill="1" applyBorder="1"/>
    <xf numFmtId="41" fontId="30" fillId="0" borderId="0" xfId="0" applyNumberFormat="1" applyFont="1"/>
    <xf numFmtId="41" fontId="30" fillId="0" borderId="0" xfId="0" applyNumberFormat="1" applyFont="1" applyFill="1"/>
    <xf numFmtId="0" fontId="30" fillId="0" borderId="0" xfId="0" applyFont="1" applyAlignment="1">
      <alignment horizontal="center" vertical="center" wrapText="1"/>
    </xf>
    <xf numFmtId="167" fontId="30" fillId="0" borderId="0" xfId="1" applyNumberFormat="1" applyFont="1"/>
    <xf numFmtId="167" fontId="30" fillId="0" borderId="0" xfId="0" applyNumberFormat="1" applyFont="1" applyFill="1"/>
    <xf numFmtId="0" fontId="30" fillId="5" borderId="0" xfId="0" applyFont="1" applyFill="1"/>
    <xf numFmtId="167" fontId="30" fillId="0" borderId="0" xfId="1" applyNumberFormat="1" applyFont="1" applyBorder="1"/>
    <xf numFmtId="41" fontId="30" fillId="0" borderId="43" xfId="0" applyNumberFormat="1" applyFont="1" applyBorder="1"/>
    <xf numFmtId="0" fontId="42" fillId="27" borderId="0" xfId="8"/>
    <xf numFmtId="167" fontId="42" fillId="27" borderId="0" xfId="8" applyNumberFormat="1"/>
    <xf numFmtId="0" fontId="32" fillId="0" borderId="43" xfId="0" applyFont="1" applyFill="1" applyBorder="1" applyAlignment="1">
      <alignment horizontal="center" vertical="center" wrapText="1"/>
    </xf>
    <xf numFmtId="41" fontId="30" fillId="0" borderId="0" xfId="0" applyNumberFormat="1" applyFont="1" applyFill="1" applyBorder="1"/>
    <xf numFmtId="0" fontId="1" fillId="0" borderId="0" xfId="12"/>
    <xf numFmtId="167" fontId="42" fillId="27" borderId="31" xfId="8" applyNumberFormat="1" applyBorder="1"/>
    <xf numFmtId="41" fontId="42" fillId="27" borderId="31" xfId="8" applyNumberFormat="1" applyBorder="1"/>
    <xf numFmtId="43" fontId="14" fillId="0" borderId="0" xfId="1" applyFont="1"/>
    <xf numFmtId="165" fontId="76" fillId="0" borderId="12" xfId="2" applyNumberFormat="1" applyFont="1" applyBorder="1" applyAlignment="1">
      <alignment horizontal="left" indent="3"/>
    </xf>
    <xf numFmtId="41" fontId="8" fillId="0" borderId="0" xfId="0" applyNumberFormat="1" applyFont="1" applyBorder="1" applyAlignment="1"/>
    <xf numFmtId="0" fontId="0" fillId="0" borderId="0" xfId="0" applyBorder="1" applyAlignment="1">
      <alignment horizontal="center"/>
    </xf>
    <xf numFmtId="0" fontId="0" fillId="0" borderId="0" xfId="0"/>
    <xf numFmtId="167" fontId="62" fillId="0" borderId="0" xfId="1" applyNumberFormat="1" applyFont="1" applyFill="1"/>
    <xf numFmtId="167" fontId="0" fillId="0" borderId="0" xfId="0" applyNumberFormat="1"/>
    <xf numFmtId="167" fontId="62" fillId="0" borderId="0" xfId="1" applyNumberFormat="1" applyFont="1"/>
    <xf numFmtId="167" fontId="63" fillId="0" borderId="0" xfId="1" applyNumberFormat="1" applyFont="1"/>
    <xf numFmtId="167" fontId="62" fillId="25" borderId="0" xfId="1" applyNumberFormat="1" applyFont="1" applyFill="1"/>
    <xf numFmtId="167" fontId="64" fillId="0" borderId="0" xfId="1" applyNumberFormat="1" applyFont="1" applyBorder="1"/>
    <xf numFmtId="167" fontId="64" fillId="0" borderId="43" xfId="1" applyNumberFormat="1" applyFont="1" applyBorder="1"/>
    <xf numFmtId="167" fontId="43" fillId="28" borderId="0" xfId="9" applyNumberFormat="1" applyBorder="1"/>
    <xf numFmtId="37" fontId="0" fillId="0" borderId="0" xfId="0" applyNumberFormat="1"/>
    <xf numFmtId="42" fontId="22" fillId="0" borderId="0" xfId="0" applyNumberFormat="1" applyFont="1" applyBorder="1"/>
    <xf numFmtId="169" fontId="0" fillId="0" borderId="0" xfId="0" applyNumberFormat="1"/>
    <xf numFmtId="0" fontId="0" fillId="0" borderId="0" xfId="0" applyAlignment="1"/>
    <xf numFmtId="0" fontId="0" fillId="0" borderId="2" xfId="0" applyBorder="1"/>
    <xf numFmtId="0" fontId="0" fillId="0" borderId="3" xfId="0" applyBorder="1"/>
    <xf numFmtId="167" fontId="0" fillId="0" borderId="3" xfId="0" applyNumberFormat="1" applyBorder="1"/>
    <xf numFmtId="0" fontId="0" fillId="0" borderId="4" xfId="0" applyBorder="1"/>
    <xf numFmtId="167" fontId="0" fillId="0" borderId="0" xfId="1" applyNumberFormat="1" applyFont="1" applyBorder="1"/>
    <xf numFmtId="43" fontId="0" fillId="0" borderId="0" xfId="0" applyNumberFormat="1" applyAlignment="1"/>
    <xf numFmtId="167" fontId="77" fillId="0" borderId="0" xfId="1" applyNumberFormat="1" applyFont="1" applyFill="1"/>
    <xf numFmtId="165" fontId="21" fillId="0" borderId="0" xfId="0" applyNumberFormat="1" applyFont="1" applyFill="1" applyBorder="1"/>
    <xf numFmtId="165" fontId="21" fillId="0" borderId="0" xfId="0" applyNumberFormat="1" applyFont="1" applyFill="1"/>
    <xf numFmtId="165" fontId="0" fillId="0" borderId="0" xfId="0" applyNumberFormat="1" applyFill="1" applyBorder="1"/>
    <xf numFmtId="9" fontId="0" fillId="0" borderId="0" xfId="0" applyNumberFormat="1" applyBorder="1"/>
    <xf numFmtId="42" fontId="21" fillId="0" borderId="36" xfId="0" applyNumberFormat="1" applyFont="1" applyFill="1" applyBorder="1"/>
    <xf numFmtId="167" fontId="0" fillId="0" borderId="0" xfId="1" applyNumberFormat="1" applyFont="1" applyFill="1" applyBorder="1"/>
    <xf numFmtId="0" fontId="58" fillId="0" borderId="0" xfId="0" applyFont="1"/>
    <xf numFmtId="0" fontId="12" fillId="0" borderId="0" xfId="7" applyFont="1"/>
    <xf numFmtId="10" fontId="2" fillId="2" borderId="1" xfId="4" applyNumberFormat="1"/>
    <xf numFmtId="10" fontId="21" fillId="0" borderId="0" xfId="0" applyNumberFormat="1" applyFont="1" applyFill="1"/>
    <xf numFmtId="0" fontId="10" fillId="0" borderId="0" xfId="7" applyFont="1" applyAlignment="1">
      <alignment vertical="center"/>
    </xf>
    <xf numFmtId="165" fontId="0" fillId="0" borderId="0" xfId="0" applyNumberFormat="1" applyAlignment="1"/>
    <xf numFmtId="167" fontId="78" fillId="0" borderId="0" xfId="1" applyNumberFormat="1" applyFont="1" applyFill="1"/>
    <xf numFmtId="164" fontId="0" fillId="0" borderId="0" xfId="3" applyNumberFormat="1" applyFont="1"/>
    <xf numFmtId="10" fontId="30" fillId="0" borderId="0" xfId="3" applyNumberFormat="1" applyFont="1"/>
    <xf numFmtId="0" fontId="29" fillId="0" borderId="0" xfId="0" applyFont="1" applyBorder="1" applyAlignment="1">
      <alignment horizontal="center" vertical="center" wrapText="1"/>
    </xf>
    <xf numFmtId="0" fontId="32" fillId="0" borderId="0" xfId="0" applyFont="1" applyAlignment="1">
      <alignment horizontal="center" vertical="center" wrapText="1"/>
    </xf>
    <xf numFmtId="165" fontId="76" fillId="11" borderId="12" xfId="2" applyNumberFormat="1" applyFont="1" applyFill="1" applyBorder="1"/>
    <xf numFmtId="0" fontId="14" fillId="20" borderId="0" xfId="0" applyFont="1" applyFill="1" applyBorder="1"/>
    <xf numFmtId="41" fontId="30" fillId="20" borderId="0" xfId="0" applyNumberFormat="1" applyFont="1" applyFill="1" applyBorder="1"/>
    <xf numFmtId="167" fontId="14" fillId="20" borderId="0" xfId="5" applyNumberFormat="1" applyFont="1" applyFill="1" applyBorder="1"/>
    <xf numFmtId="167" fontId="42" fillId="20" borderId="0" xfId="8" applyNumberFormat="1" applyFill="1" applyBorder="1"/>
    <xf numFmtId="167" fontId="42" fillId="20" borderId="0" xfId="8" applyNumberFormat="1" applyFill="1"/>
    <xf numFmtId="167" fontId="43" fillId="20" borderId="0" xfId="9" applyNumberFormat="1" applyFill="1"/>
    <xf numFmtId="0" fontId="30" fillId="0" borderId="43" xfId="0" applyFont="1" applyBorder="1"/>
    <xf numFmtId="0" fontId="32" fillId="0" borderId="43" xfId="0" applyFont="1" applyBorder="1" applyAlignment="1">
      <alignment vertical="center"/>
    </xf>
    <xf numFmtId="43" fontId="30" fillId="0" borderId="0" xfId="1" applyFont="1" applyFill="1"/>
    <xf numFmtId="14" fontId="0" fillId="0" borderId="0" xfId="0" applyNumberFormat="1"/>
    <xf numFmtId="14" fontId="0" fillId="0" borderId="0" xfId="1" applyNumberFormat="1" applyFont="1"/>
    <xf numFmtId="0" fontId="0" fillId="0" borderId="0" xfId="0" applyFill="1" applyAlignment="1">
      <alignment vertical="top" wrapText="1"/>
    </xf>
    <xf numFmtId="43" fontId="0" fillId="0" borderId="0" xfId="1" applyFont="1" applyBorder="1"/>
    <xf numFmtId="16" fontId="0" fillId="0" borderId="36" xfId="0" applyNumberFormat="1" applyBorder="1"/>
    <xf numFmtId="0" fontId="5" fillId="0" borderId="0" xfId="0" applyFont="1" applyFill="1"/>
    <xf numFmtId="37" fontId="29" fillId="18" borderId="36" xfId="0" applyNumberFormat="1" applyFont="1" applyFill="1" applyBorder="1" applyAlignment="1">
      <alignment horizontal="center" vertical="center" wrapText="1"/>
    </xf>
    <xf numFmtId="0" fontId="0" fillId="0" borderId="37" xfId="0" applyBorder="1"/>
    <xf numFmtId="167" fontId="0" fillId="24" borderId="37" xfId="1" applyNumberFormat="1" applyFont="1" applyFill="1" applyBorder="1"/>
    <xf numFmtId="167" fontId="0" fillId="24" borderId="0" xfId="1" applyNumberFormat="1" applyFont="1" applyFill="1" applyBorder="1"/>
    <xf numFmtId="167" fontId="0" fillId="25" borderId="0" xfId="1" applyNumberFormat="1" applyFont="1" applyFill="1" applyBorder="1"/>
    <xf numFmtId="167" fontId="0" fillId="26" borderId="0" xfId="1" applyNumberFormat="1" applyFont="1" applyFill="1" applyBorder="1"/>
    <xf numFmtId="167" fontId="0" fillId="26" borderId="17" xfId="1" applyNumberFormat="1" applyFont="1" applyFill="1" applyBorder="1"/>
    <xf numFmtId="167" fontId="0" fillId="24" borderId="17" xfId="1" applyNumberFormat="1" applyFont="1" applyFill="1" applyBorder="1"/>
    <xf numFmtId="167" fontId="0" fillId="24" borderId="35" xfId="1" applyNumberFormat="1" applyFont="1" applyFill="1" applyBorder="1"/>
    <xf numFmtId="167" fontId="0" fillId="24" borderId="36" xfId="1" applyNumberFormat="1" applyFont="1" applyFill="1" applyBorder="1"/>
    <xf numFmtId="167" fontId="0" fillId="24" borderId="41" xfId="1" applyNumberFormat="1" applyFont="1" applyFill="1" applyBorder="1"/>
    <xf numFmtId="167" fontId="0" fillId="25" borderId="37" xfId="1" applyNumberFormat="1" applyFont="1" applyFill="1" applyBorder="1"/>
    <xf numFmtId="167" fontId="0" fillId="25" borderId="17" xfId="1" applyNumberFormat="1" applyFont="1" applyFill="1" applyBorder="1"/>
    <xf numFmtId="167" fontId="0" fillId="26" borderId="37" xfId="1" applyNumberFormat="1" applyFont="1" applyFill="1" applyBorder="1"/>
    <xf numFmtId="167" fontId="0" fillId="26" borderId="35" xfId="1" applyNumberFormat="1" applyFont="1" applyFill="1" applyBorder="1"/>
    <xf numFmtId="167" fontId="0" fillId="26" borderId="41" xfId="1" applyNumberFormat="1" applyFont="1" applyFill="1" applyBorder="1"/>
    <xf numFmtId="167" fontId="0" fillId="24" borderId="54" xfId="1" applyNumberFormat="1" applyFont="1" applyFill="1" applyBorder="1"/>
    <xf numFmtId="167" fontId="0" fillId="26" borderId="55" xfId="1" applyNumberFormat="1" applyFont="1" applyFill="1" applyBorder="1"/>
    <xf numFmtId="167" fontId="0" fillId="0" borderId="37" xfId="1" applyNumberFormat="1" applyFont="1" applyBorder="1"/>
    <xf numFmtId="167" fontId="0" fillId="0" borderId="35" xfId="1" applyNumberFormat="1" applyFont="1" applyBorder="1"/>
    <xf numFmtId="167" fontId="0" fillId="0" borderId="36" xfId="1" applyNumberFormat="1" applyFont="1" applyBorder="1"/>
    <xf numFmtId="167" fontId="0" fillId="0" borderId="17" xfId="1" applyNumberFormat="1" applyFont="1" applyBorder="1"/>
    <xf numFmtId="0" fontId="0" fillId="24" borderId="39" xfId="0" applyFill="1" applyBorder="1" applyAlignment="1">
      <alignment horizontal="center"/>
    </xf>
    <xf numFmtId="0" fontId="0" fillId="24" borderId="0" xfId="0" applyFill="1" applyBorder="1" applyAlignment="1">
      <alignment horizontal="center"/>
    </xf>
    <xf numFmtId="0" fontId="0" fillId="24" borderId="37" xfId="0" applyFill="1" applyBorder="1" applyAlignment="1">
      <alignment horizontal="center"/>
    </xf>
    <xf numFmtId="0" fontId="0" fillId="24" borderId="17" xfId="0" applyFill="1" applyBorder="1" applyAlignment="1">
      <alignment horizontal="center"/>
    </xf>
    <xf numFmtId="10" fontId="0" fillId="24" borderId="0" xfId="3" applyNumberFormat="1" applyFont="1" applyFill="1" applyBorder="1"/>
    <xf numFmtId="10" fontId="0" fillId="24" borderId="36" xfId="3" applyNumberFormat="1" applyFont="1" applyFill="1" applyBorder="1"/>
    <xf numFmtId="10" fontId="0" fillId="24" borderId="17" xfId="3" applyNumberFormat="1" applyFont="1" applyFill="1" applyBorder="1"/>
    <xf numFmtId="10" fontId="0" fillId="24" borderId="41" xfId="3" applyNumberFormat="1" applyFont="1" applyFill="1" applyBorder="1"/>
    <xf numFmtId="9" fontId="0" fillId="0" borderId="32" xfId="3" applyFont="1" applyBorder="1"/>
    <xf numFmtId="167" fontId="0" fillId="25" borderId="18" xfId="1" applyNumberFormat="1" applyFont="1" applyFill="1" applyBorder="1"/>
    <xf numFmtId="167" fontId="58" fillId="25" borderId="18" xfId="1" applyNumberFormat="1" applyFont="1" applyFill="1" applyBorder="1"/>
    <xf numFmtId="0" fontId="0" fillId="25" borderId="18" xfId="0" applyFill="1" applyBorder="1" applyAlignment="1">
      <alignment horizontal="center"/>
    </xf>
    <xf numFmtId="167" fontId="0" fillId="25" borderId="18" xfId="1" applyNumberFormat="1" applyFont="1" applyFill="1" applyBorder="1" applyAlignment="1">
      <alignment horizontal="center"/>
    </xf>
    <xf numFmtId="0" fontId="0" fillId="24" borderId="32" xfId="0" applyFill="1" applyBorder="1" applyAlignment="1">
      <alignment horizontal="center"/>
    </xf>
    <xf numFmtId="0" fontId="0" fillId="26" borderId="33" xfId="0" applyFill="1" applyBorder="1" applyAlignment="1">
      <alignment horizontal="center"/>
    </xf>
    <xf numFmtId="0" fontId="0" fillId="26" borderId="39" xfId="0" applyFill="1" applyBorder="1" applyAlignment="1">
      <alignment horizontal="center"/>
    </xf>
    <xf numFmtId="0" fontId="0" fillId="0" borderId="37" xfId="0" applyBorder="1" applyAlignment="1">
      <alignment horizontal="center"/>
    </xf>
    <xf numFmtId="0" fontId="0" fillId="0" borderId="17" xfId="0" applyBorder="1" applyAlignment="1">
      <alignment horizontal="center"/>
    </xf>
    <xf numFmtId="168" fontId="58" fillId="0" borderId="17" xfId="0" applyNumberFormat="1" applyFont="1" applyBorder="1"/>
    <xf numFmtId="168" fontId="58" fillId="0" borderId="41" xfId="0" applyNumberFormat="1" applyFont="1" applyBorder="1"/>
    <xf numFmtId="0" fontId="0" fillId="0" borderId="40" xfId="0" applyBorder="1" applyAlignment="1">
      <alignment horizontal="center"/>
    </xf>
    <xf numFmtId="0" fontId="0" fillId="0" borderId="18" xfId="0" applyBorder="1" applyAlignment="1">
      <alignment horizontal="center"/>
    </xf>
    <xf numFmtId="167" fontId="58" fillId="0" borderId="18" xfId="1" applyNumberFormat="1" applyFont="1" applyBorder="1"/>
    <xf numFmtId="0" fontId="0" fillId="0" borderId="39" xfId="0" applyBorder="1" applyAlignment="1">
      <alignment horizontal="center"/>
    </xf>
    <xf numFmtId="168" fontId="0" fillId="24" borderId="0" xfId="0" applyNumberFormat="1" applyFill="1" applyBorder="1"/>
    <xf numFmtId="168" fontId="0" fillId="24" borderId="17" xfId="0" applyNumberFormat="1" applyFill="1" applyBorder="1"/>
    <xf numFmtId="10" fontId="58" fillId="24" borderId="0" xfId="3" applyNumberFormat="1" applyFont="1" applyFill="1" applyBorder="1"/>
    <xf numFmtId="168" fontId="0" fillId="24" borderId="36" xfId="0" applyNumberFormat="1" applyFill="1" applyBorder="1"/>
    <xf numFmtId="168" fontId="0" fillId="24" borderId="41" xfId="0" applyNumberFormat="1" applyFill="1" applyBorder="1"/>
    <xf numFmtId="0" fontId="0" fillId="24" borderId="40" xfId="0" applyFill="1" applyBorder="1" applyAlignment="1">
      <alignment horizontal="center"/>
    </xf>
    <xf numFmtId="0" fontId="0" fillId="24" borderId="18" xfId="0" applyFill="1" applyBorder="1" applyAlignment="1">
      <alignment horizontal="center"/>
    </xf>
    <xf numFmtId="167" fontId="0" fillId="24" borderId="18" xfId="1" applyNumberFormat="1" applyFont="1" applyFill="1" applyBorder="1"/>
    <xf numFmtId="0" fontId="0" fillId="24" borderId="33" xfId="0" applyFill="1" applyBorder="1" applyAlignment="1">
      <alignment horizontal="center"/>
    </xf>
    <xf numFmtId="0" fontId="0" fillId="24" borderId="34" xfId="0" applyFill="1" applyBorder="1" applyAlignment="1">
      <alignment horizontal="center"/>
    </xf>
    <xf numFmtId="10" fontId="0" fillId="24" borderId="37" xfId="3" applyNumberFormat="1" applyFont="1" applyFill="1" applyBorder="1"/>
    <xf numFmtId="10" fontId="58" fillId="24" borderId="37" xfId="3" applyNumberFormat="1" applyFont="1" applyFill="1" applyBorder="1"/>
    <xf numFmtId="10" fontId="0" fillId="24" borderId="35" xfId="3" applyNumberFormat="1" applyFont="1" applyFill="1" applyBorder="1"/>
    <xf numFmtId="168" fontId="0" fillId="24" borderId="37" xfId="0" applyNumberFormat="1" applyFill="1" applyBorder="1"/>
    <xf numFmtId="168" fontId="0" fillId="24" borderId="35" xfId="0" applyNumberFormat="1" applyFill="1" applyBorder="1"/>
    <xf numFmtId="0" fontId="0" fillId="0" borderId="0" xfId="0"/>
    <xf numFmtId="0" fontId="0" fillId="0" borderId="0" xfId="0"/>
    <xf numFmtId="167" fontId="0" fillId="7" borderId="0" xfId="1" applyNumberFormat="1" applyFont="1" applyFill="1" applyBorder="1"/>
    <xf numFmtId="167" fontId="0" fillId="7" borderId="17" xfId="1" applyNumberFormat="1" applyFont="1" applyFill="1" applyBorder="1"/>
    <xf numFmtId="167" fontId="0" fillId="7" borderId="37" xfId="1" applyNumberFormat="1" applyFont="1" applyFill="1" applyBorder="1"/>
    <xf numFmtId="0" fontId="0" fillId="26" borderId="33" xfId="0" applyFill="1" applyBorder="1" applyAlignment="1"/>
    <xf numFmtId="0" fontId="0" fillId="26" borderId="34" xfId="0" applyFill="1" applyBorder="1" applyAlignment="1"/>
    <xf numFmtId="0" fontId="0" fillId="26" borderId="39" xfId="0" applyFill="1" applyBorder="1" applyAlignment="1"/>
    <xf numFmtId="0" fontId="0" fillId="0" borderId="0" xfId="0"/>
    <xf numFmtId="0" fontId="30" fillId="19" borderId="0" xfId="0" applyFont="1" applyFill="1" applyBorder="1" applyAlignment="1">
      <alignment horizontal="left" indent="2"/>
    </xf>
    <xf numFmtId="0" fontId="14" fillId="0" borderId="0" xfId="0" applyFont="1" applyFill="1" applyBorder="1" applyAlignment="1">
      <alignment horizontal="left" indent="2"/>
    </xf>
    <xf numFmtId="0" fontId="30" fillId="0" borderId="0" xfId="0" applyFont="1" applyFill="1" applyBorder="1" applyAlignment="1">
      <alignment horizontal="left" indent="2"/>
    </xf>
    <xf numFmtId="0" fontId="0" fillId="0" borderId="0" xfId="0"/>
    <xf numFmtId="0" fontId="43" fillId="0" borderId="0" xfId="9" applyFill="1" applyBorder="1"/>
    <xf numFmtId="0" fontId="6" fillId="0" borderId="0" xfId="0" applyFont="1" applyFill="1" applyBorder="1" applyAlignment="1">
      <alignment horizontal="center"/>
    </xf>
    <xf numFmtId="0" fontId="0" fillId="0" borderId="0" xfId="0" applyFill="1" applyBorder="1" applyAlignment="1">
      <alignment horizontal="left" indent="1"/>
    </xf>
    <xf numFmtId="165" fontId="1" fillId="0" borderId="0" xfId="0" applyNumberFormat="1" applyFont="1" applyFill="1" applyBorder="1"/>
    <xf numFmtId="167" fontId="2" fillId="0" borderId="0" xfId="4" applyNumberFormat="1" applyFill="1" applyBorder="1"/>
    <xf numFmtId="167" fontId="1" fillId="0" borderId="0" xfId="1" applyNumberFormat="1" applyFont="1" applyFill="1" applyBorder="1"/>
    <xf numFmtId="0" fontId="1" fillId="0" borderId="0" xfId="0" applyFont="1" applyFill="1" applyBorder="1"/>
    <xf numFmtId="0" fontId="2" fillId="0" borderId="0" xfId="4" applyFill="1" applyBorder="1"/>
    <xf numFmtId="41" fontId="79" fillId="20" borderId="0" xfId="7" applyNumberFormat="1" applyFont="1" applyFill="1" applyBorder="1" applyAlignment="1">
      <alignment vertical="center"/>
    </xf>
    <xf numFmtId="41" fontId="43" fillId="0" borderId="0" xfId="9" applyNumberFormat="1" applyFill="1"/>
    <xf numFmtId="0" fontId="39" fillId="20" borderId="0" xfId="7" applyFont="1" applyFill="1"/>
    <xf numFmtId="41" fontId="81" fillId="27" borderId="24" xfId="8" applyNumberFormat="1" applyFont="1" applyBorder="1" applyAlignment="1">
      <alignment horizontal="center" vertical="center" wrapText="1"/>
    </xf>
    <xf numFmtId="167" fontId="39" fillId="0" borderId="0" xfId="5" applyNumberFormat="1" applyFont="1" applyFill="1" applyBorder="1" applyAlignment="1">
      <alignment vertical="center"/>
    </xf>
    <xf numFmtId="43" fontId="58" fillId="0" borderId="0" xfId="1" applyFont="1"/>
    <xf numFmtId="43" fontId="58" fillId="0" borderId="43" xfId="1" applyFont="1" applyBorder="1" applyAlignment="1">
      <alignment horizontal="center" wrapText="1"/>
    </xf>
    <xf numFmtId="43" fontId="3" fillId="0" borderId="0" xfId="1" applyFont="1"/>
    <xf numFmtId="43" fontId="3" fillId="0" borderId="0" xfId="1" applyFont="1" applyBorder="1" applyAlignment="1">
      <alignment horizontal="center"/>
    </xf>
    <xf numFmtId="43" fontId="70" fillId="0" borderId="0" xfId="1" applyFont="1"/>
    <xf numFmtId="43" fontId="3" fillId="0" borderId="0" xfId="1" applyFont="1" applyBorder="1"/>
    <xf numFmtId="43" fontId="30" fillId="0" borderId="0" xfId="0" applyNumberFormat="1" applyFont="1" applyBorder="1"/>
    <xf numFmtId="0" fontId="0" fillId="24" borderId="0" xfId="0" applyFill="1" applyAlignment="1">
      <alignment horizontal="center"/>
    </xf>
    <xf numFmtId="0" fontId="0" fillId="0" borderId="0" xfId="0"/>
    <xf numFmtId="0" fontId="0" fillId="0" borderId="0" xfId="0"/>
    <xf numFmtId="167" fontId="0" fillId="4" borderId="0" xfId="1" applyNumberFormat="1" applyFont="1" applyFill="1"/>
    <xf numFmtId="167" fontId="78" fillId="4" borderId="0" xfId="1" applyNumberFormat="1" applyFont="1" applyFill="1"/>
    <xf numFmtId="10" fontId="14" fillId="4" borderId="0" xfId="3" applyNumberFormat="1" applyFont="1" applyFill="1" applyBorder="1"/>
    <xf numFmtId="10" fontId="14" fillId="4" borderId="0" xfId="3" applyNumberFormat="1" applyFont="1" applyFill="1"/>
    <xf numFmtId="0" fontId="0" fillId="0" borderId="0" xfId="0" applyFill="1" applyBorder="1" applyAlignment="1"/>
    <xf numFmtId="0" fontId="0" fillId="0" borderId="31" xfId="0" applyBorder="1" applyAlignment="1">
      <alignment horizontal="center"/>
    </xf>
    <xf numFmtId="0" fontId="0" fillId="0" borderId="31" xfId="0" applyFill="1" applyBorder="1" applyAlignment="1">
      <alignment horizontal="center"/>
    </xf>
    <xf numFmtId="0" fontId="0" fillId="0" borderId="31" xfId="0" applyFill="1" applyBorder="1" applyAlignment="1">
      <alignment horizontal="center" wrapText="1"/>
    </xf>
    <xf numFmtId="0" fontId="0" fillId="0" borderId="0" xfId="0" applyBorder="1" applyAlignment="1"/>
    <xf numFmtId="0" fontId="59" fillId="37" borderId="0" xfId="0" applyFont="1" applyFill="1"/>
    <xf numFmtId="0" fontId="0" fillId="33" borderId="0" xfId="0" applyFill="1"/>
    <xf numFmtId="167" fontId="62" fillId="0" borderId="0" xfId="1" applyNumberFormat="1" applyFont="1" applyBorder="1"/>
    <xf numFmtId="0" fontId="0" fillId="0" borderId="0" xfId="0"/>
    <xf numFmtId="167" fontId="0" fillId="25" borderId="0" xfId="1" applyNumberFormat="1" applyFont="1" applyFill="1"/>
    <xf numFmtId="0" fontId="14" fillId="33" borderId="0" xfId="0" applyFont="1" applyFill="1" applyBorder="1"/>
    <xf numFmtId="0" fontId="30" fillId="33" borderId="0" xfId="0" applyFont="1" applyFill="1"/>
    <xf numFmtId="0" fontId="30" fillId="33" borderId="0" xfId="0" applyFont="1" applyFill="1" applyBorder="1"/>
    <xf numFmtId="0" fontId="0" fillId="0" borderId="0" xfId="0"/>
    <xf numFmtId="0" fontId="42" fillId="27" borderId="36" xfId="8" applyBorder="1"/>
    <xf numFmtId="41" fontId="30" fillId="0" borderId="0" xfId="0" applyNumberFormat="1" applyFont="1" applyBorder="1"/>
    <xf numFmtId="43" fontId="30" fillId="0" borderId="0" xfId="1" applyNumberFormat="1" applyFont="1" applyBorder="1"/>
    <xf numFmtId="0" fontId="30" fillId="0" borderId="34" xfId="0" applyFont="1" applyBorder="1" applyAlignment="1">
      <alignment horizontal="center" wrapText="1"/>
    </xf>
    <xf numFmtId="0" fontId="30" fillId="0" borderId="34" xfId="0" applyFont="1" applyFill="1" applyBorder="1" applyAlignment="1">
      <alignment horizontal="center" wrapText="1"/>
    </xf>
    <xf numFmtId="0" fontId="30" fillId="0" borderId="34" xfId="0" applyFont="1" applyBorder="1" applyAlignment="1">
      <alignment horizontal="center"/>
    </xf>
    <xf numFmtId="167" fontId="41" fillId="0" borderId="34" xfId="1" applyNumberFormat="1" applyFont="1" applyFill="1" applyBorder="1"/>
    <xf numFmtId="167" fontId="41" fillId="0" borderId="39" xfId="1" applyNumberFormat="1" applyFont="1" applyFill="1" applyBorder="1"/>
    <xf numFmtId="0" fontId="30" fillId="20" borderId="37" xfId="0" applyFont="1" applyFill="1" applyBorder="1"/>
    <xf numFmtId="167" fontId="41" fillId="20" borderId="0" xfId="1" applyNumberFormat="1" applyFont="1" applyFill="1" applyBorder="1"/>
    <xf numFmtId="167" fontId="41" fillId="20" borderId="17" xfId="1" applyNumberFormat="1" applyFont="1" applyFill="1" applyBorder="1"/>
    <xf numFmtId="0" fontId="30" fillId="20" borderId="35" xfId="0" applyFont="1" applyFill="1" applyBorder="1"/>
    <xf numFmtId="167" fontId="41" fillId="20" borderId="36" xfId="1" applyNumberFormat="1" applyFont="1" applyFill="1" applyBorder="1"/>
    <xf numFmtId="0" fontId="30" fillId="20" borderId="36" xfId="0" applyFont="1" applyFill="1" applyBorder="1"/>
    <xf numFmtId="167" fontId="41" fillId="20" borderId="41" xfId="1" applyNumberFormat="1" applyFont="1" applyFill="1" applyBorder="1"/>
    <xf numFmtId="0" fontId="30" fillId="3" borderId="33" xfId="0" applyFont="1" applyFill="1" applyBorder="1"/>
    <xf numFmtId="167" fontId="41" fillId="3" borderId="34" xfId="1" applyNumberFormat="1" applyFont="1" applyFill="1" applyBorder="1"/>
    <xf numFmtId="0" fontId="30" fillId="3" borderId="34" xfId="0" applyFont="1" applyFill="1" applyBorder="1"/>
    <xf numFmtId="167" fontId="41" fillId="3" borderId="39" xfId="1" applyNumberFormat="1" applyFont="1" applyFill="1" applyBorder="1"/>
    <xf numFmtId="0" fontId="30" fillId="3" borderId="37" xfId="0" applyFont="1" applyFill="1" applyBorder="1"/>
    <xf numFmtId="167" fontId="41" fillId="3" borderId="0" xfId="1" applyNumberFormat="1" applyFont="1" applyFill="1" applyBorder="1"/>
    <xf numFmtId="167" fontId="41" fillId="3" borderId="17" xfId="1" applyNumberFormat="1" applyFont="1" applyFill="1" applyBorder="1"/>
    <xf numFmtId="0" fontId="30" fillId="3" borderId="35" xfId="0" applyFont="1" applyFill="1" applyBorder="1"/>
    <xf numFmtId="167" fontId="41" fillId="3" borderId="36" xfId="1" applyNumberFormat="1" applyFont="1" applyFill="1" applyBorder="1"/>
    <xf numFmtId="0" fontId="30" fillId="3" borderId="36" xfId="0" applyFont="1" applyFill="1" applyBorder="1"/>
    <xf numFmtId="167" fontId="41" fillId="3" borderId="41" xfId="1" applyNumberFormat="1" applyFont="1" applyFill="1" applyBorder="1"/>
    <xf numFmtId="0" fontId="30" fillId="0" borderId="34" xfId="0" applyFont="1" applyFill="1" applyBorder="1"/>
    <xf numFmtId="0" fontId="30" fillId="0" borderId="37" xfId="0" applyFont="1" applyFill="1" applyBorder="1"/>
    <xf numFmtId="167" fontId="41" fillId="0" borderId="0" xfId="1" applyNumberFormat="1" applyFont="1" applyFill="1" applyBorder="1"/>
    <xf numFmtId="167" fontId="41" fillId="0" borderId="17" xfId="1" applyNumberFormat="1" applyFont="1" applyFill="1" applyBorder="1"/>
    <xf numFmtId="3" fontId="30" fillId="0" borderId="0" xfId="0" applyNumberFormat="1" applyFont="1" applyBorder="1"/>
    <xf numFmtId="0" fontId="30" fillId="0" borderId="35" xfId="0" applyFont="1" applyFill="1" applyBorder="1"/>
    <xf numFmtId="167" fontId="41" fillId="0" borderId="36" xfId="1" applyNumberFormat="1" applyFont="1" applyFill="1" applyBorder="1"/>
    <xf numFmtId="167" fontId="30" fillId="0" borderId="36" xfId="1" applyNumberFormat="1" applyFont="1" applyBorder="1"/>
    <xf numFmtId="0" fontId="30" fillId="0" borderId="36" xfId="0" applyFont="1" applyFill="1" applyBorder="1"/>
    <xf numFmtId="167" fontId="41" fillId="0" borderId="41" xfId="1" applyNumberFormat="1" applyFont="1" applyFill="1" applyBorder="1"/>
    <xf numFmtId="0" fontId="14" fillId="0" borderId="41" xfId="6" applyBorder="1"/>
    <xf numFmtId="0" fontId="32" fillId="39" borderId="0" xfId="0" applyFont="1" applyFill="1"/>
    <xf numFmtId="41" fontId="32" fillId="39" borderId="0" xfId="0" applyNumberFormat="1" applyFont="1" applyFill="1"/>
    <xf numFmtId="0" fontId="30" fillId="0" borderId="33" xfId="0" applyFont="1" applyFill="1" applyBorder="1"/>
    <xf numFmtId="167" fontId="14" fillId="0" borderId="39" xfId="1" applyNumberFormat="1" applyFont="1" applyFill="1" applyBorder="1"/>
    <xf numFmtId="167" fontId="41" fillId="0" borderId="37" xfId="1" applyNumberFormat="1" applyFont="1" applyFill="1" applyBorder="1"/>
    <xf numFmtId="167" fontId="41" fillId="0" borderId="35" xfId="1" applyNumberFormat="1" applyFont="1" applyFill="1" applyBorder="1"/>
    <xf numFmtId="0" fontId="30" fillId="0" borderId="36" xfId="0" applyFont="1" applyBorder="1"/>
    <xf numFmtId="0" fontId="30" fillId="0" borderId="41" xfId="0" applyFont="1" applyFill="1" applyBorder="1"/>
    <xf numFmtId="167" fontId="30" fillId="3" borderId="34" xfId="1" applyNumberFormat="1" applyFont="1" applyFill="1" applyBorder="1"/>
    <xf numFmtId="0" fontId="30" fillId="3" borderId="37" xfId="0" applyFont="1" applyFill="1" applyBorder="1" applyAlignment="1">
      <alignment horizontal="left" indent="1"/>
    </xf>
    <xf numFmtId="167" fontId="30" fillId="3" borderId="0" xfId="1" applyNumberFormat="1" applyFont="1" applyFill="1" applyBorder="1"/>
    <xf numFmtId="0" fontId="30" fillId="3" borderId="41" xfId="0" applyFont="1" applyFill="1" applyBorder="1"/>
    <xf numFmtId="0" fontId="30" fillId="0" borderId="37" xfId="0" applyFont="1" applyBorder="1"/>
    <xf numFmtId="0" fontId="30" fillId="0" borderId="17" xfId="0" applyFont="1" applyBorder="1"/>
    <xf numFmtId="0" fontId="30" fillId="0" borderId="35" xfId="0" applyFont="1" applyBorder="1"/>
    <xf numFmtId="0" fontId="30" fillId="0" borderId="41" xfId="0" applyFont="1" applyBorder="1"/>
    <xf numFmtId="0" fontId="58" fillId="0" borderId="0" xfId="9" applyFont="1" applyFill="1" applyBorder="1"/>
    <xf numFmtId="0" fontId="30" fillId="0" borderId="17" xfId="0" applyFont="1" applyFill="1" applyBorder="1"/>
    <xf numFmtId="41" fontId="30" fillId="20" borderId="37" xfId="0" applyNumberFormat="1" applyFont="1" applyFill="1" applyBorder="1"/>
    <xf numFmtId="41" fontId="30" fillId="20" borderId="17" xfId="0" applyNumberFormat="1" applyFont="1" applyFill="1" applyBorder="1"/>
    <xf numFmtId="41" fontId="30" fillId="0" borderId="37" xfId="0" applyNumberFormat="1" applyFont="1" applyFill="1" applyBorder="1"/>
    <xf numFmtId="41" fontId="30" fillId="0" borderId="17" xfId="0" applyNumberFormat="1" applyFont="1" applyFill="1" applyBorder="1"/>
    <xf numFmtId="167" fontId="30" fillId="33" borderId="37" xfId="1" applyNumberFormat="1" applyFont="1" applyFill="1" applyBorder="1"/>
    <xf numFmtId="167" fontId="30" fillId="33" borderId="0" xfId="1" applyNumberFormat="1" applyFont="1" applyFill="1" applyBorder="1"/>
    <xf numFmtId="0" fontId="30" fillId="33" borderId="17" xfId="0" applyFont="1" applyFill="1" applyBorder="1"/>
    <xf numFmtId="41" fontId="14" fillId="0" borderId="17" xfId="0" applyNumberFormat="1" applyFont="1" applyFill="1" applyBorder="1"/>
    <xf numFmtId="0" fontId="30" fillId="33" borderId="37" xfId="0" applyFont="1" applyFill="1" applyBorder="1"/>
    <xf numFmtId="167" fontId="30" fillId="0" borderId="37" xfId="0" applyNumberFormat="1" applyFont="1" applyFill="1" applyBorder="1"/>
    <xf numFmtId="167" fontId="58" fillId="0" borderId="17" xfId="9" applyNumberFormat="1" applyFont="1" applyFill="1" applyBorder="1"/>
    <xf numFmtId="167" fontId="30" fillId="0" borderId="17" xfId="0" applyNumberFormat="1" applyFont="1" applyFill="1" applyBorder="1"/>
    <xf numFmtId="167" fontId="30" fillId="20" borderId="37" xfId="0" applyNumberFormat="1" applyFont="1" applyFill="1" applyBorder="1"/>
    <xf numFmtId="167" fontId="30" fillId="20" borderId="17" xfId="0" applyNumberFormat="1" applyFont="1" applyFill="1" applyBorder="1"/>
    <xf numFmtId="167" fontId="41" fillId="37" borderId="0" xfId="1" applyNumberFormat="1" applyFont="1" applyFill="1" applyBorder="1"/>
    <xf numFmtId="167" fontId="41" fillId="37" borderId="17" xfId="1" applyNumberFormat="1" applyFont="1" applyFill="1" applyBorder="1"/>
    <xf numFmtId="167" fontId="14" fillId="33" borderId="0" xfId="1" applyNumberFormat="1" applyFont="1" applyFill="1" applyBorder="1"/>
    <xf numFmtId="167" fontId="14" fillId="33" borderId="17" xfId="1" applyNumberFormat="1" applyFont="1" applyFill="1" applyBorder="1"/>
    <xf numFmtId="0" fontId="30" fillId="0" borderId="54"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55" xfId="0" applyFont="1" applyBorder="1" applyAlignment="1">
      <alignment horizontal="center" vertical="center" wrapText="1"/>
    </xf>
    <xf numFmtId="0" fontId="14" fillId="33" borderId="33" xfId="0" applyFont="1" applyFill="1" applyBorder="1"/>
    <xf numFmtId="167" fontId="14" fillId="33" borderId="34" xfId="1" applyNumberFormat="1" applyFont="1" applyFill="1" applyBorder="1"/>
    <xf numFmtId="0" fontId="30" fillId="33" borderId="34" xfId="0" applyFont="1" applyFill="1" applyBorder="1"/>
    <xf numFmtId="167" fontId="14" fillId="33" borderId="39" xfId="1" applyNumberFormat="1" applyFont="1" applyFill="1" applyBorder="1"/>
    <xf numFmtId="0" fontId="14" fillId="33" borderId="35" xfId="0" applyFont="1" applyFill="1" applyBorder="1"/>
    <xf numFmtId="167" fontId="14" fillId="33" borderId="36" xfId="1" applyNumberFormat="1" applyFont="1" applyFill="1" applyBorder="1"/>
    <xf numFmtId="0" fontId="30" fillId="33" borderId="36" xfId="0" applyFont="1" applyFill="1" applyBorder="1"/>
    <xf numFmtId="167" fontId="14" fillId="33" borderId="41" xfId="1" applyNumberFormat="1" applyFont="1" applyFill="1" applyBorder="1"/>
    <xf numFmtId="0" fontId="30" fillId="33" borderId="33" xfId="0" applyFont="1" applyFill="1" applyBorder="1"/>
    <xf numFmtId="167" fontId="41" fillId="37" borderId="34" xfId="1" applyNumberFormat="1" applyFont="1" applyFill="1" applyBorder="1"/>
    <xf numFmtId="167" fontId="41" fillId="37" borderId="39" xfId="1" applyNumberFormat="1" applyFont="1" applyFill="1" applyBorder="1"/>
    <xf numFmtId="0" fontId="30" fillId="33" borderId="35" xfId="0" applyFont="1" applyFill="1" applyBorder="1"/>
    <xf numFmtId="167" fontId="41" fillId="37" borderId="36" xfId="1" applyNumberFormat="1" applyFont="1" applyFill="1" applyBorder="1"/>
    <xf numFmtId="167" fontId="41" fillId="37" borderId="41" xfId="1" applyNumberFormat="1" applyFont="1" applyFill="1" applyBorder="1"/>
    <xf numFmtId="167" fontId="30" fillId="0" borderId="37" xfId="1" applyNumberFormat="1" applyFont="1" applyFill="1" applyBorder="1"/>
    <xf numFmtId="167" fontId="30" fillId="20" borderId="37" xfId="1" applyNumberFormat="1" applyFont="1" applyFill="1" applyBorder="1"/>
    <xf numFmtId="167" fontId="30" fillId="0" borderId="37" xfId="1" applyNumberFormat="1" applyFont="1" applyBorder="1"/>
    <xf numFmtId="0" fontId="14" fillId="0" borderId="0" xfId="0" applyFont="1" applyFill="1" applyBorder="1" applyAlignment="1"/>
    <xf numFmtId="164" fontId="73" fillId="38" borderId="56" xfId="13" applyNumberFormat="1" applyFont="1" applyAlignment="1">
      <alignment wrapText="1"/>
    </xf>
    <xf numFmtId="167" fontId="42" fillId="27" borderId="0" xfId="1" applyNumberFormat="1" applyFont="1" applyFill="1"/>
    <xf numFmtId="167" fontId="30" fillId="0" borderId="54" xfId="1" applyNumberFormat="1" applyFont="1" applyBorder="1" applyAlignment="1">
      <alignment horizontal="center" vertical="center" wrapText="1"/>
    </xf>
    <xf numFmtId="167" fontId="42" fillId="27" borderId="0" xfId="1" applyNumberFormat="1" applyFont="1" applyFill="1" applyBorder="1"/>
    <xf numFmtId="167" fontId="73" fillId="36" borderId="0" xfId="1" applyNumberFormat="1" applyFont="1" applyFill="1" applyBorder="1" applyAlignment="1">
      <alignment wrapText="1"/>
    </xf>
    <xf numFmtId="167" fontId="33" fillId="0" borderId="0" xfId="0" applyNumberFormat="1" applyFont="1" applyAlignment="1">
      <alignment horizontal="left" vertical="center" readingOrder="1"/>
    </xf>
    <xf numFmtId="167" fontId="82" fillId="0" borderId="0" xfId="0" applyNumberFormat="1" applyFont="1" applyAlignment="1">
      <alignment horizontal="left" vertical="center" readingOrder="1"/>
    </xf>
    <xf numFmtId="41" fontId="3" fillId="0" borderId="0" xfId="0" applyNumberFormat="1" applyFont="1"/>
    <xf numFmtId="41" fontId="30" fillId="0" borderId="24" xfId="0" applyNumberFormat="1" applyFont="1" applyFill="1" applyBorder="1"/>
    <xf numFmtId="0" fontId="27" fillId="11" borderId="11" xfId="0" applyFont="1" applyFill="1" applyBorder="1" applyAlignment="1"/>
    <xf numFmtId="0" fontId="27" fillId="11" borderId="0" xfId="0" applyFont="1" applyFill="1" applyBorder="1" applyAlignment="1"/>
    <xf numFmtId="167" fontId="27" fillId="11" borderId="12" xfId="0" applyNumberFormat="1" applyFont="1" applyFill="1" applyBorder="1" applyAlignment="1"/>
    <xf numFmtId="167" fontId="30" fillId="0" borderId="17" xfId="1" applyNumberFormat="1" applyFont="1" applyFill="1" applyBorder="1"/>
    <xf numFmtId="167" fontId="30" fillId="20" borderId="17" xfId="1" applyNumberFormat="1" applyFont="1" applyFill="1" applyBorder="1"/>
    <xf numFmtId="167" fontId="30" fillId="0" borderId="17" xfId="1" applyNumberFormat="1" applyFont="1" applyBorder="1"/>
    <xf numFmtId="167" fontId="30" fillId="33" borderId="17" xfId="1" applyNumberFormat="1" applyFont="1" applyFill="1" applyBorder="1"/>
    <xf numFmtId="167" fontId="14" fillId="0" borderId="37" xfId="0" applyNumberFormat="1" applyFont="1" applyFill="1" applyBorder="1"/>
    <xf numFmtId="0" fontId="0" fillId="0" borderId="0" xfId="0"/>
    <xf numFmtId="167" fontId="0" fillId="0" borderId="54" xfId="1" applyNumberFormat="1" applyFont="1" applyBorder="1"/>
    <xf numFmtId="43" fontId="14" fillId="20" borderId="0" xfId="1" applyFont="1" applyFill="1"/>
    <xf numFmtId="43" fontId="30" fillId="0" borderId="17" xfId="1" applyFont="1" applyBorder="1"/>
    <xf numFmtId="43" fontId="30" fillId="0" borderId="37" xfId="1" applyFont="1" applyBorder="1"/>
    <xf numFmtId="43" fontId="31" fillId="0" borderId="0" xfId="1" applyFont="1" applyBorder="1"/>
    <xf numFmtId="167" fontId="30" fillId="0" borderId="43" xfId="1" applyNumberFormat="1" applyFont="1" applyBorder="1"/>
    <xf numFmtId="167" fontId="4" fillId="0" borderId="0" xfId="1" applyNumberFormat="1" applyFont="1"/>
    <xf numFmtId="167" fontId="42" fillId="27" borderId="0" xfId="1" applyNumberFormat="1" applyFont="1" applyFill="1" applyAlignment="1">
      <alignment vertical="center"/>
    </xf>
    <xf numFmtId="167" fontId="42" fillId="27" borderId="0" xfId="1" applyNumberFormat="1" applyFont="1" applyFill="1" applyBorder="1" applyAlignment="1">
      <alignment vertical="center"/>
    </xf>
    <xf numFmtId="167" fontId="10" fillId="0" borderId="31" xfId="1" applyNumberFormat="1" applyFont="1" applyFill="1" applyBorder="1" applyAlignment="1">
      <alignment vertical="center"/>
    </xf>
    <xf numFmtId="167" fontId="39" fillId="0" borderId="0" xfId="1" applyNumberFormat="1" applyFont="1" applyFill="1" applyBorder="1" applyAlignment="1">
      <alignment vertical="center"/>
    </xf>
    <xf numFmtId="167" fontId="10" fillId="0" borderId="0" xfId="1" applyNumberFormat="1" applyFont="1" applyFill="1" applyBorder="1" applyAlignment="1">
      <alignment vertical="center"/>
    </xf>
    <xf numFmtId="0" fontId="0" fillId="0" borderId="0" xfId="0"/>
    <xf numFmtId="0" fontId="30" fillId="3" borderId="34" xfId="0" applyFont="1" applyFill="1" applyBorder="1" applyAlignment="1">
      <alignment horizontal="left"/>
    </xf>
    <xf numFmtId="167" fontId="41" fillId="0" borderId="0" xfId="1" applyNumberFormat="1" applyFont="1" applyBorder="1"/>
    <xf numFmtId="167" fontId="41" fillId="22" borderId="0" xfId="1" applyNumberFormat="1" applyFont="1" applyFill="1" applyBorder="1"/>
    <xf numFmtId="0" fontId="0" fillId="0" borderId="0" xfId="0"/>
    <xf numFmtId="167" fontId="42" fillId="27" borderId="0" xfId="8" applyNumberFormat="1" applyAlignment="1">
      <alignment vertical="center"/>
    </xf>
    <xf numFmtId="0" fontId="0" fillId="0" borderId="0" xfId="0"/>
    <xf numFmtId="0" fontId="4" fillId="0" borderId="0" xfId="0" applyFont="1" applyFill="1" applyBorder="1"/>
    <xf numFmtId="42" fontId="21" fillId="33" borderId="0" xfId="0" applyNumberFormat="1" applyFont="1" applyFill="1" applyBorder="1"/>
    <xf numFmtId="44" fontId="0" fillId="33" borderId="0" xfId="0" applyNumberFormat="1" applyFill="1"/>
    <xf numFmtId="44" fontId="0" fillId="33" borderId="43" xfId="0" applyNumberFormat="1" applyFill="1" applyBorder="1"/>
    <xf numFmtId="42" fontId="21" fillId="33" borderId="33" xfId="0" applyNumberFormat="1" applyFont="1" applyFill="1" applyBorder="1"/>
    <xf numFmtId="43" fontId="0" fillId="33" borderId="39" xfId="0" applyNumberFormat="1" applyFill="1" applyBorder="1"/>
    <xf numFmtId="42" fontId="21" fillId="33" borderId="37" xfId="0" applyNumberFormat="1" applyFont="1" applyFill="1" applyBorder="1"/>
    <xf numFmtId="43" fontId="0" fillId="33" borderId="17" xfId="0" applyNumberFormat="1" applyFill="1" applyBorder="1"/>
    <xf numFmtId="42" fontId="21" fillId="33" borderId="35" xfId="0" applyNumberFormat="1" applyFont="1" applyFill="1" applyBorder="1"/>
    <xf numFmtId="43" fontId="0" fillId="33" borderId="41" xfId="1" applyFont="1" applyFill="1" applyBorder="1"/>
    <xf numFmtId="43" fontId="0" fillId="33" borderId="0" xfId="0" applyNumberFormat="1" applyFill="1"/>
    <xf numFmtId="43" fontId="0" fillId="33" borderId="0" xfId="1" applyFont="1" applyFill="1"/>
    <xf numFmtId="0" fontId="0" fillId="33" borderId="8" xfId="0" applyFill="1" applyBorder="1"/>
    <xf numFmtId="43" fontId="0" fillId="33" borderId="9" xfId="1" applyFont="1" applyFill="1" applyBorder="1"/>
    <xf numFmtId="0" fontId="0" fillId="33" borderId="9" xfId="0" applyFill="1" applyBorder="1"/>
    <xf numFmtId="0" fontId="0" fillId="33" borderId="10" xfId="0" applyFill="1" applyBorder="1"/>
    <xf numFmtId="0" fontId="0" fillId="33" borderId="11" xfId="0" applyFill="1" applyBorder="1"/>
    <xf numFmtId="43" fontId="0" fillId="33" borderId="0" xfId="1" applyFont="1" applyFill="1" applyBorder="1"/>
    <xf numFmtId="0" fontId="0" fillId="33" borderId="0" xfId="0" applyFill="1" applyBorder="1"/>
    <xf numFmtId="0" fontId="0" fillId="33" borderId="12" xfId="0" applyFill="1" applyBorder="1"/>
    <xf numFmtId="43" fontId="0" fillId="33" borderId="0" xfId="0" applyNumberFormat="1" applyFill="1" applyBorder="1"/>
    <xf numFmtId="44" fontId="0" fillId="33" borderId="0" xfId="0" applyNumberFormat="1" applyFill="1" applyBorder="1"/>
    <xf numFmtId="0" fontId="0" fillId="33" borderId="5" xfId="0" applyFill="1" applyBorder="1"/>
    <xf numFmtId="43" fontId="0" fillId="33" borderId="6" xfId="0" applyNumberFormat="1" applyFill="1" applyBorder="1"/>
    <xf numFmtId="0" fontId="0" fillId="33" borderId="6" xfId="0" applyFill="1" applyBorder="1"/>
    <xf numFmtId="0" fontId="0" fillId="33" borderId="7" xfId="0" applyFill="1" applyBorder="1"/>
    <xf numFmtId="42" fontId="0" fillId="0" borderId="0" xfId="0" applyNumberFormat="1"/>
    <xf numFmtId="42" fontId="0" fillId="0" borderId="0" xfId="12" applyNumberFormat="1" applyFont="1" applyFill="1" applyBorder="1" applyAlignment="1"/>
    <xf numFmtId="0" fontId="0" fillId="0" borderId="0" xfId="0"/>
    <xf numFmtId="167" fontId="42" fillId="27" borderId="0" xfId="8" applyNumberFormat="1" applyBorder="1" applyAlignment="1">
      <alignment vertical="center"/>
    </xf>
    <xf numFmtId="167" fontId="16" fillId="0" borderId="37" xfId="0" applyNumberFormat="1" applyFont="1" applyFill="1" applyBorder="1"/>
    <xf numFmtId="167" fontId="16" fillId="0" borderId="41" xfId="1" applyNumberFormat="1" applyFont="1" applyFill="1" applyBorder="1"/>
    <xf numFmtId="0" fontId="1" fillId="0" borderId="0" xfId="0" applyFont="1" applyFill="1" applyAlignment="1">
      <alignment horizontal="left" indent="1"/>
    </xf>
    <xf numFmtId="167" fontId="17" fillId="0" borderId="0" xfId="1" applyNumberFormat="1" applyFont="1" applyFill="1" applyBorder="1"/>
    <xf numFmtId="167" fontId="1" fillId="0" borderId="0" xfId="0" applyNumberFormat="1" applyFont="1" applyFill="1"/>
    <xf numFmtId="167" fontId="1" fillId="0" borderId="0" xfId="1" applyNumberFormat="1" applyFont="1" applyFill="1"/>
    <xf numFmtId="0" fontId="1" fillId="0" borderId="36" xfId="0" applyFont="1" applyFill="1" applyBorder="1" applyAlignment="1">
      <alignment horizontal="left" indent="1"/>
    </xf>
    <xf numFmtId="167" fontId="1" fillId="0" borderId="36" xfId="0" applyNumberFormat="1" applyFont="1" applyFill="1" applyBorder="1"/>
    <xf numFmtId="43" fontId="30" fillId="0" borderId="0" xfId="1" applyFont="1" applyFill="1" applyBorder="1"/>
    <xf numFmtId="165" fontId="22" fillId="0" borderId="0" xfId="0" applyNumberFormat="1" applyFont="1" applyFill="1" applyBorder="1"/>
    <xf numFmtId="0" fontId="0" fillId="0" borderId="0" xfId="0"/>
    <xf numFmtId="0" fontId="0" fillId="0" borderId="0" xfId="0"/>
    <xf numFmtId="0" fontId="0" fillId="0" borderId="0" xfId="0"/>
    <xf numFmtId="0" fontId="0" fillId="0" borderId="0" xfId="0"/>
    <xf numFmtId="0" fontId="16" fillId="0" borderId="0" xfId="0" applyFont="1" applyFill="1"/>
    <xf numFmtId="0" fontId="58" fillId="0" borderId="0" xfId="0" applyFont="1" applyFill="1"/>
    <xf numFmtId="167" fontId="34" fillId="0" borderId="0" xfId="0" applyNumberFormat="1" applyFont="1"/>
    <xf numFmtId="167" fontId="84" fillId="0" borderId="0" xfId="0" applyNumberFormat="1" applyFont="1"/>
    <xf numFmtId="0" fontId="73" fillId="36" borderId="0" xfId="14" applyAlignment="1">
      <alignment vertical="center"/>
    </xf>
    <xf numFmtId="0" fontId="73" fillId="36" borderId="0" xfId="14"/>
    <xf numFmtId="0" fontId="14" fillId="0" borderId="33" xfId="0" applyFont="1" applyFill="1" applyBorder="1"/>
    <xf numFmtId="167" fontId="45" fillId="0" borderId="34" xfId="1" applyNumberFormat="1" applyFont="1" applyFill="1" applyBorder="1"/>
    <xf numFmtId="167" fontId="14" fillId="0" borderId="34" xfId="1" applyNumberFormat="1" applyFont="1" applyFill="1" applyBorder="1"/>
    <xf numFmtId="0" fontId="14" fillId="0" borderId="34" xfId="0" applyFont="1" applyFill="1" applyBorder="1"/>
    <xf numFmtId="0" fontId="14" fillId="0" borderId="35" xfId="0" applyFont="1" applyFill="1" applyBorder="1"/>
    <xf numFmtId="167" fontId="45" fillId="0" borderId="36" xfId="1" applyNumberFormat="1" applyFont="1" applyFill="1" applyBorder="1"/>
    <xf numFmtId="167" fontId="14" fillId="0" borderId="36" xfId="1" applyNumberFormat="1" applyFont="1" applyFill="1" applyBorder="1"/>
    <xf numFmtId="167" fontId="14" fillId="0" borderId="41" xfId="1" applyNumberFormat="1" applyFont="1" applyFill="1" applyBorder="1"/>
    <xf numFmtId="167" fontId="42" fillId="20" borderId="0" xfId="1" applyNumberFormat="1" applyFont="1" applyFill="1" applyBorder="1"/>
    <xf numFmtId="43" fontId="30" fillId="19" borderId="51" xfId="1" applyFont="1" applyFill="1" applyBorder="1"/>
    <xf numFmtId="43" fontId="30" fillId="19" borderId="52" xfId="1" applyFont="1" applyFill="1" applyBorder="1"/>
    <xf numFmtId="43" fontId="30" fillId="19" borderId="53" xfId="1" applyFont="1" applyFill="1" applyBorder="1"/>
    <xf numFmtId="43" fontId="0" fillId="0" borderId="17" xfId="1" applyFont="1" applyBorder="1"/>
    <xf numFmtId="0" fontId="0" fillId="0" borderId="35" xfId="0" applyBorder="1"/>
    <xf numFmtId="43" fontId="0" fillId="0" borderId="41" xfId="1" applyFont="1" applyBorder="1"/>
    <xf numFmtId="0" fontId="0" fillId="0" borderId="38" xfId="0" applyBorder="1"/>
    <xf numFmtId="0" fontId="0" fillId="0" borderId="32" xfId="0" applyBorder="1"/>
    <xf numFmtId="0" fontId="0" fillId="0" borderId="0" xfId="0"/>
    <xf numFmtId="43" fontId="0" fillId="0" borderId="32" xfId="0" applyNumberFormat="1" applyBorder="1"/>
    <xf numFmtId="0" fontId="85" fillId="0" borderId="0" xfId="0" applyFont="1"/>
    <xf numFmtId="167" fontId="84" fillId="0" borderId="0" xfId="1" applyNumberFormat="1" applyFont="1"/>
    <xf numFmtId="41" fontId="73" fillId="36" borderId="0" xfId="14" applyNumberFormat="1"/>
    <xf numFmtId="0" fontId="0" fillId="0" borderId="0" xfId="0"/>
    <xf numFmtId="0" fontId="18" fillId="0" borderId="0" xfId="3" applyNumberFormat="1" applyFont="1" applyBorder="1"/>
    <xf numFmtId="0" fontId="30" fillId="33" borderId="37" xfId="0" applyFont="1" applyFill="1" applyBorder="1" applyAlignment="1">
      <alignment horizontal="left" indent="2"/>
    </xf>
    <xf numFmtId="0" fontId="14" fillId="0" borderId="37" xfId="0" applyFont="1" applyFill="1" applyBorder="1"/>
    <xf numFmtId="167" fontId="14" fillId="0" borderId="17" xfId="1" applyNumberFormat="1" applyFont="1" applyFill="1" applyBorder="1"/>
    <xf numFmtId="0" fontId="30" fillId="3" borderId="37" xfId="0" applyFont="1" applyFill="1" applyBorder="1" applyAlignment="1">
      <alignment horizontal="left" indent="2"/>
    </xf>
    <xf numFmtId="10" fontId="27" fillId="11" borderId="7" xfId="3" applyNumberFormat="1" applyFont="1" applyFill="1" applyBorder="1" applyAlignment="1"/>
    <xf numFmtId="171" fontId="30" fillId="0" borderId="0" xfId="1" applyNumberFormat="1" applyFont="1"/>
    <xf numFmtId="41" fontId="14" fillId="0" borderId="0" xfId="1" applyNumberFormat="1" applyFont="1" applyFill="1"/>
    <xf numFmtId="0" fontId="65" fillId="0" borderId="0" xfId="15"/>
    <xf numFmtId="0" fontId="1" fillId="0" borderId="0" xfId="15" applyFont="1"/>
    <xf numFmtId="167" fontId="65" fillId="0" borderId="0" xfId="15" applyNumberFormat="1"/>
    <xf numFmtId="167" fontId="86" fillId="0" borderId="0" xfId="16" applyNumberFormat="1" applyFont="1" applyFill="1" applyBorder="1"/>
    <xf numFmtId="167" fontId="86" fillId="0" borderId="0" xfId="15" applyNumberFormat="1" applyFont="1"/>
    <xf numFmtId="167" fontId="86" fillId="40" borderId="0" xfId="16" applyNumberFormat="1" applyFont="1" applyFill="1" applyBorder="1"/>
    <xf numFmtId="167" fontId="86" fillId="0" borderId="0" xfId="6" applyNumberFormat="1" applyFont="1"/>
    <xf numFmtId="167" fontId="86" fillId="40" borderId="0" xfId="15" applyNumberFormat="1" applyFont="1" applyFill="1"/>
    <xf numFmtId="167" fontId="86" fillId="22" borderId="0" xfId="16" applyNumberFormat="1" applyFont="1" applyFill="1" applyBorder="1"/>
    <xf numFmtId="167" fontId="86" fillId="22" borderId="0" xfId="6" applyNumberFormat="1" applyFont="1" applyFill="1"/>
    <xf numFmtId="0" fontId="62" fillId="0" borderId="0" xfId="15" applyFont="1"/>
    <xf numFmtId="167" fontId="86" fillId="5" borderId="31" xfId="15" applyNumberFormat="1" applyFont="1" applyFill="1" applyBorder="1"/>
    <xf numFmtId="0" fontId="86" fillId="0" borderId="0" xfId="15" applyFont="1"/>
    <xf numFmtId="43" fontId="86" fillId="0" borderId="0" xfId="16" applyFont="1" applyFill="1" applyBorder="1"/>
    <xf numFmtId="0" fontId="88" fillId="0" borderId="31" xfId="15" applyFont="1" applyBorder="1" applyAlignment="1">
      <alignment horizontal="center" vertical="center" wrapText="1"/>
    </xf>
    <xf numFmtId="0" fontId="29" fillId="0" borderId="31" xfId="15" applyFont="1" applyBorder="1" applyAlignment="1">
      <alignment wrapText="1"/>
    </xf>
    <xf numFmtId="165" fontId="48" fillId="0" borderId="0" xfId="0" applyNumberFormat="1" applyFont="1" applyFill="1"/>
    <xf numFmtId="165" fontId="48" fillId="0" borderId="36" xfId="0" applyNumberFormat="1" applyFont="1" applyFill="1" applyBorder="1"/>
    <xf numFmtId="43" fontId="29" fillId="0" borderId="0" xfId="1" applyFont="1" applyFill="1" applyBorder="1"/>
    <xf numFmtId="43" fontId="34" fillId="0" borderId="0" xfId="1" applyFont="1" applyFill="1" applyBorder="1"/>
    <xf numFmtId="0" fontId="0" fillId="0" borderId="0" xfId="0"/>
    <xf numFmtId="0" fontId="14" fillId="0" borderId="17" xfId="6" applyBorder="1"/>
    <xf numFmtId="0" fontId="30" fillId="0" borderId="33" xfId="0" applyFont="1" applyFill="1" applyBorder="1" applyAlignment="1">
      <alignment horizontal="left" indent="2"/>
    </xf>
    <xf numFmtId="167" fontId="1" fillId="0" borderId="0" xfId="1" applyNumberFormat="1" applyFont="1"/>
    <xf numFmtId="167" fontId="1" fillId="20" borderId="0" xfId="1" applyNumberFormat="1" applyFont="1" applyFill="1"/>
    <xf numFmtId="165" fontId="1" fillId="20" borderId="0" xfId="2" applyNumberFormat="1" applyFont="1" applyFill="1"/>
    <xf numFmtId="167" fontId="58" fillId="0" borderId="0" xfId="0" applyNumberFormat="1" applyFont="1" applyFill="1"/>
    <xf numFmtId="0" fontId="0" fillId="0" borderId="0" xfId="0"/>
    <xf numFmtId="0" fontId="0" fillId="0" borderId="0" xfId="0"/>
    <xf numFmtId="167" fontId="0" fillId="0" borderId="0" xfId="0" applyNumberFormat="1"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67" fontId="0" fillId="0" borderId="0" xfId="1" applyNumberFormat="1" applyFont="1" applyAlignment="1">
      <alignment horizontal="left" indent="2"/>
    </xf>
    <xf numFmtId="0" fontId="0" fillId="0" borderId="0" xfId="12" applyFont="1"/>
    <xf numFmtId="0" fontId="0" fillId="0" borderId="0" xfId="0"/>
    <xf numFmtId="0" fontId="0" fillId="0" borderId="0" xfId="0"/>
    <xf numFmtId="41" fontId="0" fillId="0" borderId="0" xfId="0" applyNumberFormat="1" applyFill="1" applyAlignment="1">
      <alignment wrapText="1"/>
    </xf>
    <xf numFmtId="167" fontId="0" fillId="0" borderId="0" xfId="1" applyNumberFormat="1" applyFont="1" applyAlignment="1">
      <alignment horizontal="left"/>
    </xf>
    <xf numFmtId="0" fontId="0" fillId="0" borderId="0" xfId="0"/>
    <xf numFmtId="41" fontId="87" fillId="27" borderId="0" xfId="17" applyNumberFormat="1"/>
    <xf numFmtId="0" fontId="0" fillId="0" borderId="0" xfId="0"/>
    <xf numFmtId="0" fontId="0" fillId="0" borderId="0" xfId="0"/>
    <xf numFmtId="0" fontId="89" fillId="0" borderId="0" xfId="0" applyFont="1" applyFill="1"/>
    <xf numFmtId="0" fontId="0" fillId="0" borderId="0" xfId="0"/>
    <xf numFmtId="167" fontId="87" fillId="27" borderId="0" xfId="17" applyNumberFormat="1" applyAlignment="1">
      <alignment vertical="center"/>
    </xf>
    <xf numFmtId="41" fontId="14" fillId="0" borderId="0" xfId="6" applyNumberFormat="1"/>
    <xf numFmtId="0" fontId="1" fillId="41" borderId="0" xfId="18" applyAlignment="1">
      <alignment vertical="center"/>
    </xf>
    <xf numFmtId="0" fontId="1" fillId="41" borderId="0" xfId="18" applyBorder="1" applyAlignment="1">
      <alignment vertical="center"/>
    </xf>
    <xf numFmtId="167" fontId="1" fillId="41" borderId="0" xfId="18" applyNumberFormat="1"/>
    <xf numFmtId="167" fontId="1" fillId="0" borderId="0" xfId="1" applyNumberFormat="1"/>
    <xf numFmtId="43" fontId="30" fillId="19" borderId="52" xfId="1" applyNumberFormat="1" applyFont="1" applyFill="1" applyBorder="1"/>
    <xf numFmtId="167" fontId="30" fillId="3" borderId="36" xfId="1" applyNumberFormat="1" applyFont="1" applyFill="1" applyBorder="1"/>
    <xf numFmtId="0" fontId="71" fillId="0" borderId="0" xfId="15" applyFont="1"/>
    <xf numFmtId="43" fontId="65" fillId="0" borderId="0" xfId="15" applyNumberFormat="1"/>
    <xf numFmtId="43" fontId="34" fillId="21" borderId="0" xfId="1" applyNumberFormat="1" applyFont="1" applyFill="1" applyBorder="1"/>
    <xf numFmtId="43" fontId="29" fillId="5" borderId="31" xfId="6" applyNumberFormat="1" applyFont="1" applyFill="1" applyBorder="1"/>
    <xf numFmtId="43" fontId="1" fillId="0" borderId="0" xfId="1" applyFont="1"/>
    <xf numFmtId="167" fontId="86" fillId="40" borderId="0" xfId="1" applyNumberFormat="1" applyFont="1" applyFill="1" applyBorder="1"/>
    <xf numFmtId="167" fontId="86" fillId="0" borderId="0" xfId="1" applyNumberFormat="1" applyFont="1" applyFill="1" applyBorder="1"/>
    <xf numFmtId="167" fontId="86" fillId="0" borderId="0" xfId="1" applyNumberFormat="1" applyFont="1"/>
    <xf numFmtId="167" fontId="86" fillId="22" borderId="0" xfId="1" applyNumberFormat="1" applyFont="1" applyFill="1" applyBorder="1"/>
    <xf numFmtId="167" fontId="86" fillId="5" borderId="31" xfId="1" applyNumberFormat="1" applyFont="1" applyFill="1" applyBorder="1"/>
    <xf numFmtId="167" fontId="86" fillId="22" borderId="0" xfId="1" applyNumberFormat="1" applyFont="1" applyFill="1"/>
    <xf numFmtId="167" fontId="86" fillId="40" borderId="0" xfId="1" applyNumberFormat="1" applyFont="1" applyFill="1"/>
    <xf numFmtId="167" fontId="14" fillId="5" borderId="31" xfId="1" applyNumberFormat="1" applyFont="1" applyFill="1" applyBorder="1"/>
    <xf numFmtId="0" fontId="14" fillId="19" borderId="0" xfId="0" applyFont="1" applyFill="1" applyBorder="1" applyAlignment="1">
      <alignment horizontal="left" indent="2"/>
    </xf>
    <xf numFmtId="0" fontId="30" fillId="3" borderId="33" xfId="0" applyFont="1" applyFill="1" applyBorder="1" applyAlignment="1">
      <alignment horizontal="left" indent="2"/>
    </xf>
    <xf numFmtId="0" fontId="0" fillId="24" borderId="0" xfId="0" applyFill="1" applyAlignment="1">
      <alignment horizontal="left" vertical="top" wrapText="1"/>
    </xf>
    <xf numFmtId="0" fontId="0" fillId="0" borderId="0" xfId="0"/>
    <xf numFmtId="0" fontId="0" fillId="0" borderId="0" xfId="0"/>
    <xf numFmtId="167" fontId="0" fillId="42" borderId="35" xfId="1" applyNumberFormat="1" applyFont="1" applyFill="1" applyBorder="1"/>
    <xf numFmtId="167" fontId="0" fillId="42" borderId="36" xfId="1" applyNumberFormat="1" applyFont="1" applyFill="1" applyBorder="1"/>
    <xf numFmtId="167" fontId="0" fillId="42" borderId="41" xfId="1" applyNumberFormat="1" applyFont="1" applyFill="1" applyBorder="1"/>
    <xf numFmtId="167" fontId="0" fillId="43" borderId="35" xfId="1" applyNumberFormat="1" applyFont="1" applyFill="1" applyBorder="1"/>
    <xf numFmtId="167" fontId="0" fillId="43" borderId="36" xfId="1" applyNumberFormat="1" applyFont="1" applyFill="1" applyBorder="1"/>
    <xf numFmtId="167" fontId="0" fillId="43" borderId="41" xfId="1" applyNumberFormat="1" applyFont="1" applyFill="1" applyBorder="1"/>
    <xf numFmtId="167" fontId="0" fillId="44" borderId="35" xfId="1" applyNumberFormat="1" applyFont="1" applyFill="1" applyBorder="1"/>
    <xf numFmtId="167" fontId="0" fillId="44" borderId="36" xfId="1" applyNumberFormat="1" applyFont="1" applyFill="1" applyBorder="1"/>
    <xf numFmtId="167" fontId="0" fillId="44" borderId="41" xfId="1" applyNumberFormat="1" applyFont="1" applyFill="1" applyBorder="1"/>
    <xf numFmtId="167" fontId="0" fillId="43" borderId="0" xfId="1" applyNumberFormat="1" applyFont="1" applyFill="1"/>
    <xf numFmtId="167" fontId="0" fillId="45" borderId="35" xfId="1" applyNumberFormat="1" applyFont="1" applyFill="1" applyBorder="1"/>
    <xf numFmtId="167" fontId="0" fillId="45" borderId="36" xfId="1" applyNumberFormat="1" applyFont="1" applyFill="1" applyBorder="1"/>
    <xf numFmtId="167" fontId="0" fillId="45" borderId="41" xfId="1" applyNumberFormat="1" applyFont="1" applyFill="1" applyBorder="1"/>
    <xf numFmtId="167" fontId="0" fillId="42" borderId="37" xfId="1" applyNumberFormat="1" applyFont="1" applyFill="1" applyBorder="1"/>
    <xf numFmtId="167" fontId="0" fillId="42" borderId="0" xfId="1" applyNumberFormat="1" applyFont="1" applyFill="1" applyBorder="1"/>
    <xf numFmtId="167" fontId="0" fillId="42" borderId="17" xfId="1" applyNumberFormat="1" applyFont="1" applyFill="1" applyBorder="1"/>
    <xf numFmtId="167" fontId="0" fillId="43" borderId="37" xfId="1" applyNumberFormat="1" applyFont="1" applyFill="1" applyBorder="1"/>
    <xf numFmtId="167" fontId="0" fillId="43" borderId="0" xfId="1" applyNumberFormat="1" applyFont="1" applyFill="1" applyBorder="1"/>
    <xf numFmtId="167" fontId="0" fillId="43" borderId="17" xfId="1" applyNumberFormat="1" applyFont="1" applyFill="1" applyBorder="1"/>
    <xf numFmtId="167" fontId="0" fillId="44" borderId="37" xfId="1" applyNumberFormat="1" applyFont="1" applyFill="1" applyBorder="1"/>
    <xf numFmtId="167" fontId="0" fillId="44" borderId="0" xfId="1" applyNumberFormat="1" applyFont="1" applyFill="1" applyBorder="1"/>
    <xf numFmtId="167" fontId="0" fillId="44" borderId="17" xfId="1" applyNumberFormat="1" applyFont="1" applyFill="1" applyBorder="1"/>
    <xf numFmtId="167" fontId="0" fillId="45" borderId="37" xfId="1" applyNumberFormat="1" applyFont="1" applyFill="1" applyBorder="1"/>
    <xf numFmtId="167" fontId="0" fillId="45" borderId="0" xfId="1" applyNumberFormat="1" applyFont="1" applyFill="1" applyBorder="1"/>
    <xf numFmtId="167" fontId="0" fillId="45" borderId="17" xfId="1" applyNumberFormat="1" applyFont="1" applyFill="1" applyBorder="1"/>
    <xf numFmtId="167" fontId="0" fillId="46" borderId="37" xfId="1" applyNumberFormat="1" applyFont="1" applyFill="1" applyBorder="1"/>
    <xf numFmtId="167" fontId="0" fillId="46" borderId="0" xfId="1" applyNumberFormat="1" applyFont="1" applyFill="1" applyBorder="1"/>
    <xf numFmtId="167" fontId="0" fillId="46" borderId="17" xfId="1" applyNumberFormat="1" applyFont="1" applyFill="1" applyBorder="1"/>
    <xf numFmtId="167" fontId="0" fillId="46" borderId="35" xfId="1" applyNumberFormat="1" applyFont="1" applyFill="1" applyBorder="1"/>
    <xf numFmtId="167" fontId="0" fillId="46" borderId="36" xfId="1" applyNumberFormat="1" applyFont="1" applyFill="1" applyBorder="1"/>
    <xf numFmtId="167" fontId="0" fillId="46" borderId="41" xfId="1" applyNumberFormat="1" applyFont="1" applyFill="1" applyBorder="1"/>
    <xf numFmtId="43" fontId="21" fillId="0" borderId="0" xfId="0" applyNumberFormat="1" applyFont="1"/>
    <xf numFmtId="167" fontId="14" fillId="47" borderId="0" xfId="5" applyNumberFormat="1" applyFont="1" applyFill="1"/>
    <xf numFmtId="167" fontId="14" fillId="46" borderId="0" xfId="5" applyNumberFormat="1" applyFont="1" applyFill="1"/>
    <xf numFmtId="167" fontId="14" fillId="46" borderId="0" xfId="5" applyNumberFormat="1" applyFont="1" applyFill="1" applyBorder="1"/>
    <xf numFmtId="167" fontId="14" fillId="46" borderId="0" xfId="1" applyNumberFormat="1" applyFont="1" applyFill="1"/>
    <xf numFmtId="167" fontId="14" fillId="46" borderId="0" xfId="1" applyNumberFormat="1" applyFont="1" applyFill="1" applyBorder="1"/>
    <xf numFmtId="167" fontId="14" fillId="45" borderId="0" xfId="5" applyNumberFormat="1" applyFont="1" applyFill="1" applyBorder="1"/>
    <xf numFmtId="167" fontId="14" fillId="45" borderId="0" xfId="5" applyNumberFormat="1" applyFont="1" applyFill="1"/>
    <xf numFmtId="167" fontId="14" fillId="45" borderId="0" xfId="1" applyNumberFormat="1" applyFont="1" applyFill="1" applyBorder="1"/>
    <xf numFmtId="167" fontId="14" fillId="45" borderId="0" xfId="1" applyNumberFormat="1" applyFont="1" applyFill="1"/>
    <xf numFmtId="169" fontId="60" fillId="46" borderId="0" xfId="0" applyNumberFormat="1" applyFont="1" applyFill="1" applyBorder="1" applyAlignment="1" applyProtection="1">
      <alignment vertical="top" wrapText="1"/>
      <protection locked="0"/>
    </xf>
    <xf numFmtId="167" fontId="45" fillId="47" borderId="0" xfId="5" applyNumberFormat="1" applyFont="1" applyFill="1"/>
    <xf numFmtId="41" fontId="45" fillId="46" borderId="0" xfId="1" applyNumberFormat="1" applyFont="1" applyFill="1" applyBorder="1"/>
    <xf numFmtId="167" fontId="45" fillId="46" borderId="0" xfId="1" applyNumberFormat="1" applyFont="1" applyFill="1" applyBorder="1"/>
    <xf numFmtId="167" fontId="45" fillId="46" borderId="0" xfId="0" applyNumberFormat="1" applyFont="1" applyFill="1" applyBorder="1"/>
    <xf numFmtId="167" fontId="14" fillId="46" borderId="0" xfId="0" applyNumberFormat="1" applyFont="1" applyFill="1" applyBorder="1"/>
    <xf numFmtId="167" fontId="45" fillId="46" borderId="0" xfId="5" applyNumberFormat="1" applyFont="1" applyFill="1" applyBorder="1"/>
    <xf numFmtId="167" fontId="45" fillId="46" borderId="0" xfId="5" applyNumberFormat="1" applyFont="1" applyFill="1"/>
    <xf numFmtId="9" fontId="0" fillId="0" borderId="0" xfId="3" applyFont="1"/>
    <xf numFmtId="10" fontId="0" fillId="0" borderId="0" xfId="0" applyNumberFormat="1"/>
    <xf numFmtId="0" fontId="78" fillId="0" borderId="0" xfId="0" applyFont="1" applyFill="1"/>
    <xf numFmtId="0" fontId="3" fillId="0" borderId="0" xfId="12" applyFont="1"/>
    <xf numFmtId="167" fontId="42" fillId="48" borderId="0" xfId="1" applyNumberFormat="1" applyFont="1" applyFill="1" applyAlignment="1">
      <alignment vertical="center"/>
    </xf>
    <xf numFmtId="0" fontId="78" fillId="0" borderId="0" xfId="12" applyFont="1"/>
    <xf numFmtId="0" fontId="30" fillId="0" borderId="37" xfId="0" applyFont="1" applyBorder="1" applyAlignment="1">
      <alignment horizontal="center" wrapText="1"/>
    </xf>
    <xf numFmtId="0" fontId="30" fillId="0" borderId="17" xfId="0" applyFont="1" applyBorder="1" applyAlignment="1">
      <alignment horizontal="center"/>
    </xf>
    <xf numFmtId="0" fontId="30" fillId="0" borderId="35" xfId="0" applyFont="1" applyBorder="1" applyAlignment="1">
      <alignment horizontal="center" wrapText="1"/>
    </xf>
    <xf numFmtId="0" fontId="30" fillId="0" borderId="41" xfId="0" applyFont="1" applyBorder="1" applyAlignment="1">
      <alignment horizontal="center"/>
    </xf>
    <xf numFmtId="167" fontId="30" fillId="0" borderId="34" xfId="1" applyNumberFormat="1" applyFont="1" applyFill="1" applyBorder="1" applyAlignment="1">
      <alignment horizontal="center" wrapText="1"/>
    </xf>
    <xf numFmtId="167" fontId="30" fillId="0" borderId="34" xfId="1" applyNumberFormat="1" applyFont="1" applyBorder="1" applyAlignment="1">
      <alignment horizontal="center" wrapText="1"/>
    </xf>
    <xf numFmtId="167" fontId="30" fillId="0" borderId="0" xfId="1" applyNumberFormat="1" applyFont="1" applyFill="1" applyBorder="1" applyAlignment="1">
      <alignment horizontal="center" wrapText="1"/>
    </xf>
    <xf numFmtId="167" fontId="30" fillId="0" borderId="0" xfId="1" applyNumberFormat="1" applyFont="1" applyBorder="1" applyAlignment="1">
      <alignment horizontal="center" wrapText="1"/>
    </xf>
    <xf numFmtId="167" fontId="30" fillId="0" borderId="36" xfId="1" applyNumberFormat="1" applyFont="1" applyFill="1" applyBorder="1" applyAlignment="1">
      <alignment horizontal="center" wrapText="1"/>
    </xf>
    <xf numFmtId="167" fontId="30" fillId="0" borderId="36" xfId="1" applyNumberFormat="1" applyFont="1" applyBorder="1" applyAlignment="1">
      <alignment horizontal="center" wrapText="1"/>
    </xf>
    <xf numFmtId="167" fontId="30" fillId="0" borderId="39" xfId="0" applyNumberFormat="1" applyFont="1" applyBorder="1" applyAlignment="1">
      <alignment horizontal="center"/>
    </xf>
    <xf numFmtId="0" fontId="30" fillId="0" borderId="34" xfId="0" applyFont="1" applyBorder="1" applyAlignment="1">
      <alignment horizontal="left" wrapText="1"/>
    </xf>
    <xf numFmtId="0" fontId="43" fillId="28" borderId="0" xfId="9"/>
    <xf numFmtId="0" fontId="0" fillId="0" borderId="0" xfId="0"/>
    <xf numFmtId="0" fontId="1" fillId="0" borderId="31" xfId="0" applyFont="1" applyBorder="1"/>
    <xf numFmtId="0" fontId="4" fillId="3" borderId="31" xfId="0" applyFont="1" applyFill="1" applyBorder="1" applyAlignment="1">
      <alignment horizontal="center"/>
    </xf>
    <xf numFmtId="0" fontId="1" fillId="0" borderId="0" xfId="0" applyFont="1" applyAlignment="1">
      <alignment horizontal="left" indent="2"/>
    </xf>
    <xf numFmtId="0" fontId="1" fillId="0" borderId="6" xfId="0" applyFont="1" applyBorder="1" applyAlignment="1">
      <alignment horizontal="left" indent="2"/>
    </xf>
    <xf numFmtId="167" fontId="4" fillId="0" borderId="6" xfId="1" applyNumberFormat="1" applyFont="1" applyBorder="1"/>
    <xf numFmtId="0" fontId="0" fillId="0" borderId="0" xfId="0" applyFont="1" applyAlignment="1">
      <alignment horizontal="left" indent="2"/>
    </xf>
    <xf numFmtId="0" fontId="42" fillId="27" borderId="0" xfId="8" applyAlignment="1">
      <alignment horizontal="center"/>
    </xf>
    <xf numFmtId="0" fontId="0" fillId="0" borderId="0" xfId="0" applyAlignment="1">
      <alignment horizontal="center"/>
    </xf>
    <xf numFmtId="0" fontId="0" fillId="0" borderId="0" xfId="0"/>
    <xf numFmtId="0" fontId="57" fillId="0" borderId="0" xfId="6" applyFont="1"/>
    <xf numFmtId="0" fontId="0" fillId="46" borderId="37" xfId="0" applyFill="1" applyBorder="1"/>
    <xf numFmtId="43" fontId="0" fillId="46" borderId="17" xfId="1" applyFont="1" applyFill="1" applyBorder="1"/>
    <xf numFmtId="165" fontId="43" fillId="28" borderId="0" xfId="9" applyNumberFormat="1"/>
    <xf numFmtId="167" fontId="42" fillId="27" borderId="0" xfId="8" applyNumberFormat="1" applyBorder="1"/>
    <xf numFmtId="167" fontId="73" fillId="36" borderId="0" xfId="14" applyNumberFormat="1"/>
    <xf numFmtId="0" fontId="0" fillId="0" borderId="0" xfId="0"/>
    <xf numFmtId="0" fontId="30" fillId="0" borderId="0" xfId="0" applyFont="1" applyBorder="1" applyAlignment="1">
      <alignment horizontal="left" wrapText="1"/>
    </xf>
    <xf numFmtId="0" fontId="30" fillId="0" borderId="36" xfId="0" applyFont="1" applyBorder="1" applyAlignment="1">
      <alignment horizontal="left" wrapText="1"/>
    </xf>
    <xf numFmtId="0" fontId="0" fillId="0" borderId="0" xfId="0"/>
    <xf numFmtId="41" fontId="1" fillId="0" borderId="0" xfId="12" applyNumberFormat="1"/>
    <xf numFmtId="0" fontId="0" fillId="0" borderId="0" xfId="0"/>
    <xf numFmtId="167" fontId="73" fillId="36" borderId="0" xfId="14" applyNumberFormat="1" applyBorder="1"/>
    <xf numFmtId="167" fontId="43" fillId="38" borderId="56" xfId="13" applyNumberFormat="1" applyFont="1"/>
    <xf numFmtId="0" fontId="75" fillId="0" borderId="0" xfId="15" applyFont="1"/>
    <xf numFmtId="0" fontId="65" fillId="0" borderId="0" xfId="15" applyFill="1" applyBorder="1"/>
    <xf numFmtId="0" fontId="5" fillId="0" borderId="0" xfId="15" applyFont="1"/>
    <xf numFmtId="0" fontId="25" fillId="35" borderId="0" xfId="15" applyFont="1" applyFill="1"/>
    <xf numFmtId="0" fontId="25" fillId="0" borderId="0" xfId="15" applyFont="1"/>
    <xf numFmtId="41" fontId="65" fillId="0" borderId="0" xfId="15" applyNumberFormat="1"/>
    <xf numFmtId="37" fontId="29" fillId="0" borderId="0" xfId="15" applyNumberFormat="1" applyFont="1" applyAlignment="1">
      <alignment vertical="center"/>
    </xf>
    <xf numFmtId="0" fontId="65" fillId="0" borderId="0" xfId="15" applyAlignment="1">
      <alignment horizontal="center" wrapText="1"/>
    </xf>
    <xf numFmtId="0" fontId="65" fillId="0" borderId="0" xfId="15" applyFill="1" applyBorder="1" applyAlignment="1">
      <alignment horizontal="center" wrapText="1"/>
    </xf>
    <xf numFmtId="0" fontId="29" fillId="0" borderId="0" xfId="15" applyFont="1" applyAlignment="1">
      <alignment wrapText="1"/>
    </xf>
    <xf numFmtId="0" fontId="29" fillId="0" borderId="0" xfId="15" applyFont="1" applyAlignment="1">
      <alignment horizontal="center" vertical="center" wrapText="1"/>
    </xf>
    <xf numFmtId="170" fontId="65" fillId="0" borderId="0" xfId="15" applyNumberFormat="1"/>
    <xf numFmtId="0" fontId="30" fillId="19" borderId="0" xfId="15" applyFont="1" applyFill="1"/>
    <xf numFmtId="43" fontId="30" fillId="19" borderId="51" xfId="16" applyFont="1" applyFill="1" applyBorder="1"/>
    <xf numFmtId="43" fontId="65" fillId="0" borderId="0" xfId="15" applyNumberFormat="1" applyFill="1" applyBorder="1"/>
    <xf numFmtId="43" fontId="14" fillId="19" borderId="0" xfId="16" applyFont="1" applyFill="1"/>
    <xf numFmtId="43" fontId="30" fillId="19" borderId="52" xfId="16" applyFont="1" applyFill="1" applyBorder="1"/>
    <xf numFmtId="167" fontId="14" fillId="19" borderId="0" xfId="16" applyNumberFormat="1" applyFont="1" applyFill="1"/>
    <xf numFmtId="10" fontId="0" fillId="0" borderId="0" xfId="20" applyNumberFormat="1" applyFont="1"/>
    <xf numFmtId="10" fontId="0" fillId="0" borderId="0" xfId="20" applyNumberFormat="1" applyFont="1" applyFill="1" applyBorder="1"/>
    <xf numFmtId="43" fontId="30" fillId="19" borderId="53" xfId="16" applyFont="1" applyFill="1" applyBorder="1"/>
    <xf numFmtId="167" fontId="30" fillId="19" borderId="53" xfId="16" applyNumberFormat="1" applyFont="1" applyFill="1" applyBorder="1"/>
    <xf numFmtId="0" fontId="30" fillId="0" borderId="0" xfId="15" applyFont="1"/>
    <xf numFmtId="167" fontId="30" fillId="0" borderId="0" xfId="16" applyNumberFormat="1" applyFont="1" applyFill="1"/>
    <xf numFmtId="0" fontId="31" fillId="0" borderId="0" xfId="15" applyFont="1"/>
    <xf numFmtId="167" fontId="30" fillId="0" borderId="0" xfId="16" applyNumberFormat="1" applyFont="1"/>
    <xf numFmtId="0" fontId="14" fillId="0" borderId="0" xfId="15" applyFont="1" applyAlignment="1">
      <alignment horizontal="left" indent="1"/>
    </xf>
    <xf numFmtId="10" fontId="14" fillId="19" borderId="0" xfId="20" applyNumberFormat="1" applyFont="1" applyFill="1"/>
    <xf numFmtId="10" fontId="14" fillId="0" borderId="0" xfId="20" applyNumberFormat="1" applyFont="1" applyFill="1" applyBorder="1"/>
    <xf numFmtId="0" fontId="14" fillId="0" borderId="0" xfId="15" applyFont="1"/>
    <xf numFmtId="43" fontId="14" fillId="0" borderId="0" xfId="16" applyFont="1" applyFill="1"/>
    <xf numFmtId="167" fontId="14" fillId="0" borderId="0" xfId="16" applyNumberFormat="1" applyFont="1" applyFill="1"/>
    <xf numFmtId="10" fontId="14" fillId="0" borderId="0" xfId="16" applyNumberFormat="1" applyFont="1" applyFill="1"/>
    <xf numFmtId="10" fontId="14" fillId="0" borderId="0" xfId="16" applyNumberFormat="1" applyFont="1" applyFill="1" applyBorder="1"/>
    <xf numFmtId="10" fontId="14" fillId="19" borderId="0" xfId="16" applyNumberFormat="1" applyFont="1" applyFill="1"/>
    <xf numFmtId="167" fontId="84" fillId="49" borderId="0" xfId="19" applyNumberFormat="1"/>
    <xf numFmtId="43" fontId="14" fillId="20" borderId="0" xfId="16" applyFont="1" applyFill="1"/>
    <xf numFmtId="167" fontId="14" fillId="20" borderId="0" xfId="16" applyNumberFormat="1" applyFont="1" applyFill="1"/>
    <xf numFmtId="10" fontId="14" fillId="20" borderId="0" xfId="16" applyNumberFormat="1" applyFont="1" applyFill="1"/>
    <xf numFmtId="43" fontId="14" fillId="0" borderId="0" xfId="16" applyFont="1" applyFill="1" applyBorder="1"/>
    <xf numFmtId="167" fontId="14" fillId="0" borderId="0" xfId="16" applyNumberFormat="1" applyFont="1" applyFill="1" applyBorder="1"/>
    <xf numFmtId="167" fontId="84" fillId="49" borderId="0" xfId="19" applyNumberFormat="1" applyBorder="1"/>
    <xf numFmtId="0" fontId="14" fillId="19" borderId="0" xfId="15" applyFont="1" applyFill="1" applyAlignment="1">
      <alignment horizontal="left" indent="2"/>
    </xf>
    <xf numFmtId="0" fontId="30" fillId="0" borderId="0" xfId="15" applyFont="1" applyAlignment="1">
      <alignment horizontal="left" indent="1"/>
    </xf>
    <xf numFmtId="0" fontId="30" fillId="20" borderId="0" xfId="15" applyFont="1" applyFill="1"/>
    <xf numFmtId="0" fontId="14" fillId="5" borderId="0" xfId="15" applyFont="1" applyFill="1"/>
    <xf numFmtId="43" fontId="30" fillId="5" borderId="31" xfId="16" applyFont="1" applyFill="1" applyBorder="1"/>
    <xf numFmtId="167" fontId="30" fillId="5" borderId="31" xfId="16" applyNumberFormat="1" applyFont="1" applyFill="1" applyBorder="1"/>
    <xf numFmtId="10" fontId="30" fillId="5" borderId="31" xfId="16" applyNumberFormat="1" applyFont="1" applyFill="1" applyBorder="1"/>
    <xf numFmtId="10" fontId="30" fillId="0" borderId="0" xfId="16" applyNumberFormat="1" applyFont="1" applyFill="1" applyBorder="1"/>
    <xf numFmtId="43" fontId="0" fillId="0" borderId="0" xfId="16" applyFont="1" applyFill="1"/>
    <xf numFmtId="167" fontId="0" fillId="0" borderId="0" xfId="16" applyNumberFormat="1" applyFont="1" applyFill="1"/>
    <xf numFmtId="167" fontId="0" fillId="0" borderId="0" xfId="16" applyNumberFormat="1" applyFont="1" applyFill="1" applyBorder="1"/>
    <xf numFmtId="43" fontId="0" fillId="0" borderId="0" xfId="16" applyFont="1"/>
    <xf numFmtId="9" fontId="0" fillId="0" borderId="0" xfId="20" applyFont="1"/>
    <xf numFmtId="167" fontId="0" fillId="0" borderId="0" xfId="16" applyNumberFormat="1" applyFont="1"/>
    <xf numFmtId="0" fontId="14" fillId="0" borderId="0" xfId="15" applyFont="1" applyAlignment="1">
      <alignment horizontal="left" indent="2"/>
    </xf>
    <xf numFmtId="0" fontId="30" fillId="19" borderId="0" xfId="15" applyFont="1" applyFill="1" applyAlignment="1">
      <alignment horizontal="left" indent="2"/>
    </xf>
    <xf numFmtId="43" fontId="14" fillId="20" borderId="0" xfId="16" applyFont="1" applyFill="1" applyBorder="1"/>
    <xf numFmtId="167" fontId="14" fillId="20" borderId="0" xfId="16" applyNumberFormat="1" applyFont="1" applyFill="1" applyBorder="1"/>
    <xf numFmtId="10" fontId="14" fillId="20" borderId="0" xfId="16" applyNumberFormat="1" applyFont="1" applyFill="1" applyBorder="1"/>
    <xf numFmtId="0" fontId="30" fillId="5" borderId="0" xfId="15" applyFont="1" applyFill="1"/>
    <xf numFmtId="43" fontId="14" fillId="5" borderId="31" xfId="16" applyFont="1" applyFill="1" applyBorder="1"/>
    <xf numFmtId="10" fontId="14" fillId="5" borderId="31" xfId="16" applyNumberFormat="1" applyFont="1" applyFill="1" applyBorder="1"/>
    <xf numFmtId="0" fontId="34" fillId="21" borderId="0" xfId="15" applyFont="1" applyFill="1"/>
    <xf numFmtId="43" fontId="34" fillId="21" borderId="43" xfId="16" applyFont="1" applyFill="1" applyBorder="1"/>
    <xf numFmtId="167" fontId="34" fillId="21" borderId="43" xfId="16" applyNumberFormat="1" applyFont="1" applyFill="1" applyBorder="1"/>
    <xf numFmtId="10" fontId="34" fillId="21" borderId="43" xfId="16" applyNumberFormat="1" applyFont="1" applyFill="1" applyBorder="1"/>
    <xf numFmtId="10" fontId="34" fillId="0" borderId="0" xfId="16" applyNumberFormat="1" applyFont="1" applyFill="1" applyBorder="1"/>
    <xf numFmtId="167" fontId="27" fillId="11" borderId="7" xfId="15" applyNumberFormat="1" applyFont="1" applyFill="1" applyBorder="1"/>
    <xf numFmtId="167" fontId="30" fillId="19" borderId="51" xfId="16" applyNumberFormat="1" applyFont="1" applyFill="1" applyBorder="1"/>
    <xf numFmtId="167" fontId="30" fillId="19" borderId="52" xfId="16" applyNumberFormat="1" applyFont="1" applyFill="1" applyBorder="1"/>
    <xf numFmtId="0" fontId="65" fillId="0" borderId="0" xfId="15" applyAlignment="1">
      <alignment horizontal="center"/>
    </xf>
    <xf numFmtId="0" fontId="65" fillId="0" borderId="0" xfId="15" applyAlignment="1">
      <alignment horizontal="left"/>
    </xf>
    <xf numFmtId="164" fontId="0" fillId="0" borderId="0" xfId="20" applyNumberFormat="1" applyFont="1"/>
    <xf numFmtId="167" fontId="14" fillId="5" borderId="31" xfId="16" applyNumberFormat="1" applyFont="1" applyFill="1" applyBorder="1"/>
    <xf numFmtId="0" fontId="73" fillId="36" borderId="0" xfId="14" applyAlignment="1">
      <alignment horizontal="center" wrapText="1"/>
    </xf>
    <xf numFmtId="43" fontId="73" fillId="36" borderId="51" xfId="14" applyNumberFormat="1" applyBorder="1"/>
    <xf numFmtId="43" fontId="73" fillId="36" borderId="52" xfId="14" applyNumberFormat="1" applyBorder="1"/>
    <xf numFmtId="43" fontId="73" fillId="36" borderId="53" xfId="14" applyNumberFormat="1" applyBorder="1"/>
    <xf numFmtId="167" fontId="73" fillId="36" borderId="31" xfId="14" applyNumberFormat="1" applyBorder="1"/>
    <xf numFmtId="0" fontId="4" fillId="3" borderId="0" xfId="0" applyFont="1" applyFill="1" applyAlignment="1">
      <alignment horizontal="center"/>
    </xf>
    <xf numFmtId="0" fontId="0" fillId="24" borderId="0" xfId="0" applyFont="1" applyFill="1" applyAlignment="1">
      <alignment horizontal="center"/>
    </xf>
    <xf numFmtId="0" fontId="43" fillId="28" borderId="0" xfId="9" applyAlignment="1">
      <alignment horizontal="center"/>
    </xf>
    <xf numFmtId="0" fontId="42" fillId="27" borderId="0" xfId="8" applyAlignment="1">
      <alignment horizontal="center"/>
    </xf>
    <xf numFmtId="0" fontId="0" fillId="24" borderId="0" xfId="0" applyFill="1" applyAlignment="1">
      <alignment horizontal="left" vertical="top" wrapText="1"/>
    </xf>
    <xf numFmtId="0" fontId="6" fillId="0" borderId="8"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10" fontId="0" fillId="5" borderId="22" xfId="3" applyNumberFormat="1" applyFont="1" applyFill="1" applyBorder="1" applyAlignment="1" applyProtection="1">
      <alignment horizontal="center" vertical="center"/>
      <protection locked="0"/>
    </xf>
    <xf numFmtId="10" fontId="0" fillId="5" borderId="25" xfId="3" applyNumberFormat="1" applyFont="1" applyFill="1" applyBorder="1" applyAlignment="1" applyProtection="1">
      <alignment horizontal="center" vertical="center"/>
      <protection locked="0"/>
    </xf>
    <xf numFmtId="10" fontId="0" fillId="5" borderId="26" xfId="3" applyNumberFormat="1" applyFont="1" applyFill="1" applyBorder="1" applyAlignment="1" applyProtection="1">
      <alignment horizontal="center" vertical="center"/>
      <protection locked="0"/>
    </xf>
    <xf numFmtId="165" fontId="0" fillId="6" borderId="20" xfId="2" applyNumberFormat="1" applyFont="1" applyFill="1" applyBorder="1" applyAlignment="1" applyProtection="1">
      <alignment horizontal="center" vertical="center"/>
      <protection locked="0"/>
    </xf>
    <xf numFmtId="165" fontId="0" fillId="6" borderId="23" xfId="2" applyNumberFormat="1" applyFont="1" applyFill="1" applyBorder="1" applyAlignment="1" applyProtection="1">
      <alignment horizontal="center" vertical="center"/>
      <protection locked="0"/>
    </xf>
    <xf numFmtId="165" fontId="0" fillId="6" borderId="27" xfId="2" applyNumberFormat="1" applyFont="1" applyFill="1" applyBorder="1" applyAlignment="1" applyProtection="1">
      <alignment horizontal="center" vertical="center"/>
      <protection locked="0"/>
    </xf>
    <xf numFmtId="0" fontId="0" fillId="0" borderId="0" xfId="0" applyFill="1" applyBorder="1" applyAlignment="1">
      <alignment horizontal="center"/>
    </xf>
    <xf numFmtId="10" fontId="0" fillId="5" borderId="15" xfId="0" applyNumberFormat="1" applyFont="1" applyFill="1" applyBorder="1" applyAlignment="1">
      <alignment horizontal="center" vertical="center"/>
    </xf>
    <xf numFmtId="10" fontId="0" fillId="5" borderId="17" xfId="0" applyNumberFormat="1" applyFont="1" applyFill="1" applyBorder="1" applyAlignment="1">
      <alignment horizontal="center" vertical="center"/>
    </xf>
    <xf numFmtId="0" fontId="0" fillId="5" borderId="17" xfId="0" applyFont="1" applyFill="1" applyBorder="1" applyAlignment="1">
      <alignment horizontal="center" vertical="center"/>
    </xf>
    <xf numFmtId="165" fontId="0" fillId="6" borderId="16" xfId="2" applyNumberFormat="1" applyFont="1" applyFill="1" applyBorder="1" applyAlignment="1" applyProtection="1">
      <alignment horizontal="center" vertical="center"/>
      <protection locked="0"/>
    </xf>
    <xf numFmtId="165" fontId="0" fillId="6" borderId="18" xfId="2" applyNumberFormat="1" applyFont="1" applyFill="1" applyBorder="1" applyAlignment="1" applyProtection="1">
      <alignment horizontal="center" vertical="center"/>
      <protection locked="0"/>
    </xf>
    <xf numFmtId="0" fontId="8" fillId="0" borderId="0" xfId="0" applyFont="1" applyBorder="1" applyAlignment="1">
      <alignment horizontal="left"/>
    </xf>
    <xf numFmtId="167" fontId="10" fillId="0" borderId="38" xfId="1" applyNumberFormat="1" applyFont="1" applyBorder="1" applyAlignment="1">
      <alignment horizontal="center"/>
    </xf>
    <xf numFmtId="167" fontId="10" fillId="0" borderId="31" xfId="1" applyNumberFormat="1" applyFont="1" applyBorder="1" applyAlignment="1">
      <alignment horizontal="center"/>
    </xf>
    <xf numFmtId="167" fontId="10" fillId="0" borderId="32" xfId="1" applyNumberFormat="1" applyFont="1" applyBorder="1" applyAlignment="1">
      <alignment horizontal="center"/>
    </xf>
    <xf numFmtId="0" fontId="11" fillId="0" borderId="0" xfId="0" applyFont="1" applyBorder="1" applyAlignment="1">
      <alignment horizontal="left"/>
    </xf>
    <xf numFmtId="0" fontId="0" fillId="24" borderId="0" xfId="0" applyFont="1" applyFill="1" applyAlignment="1">
      <alignment horizontal="left" vertical="top" wrapText="1"/>
    </xf>
    <xf numFmtId="0" fontId="25" fillId="3" borderId="0" xfId="0" applyFont="1" applyFill="1" applyAlignment="1">
      <alignment horizontal="center"/>
    </xf>
    <xf numFmtId="0" fontId="74" fillId="0" borderId="0" xfId="0" applyFont="1" applyAlignment="1">
      <alignment horizontal="center"/>
    </xf>
    <xf numFmtId="0" fontId="72" fillId="33" borderId="0" xfId="0" applyFont="1" applyFill="1" applyAlignment="1">
      <alignment horizontal="center"/>
    </xf>
    <xf numFmtId="0" fontId="8" fillId="0" borderId="0" xfId="0" applyFont="1" applyBorder="1" applyAlignment="1">
      <alignment horizontal="center"/>
    </xf>
    <xf numFmtId="0" fontId="8" fillId="0" borderId="0" xfId="0" applyFont="1" applyAlignment="1">
      <alignment horizontal="center"/>
    </xf>
    <xf numFmtId="37" fontId="29" fillId="31" borderId="0" xfId="0" applyNumberFormat="1" applyFont="1" applyFill="1" applyBorder="1" applyAlignment="1">
      <alignment horizontal="center" vertical="center"/>
    </xf>
    <xf numFmtId="0" fontId="0" fillId="0" borderId="0" xfId="0" applyAlignment="1">
      <alignment horizontal="center"/>
    </xf>
    <xf numFmtId="37" fontId="29" fillId="15" borderId="0" xfId="0" applyNumberFormat="1" applyFont="1" applyFill="1" applyBorder="1" applyAlignment="1">
      <alignment horizontal="center" vertical="center"/>
    </xf>
    <xf numFmtId="37" fontId="29" fillId="16" borderId="0" xfId="0" applyNumberFormat="1" applyFont="1" applyFill="1" applyBorder="1" applyAlignment="1">
      <alignment horizontal="center" vertical="center"/>
    </xf>
    <xf numFmtId="37" fontId="29" fillId="17" borderId="0" xfId="0" applyNumberFormat="1" applyFont="1" applyFill="1" applyBorder="1" applyAlignment="1">
      <alignment horizontal="center" vertical="center"/>
    </xf>
    <xf numFmtId="37" fontId="29" fillId="18" borderId="0" xfId="0" applyNumberFormat="1" applyFont="1" applyFill="1" applyBorder="1" applyAlignment="1">
      <alignment horizontal="center" vertical="center"/>
    </xf>
    <xf numFmtId="0" fontId="65" fillId="0" borderId="0" xfId="15" applyAlignment="1">
      <alignment horizontal="center"/>
    </xf>
    <xf numFmtId="0" fontId="6" fillId="0" borderId="11" xfId="0" applyFont="1" applyBorder="1" applyAlignment="1">
      <alignment horizontal="left" wrapText="1"/>
    </xf>
    <xf numFmtId="0" fontId="6" fillId="0" borderId="0" xfId="0" applyFont="1" applyBorder="1" applyAlignment="1">
      <alignment horizontal="left" wrapText="1"/>
    </xf>
    <xf numFmtId="0" fontId="6" fillId="0" borderId="12" xfId="0" applyFont="1" applyBorder="1" applyAlignment="1">
      <alignment horizontal="left" wrapText="1"/>
    </xf>
    <xf numFmtId="0" fontId="5" fillId="20" borderId="0" xfId="0" applyFont="1" applyFill="1" applyAlignment="1">
      <alignment horizontal="left"/>
    </xf>
    <xf numFmtId="0" fontId="6" fillId="0" borderId="36" xfId="0" applyFont="1" applyBorder="1" applyAlignment="1"/>
    <xf numFmtId="0" fontId="32" fillId="0" borderId="38" xfId="0" applyFont="1" applyBorder="1" applyAlignment="1">
      <alignment horizontal="center"/>
    </xf>
    <xf numFmtId="0" fontId="32" fillId="0" borderId="31" xfId="0" applyFont="1" applyBorder="1" applyAlignment="1">
      <alignment horizontal="center"/>
    </xf>
    <xf numFmtId="0" fontId="32" fillId="0" borderId="32" xfId="0" applyFont="1" applyBorder="1" applyAlignment="1">
      <alignment horizontal="center"/>
    </xf>
    <xf numFmtId="164" fontId="2" fillId="38" borderId="56" xfId="13" applyNumberFormat="1" applyFont="1" applyAlignment="1">
      <alignment horizontal="center" wrapText="1"/>
    </xf>
    <xf numFmtId="0" fontId="0" fillId="24" borderId="33" xfId="0" applyFill="1" applyBorder="1" applyAlignment="1">
      <alignment horizontal="center"/>
    </xf>
    <xf numFmtId="0" fontId="0" fillId="24" borderId="34" xfId="0" applyFill="1" applyBorder="1" applyAlignment="1">
      <alignment horizontal="center"/>
    </xf>
    <xf numFmtId="0" fontId="0" fillId="24" borderId="39" xfId="0" applyFill="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9" xfId="0" applyBorder="1" applyAlignment="1">
      <alignment horizontal="center"/>
    </xf>
    <xf numFmtId="0" fontId="0" fillId="26" borderId="33" xfId="0" applyFill="1" applyBorder="1" applyAlignment="1">
      <alignment horizontal="center"/>
    </xf>
    <xf numFmtId="0" fontId="0" fillId="26" borderId="39" xfId="0" applyFill="1" applyBorder="1" applyAlignment="1">
      <alignment horizontal="center"/>
    </xf>
    <xf numFmtId="0" fontId="0" fillId="24" borderId="38" xfId="0" applyFill="1" applyBorder="1" applyAlignment="1">
      <alignment horizontal="center"/>
    </xf>
    <xf numFmtId="0" fontId="0" fillId="24" borderId="31" xfId="0" applyFill="1" applyBorder="1" applyAlignment="1">
      <alignment horizontal="center"/>
    </xf>
    <xf numFmtId="0" fontId="0" fillId="24" borderId="32" xfId="0" applyFill="1" applyBorder="1" applyAlignment="1">
      <alignment horizontal="center"/>
    </xf>
    <xf numFmtId="0" fontId="0" fillId="25" borderId="33" xfId="0" applyFill="1" applyBorder="1" applyAlignment="1">
      <alignment horizontal="center"/>
    </xf>
    <xf numFmtId="0" fontId="0" fillId="25" borderId="34" xfId="0" applyFill="1" applyBorder="1" applyAlignment="1">
      <alignment horizontal="center"/>
    </xf>
    <xf numFmtId="0" fontId="0" fillId="25" borderId="39" xfId="0" applyFill="1" applyBorder="1" applyAlignment="1">
      <alignment horizontal="center"/>
    </xf>
    <xf numFmtId="0" fontId="0" fillId="25" borderId="38" xfId="0" applyFill="1" applyBorder="1" applyAlignment="1">
      <alignment horizontal="center"/>
    </xf>
    <xf numFmtId="0" fontId="0" fillId="25" borderId="31" xfId="0" applyFill="1" applyBorder="1" applyAlignment="1">
      <alignment horizontal="center"/>
    </xf>
    <xf numFmtId="0" fontId="0" fillId="25" borderId="32" xfId="0" applyFill="1" applyBorder="1" applyAlignment="1">
      <alignment horizontal="center"/>
    </xf>
    <xf numFmtId="0" fontId="6" fillId="0" borderId="0" xfId="0" applyFont="1" applyFill="1" applyAlignment="1">
      <alignment horizontal="left"/>
    </xf>
    <xf numFmtId="0" fontId="0" fillId="24" borderId="0" xfId="0" applyFill="1" applyAlignment="1">
      <alignment horizontal="center"/>
    </xf>
    <xf numFmtId="0" fontId="0" fillId="25" borderId="0" xfId="0" applyFill="1" applyAlignment="1">
      <alignment horizontal="center"/>
    </xf>
    <xf numFmtId="0" fontId="4" fillId="20" borderId="0" xfId="0" applyFont="1" applyFill="1" applyAlignment="1">
      <alignment horizontal="center"/>
    </xf>
    <xf numFmtId="169" fontId="21" fillId="0" borderId="0" xfId="0" applyNumberFormat="1" applyFont="1" applyBorder="1" applyAlignment="1" applyProtection="1">
      <alignment horizontal="center" vertical="top" wrapText="1"/>
      <protection locked="0"/>
    </xf>
    <xf numFmtId="14" fontId="42" fillId="27" borderId="50" xfId="8" applyNumberFormat="1" applyBorder="1" applyAlignment="1">
      <alignment horizontal="center"/>
    </xf>
    <xf numFmtId="0" fontId="42" fillId="27" borderId="50" xfId="8" applyBorder="1" applyAlignment="1">
      <alignment horizontal="center"/>
    </xf>
    <xf numFmtId="167" fontId="42" fillId="27" borderId="0" xfId="8" applyNumberFormat="1" applyBorder="1" applyAlignment="1">
      <alignment horizontal="center"/>
    </xf>
    <xf numFmtId="0" fontId="0" fillId="3" borderId="37" xfId="0" applyFill="1" applyBorder="1" applyAlignment="1">
      <alignment horizontal="center"/>
    </xf>
    <xf numFmtId="0" fontId="0" fillId="3" borderId="0" xfId="0" applyFill="1" applyBorder="1" applyAlignment="1">
      <alignment horizontal="center"/>
    </xf>
    <xf numFmtId="0" fontId="0" fillId="3" borderId="17" xfId="0" applyFill="1" applyBorder="1" applyAlignment="1">
      <alignment horizontal="center"/>
    </xf>
    <xf numFmtId="0" fontId="0" fillId="26" borderId="34" xfId="0" applyFill="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9" xfId="0" applyFont="1" applyBorder="1" applyAlignment="1">
      <alignment horizontal="center"/>
    </xf>
    <xf numFmtId="0" fontId="4" fillId="0" borderId="37"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0" fontId="0" fillId="20" borderId="33" xfId="0" applyFill="1" applyBorder="1" applyAlignment="1">
      <alignment horizontal="center"/>
    </xf>
    <xf numFmtId="0" fontId="0" fillId="20" borderId="34" xfId="0" applyFill="1" applyBorder="1" applyAlignment="1">
      <alignment horizontal="center"/>
    </xf>
    <xf numFmtId="0" fontId="0" fillId="20" borderId="39" xfId="0" applyFill="1" applyBorder="1" applyAlignment="1">
      <alignment horizontal="center"/>
    </xf>
    <xf numFmtId="0" fontId="0" fillId="3" borderId="33" xfId="0" applyFill="1" applyBorder="1" applyAlignment="1">
      <alignment horizontal="center"/>
    </xf>
    <xf numFmtId="0" fontId="0" fillId="3" borderId="34" xfId="0" applyFill="1" applyBorder="1" applyAlignment="1">
      <alignment horizontal="center"/>
    </xf>
    <xf numFmtId="0" fontId="0" fillId="3" borderId="39" xfId="0" applyFill="1" applyBorder="1" applyAlignment="1">
      <alignment horizontal="center"/>
    </xf>
    <xf numFmtId="0" fontId="4" fillId="0" borderId="0" xfId="0" applyFont="1" applyAlignment="1">
      <alignment horizontal="center"/>
    </xf>
    <xf numFmtId="0" fontId="0" fillId="25" borderId="37" xfId="0" applyFill="1" applyBorder="1" applyAlignment="1">
      <alignment horizontal="center"/>
    </xf>
    <xf numFmtId="0" fontId="0" fillId="25" borderId="0" xfId="0" applyFill="1" applyBorder="1" applyAlignment="1">
      <alignment horizontal="center"/>
    </xf>
    <xf numFmtId="0" fontId="0" fillId="25" borderId="17" xfId="0" applyFill="1" applyBorder="1" applyAlignment="1">
      <alignment horizontal="center"/>
    </xf>
    <xf numFmtId="0" fontId="0" fillId="24" borderId="37" xfId="0" applyFill="1" applyBorder="1" applyAlignment="1">
      <alignment horizontal="center"/>
    </xf>
    <xf numFmtId="0" fontId="0" fillId="24" borderId="0" xfId="0" applyFill="1" applyBorder="1" applyAlignment="1">
      <alignment horizontal="center"/>
    </xf>
    <xf numFmtId="0" fontId="0" fillId="24" borderId="17" xfId="0" applyFill="1" applyBorder="1" applyAlignment="1">
      <alignment horizontal="center"/>
    </xf>
    <xf numFmtId="0" fontId="0" fillId="24" borderId="33" xfId="0" applyFont="1" applyFill="1" applyBorder="1" applyAlignment="1">
      <alignment horizontal="center"/>
    </xf>
    <xf numFmtId="0" fontId="0" fillId="24" borderId="34" xfId="0" applyFont="1" applyFill="1" applyBorder="1" applyAlignment="1">
      <alignment horizontal="center"/>
    </xf>
    <xf numFmtId="0" fontId="0" fillId="24" borderId="39" xfId="0" applyFont="1" applyFill="1" applyBorder="1" applyAlignment="1">
      <alignment horizontal="center"/>
    </xf>
    <xf numFmtId="0" fontId="0" fillId="0" borderId="0" xfId="0"/>
    <xf numFmtId="0" fontId="6" fillId="0" borderId="36" xfId="0" applyFont="1" applyBorder="1" applyAlignment="1">
      <alignment horizontal="center" wrapText="1"/>
    </xf>
    <xf numFmtId="0" fontId="6" fillId="0" borderId="0" xfId="0" applyFont="1" applyAlignment="1">
      <alignment horizontal="center"/>
    </xf>
  </cellXfs>
  <cellStyles count="21">
    <cellStyle name="40% - Accent2" xfId="18" builtinId="35"/>
    <cellStyle name="Accent4" xfId="19" builtinId="41"/>
    <cellStyle name="Bad" xfId="9" builtinId="27"/>
    <cellStyle name="Calculation" xfId="10" builtinId="22"/>
    <cellStyle name="Comma" xfId="1" builtinId="3"/>
    <cellStyle name="Comma 2" xfId="5" xr:uid="{00000000-0005-0000-0000-000005000000}"/>
    <cellStyle name="Comma 3" xfId="16" xr:uid="{00000000-0005-0000-0000-000006000000}"/>
    <cellStyle name="Currency" xfId="2" builtinId="4"/>
    <cellStyle name="Good" xfId="8" builtinId="26"/>
    <cellStyle name="Good 2" xfId="17" xr:uid="{00000000-0005-0000-0000-000009000000}"/>
    <cellStyle name="Input" xfId="4" builtinId="20"/>
    <cellStyle name="Neutral" xfId="14" builtinId="28"/>
    <cellStyle name="Normal" xfId="0" builtinId="0"/>
    <cellStyle name="Normal 2" xfId="15" xr:uid="{00000000-0005-0000-0000-00000D000000}"/>
    <cellStyle name="Normal 2 9" xfId="6" xr:uid="{00000000-0005-0000-0000-00000E000000}"/>
    <cellStyle name="Normal 4" xfId="12" xr:uid="{00000000-0005-0000-0000-00000F000000}"/>
    <cellStyle name="Normal_FY04_BAM_Prelim_June11" xfId="7" xr:uid="{00000000-0005-0000-0000-000010000000}"/>
    <cellStyle name="Normal_FY05_BAM_v023" xfId="11" xr:uid="{00000000-0005-0000-0000-000011000000}"/>
    <cellStyle name="Note" xfId="13" builtinId="10"/>
    <cellStyle name="Percent" xfId="3" builtinId="5"/>
    <cellStyle name="Percent 2" xfId="20" xr:uid="{00000000-0005-0000-0000-000014000000}"/>
  </cellStyles>
  <dxfs count="0"/>
  <tableStyles count="0" defaultTableStyle="TableStyleMedium2" defaultPivotStyle="PivotStyleLight16"/>
  <colors>
    <mruColors>
      <color rgb="FFFF2F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33"/>
  <sheetViews>
    <sheetView workbookViewId="0">
      <selection activeCell="A23" sqref="A23"/>
    </sheetView>
  </sheetViews>
  <sheetFormatPr baseColWidth="10" defaultColWidth="8.83203125" defaultRowHeight="15" x14ac:dyDescent="0.2"/>
  <cols>
    <col min="1" max="1" width="27.5" bestFit="1" customWidth="1"/>
    <col min="2" max="2" width="114.5" style="174" customWidth="1"/>
  </cols>
  <sheetData>
    <row r="1" spans="1:2" x14ac:dyDescent="0.2">
      <c r="A1" s="1181" t="s">
        <v>536</v>
      </c>
      <c r="B1" s="1181"/>
    </row>
    <row r="2" spans="1:2" ht="16" x14ac:dyDescent="0.2">
      <c r="B2" s="174" t="s">
        <v>670</v>
      </c>
    </row>
    <row r="3" spans="1:2" ht="16" x14ac:dyDescent="0.2">
      <c r="B3" s="174" t="s">
        <v>519</v>
      </c>
    </row>
    <row r="4" spans="1:2" ht="16" x14ac:dyDescent="0.2">
      <c r="A4" t="s">
        <v>500</v>
      </c>
      <c r="B4" s="174" t="s">
        <v>525</v>
      </c>
    </row>
    <row r="5" spans="1:2" ht="64" x14ac:dyDescent="0.2">
      <c r="A5" t="s">
        <v>501</v>
      </c>
      <c r="B5" s="174" t="s">
        <v>526</v>
      </c>
    </row>
    <row r="6" spans="1:2" ht="16" x14ac:dyDescent="0.2">
      <c r="A6" t="s">
        <v>502</v>
      </c>
      <c r="B6" s="174" t="s">
        <v>534</v>
      </c>
    </row>
    <row r="7" spans="1:2" ht="32" x14ac:dyDescent="0.2">
      <c r="A7" t="s">
        <v>503</v>
      </c>
      <c r="B7" s="174" t="s">
        <v>527</v>
      </c>
    </row>
    <row r="8" spans="1:2" ht="32" x14ac:dyDescent="0.2">
      <c r="B8" s="174" t="s">
        <v>569</v>
      </c>
    </row>
    <row r="9" spans="1:2" ht="32" x14ac:dyDescent="0.2">
      <c r="A9" t="s">
        <v>499</v>
      </c>
      <c r="B9" s="174" t="s">
        <v>535</v>
      </c>
    </row>
    <row r="10" spans="1:2" ht="48" x14ac:dyDescent="0.2">
      <c r="A10" t="s">
        <v>504</v>
      </c>
      <c r="B10" s="174" t="s">
        <v>671</v>
      </c>
    </row>
    <row r="11" spans="1:2" ht="48" x14ac:dyDescent="0.2">
      <c r="A11" t="s">
        <v>505</v>
      </c>
      <c r="B11" s="174" t="s">
        <v>672</v>
      </c>
    </row>
    <row r="12" spans="1:2" ht="48" x14ac:dyDescent="0.2">
      <c r="A12" t="s">
        <v>506</v>
      </c>
      <c r="B12" s="174" t="s">
        <v>570</v>
      </c>
    </row>
    <row r="14" spans="1:2" x14ac:dyDescent="0.2">
      <c r="A14" s="1182" t="s">
        <v>538</v>
      </c>
      <c r="B14" s="1182"/>
    </row>
    <row r="15" spans="1:2" x14ac:dyDescent="0.2">
      <c r="A15" s="1183" t="s">
        <v>577</v>
      </c>
      <c r="B15" s="1183"/>
    </row>
    <row r="16" spans="1:2" x14ac:dyDescent="0.2">
      <c r="A16" s="1184" t="s">
        <v>577</v>
      </c>
      <c r="B16" s="1184"/>
    </row>
    <row r="17" spans="1:2" x14ac:dyDescent="0.2">
      <c r="A17" s="1181" t="s">
        <v>537</v>
      </c>
      <c r="B17" s="1181"/>
    </row>
    <row r="18" spans="1:2" ht="16" x14ac:dyDescent="0.2">
      <c r="A18" t="s">
        <v>522</v>
      </c>
      <c r="B18" s="174" t="s">
        <v>551</v>
      </c>
    </row>
    <row r="19" spans="1:2" ht="64" x14ac:dyDescent="0.2">
      <c r="A19" t="s">
        <v>521</v>
      </c>
      <c r="B19" s="174" t="s">
        <v>571</v>
      </c>
    </row>
    <row r="20" spans="1:2" ht="32" x14ac:dyDescent="0.2">
      <c r="A20" t="s">
        <v>523</v>
      </c>
      <c r="B20" s="174" t="s">
        <v>552</v>
      </c>
    </row>
    <row r="21" spans="1:2" ht="96" x14ac:dyDescent="0.2">
      <c r="A21" t="s">
        <v>524</v>
      </c>
      <c r="B21" s="174" t="s">
        <v>553</v>
      </c>
    </row>
    <row r="22" spans="1:2" ht="64" x14ac:dyDescent="0.2">
      <c r="A22" t="s">
        <v>210</v>
      </c>
      <c r="B22" s="174" t="s">
        <v>554</v>
      </c>
    </row>
    <row r="23" spans="1:2" ht="64" x14ac:dyDescent="0.2">
      <c r="A23" t="s">
        <v>528</v>
      </c>
      <c r="B23" s="174" t="s">
        <v>572</v>
      </c>
    </row>
    <row r="24" spans="1:2" ht="48" x14ac:dyDescent="0.2">
      <c r="A24" t="s">
        <v>529</v>
      </c>
      <c r="B24" s="174" t="s">
        <v>573</v>
      </c>
    </row>
    <row r="25" spans="1:2" ht="32" x14ac:dyDescent="0.2">
      <c r="A25" t="s">
        <v>177</v>
      </c>
      <c r="B25" s="174" t="s">
        <v>555</v>
      </c>
    </row>
    <row r="26" spans="1:2" ht="32" x14ac:dyDescent="0.2">
      <c r="A26" t="s">
        <v>95</v>
      </c>
      <c r="B26" s="174" t="s">
        <v>556</v>
      </c>
    </row>
    <row r="27" spans="1:2" ht="32" x14ac:dyDescent="0.2">
      <c r="A27" t="s">
        <v>142</v>
      </c>
      <c r="B27" s="174" t="s">
        <v>557</v>
      </c>
    </row>
    <row r="28" spans="1:2" ht="64" x14ac:dyDescent="0.2">
      <c r="A28" t="s">
        <v>530</v>
      </c>
      <c r="B28" s="174" t="s">
        <v>564</v>
      </c>
    </row>
    <row r="29" spans="1:2" ht="16" x14ac:dyDescent="0.2">
      <c r="A29" t="s">
        <v>253</v>
      </c>
      <c r="B29" s="174" t="s">
        <v>574</v>
      </c>
    </row>
    <row r="30" spans="1:2" ht="32" x14ac:dyDescent="0.2">
      <c r="A30" t="s">
        <v>531</v>
      </c>
      <c r="B30" s="174" t="s">
        <v>558</v>
      </c>
    </row>
    <row r="31" spans="1:2" ht="64" x14ac:dyDescent="0.2">
      <c r="A31" t="s">
        <v>532</v>
      </c>
      <c r="B31" s="174" t="s">
        <v>673</v>
      </c>
    </row>
    <row r="32" spans="1:2" s="721" customFormat="1" ht="16" x14ac:dyDescent="0.2">
      <c r="A32" s="721" t="s">
        <v>664</v>
      </c>
      <c r="B32" s="174" t="s">
        <v>674</v>
      </c>
    </row>
    <row r="33" spans="1:2" ht="16" x14ac:dyDescent="0.2">
      <c r="A33" t="s">
        <v>533</v>
      </c>
      <c r="B33" s="174" t="s">
        <v>545</v>
      </c>
    </row>
  </sheetData>
  <mergeCells count="5">
    <mergeCell ref="A1:B1"/>
    <mergeCell ref="A17:B17"/>
    <mergeCell ref="A14:B14"/>
    <mergeCell ref="A15:B15"/>
    <mergeCell ref="A16:B16"/>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U108"/>
  <sheetViews>
    <sheetView topLeftCell="F1" workbookViewId="0">
      <selection activeCell="O12" sqref="O12"/>
    </sheetView>
  </sheetViews>
  <sheetFormatPr baseColWidth="10" defaultColWidth="12.5" defaultRowHeight="15" x14ac:dyDescent="0.2"/>
  <cols>
    <col min="1" max="1" width="48.5" customWidth="1"/>
    <col min="2" max="2" width="14.1640625" customWidth="1"/>
    <col min="3" max="3" width="12.6640625" style="83" customWidth="1"/>
    <col min="4" max="4" width="11.6640625" customWidth="1"/>
    <col min="5" max="5" width="51.83203125" customWidth="1"/>
    <col min="6" max="6" width="21" customWidth="1"/>
    <col min="7" max="7" width="11.5" bestFit="1" customWidth="1"/>
    <col min="9" max="9" width="14.33203125" customWidth="1"/>
    <col min="10" max="10" width="57.83203125" bestFit="1" customWidth="1"/>
    <col min="11" max="11" width="22" customWidth="1"/>
    <col min="12" max="13" width="13.83203125" bestFit="1" customWidth="1"/>
    <col min="14" max="14" width="16.1640625" bestFit="1" customWidth="1"/>
    <col min="15" max="16" width="14.33203125" style="547" bestFit="1" customWidth="1"/>
  </cols>
  <sheetData>
    <row r="1" spans="1:15" ht="19" x14ac:dyDescent="0.25">
      <c r="A1" s="1222" t="s">
        <v>370</v>
      </c>
      <c r="B1" s="1222"/>
      <c r="C1" s="1222"/>
      <c r="D1" s="1222"/>
      <c r="E1" s="1222"/>
    </row>
    <row r="4" spans="1:15" ht="16" x14ac:dyDescent="0.2">
      <c r="A4" s="272"/>
      <c r="F4" s="305" t="str">
        <f>"FY"&amp;RIGHT(Dashboard!B6,2)</f>
        <v>FY22</v>
      </c>
      <c r="H4" s="272" t="s">
        <v>491</v>
      </c>
    </row>
    <row r="5" spans="1:15" ht="44" thickBot="1" x14ac:dyDescent="0.25">
      <c r="A5" s="306" t="s">
        <v>255</v>
      </c>
      <c r="B5" s="306"/>
      <c r="C5" s="368"/>
      <c r="D5" s="1223" t="s">
        <v>490</v>
      </c>
      <c r="E5" s="1223"/>
      <c r="F5" s="1223"/>
      <c r="H5" s="307"/>
      <c r="I5" s="308" t="s">
        <v>256</v>
      </c>
      <c r="J5" s="309" t="s">
        <v>257</v>
      </c>
      <c r="K5" s="310" t="s">
        <v>258</v>
      </c>
      <c r="L5" s="311" t="str">
        <f>"FY"&amp;RIGHT(Dashboard!B6,2)-1&amp; " Centrally Managed Funds"</f>
        <v>FY21 Centrally Managed Funds</v>
      </c>
      <c r="M5" s="312" t="str">
        <f>"FY"&amp;RIGHT(Dashboard!B6,2)&amp;" - FY"&amp;RIGHT(Dashboard!B6,2)-1&amp;" Incremental Difference"</f>
        <v>FY22 - FY21 Incremental Difference</v>
      </c>
      <c r="N5" s="692" t="str">
        <f>"FY"&amp;RIGHT(Dashboard!B6,2)&amp;" Centrally Managed Funds "</f>
        <v xml:space="preserve">FY22 Centrally Managed Funds </v>
      </c>
    </row>
    <row r="6" spans="1:15" ht="16" thickTop="1" x14ac:dyDescent="0.2">
      <c r="A6" s="151"/>
      <c r="B6" s="151"/>
      <c r="C6" s="153"/>
      <c r="D6" s="318" t="s">
        <v>262</v>
      </c>
      <c r="E6" s="318"/>
      <c r="F6" s="549">
        <f>SUM(F7:F17)</f>
        <v>40794236</v>
      </c>
      <c r="G6" s="199"/>
      <c r="H6" s="314"/>
      <c r="I6" s="315" t="s">
        <v>259</v>
      </c>
      <c r="J6" s="316" t="s">
        <v>260</v>
      </c>
      <c r="K6" s="316" t="s">
        <v>261</v>
      </c>
      <c r="L6" s="317">
        <v>-10388208.245467912</v>
      </c>
      <c r="M6" s="335">
        <f>+N6-L6</f>
        <v>896320.69546790048</v>
      </c>
      <c r="N6" s="841">
        <f>SUM('FINAL-Distributed E&amp;G Budget'!M7:O13,'FINAL-Distributed E&amp;G Budget'!U7:U13,'FINAL-Distributed E&amp;G Budget'!AE7:AH13,'FINAL-Distributed E&amp;G Budget'!AC7:AC14,'FINAL-Distributed E&amp;G Budget'!J14)</f>
        <v>-9491887.5500000119</v>
      </c>
    </row>
    <row r="7" spans="1:15" x14ac:dyDescent="0.2">
      <c r="A7" s="319" t="s">
        <v>263</v>
      </c>
      <c r="B7" s="320"/>
      <c r="C7" s="345"/>
      <c r="E7" s="322" t="s">
        <v>264</v>
      </c>
      <c r="F7" s="323">
        <f>+N56+N57+N58+N59</f>
        <v>16940058</v>
      </c>
      <c r="G7" s="199"/>
      <c r="H7" s="314"/>
      <c r="I7" s="315"/>
      <c r="J7" s="316"/>
      <c r="K7" s="316"/>
      <c r="L7" s="317"/>
      <c r="M7" s="335"/>
      <c r="N7" s="841"/>
    </row>
    <row r="8" spans="1:15" x14ac:dyDescent="0.2">
      <c r="A8" s="324" t="s">
        <v>265</v>
      </c>
      <c r="B8" s="325">
        <f>ROUND(0.01*('Step 0 Revenue Detail'!L36+'Step 0 Revenue Detail'!L37+'Step 0 Revenue Detail'!L44+'Step 0 Revenue Detail'!L47),0)</f>
        <v>3276588</v>
      </c>
      <c r="C8" s="345"/>
      <c r="D8" s="515"/>
      <c r="E8" s="322" t="s">
        <v>267</v>
      </c>
      <c r="F8" s="323">
        <f>+N43+N81+N82</f>
        <v>-13690270</v>
      </c>
      <c r="G8" s="515"/>
      <c r="H8" s="327" t="s">
        <v>266</v>
      </c>
      <c r="I8" s="315"/>
      <c r="J8" s="316"/>
      <c r="K8" s="316"/>
      <c r="L8" s="317"/>
      <c r="M8" s="335"/>
      <c r="N8" s="841"/>
    </row>
    <row r="9" spans="1:15" x14ac:dyDescent="0.2">
      <c r="A9" s="328"/>
      <c r="B9" s="329"/>
      <c r="C9" s="329"/>
      <c r="E9" s="322" t="s">
        <v>270</v>
      </c>
      <c r="F9" s="323">
        <f>+N41+N42</f>
        <v>11485543</v>
      </c>
      <c r="H9" s="314"/>
      <c r="I9" s="330" t="s">
        <v>259</v>
      </c>
      <c r="J9" s="331" t="s">
        <v>268</v>
      </c>
      <c r="K9" s="331" t="s">
        <v>269</v>
      </c>
      <c r="L9" s="317">
        <v>13000000</v>
      </c>
      <c r="M9" s="335">
        <v>-1000000</v>
      </c>
      <c r="N9" s="851">
        <f>L9+M9</f>
        <v>12000000</v>
      </c>
    </row>
    <row r="10" spans="1:15" x14ac:dyDescent="0.2">
      <c r="A10" s="319" t="s">
        <v>271</v>
      </c>
      <c r="B10" s="320"/>
      <c r="C10" s="329"/>
      <c r="E10" s="322" t="s">
        <v>272</v>
      </c>
      <c r="F10" s="323">
        <f>+N44+N45+N46</f>
        <v>7320000</v>
      </c>
      <c r="H10" s="314"/>
      <c r="I10" s="315"/>
      <c r="J10" s="316"/>
      <c r="K10" s="316"/>
      <c r="L10" s="317"/>
      <c r="M10" s="335"/>
      <c r="N10" s="841"/>
    </row>
    <row r="11" spans="1:15" x14ac:dyDescent="0.2">
      <c r="A11" s="332" t="s">
        <v>594</v>
      </c>
      <c r="B11" s="333">
        <f>F35-B8</f>
        <v>2350000</v>
      </c>
      <c r="C11" s="345"/>
      <c r="D11" s="131"/>
      <c r="E11" s="322" t="s">
        <v>274</v>
      </c>
      <c r="F11" s="323">
        <f>+N34</f>
        <v>4500000</v>
      </c>
      <c r="H11" s="327" t="s">
        <v>273</v>
      </c>
      <c r="I11" s="321"/>
      <c r="J11" s="316"/>
      <c r="K11" s="316"/>
      <c r="L11" s="317"/>
      <c r="M11" s="335"/>
      <c r="N11" s="841"/>
    </row>
    <row r="12" spans="1:15" x14ac:dyDescent="0.2">
      <c r="C12" s="345"/>
      <c r="E12" s="322" t="s">
        <v>277</v>
      </c>
      <c r="F12" s="323">
        <f>+N31</f>
        <v>3000000</v>
      </c>
      <c r="H12" s="321"/>
      <c r="I12" s="315" t="s">
        <v>259</v>
      </c>
      <c r="J12" s="316" t="s">
        <v>275</v>
      </c>
      <c r="K12" s="331" t="s">
        <v>276</v>
      </c>
      <c r="L12" s="334">
        <v>1213776.0399999917</v>
      </c>
      <c r="M12" s="335">
        <f>+N12-L12</f>
        <v>2836223.9600000083</v>
      </c>
      <c r="N12" s="841">
        <f>+Ecampus!K29+Ecampus!K30+Ecampus!K31</f>
        <v>4050000</v>
      </c>
      <c r="O12" s="1060"/>
    </row>
    <row r="13" spans="1:15" x14ac:dyDescent="0.2">
      <c r="A13" s="336" t="s">
        <v>262</v>
      </c>
      <c r="B13" s="320"/>
      <c r="E13" s="322" t="s">
        <v>280</v>
      </c>
      <c r="F13" s="323">
        <f>+N33</f>
        <v>225000</v>
      </c>
      <c r="H13" s="321"/>
      <c r="I13" s="315" t="s">
        <v>259</v>
      </c>
      <c r="J13" s="316" t="s">
        <v>278</v>
      </c>
      <c r="K13" s="331" t="s">
        <v>279</v>
      </c>
      <c r="L13" s="334">
        <v>513842.47999999952</v>
      </c>
      <c r="M13" s="335">
        <f t="shared" ref="M13:M14" si="0">+N13-L13</f>
        <v>782795.52000000048</v>
      </c>
      <c r="N13" s="841">
        <f>+Summer!B28</f>
        <v>1296638</v>
      </c>
    </row>
    <row r="14" spans="1:15" x14ac:dyDescent="0.2">
      <c r="A14" s="337" t="s">
        <v>281</v>
      </c>
      <c r="B14" s="338">
        <f>F6</f>
        <v>40794236</v>
      </c>
      <c r="C14" s="345"/>
      <c r="E14" s="339" t="s">
        <v>283</v>
      </c>
      <c r="F14" s="323">
        <f>+N36+N37+N47+N48+N49+N50</f>
        <v>2782027</v>
      </c>
      <c r="G14" s="199"/>
      <c r="H14" s="321"/>
      <c r="I14" s="315" t="s">
        <v>259</v>
      </c>
      <c r="J14" s="316" t="s">
        <v>617</v>
      </c>
      <c r="K14" s="316" t="s">
        <v>282</v>
      </c>
      <c r="L14" s="334">
        <v>936477.11000000313</v>
      </c>
      <c r="M14" s="335">
        <f t="shared" si="0"/>
        <v>-65977.110000003129</v>
      </c>
      <c r="N14" s="841">
        <f>+'FINAL-Distributed E&amp;G Budget'!H11-N15</f>
        <v>870500</v>
      </c>
    </row>
    <row r="15" spans="1:15" x14ac:dyDescent="0.2">
      <c r="C15" s="329"/>
      <c r="E15" s="339" t="s">
        <v>287</v>
      </c>
      <c r="F15" s="323">
        <f>+N35</f>
        <v>7431878</v>
      </c>
      <c r="G15" s="199"/>
      <c r="H15" s="321"/>
      <c r="I15" s="315" t="s">
        <v>259</v>
      </c>
      <c r="J15" s="316" t="s">
        <v>619</v>
      </c>
      <c r="K15" s="316" t="s">
        <v>282</v>
      </c>
      <c r="L15" s="334">
        <v>300000</v>
      </c>
      <c r="M15" s="335">
        <f>+N15-L15</f>
        <v>5000</v>
      </c>
      <c r="N15" s="851">
        <v>305000</v>
      </c>
      <c r="O15" s="971"/>
    </row>
    <row r="16" spans="1:15" x14ac:dyDescent="0.2">
      <c r="A16" s="336" t="s">
        <v>288</v>
      </c>
      <c r="B16" s="320"/>
      <c r="E16" s="339" t="s">
        <v>769</v>
      </c>
      <c r="F16" s="323">
        <f>+N51</f>
        <v>800000</v>
      </c>
      <c r="H16" s="321"/>
      <c r="I16" s="330" t="s">
        <v>284</v>
      </c>
      <c r="J16" s="316" t="s">
        <v>285</v>
      </c>
      <c r="K16" s="340" t="s">
        <v>286</v>
      </c>
      <c r="L16" s="334">
        <v>692530.87999999896</v>
      </c>
      <c r="M16" s="335">
        <f>+N16-L16</f>
        <v>130369.12000000104</v>
      </c>
      <c r="N16" s="841">
        <f>+Differential!F5</f>
        <v>822900</v>
      </c>
    </row>
    <row r="17" spans="1:21" x14ac:dyDescent="0.2">
      <c r="A17" s="341" t="s">
        <v>291</v>
      </c>
      <c r="B17" s="342">
        <f>SUM(F36:F49)</f>
        <v>4155208</v>
      </c>
      <c r="C17" s="345"/>
      <c r="E17" s="339"/>
      <c r="F17" s="323"/>
      <c r="H17" s="321"/>
      <c r="I17" s="330" t="s">
        <v>259</v>
      </c>
      <c r="J17" s="316" t="s">
        <v>289</v>
      </c>
      <c r="K17" s="316" t="s">
        <v>290</v>
      </c>
      <c r="L17" s="317">
        <v>7355193</v>
      </c>
      <c r="M17" s="335">
        <v>-7355193</v>
      </c>
      <c r="N17" s="1061">
        <f>+L17+M17</f>
        <v>0</v>
      </c>
      <c r="O17" s="1062" t="s">
        <v>931</v>
      </c>
    </row>
    <row r="18" spans="1:21" x14ac:dyDescent="0.2">
      <c r="A18" s="344" t="s">
        <v>295</v>
      </c>
      <c r="B18" s="326">
        <f>F34</f>
        <v>12000000</v>
      </c>
      <c r="C18" s="369"/>
      <c r="D18" s="318" t="s">
        <v>294</v>
      </c>
      <c r="E18" s="318"/>
      <c r="F18" s="548">
        <f>SUM(F19:F25)</f>
        <v>7345038</v>
      </c>
      <c r="G18" s="199"/>
      <c r="H18" s="321"/>
      <c r="I18" s="330" t="s">
        <v>259</v>
      </c>
      <c r="J18" s="331" t="s">
        <v>292</v>
      </c>
      <c r="K18" s="331" t="s">
        <v>293</v>
      </c>
      <c r="L18" s="317">
        <v>400000</v>
      </c>
      <c r="M18" s="335">
        <v>-400000</v>
      </c>
      <c r="N18" s="1061">
        <f>+L18+M18</f>
        <v>0</v>
      </c>
      <c r="O18" s="1062" t="s">
        <v>931</v>
      </c>
    </row>
    <row r="19" spans="1:21" x14ac:dyDescent="0.2">
      <c r="A19" s="336" t="s">
        <v>298</v>
      </c>
      <c r="B19" s="320"/>
      <c r="C19" s="345"/>
      <c r="E19" s="344" t="s">
        <v>297</v>
      </c>
      <c r="F19" s="323">
        <f>+N12+N13+N16</f>
        <v>6169538</v>
      </c>
      <c r="G19" s="131"/>
      <c r="H19" s="321"/>
      <c r="I19" s="330" t="s">
        <v>259</v>
      </c>
      <c r="J19" s="331" t="s">
        <v>296</v>
      </c>
      <c r="K19" s="331" t="s">
        <v>293</v>
      </c>
      <c r="L19" s="317">
        <v>30000</v>
      </c>
      <c r="M19" s="335">
        <v>-30000</v>
      </c>
      <c r="N19" s="1061">
        <f>+L19+M19</f>
        <v>0</v>
      </c>
      <c r="O19" s="1062" t="s">
        <v>931</v>
      </c>
    </row>
    <row r="20" spans="1:21" x14ac:dyDescent="0.2">
      <c r="A20" s="332" t="s">
        <v>300</v>
      </c>
      <c r="B20" s="345">
        <f>F18</f>
        <v>7345038</v>
      </c>
      <c r="C20" s="345"/>
      <c r="E20" s="344" t="s">
        <v>299</v>
      </c>
      <c r="F20" s="323">
        <f>+N14+N15</f>
        <v>1175500</v>
      </c>
      <c r="H20" s="321"/>
      <c r="I20" s="315" t="s">
        <v>259</v>
      </c>
      <c r="J20" s="985" t="s">
        <v>614</v>
      </c>
      <c r="K20" s="331" t="s">
        <v>290</v>
      </c>
      <c r="L20" s="317">
        <v>0</v>
      </c>
      <c r="M20" s="335">
        <f t="shared" ref="M20" si="1">+N20-L20</f>
        <v>0</v>
      </c>
      <c r="N20" s="1061">
        <v>0</v>
      </c>
      <c r="O20" s="1062" t="s">
        <v>931</v>
      </c>
    </row>
    <row r="21" spans="1:21" x14ac:dyDescent="0.2">
      <c r="C21" s="345"/>
      <c r="E21" s="344" t="s">
        <v>193</v>
      </c>
      <c r="F21" s="323">
        <v>0</v>
      </c>
      <c r="H21" s="321"/>
      <c r="I21" s="315" t="s">
        <v>259</v>
      </c>
      <c r="J21" s="985" t="s">
        <v>615</v>
      </c>
      <c r="K21" s="331" t="s">
        <v>290</v>
      </c>
      <c r="L21" s="317">
        <v>2350000</v>
      </c>
      <c r="M21" s="335">
        <v>-2350000</v>
      </c>
      <c r="N21" s="1061">
        <f t="shared" ref="N21:N28" si="2">+L21+M21</f>
        <v>0</v>
      </c>
      <c r="O21" s="1062" t="s">
        <v>931</v>
      </c>
    </row>
    <row r="22" spans="1:21" x14ac:dyDescent="0.2">
      <c r="A22" s="336" t="s">
        <v>302</v>
      </c>
      <c r="B22" s="320"/>
      <c r="E22" s="344" t="s">
        <v>301</v>
      </c>
      <c r="F22" s="323">
        <f>+N17</f>
        <v>0</v>
      </c>
      <c r="G22" s="969"/>
      <c r="H22" s="321"/>
      <c r="I22" s="315" t="s">
        <v>259</v>
      </c>
      <c r="J22" s="985" t="s">
        <v>839</v>
      </c>
      <c r="K22" s="331"/>
      <c r="L22" s="317"/>
      <c r="M22" s="335">
        <v>0</v>
      </c>
      <c r="N22" s="1061">
        <f t="shared" si="2"/>
        <v>0</v>
      </c>
      <c r="O22" s="1062" t="s">
        <v>931</v>
      </c>
    </row>
    <row r="23" spans="1:21" x14ac:dyDescent="0.2">
      <c r="A23" s="332" t="s">
        <v>303</v>
      </c>
      <c r="B23" s="347">
        <f>F26</f>
        <v>180000</v>
      </c>
      <c r="C23" s="345"/>
      <c r="E23" s="332" t="s">
        <v>197</v>
      </c>
      <c r="F23" s="346">
        <f>+N18+N19</f>
        <v>0</v>
      </c>
      <c r="H23" s="321"/>
      <c r="I23" s="315" t="s">
        <v>259</v>
      </c>
      <c r="J23" s="985" t="s">
        <v>767</v>
      </c>
      <c r="K23" s="331" t="s">
        <v>290</v>
      </c>
      <c r="L23" s="317">
        <v>0</v>
      </c>
      <c r="M23" s="335">
        <v>0</v>
      </c>
      <c r="N23" s="1061">
        <f t="shared" si="2"/>
        <v>0</v>
      </c>
      <c r="O23" s="1062" t="s">
        <v>931</v>
      </c>
      <c r="Q23" s="925"/>
      <c r="R23" s="925"/>
      <c r="S23" s="925"/>
      <c r="T23" s="925"/>
      <c r="U23" s="925"/>
    </row>
    <row r="24" spans="1:21" ht="16" thickBot="1" x14ac:dyDescent="0.25">
      <c r="A24" s="348"/>
      <c r="B24" s="348"/>
      <c r="C24" s="347"/>
      <c r="E24" s="344" t="s">
        <v>304</v>
      </c>
      <c r="F24" s="346">
        <f>+N26</f>
        <v>0</v>
      </c>
      <c r="G24" s="925"/>
      <c r="H24" s="321"/>
      <c r="I24" s="315" t="s">
        <v>259</v>
      </c>
      <c r="J24" s="985" t="s">
        <v>768</v>
      </c>
      <c r="K24" s="331"/>
      <c r="L24" s="317"/>
      <c r="M24" s="335">
        <v>0</v>
      </c>
      <c r="N24" s="1061">
        <f t="shared" si="2"/>
        <v>0</v>
      </c>
      <c r="O24" s="1062" t="s">
        <v>931</v>
      </c>
    </row>
    <row r="25" spans="1:21" ht="16" thickTop="1" x14ac:dyDescent="0.2">
      <c r="A25" s="349" t="s">
        <v>305</v>
      </c>
      <c r="B25" s="229">
        <f>B8+B11+B14+B17+B20+B23+B18</f>
        <v>70101070</v>
      </c>
      <c r="C25" s="347"/>
      <c r="D25" s="972"/>
      <c r="E25" s="344"/>
      <c r="F25" s="346"/>
      <c r="G25" s="972"/>
      <c r="H25" s="321"/>
      <c r="I25" s="315" t="s">
        <v>259</v>
      </c>
      <c r="J25" s="985" t="s">
        <v>681</v>
      </c>
      <c r="K25" s="331" t="s">
        <v>290</v>
      </c>
      <c r="L25" s="317">
        <v>0</v>
      </c>
      <c r="M25" s="335">
        <v>0</v>
      </c>
      <c r="N25" s="1061">
        <f t="shared" si="2"/>
        <v>0</v>
      </c>
      <c r="O25" s="1062" t="s">
        <v>931</v>
      </c>
    </row>
    <row r="26" spans="1:21" x14ac:dyDescent="0.2">
      <c r="C26" s="130"/>
      <c r="D26" s="318" t="s">
        <v>303</v>
      </c>
      <c r="E26" s="318"/>
      <c r="F26" s="548">
        <f>F27+F28</f>
        <v>180000</v>
      </c>
      <c r="H26" s="321"/>
      <c r="I26" s="315" t="s">
        <v>259</v>
      </c>
      <c r="J26" s="316" t="s">
        <v>304</v>
      </c>
      <c r="K26" s="316"/>
      <c r="L26" s="317"/>
      <c r="M26" s="335">
        <v>0</v>
      </c>
      <c r="N26" s="841">
        <f>+L26+M26</f>
        <v>0</v>
      </c>
    </row>
    <row r="27" spans="1:21" x14ac:dyDescent="0.2">
      <c r="A27" s="349"/>
      <c r="B27" s="229"/>
      <c r="C27" s="154"/>
      <c r="E27" s="350" t="s">
        <v>307</v>
      </c>
      <c r="F27" s="351">
        <f>+N23+N25+N20+N21+N24+N22</f>
        <v>0</v>
      </c>
      <c r="H27" s="321"/>
      <c r="M27" s="335">
        <v>0</v>
      </c>
      <c r="N27" s="851">
        <f t="shared" si="2"/>
        <v>0</v>
      </c>
      <c r="Q27" s="966"/>
      <c r="R27" s="966"/>
      <c r="S27" s="966"/>
    </row>
    <row r="28" spans="1:21" x14ac:dyDescent="0.2">
      <c r="A28" s="349" t="s">
        <v>312</v>
      </c>
      <c r="B28" s="229">
        <f>F53</f>
        <v>3850000</v>
      </c>
      <c r="E28" s="350" t="s">
        <v>310</v>
      </c>
      <c r="F28" s="351">
        <f>+N32</f>
        <v>180000</v>
      </c>
      <c r="H28" s="321"/>
      <c r="I28" s="315"/>
      <c r="J28" s="581"/>
      <c r="K28" s="972"/>
      <c r="L28" s="317">
        <v>0</v>
      </c>
      <c r="M28" s="335">
        <v>0</v>
      </c>
      <c r="N28" s="851">
        <f t="shared" si="2"/>
        <v>0</v>
      </c>
    </row>
    <row r="29" spans="1:21" ht="16" x14ac:dyDescent="0.2">
      <c r="A29" s="349" t="s">
        <v>314</v>
      </c>
      <c r="B29" s="229">
        <f>B25+B27+B28</f>
        <v>73951070</v>
      </c>
      <c r="C29" s="154"/>
      <c r="E29" s="352"/>
      <c r="F29" s="353"/>
      <c r="G29" s="966"/>
      <c r="H29" s="321"/>
      <c r="I29" s="315"/>
      <c r="J29" s="316"/>
      <c r="K29" s="316"/>
      <c r="L29" s="334"/>
      <c r="M29" s="335"/>
      <c r="N29" s="841"/>
    </row>
    <row r="30" spans="1:21" x14ac:dyDescent="0.2">
      <c r="C30" s="154"/>
      <c r="D30" s="318" t="s">
        <v>313</v>
      </c>
      <c r="E30" s="318"/>
      <c r="F30" s="343"/>
      <c r="G30" s="554"/>
      <c r="H30" s="327" t="s">
        <v>306</v>
      </c>
      <c r="I30" s="315"/>
      <c r="J30" s="316"/>
      <c r="K30" s="316"/>
      <c r="L30" s="317"/>
      <c r="M30" s="335"/>
      <c r="N30" s="841"/>
    </row>
    <row r="31" spans="1:21" x14ac:dyDescent="0.2">
      <c r="B31" s="131"/>
      <c r="C31" s="154"/>
      <c r="F31" s="83"/>
      <c r="H31" s="321"/>
      <c r="I31" s="330" t="s">
        <v>259</v>
      </c>
      <c r="J31" s="901" t="s">
        <v>308</v>
      </c>
      <c r="K31" s="331" t="s">
        <v>309</v>
      </c>
      <c r="L31" s="317">
        <v>2000000</v>
      </c>
      <c r="M31" s="335">
        <v>1000000</v>
      </c>
      <c r="N31" s="851">
        <f>+L31+M31</f>
        <v>3000000</v>
      </c>
    </row>
    <row r="32" spans="1:21" x14ac:dyDescent="0.2">
      <c r="F32" s="83"/>
      <c r="H32" s="321"/>
      <c r="I32" s="315" t="s">
        <v>259</v>
      </c>
      <c r="J32" s="984" t="s">
        <v>311</v>
      </c>
      <c r="K32" s="331" t="s">
        <v>290</v>
      </c>
      <c r="L32" s="317">
        <v>180000</v>
      </c>
      <c r="M32" s="335">
        <v>0</v>
      </c>
      <c r="N32" s="851">
        <f t="shared" ref="N32:N36" si="3">L32+M32</f>
        <v>180000</v>
      </c>
    </row>
    <row r="33" spans="4:16" x14ac:dyDescent="0.2">
      <c r="D33" s="318" t="s">
        <v>319</v>
      </c>
      <c r="E33" s="318"/>
      <c r="F33" s="343">
        <f>SUM(F34:F49)</f>
        <v>21781796</v>
      </c>
      <c r="H33" s="321"/>
      <c r="I33" s="315" t="s">
        <v>259</v>
      </c>
      <c r="J33" s="316" t="s">
        <v>624</v>
      </c>
      <c r="K33" s="316" t="s">
        <v>282</v>
      </c>
      <c r="L33" s="317">
        <v>225000</v>
      </c>
      <c r="M33" s="335">
        <v>0</v>
      </c>
      <c r="N33" s="851">
        <f>+L33+M33</f>
        <v>225000</v>
      </c>
    </row>
    <row r="34" spans="4:16" x14ac:dyDescent="0.2">
      <c r="E34" s="321" t="s">
        <v>322</v>
      </c>
      <c r="F34" s="323">
        <f>+N9</f>
        <v>12000000</v>
      </c>
      <c r="H34" s="321"/>
      <c r="I34" s="330" t="s">
        <v>259</v>
      </c>
      <c r="J34" s="901" t="s">
        <v>315</v>
      </c>
      <c r="K34" s="331" t="s">
        <v>316</v>
      </c>
      <c r="L34" s="317">
        <v>4500000</v>
      </c>
      <c r="M34" s="335">
        <v>0</v>
      </c>
      <c r="N34" s="851">
        <f>L34+M34</f>
        <v>4500000</v>
      </c>
      <c r="O34" s="971"/>
    </row>
    <row r="35" spans="4:16" ht="16" x14ac:dyDescent="0.2">
      <c r="E35" s="321" t="s">
        <v>323</v>
      </c>
      <c r="F35" s="323">
        <f>+N77+N78+N80</f>
        <v>5626588</v>
      </c>
      <c r="H35" s="321"/>
      <c r="I35" s="330" t="s">
        <v>259</v>
      </c>
      <c r="J35" s="901" t="s">
        <v>287</v>
      </c>
      <c r="K35" s="331" t="s">
        <v>317</v>
      </c>
      <c r="L35" s="317">
        <v>5831878</v>
      </c>
      <c r="M35" s="335">
        <v>1600000</v>
      </c>
      <c r="N35" s="982">
        <f t="shared" si="3"/>
        <v>7431878</v>
      </c>
      <c r="O35" s="971"/>
      <c r="P35" s="971"/>
    </row>
    <row r="36" spans="4:16" x14ac:dyDescent="0.2">
      <c r="E36" s="321" t="s">
        <v>325</v>
      </c>
      <c r="F36" s="323">
        <f>+N67+N68</f>
        <v>1822400</v>
      </c>
      <c r="H36" s="321"/>
      <c r="I36" s="330" t="s">
        <v>259</v>
      </c>
      <c r="J36" s="901" t="s">
        <v>318</v>
      </c>
      <c r="K36" s="331" t="s">
        <v>316</v>
      </c>
      <c r="L36" s="317">
        <v>500000</v>
      </c>
      <c r="M36" s="335">
        <f>600000+500000</f>
        <v>1100000</v>
      </c>
      <c r="N36" s="851">
        <f t="shared" si="3"/>
        <v>1600000</v>
      </c>
      <c r="O36" s="971"/>
    </row>
    <row r="37" spans="4:16" x14ac:dyDescent="0.2">
      <c r="E37" s="321" t="s">
        <v>328</v>
      </c>
      <c r="F37" s="323">
        <f>+N62</f>
        <v>1680000</v>
      </c>
      <c r="H37" s="321"/>
      <c r="I37" s="330" t="s">
        <v>320</v>
      </c>
      <c r="J37" s="340" t="s">
        <v>321</v>
      </c>
      <c r="K37" s="340" t="s">
        <v>286</v>
      </c>
      <c r="L37" s="334">
        <v>30000</v>
      </c>
      <c r="M37" s="335">
        <v>1500</v>
      </c>
      <c r="N37" s="851">
        <f>L37+M37</f>
        <v>31500</v>
      </c>
    </row>
    <row r="38" spans="4:16" x14ac:dyDescent="0.2">
      <c r="E38" s="355" t="s">
        <v>331</v>
      </c>
      <c r="F38" s="323">
        <f>+N64+N65</f>
        <v>133158</v>
      </c>
      <c r="H38" s="321"/>
      <c r="M38" s="335"/>
      <c r="N38" s="841"/>
    </row>
    <row r="39" spans="4:16" x14ac:dyDescent="0.2">
      <c r="E39" s="321" t="s">
        <v>333</v>
      </c>
      <c r="F39" s="323">
        <f>+N63</f>
        <v>0</v>
      </c>
      <c r="H39" s="313"/>
      <c r="I39" s="315"/>
      <c r="J39" s="316"/>
      <c r="K39" s="316"/>
      <c r="L39" s="317"/>
      <c r="M39" s="335"/>
      <c r="N39" s="841"/>
    </row>
    <row r="40" spans="4:16" x14ac:dyDescent="0.2">
      <c r="E40" s="321" t="s">
        <v>341</v>
      </c>
      <c r="F40" s="323">
        <f>+N66</f>
        <v>26400</v>
      </c>
      <c r="H40" s="327" t="s">
        <v>324</v>
      </c>
      <c r="I40" s="315"/>
      <c r="J40" s="316"/>
      <c r="K40" s="316"/>
      <c r="L40" s="317"/>
      <c r="M40" s="335"/>
      <c r="N40" s="841"/>
    </row>
    <row r="41" spans="4:16" x14ac:dyDescent="0.2">
      <c r="E41" s="321" t="s">
        <v>567</v>
      </c>
      <c r="F41" s="323">
        <f>+N69</f>
        <v>60000</v>
      </c>
      <c r="H41" s="313"/>
      <c r="I41" s="330" t="s">
        <v>259</v>
      </c>
      <c r="J41" s="901" t="s">
        <v>326</v>
      </c>
      <c r="K41" s="331" t="s">
        <v>317</v>
      </c>
      <c r="L41" s="334">
        <v>8922000</v>
      </c>
      <c r="M41" s="335">
        <v>775000</v>
      </c>
      <c r="N41" s="882">
        <f>L41+M41</f>
        <v>9697000</v>
      </c>
    </row>
    <row r="42" spans="4:16" x14ac:dyDescent="0.2">
      <c r="E42" s="321" t="s">
        <v>587</v>
      </c>
      <c r="F42" s="323">
        <f>+N70</f>
        <v>350000</v>
      </c>
      <c r="H42" s="313"/>
      <c r="I42" s="330" t="s">
        <v>259</v>
      </c>
      <c r="J42" s="901" t="s">
        <v>327</v>
      </c>
      <c r="K42" s="331" t="s">
        <v>317</v>
      </c>
      <c r="L42" s="334">
        <v>1658543</v>
      </c>
      <c r="M42" s="335">
        <v>130000</v>
      </c>
      <c r="N42" s="882">
        <f>L42+M42</f>
        <v>1788543</v>
      </c>
    </row>
    <row r="43" spans="4:16" x14ac:dyDescent="0.2">
      <c r="E43" s="581" t="s">
        <v>632</v>
      </c>
      <c r="F43" s="323">
        <f>+N71</f>
        <v>33250</v>
      </c>
      <c r="H43" s="313"/>
      <c r="I43" s="330" t="s">
        <v>259</v>
      </c>
      <c r="J43" s="354" t="s">
        <v>618</v>
      </c>
      <c r="K43" s="331" t="s">
        <v>317</v>
      </c>
      <c r="L43" s="334">
        <v>615209</v>
      </c>
      <c r="M43" s="335">
        <v>0</v>
      </c>
      <c r="N43" s="882">
        <f t="shared" ref="N43:N45" si="4">L43+M43</f>
        <v>615209</v>
      </c>
      <c r="O43" s="971"/>
    </row>
    <row r="44" spans="4:16" x14ac:dyDescent="0.2">
      <c r="E44" s="581" t="s">
        <v>680</v>
      </c>
      <c r="F44" s="323">
        <f>+N72</f>
        <v>0</v>
      </c>
      <c r="H44" s="313"/>
      <c r="I44" s="315" t="s">
        <v>259</v>
      </c>
      <c r="J44" s="316" t="s">
        <v>329</v>
      </c>
      <c r="K44" s="331" t="s">
        <v>330</v>
      </c>
      <c r="L44" s="317">
        <v>5700000</v>
      </c>
      <c r="M44" s="335">
        <v>0</v>
      </c>
      <c r="N44" s="851">
        <f t="shared" si="4"/>
        <v>5700000</v>
      </c>
      <c r="O44" s="971"/>
    </row>
    <row r="45" spans="4:16" x14ac:dyDescent="0.2">
      <c r="E45" s="316" t="s">
        <v>875</v>
      </c>
      <c r="F45" s="323">
        <f>+N73</f>
        <v>50000</v>
      </c>
      <c r="H45" s="313"/>
      <c r="I45" s="315" t="s">
        <v>259</v>
      </c>
      <c r="J45" s="316" t="s">
        <v>332</v>
      </c>
      <c r="K45" s="331" t="s">
        <v>330</v>
      </c>
      <c r="L45" s="317">
        <v>1100000</v>
      </c>
      <c r="M45" s="335">
        <v>0</v>
      </c>
      <c r="N45" s="851">
        <f t="shared" si="4"/>
        <v>1100000</v>
      </c>
      <c r="O45" s="971"/>
    </row>
    <row r="46" spans="4:16" x14ac:dyDescent="0.2">
      <c r="F46" s="323"/>
      <c r="H46" s="313"/>
      <c r="I46" s="315" t="s">
        <v>259</v>
      </c>
      <c r="J46" s="340" t="s">
        <v>334</v>
      </c>
      <c r="K46" s="331" t="s">
        <v>330</v>
      </c>
      <c r="L46" s="317">
        <v>520000</v>
      </c>
      <c r="M46" s="335">
        <v>0</v>
      </c>
      <c r="N46" s="851">
        <f>+L46+M46</f>
        <v>520000</v>
      </c>
      <c r="O46" s="971"/>
    </row>
    <row r="47" spans="4:16" x14ac:dyDescent="0.2">
      <c r="F47" s="323"/>
      <c r="H47" s="313"/>
      <c r="I47" s="356" t="s">
        <v>335</v>
      </c>
      <c r="J47" s="340" t="s">
        <v>336</v>
      </c>
      <c r="K47" s="340" t="s">
        <v>286</v>
      </c>
      <c r="L47" s="334">
        <v>475000</v>
      </c>
      <c r="M47" s="335">
        <v>0</v>
      </c>
      <c r="N47" s="851">
        <f>+L47+M47</f>
        <v>475000</v>
      </c>
    </row>
    <row r="48" spans="4:16" x14ac:dyDescent="0.2">
      <c r="F48" s="323"/>
      <c r="H48" s="313"/>
      <c r="I48" s="356" t="s">
        <v>337</v>
      </c>
      <c r="J48" s="340" t="s">
        <v>338</v>
      </c>
      <c r="K48" s="340" t="s">
        <v>286</v>
      </c>
      <c r="L48" s="334">
        <v>100851</v>
      </c>
      <c r="M48" s="335">
        <v>3026</v>
      </c>
      <c r="N48" s="851">
        <f>L48+M48</f>
        <v>103877</v>
      </c>
    </row>
    <row r="49" spans="4:17" x14ac:dyDescent="0.2">
      <c r="E49" s="321"/>
      <c r="F49" s="323"/>
      <c r="H49" s="313"/>
      <c r="I49" s="356" t="s">
        <v>339</v>
      </c>
      <c r="J49" s="340" t="s">
        <v>340</v>
      </c>
      <c r="K49" s="340" t="s">
        <v>286</v>
      </c>
      <c r="L49" s="334">
        <v>225000</v>
      </c>
      <c r="M49" s="335">
        <v>6750</v>
      </c>
      <c r="N49" s="851">
        <f>L49+M49</f>
        <v>231750</v>
      </c>
    </row>
    <row r="50" spans="4:17" ht="16" x14ac:dyDescent="0.2">
      <c r="D50" s="357" t="s">
        <v>342</v>
      </c>
      <c r="E50" s="357"/>
      <c r="F50" s="358">
        <f>F6+F18+F26+F30+F33</f>
        <v>70101070</v>
      </c>
      <c r="H50" s="313"/>
      <c r="I50" s="581" t="s">
        <v>566</v>
      </c>
      <c r="J50" s="316" t="s">
        <v>586</v>
      </c>
      <c r="K50" s="340" t="s">
        <v>286</v>
      </c>
      <c r="L50" s="334">
        <v>330000</v>
      </c>
      <c r="M50" s="335">
        <v>9900</v>
      </c>
      <c r="N50" s="851">
        <f>+L50+M50</f>
        <v>339900</v>
      </c>
    </row>
    <row r="51" spans="4:17" x14ac:dyDescent="0.2">
      <c r="F51" s="214"/>
      <c r="H51" s="313"/>
      <c r="J51" s="316" t="s">
        <v>765</v>
      </c>
      <c r="M51" s="335">
        <v>800000</v>
      </c>
      <c r="N51" s="817">
        <f>+L51+M51</f>
        <v>800000</v>
      </c>
    </row>
    <row r="52" spans="4:17" x14ac:dyDescent="0.2">
      <c r="F52" s="83"/>
      <c r="H52" s="313"/>
      <c r="M52" s="335"/>
      <c r="N52" s="841"/>
    </row>
    <row r="53" spans="4:17" x14ac:dyDescent="0.2">
      <c r="D53" s="318" t="s">
        <v>346</v>
      </c>
      <c r="E53" s="318"/>
      <c r="F53" s="343">
        <f>+N86</f>
        <v>3850000</v>
      </c>
      <c r="H53" s="313"/>
      <c r="M53" s="335"/>
      <c r="N53" s="841"/>
    </row>
    <row r="54" spans="4:17" x14ac:dyDescent="0.2">
      <c r="D54" s="313"/>
      <c r="E54" s="313"/>
      <c r="F54" s="313"/>
      <c r="H54" s="313"/>
      <c r="I54" s="315"/>
      <c r="J54" s="340"/>
      <c r="K54" s="331"/>
      <c r="L54" s="317"/>
      <c r="M54" s="335"/>
      <c r="N54" s="841"/>
    </row>
    <row r="55" spans="4:17" x14ac:dyDescent="0.2">
      <c r="D55" s="313"/>
      <c r="E55" s="313"/>
      <c r="F55" s="343">
        <f>SUM(F50:F53)</f>
        <v>73951070</v>
      </c>
      <c r="H55" s="327" t="s">
        <v>343</v>
      </c>
      <c r="I55" s="313"/>
      <c r="J55" s="313"/>
      <c r="K55" s="313"/>
      <c r="L55" s="313"/>
      <c r="M55" s="691"/>
      <c r="N55" s="841"/>
      <c r="Q55" s="922"/>
    </row>
    <row r="56" spans="4:17" x14ac:dyDescent="0.2">
      <c r="D56" s="359"/>
      <c r="E56" s="359"/>
      <c r="F56" s="359"/>
      <c r="G56" s="515"/>
      <c r="H56" s="313"/>
      <c r="I56" s="330" t="s">
        <v>259</v>
      </c>
      <c r="J56" s="901" t="s">
        <v>344</v>
      </c>
      <c r="K56" s="331" t="s">
        <v>345</v>
      </c>
      <c r="L56" s="317">
        <v>600000</v>
      </c>
      <c r="M56" s="335">
        <v>0</v>
      </c>
      <c r="N56" s="851">
        <f>L56+M56</f>
        <v>600000</v>
      </c>
      <c r="Q56" s="922"/>
    </row>
    <row r="57" spans="4:17" x14ac:dyDescent="0.2">
      <c r="D57" s="313"/>
      <c r="E57" s="313"/>
      <c r="F57" s="313"/>
      <c r="G57" s="515"/>
      <c r="H57" s="313"/>
      <c r="I57" s="330" t="s">
        <v>259</v>
      </c>
      <c r="J57" s="901" t="s">
        <v>347</v>
      </c>
      <c r="K57" s="331" t="s">
        <v>345</v>
      </c>
      <c r="L57" s="317">
        <v>1500000</v>
      </c>
      <c r="M57" s="335">
        <v>25000</v>
      </c>
      <c r="N57" s="851">
        <f>+L57+M57</f>
        <v>1525000</v>
      </c>
    </row>
    <row r="58" spans="4:17" x14ac:dyDescent="0.2">
      <c r="D58" s="313"/>
      <c r="E58" s="313"/>
      <c r="F58" s="313"/>
      <c r="H58" s="313"/>
      <c r="I58" s="330" t="s">
        <v>259</v>
      </c>
      <c r="J58" s="901" t="s">
        <v>348</v>
      </c>
      <c r="K58" s="331" t="s">
        <v>349</v>
      </c>
      <c r="L58" s="317">
        <v>10500000</v>
      </c>
      <c r="M58" s="335">
        <v>3129518</v>
      </c>
      <c r="N58" s="851">
        <f>+L58+M58</f>
        <v>13629518</v>
      </c>
    </row>
    <row r="59" spans="4:17" x14ac:dyDescent="0.2">
      <c r="D59" s="355"/>
      <c r="E59" s="355"/>
      <c r="F59" s="355"/>
      <c r="H59" s="313"/>
      <c r="I59" s="330" t="s">
        <v>259</v>
      </c>
      <c r="J59" s="331" t="s">
        <v>350</v>
      </c>
      <c r="K59" s="331" t="s">
        <v>349</v>
      </c>
      <c r="L59" s="317">
        <v>1185540</v>
      </c>
      <c r="M59" s="335">
        <v>0</v>
      </c>
      <c r="N59" s="851">
        <f>+L59+M59</f>
        <v>1185540</v>
      </c>
    </row>
    <row r="60" spans="4:17" x14ac:dyDescent="0.2">
      <c r="E60" s="355"/>
      <c r="F60" s="355"/>
      <c r="H60" s="313"/>
      <c r="I60" s="330"/>
      <c r="J60" s="331"/>
      <c r="K60" s="331"/>
      <c r="L60" s="317"/>
      <c r="M60" s="335"/>
      <c r="N60" s="841"/>
    </row>
    <row r="61" spans="4:17" x14ac:dyDescent="0.2">
      <c r="D61" s="355"/>
      <c r="E61" s="355"/>
      <c r="F61" s="355"/>
      <c r="H61" s="327" t="s">
        <v>351</v>
      </c>
      <c r="I61" s="355"/>
      <c r="J61" s="355"/>
      <c r="K61" s="355"/>
      <c r="L61" s="355"/>
      <c r="M61" s="336"/>
      <c r="N61" s="841"/>
    </row>
    <row r="62" spans="4:17" x14ac:dyDescent="0.2">
      <c r="D62" s="355"/>
      <c r="E62" s="355"/>
      <c r="F62" s="355"/>
      <c r="H62" s="321"/>
      <c r="I62" s="355" t="s">
        <v>352</v>
      </c>
      <c r="J62" s="355" t="s">
        <v>353</v>
      </c>
      <c r="K62" s="340" t="s">
        <v>286</v>
      </c>
      <c r="L62" s="317">
        <v>1600000</v>
      </c>
      <c r="M62" s="335">
        <v>80000</v>
      </c>
      <c r="N62" s="851">
        <f>L62+M62</f>
        <v>1680000</v>
      </c>
    </row>
    <row r="63" spans="4:17" x14ac:dyDescent="0.2">
      <c r="D63" s="355"/>
      <c r="E63" s="355"/>
      <c r="F63" s="355"/>
      <c r="H63" s="321"/>
      <c r="I63" s="355" t="s">
        <v>354</v>
      </c>
      <c r="J63" s="355" t="s">
        <v>355</v>
      </c>
      <c r="K63" s="340" t="s">
        <v>286</v>
      </c>
      <c r="L63" s="317">
        <v>200000</v>
      </c>
      <c r="M63" s="335">
        <v>-200000</v>
      </c>
      <c r="N63" s="851">
        <f>L63+M63</f>
        <v>0</v>
      </c>
    </row>
    <row r="64" spans="4:17" x14ac:dyDescent="0.2">
      <c r="D64" s="367"/>
      <c r="E64" s="367"/>
      <c r="F64" s="367"/>
      <c r="H64" s="321"/>
      <c r="I64" s="355" t="s">
        <v>356</v>
      </c>
      <c r="J64" s="355" t="s">
        <v>331</v>
      </c>
      <c r="K64" s="340" t="s">
        <v>286</v>
      </c>
      <c r="L64" s="317">
        <v>133158</v>
      </c>
      <c r="M64" s="335">
        <v>0</v>
      </c>
      <c r="N64" s="851">
        <f>+L64+M64</f>
        <v>133158</v>
      </c>
      <c r="O64" s="971"/>
    </row>
    <row r="65" spans="3:21" x14ac:dyDescent="0.2">
      <c r="D65" s="367"/>
      <c r="E65" s="367"/>
      <c r="F65" s="367"/>
      <c r="I65" s="355" t="s">
        <v>356</v>
      </c>
      <c r="J65" s="355" t="s">
        <v>357</v>
      </c>
      <c r="K65" s="340" t="s">
        <v>286</v>
      </c>
      <c r="L65" s="317">
        <v>139050</v>
      </c>
      <c r="M65" s="335">
        <v>-139050</v>
      </c>
      <c r="N65" s="851">
        <f>+L65+M65</f>
        <v>0</v>
      </c>
      <c r="O65" s="971"/>
    </row>
    <row r="66" spans="3:21" s="554" customFormat="1" x14ac:dyDescent="0.2">
      <c r="C66" s="83"/>
      <c r="D66" s="367"/>
      <c r="E66" s="367"/>
      <c r="F66" s="367"/>
      <c r="G66"/>
      <c r="H66"/>
      <c r="I66" s="355" t="s">
        <v>358</v>
      </c>
      <c r="J66" s="355" t="s">
        <v>868</v>
      </c>
      <c r="K66" s="340" t="s">
        <v>286</v>
      </c>
      <c r="L66" s="317">
        <v>26400</v>
      </c>
      <c r="M66" s="335">
        <v>0</v>
      </c>
      <c r="N66" s="851">
        <f t="shared" ref="N66" si="5">L66+M66</f>
        <v>26400</v>
      </c>
      <c r="O66" s="971"/>
      <c r="P66" s="547"/>
      <c r="Q66"/>
      <c r="R66"/>
      <c r="S66"/>
      <c r="T66"/>
      <c r="U66"/>
    </row>
    <row r="67" spans="3:21" x14ac:dyDescent="0.2">
      <c r="D67" s="367"/>
      <c r="E67" s="367"/>
      <c r="F67" s="367"/>
      <c r="H67" s="554"/>
      <c r="I67" s="355" t="s">
        <v>627</v>
      </c>
      <c r="J67" s="355" t="s">
        <v>873</v>
      </c>
      <c r="K67" s="340"/>
      <c r="L67" s="317">
        <v>958400</v>
      </c>
      <c r="M67" s="335">
        <v>0</v>
      </c>
      <c r="N67" s="851">
        <f>L67+M67</f>
        <v>958400</v>
      </c>
      <c r="O67" s="971"/>
      <c r="T67" s="554"/>
      <c r="U67" s="554"/>
    </row>
    <row r="68" spans="3:21" x14ac:dyDescent="0.2">
      <c r="D68" s="367"/>
      <c r="E68" s="367"/>
      <c r="F68" s="367"/>
      <c r="I68" s="355" t="s">
        <v>359</v>
      </c>
      <c r="J68" s="355" t="s">
        <v>360</v>
      </c>
      <c r="K68" s="340" t="s">
        <v>286</v>
      </c>
      <c r="L68" s="317">
        <v>864000</v>
      </c>
      <c r="M68" s="689">
        <v>0</v>
      </c>
      <c r="N68" s="851">
        <f>+L68+M68</f>
        <v>864000</v>
      </c>
      <c r="O68" s="971"/>
      <c r="Q68" s="554"/>
      <c r="R68" s="554"/>
      <c r="S68" s="554"/>
    </row>
    <row r="69" spans="3:21" x14ac:dyDescent="0.2">
      <c r="D69" s="367"/>
      <c r="E69" s="367"/>
      <c r="F69" s="367"/>
      <c r="I69" s="355" t="s">
        <v>566</v>
      </c>
      <c r="J69" s="355" t="s">
        <v>616</v>
      </c>
      <c r="K69" s="331" t="s">
        <v>286</v>
      </c>
      <c r="L69" s="317">
        <v>65000</v>
      </c>
      <c r="M69" s="335">
        <v>-5000</v>
      </c>
      <c r="N69" s="851">
        <f>+L69+M69</f>
        <v>60000</v>
      </c>
    </row>
    <row r="70" spans="3:21" s="846" customFormat="1" x14ac:dyDescent="0.2">
      <c r="C70" s="83"/>
      <c r="D70" s="367"/>
      <c r="E70" s="367"/>
      <c r="F70" s="367"/>
      <c r="G70" s="554"/>
      <c r="H70" s="515"/>
      <c r="I70" s="581" t="s">
        <v>354</v>
      </c>
      <c r="J70" s="581" t="s">
        <v>625</v>
      </c>
      <c r="K70" s="331" t="s">
        <v>286</v>
      </c>
      <c r="L70" s="317">
        <v>550000</v>
      </c>
      <c r="M70" s="335">
        <v>-200000</v>
      </c>
      <c r="N70" s="851">
        <f>+L70+M70</f>
        <v>350000</v>
      </c>
      <c r="O70" s="547"/>
      <c r="P70" s="547"/>
      <c r="Q70"/>
      <c r="R70"/>
      <c r="S70"/>
      <c r="T70"/>
      <c r="U70"/>
    </row>
    <row r="71" spans="3:21" s="846" customFormat="1" x14ac:dyDescent="0.2">
      <c r="C71" s="83"/>
      <c r="D71" s="367"/>
      <c r="E71" s="367"/>
      <c r="F71" s="983"/>
      <c r="G71"/>
      <c r="H71" s="515"/>
      <c r="I71" s="581" t="s">
        <v>354</v>
      </c>
      <c r="J71" s="581" t="s">
        <v>632</v>
      </c>
      <c r="K71" s="515"/>
      <c r="L71" s="317">
        <v>33250</v>
      </c>
      <c r="M71" s="335">
        <v>0</v>
      </c>
      <c r="N71" s="851">
        <f>+M71+L71</f>
        <v>33250</v>
      </c>
      <c r="O71" s="547"/>
      <c r="P71" s="547"/>
      <c r="Q71"/>
      <c r="R71"/>
      <c r="S71"/>
    </row>
    <row r="72" spans="3:21" s="846" customFormat="1" ht="16" x14ac:dyDescent="0.2">
      <c r="C72" s="83"/>
      <c r="D72" s="367"/>
      <c r="E72" s="367"/>
      <c r="F72" s="983"/>
      <c r="G72" s="367"/>
      <c r="H72" s="554"/>
      <c r="I72" s="355" t="s">
        <v>679</v>
      </c>
      <c r="J72" s="581" t="s">
        <v>680</v>
      </c>
      <c r="K72" s="554"/>
      <c r="L72" s="317">
        <v>36400</v>
      </c>
      <c r="M72" s="335">
        <v>-36400</v>
      </c>
      <c r="N72" s="982">
        <f>+L72+M72</f>
        <v>0</v>
      </c>
      <c r="O72" s="971"/>
      <c r="P72" s="547"/>
    </row>
    <row r="73" spans="3:21" x14ac:dyDescent="0.2">
      <c r="D73" s="367"/>
      <c r="E73" s="367"/>
      <c r="F73" s="367"/>
      <c r="G73" s="367"/>
      <c r="H73" s="846"/>
      <c r="I73" s="355"/>
      <c r="J73" s="902" t="s">
        <v>832</v>
      </c>
      <c r="K73" s="978"/>
      <c r="L73" s="317">
        <v>0</v>
      </c>
      <c r="M73" s="335">
        <v>50000</v>
      </c>
      <c r="N73" s="851">
        <f>+L73+M73</f>
        <v>50000</v>
      </c>
      <c r="Q73" s="846"/>
      <c r="R73" s="846"/>
      <c r="S73" s="846"/>
      <c r="T73" s="846"/>
      <c r="U73" s="846"/>
    </row>
    <row r="74" spans="3:21" x14ac:dyDescent="0.2">
      <c r="D74" s="367"/>
      <c r="E74" s="367"/>
      <c r="F74" s="367"/>
      <c r="G74" s="367"/>
      <c r="H74" s="846"/>
      <c r="I74" s="355"/>
      <c r="J74" s="367"/>
      <c r="K74" s="846"/>
      <c r="L74" s="846"/>
      <c r="M74" s="335"/>
      <c r="N74" s="851"/>
      <c r="Q74" s="846"/>
      <c r="R74" s="846"/>
      <c r="S74" s="846"/>
    </row>
    <row r="75" spans="3:21" x14ac:dyDescent="0.2">
      <c r="D75" s="367"/>
      <c r="E75" s="367"/>
      <c r="F75" s="367"/>
      <c r="G75" s="367"/>
      <c r="H75" s="846"/>
      <c r="I75" s="355"/>
      <c r="J75" s="581"/>
      <c r="K75" s="846"/>
      <c r="L75" s="846"/>
      <c r="M75" s="335"/>
      <c r="N75" s="851"/>
    </row>
    <row r="76" spans="3:21" x14ac:dyDescent="0.2">
      <c r="D76" s="367"/>
      <c r="E76" s="367"/>
      <c r="F76" s="367"/>
      <c r="G76" s="367"/>
      <c r="H76" s="327" t="s">
        <v>361</v>
      </c>
      <c r="I76" s="313"/>
      <c r="J76" s="313"/>
      <c r="K76" s="313"/>
      <c r="L76" s="313"/>
      <c r="M76" s="691"/>
      <c r="N76" s="817"/>
    </row>
    <row r="77" spans="3:21" x14ac:dyDescent="0.2">
      <c r="D77" s="367"/>
      <c r="E77" s="367"/>
      <c r="F77" s="367"/>
      <c r="G77" s="367"/>
      <c r="H77" s="313"/>
      <c r="I77" s="315" t="s">
        <v>259</v>
      </c>
      <c r="J77" s="316" t="s">
        <v>362</v>
      </c>
      <c r="K77" s="316" t="s">
        <v>261</v>
      </c>
      <c r="L77" s="317">
        <v>3314552.52</v>
      </c>
      <c r="M77" s="335">
        <f>+N77-L77</f>
        <v>-37964.520000000019</v>
      </c>
      <c r="N77" s="841">
        <f>ROUND(0.01*('Step 0 Revenue Detail'!L36+'Step 0 Revenue Detail'!L37+'Step 0 Revenue Detail'!L44+'Step 0 Revenue Detail'!L47),0)</f>
        <v>3276588</v>
      </c>
    </row>
    <row r="78" spans="3:21" s="554" customFormat="1" x14ac:dyDescent="0.2">
      <c r="C78" s="83"/>
      <c r="D78" s="367"/>
      <c r="E78" s="367"/>
      <c r="F78" s="367"/>
      <c r="G78" s="367"/>
      <c r="H78" s="355"/>
      <c r="I78" s="315" t="s">
        <v>259</v>
      </c>
      <c r="J78" s="316" t="s">
        <v>363</v>
      </c>
      <c r="K78" s="316" t="s">
        <v>282</v>
      </c>
      <c r="L78" s="317">
        <v>2082964.05</v>
      </c>
      <c r="M78" s="335">
        <f>+N78-L78</f>
        <v>67035.949999999953</v>
      </c>
      <c r="N78" s="841">
        <f>ROUND('Step 0 Revenue Detail'!H49*0.05,-2)</f>
        <v>2150000</v>
      </c>
      <c r="O78" s="971"/>
      <c r="P78" s="547"/>
      <c r="Q78"/>
      <c r="R78"/>
      <c r="S78"/>
      <c r="T78"/>
      <c r="U78"/>
    </row>
    <row r="79" spans="3:21" x14ac:dyDescent="0.2">
      <c r="D79" s="367"/>
      <c r="E79" s="367"/>
      <c r="F79" s="367"/>
      <c r="G79" s="367"/>
      <c r="H79" s="355"/>
      <c r="I79" s="330" t="s">
        <v>259</v>
      </c>
      <c r="J79" s="331" t="s">
        <v>364</v>
      </c>
      <c r="K79" s="331" t="s">
        <v>317</v>
      </c>
      <c r="L79" s="334">
        <v>0</v>
      </c>
      <c r="M79" s="335">
        <v>0</v>
      </c>
      <c r="N79" s="842">
        <f>L79+M79</f>
        <v>0</v>
      </c>
      <c r="T79" s="554"/>
      <c r="U79" s="554"/>
    </row>
    <row r="80" spans="3:21" s="981" customFormat="1" x14ac:dyDescent="0.2">
      <c r="C80" s="83"/>
      <c r="D80" s="367"/>
      <c r="E80" s="367"/>
      <c r="F80" s="367"/>
      <c r="G80" s="367"/>
      <c r="H80" s="355"/>
      <c r="I80" s="330" t="s">
        <v>259</v>
      </c>
      <c r="J80" s="316" t="s">
        <v>793</v>
      </c>
      <c r="K80" s="316" t="s">
        <v>282</v>
      </c>
      <c r="L80" s="317">
        <v>0</v>
      </c>
      <c r="M80" s="335">
        <v>200000</v>
      </c>
      <c r="N80" s="544">
        <f>+L80+M80</f>
        <v>200000</v>
      </c>
      <c r="O80" s="547"/>
      <c r="P80" s="547"/>
    </row>
    <row r="81" spans="4:19" x14ac:dyDescent="0.2">
      <c r="D81" s="367"/>
      <c r="E81" s="367"/>
      <c r="F81" s="367"/>
      <c r="G81" s="367"/>
      <c r="H81" s="321"/>
      <c r="I81" s="330" t="s">
        <v>259</v>
      </c>
      <c r="J81" s="331" t="s">
        <v>365</v>
      </c>
      <c r="K81" s="331" t="s">
        <v>366</v>
      </c>
      <c r="L81" s="317">
        <v>-8459260</v>
      </c>
      <c r="M81" s="335">
        <v>0</v>
      </c>
      <c r="N81" s="817">
        <f>L81+M81</f>
        <v>-8459260</v>
      </c>
      <c r="Q81" s="554"/>
      <c r="R81" s="554"/>
      <c r="S81" s="554"/>
    </row>
    <row r="82" spans="4:19" x14ac:dyDescent="0.2">
      <c r="F82" s="367"/>
      <c r="G82" s="367"/>
      <c r="H82" s="313"/>
      <c r="I82" s="330" t="s">
        <v>259</v>
      </c>
      <c r="J82" s="331" t="s">
        <v>367</v>
      </c>
      <c r="K82" s="331" t="s">
        <v>366</v>
      </c>
      <c r="L82" s="317">
        <v>-5846219</v>
      </c>
      <c r="M82" s="335">
        <v>0</v>
      </c>
      <c r="N82" s="817">
        <f>L82+M82</f>
        <v>-5846219</v>
      </c>
    </row>
    <row r="83" spans="4:19" x14ac:dyDescent="0.2">
      <c r="G83" s="367"/>
      <c r="H83" s="313"/>
      <c r="I83" s="315"/>
      <c r="J83" s="316"/>
      <c r="K83" s="316"/>
      <c r="L83" s="317"/>
      <c r="M83" s="335"/>
      <c r="N83" s="841"/>
      <c r="Q83" s="556"/>
    </row>
    <row r="84" spans="4:19" x14ac:dyDescent="0.2">
      <c r="G84" s="367"/>
      <c r="H84" s="328" t="s">
        <v>368</v>
      </c>
      <c r="I84" s="313"/>
      <c r="J84" s="313"/>
      <c r="K84" s="340"/>
      <c r="L84" s="360">
        <f>SUM(L9:L82)</f>
        <v>69188536.079999983</v>
      </c>
      <c r="M84" s="360">
        <f>SUM(M9:M82)</f>
        <v>912533.92000000668</v>
      </c>
      <c r="N84" s="843">
        <f>SUM(N9:N83)</f>
        <v>70101070</v>
      </c>
    </row>
    <row r="85" spans="4:19" x14ac:dyDescent="0.2">
      <c r="G85" s="367"/>
      <c r="H85" s="328"/>
      <c r="I85" s="313"/>
      <c r="J85" s="313"/>
      <c r="K85" s="331"/>
      <c r="L85" s="361"/>
      <c r="M85" s="693"/>
      <c r="N85" s="844"/>
    </row>
    <row r="86" spans="4:19" x14ac:dyDescent="0.2">
      <c r="G86" s="367"/>
      <c r="H86" s="313"/>
      <c r="I86" s="313"/>
      <c r="J86" s="331"/>
      <c r="K86" s="362" t="s">
        <v>369</v>
      </c>
      <c r="L86" s="363">
        <v>3900000</v>
      </c>
      <c r="M86" s="363">
        <f>+N86-L86</f>
        <v>-50000</v>
      </c>
      <c r="N86" s="845">
        <f>+'FINAL-Distributed E&amp;G Budget'!B8+'FINAL-Distributed E&amp;G Budget'!F8</f>
        <v>3850000</v>
      </c>
    </row>
    <row r="87" spans="4:19" x14ac:dyDescent="0.2">
      <c r="G87" s="367"/>
      <c r="H87" s="364"/>
      <c r="I87" s="330"/>
      <c r="J87" s="331"/>
      <c r="K87" s="316"/>
      <c r="L87" s="363"/>
      <c r="M87" s="363"/>
      <c r="N87" s="845"/>
    </row>
    <row r="88" spans="4:19" x14ac:dyDescent="0.2">
      <c r="G88" s="367"/>
      <c r="H88" s="355"/>
      <c r="I88" s="365"/>
      <c r="J88" s="584" t="s">
        <v>620</v>
      </c>
      <c r="K88" s="316"/>
      <c r="L88" s="363">
        <f>SUM(L84:L86)</f>
        <v>73088536.079999983</v>
      </c>
      <c r="M88" s="363">
        <f>SUM(M84:M86)</f>
        <v>862533.92000000668</v>
      </c>
      <c r="N88" s="845">
        <f>SUM(N84:N86)</f>
        <v>73951070</v>
      </c>
    </row>
    <row r="89" spans="4:19" x14ac:dyDescent="0.2">
      <c r="G89" s="367"/>
      <c r="H89" s="364"/>
      <c r="I89" s="366"/>
      <c r="J89" s="584" t="s">
        <v>621</v>
      </c>
      <c r="K89" s="547"/>
      <c r="L89" s="363">
        <f>+L88+L6</f>
        <v>62700327.834532067</v>
      </c>
      <c r="M89" s="363">
        <f>+M88+M6</f>
        <v>1758854.6154679072</v>
      </c>
      <c r="N89" s="845">
        <f>N88+N6</f>
        <v>64459182.449999988</v>
      </c>
    </row>
    <row r="90" spans="4:19" x14ac:dyDescent="0.2">
      <c r="G90" s="367"/>
      <c r="J90" s="547"/>
      <c r="K90" s="547"/>
      <c r="L90" s="690"/>
      <c r="N90" s="556"/>
    </row>
    <row r="91" spans="4:19" x14ac:dyDescent="0.2">
      <c r="J91" s="547"/>
      <c r="K91" s="547"/>
      <c r="L91" s="690"/>
      <c r="N91" s="131"/>
    </row>
    <row r="92" spans="4:19" x14ac:dyDescent="0.2">
      <c r="I92" t="s">
        <v>878</v>
      </c>
      <c r="J92" s="902" t="s">
        <v>1004</v>
      </c>
      <c r="N92" s="301"/>
    </row>
    <row r="93" spans="4:19" x14ac:dyDescent="0.2">
      <c r="I93" s="986">
        <f>+N20+N21+N22+N23+N24+N25+N32</f>
        <v>180000</v>
      </c>
      <c r="J93" s="924">
        <f>SUM('FINAL-Distributed E&amp;G Budget'!J7:J14)-I93</f>
        <v>68424432</v>
      </c>
      <c r="K93" s="547"/>
      <c r="M93" s="543" t="s">
        <v>592</v>
      </c>
      <c r="N93" s="544">
        <f>+N88-B29</f>
        <v>0</v>
      </c>
    </row>
    <row r="94" spans="4:19" x14ac:dyDescent="0.2">
      <c r="J94" s="1092"/>
      <c r="K94" s="547"/>
      <c r="M94" s="543" t="s">
        <v>593</v>
      </c>
      <c r="N94" s="544">
        <f>+F50+F53-N88</f>
        <v>0</v>
      </c>
    </row>
    <row r="95" spans="4:19" x14ac:dyDescent="0.2">
      <c r="J95" s="1092"/>
      <c r="K95" s="547"/>
      <c r="M95" s="543" t="s">
        <v>678</v>
      </c>
      <c r="N95" s="514">
        <f>+N6-'FINAL-Distributed E&amp;G Budget'!AQ4</f>
        <v>0</v>
      </c>
    </row>
    <row r="96" spans="4:19" x14ac:dyDescent="0.2">
      <c r="I96" s="543" t="s">
        <v>608</v>
      </c>
      <c r="J96" s="543" t="s">
        <v>608</v>
      </c>
      <c r="K96" s="547"/>
    </row>
    <row r="97" spans="9:14" x14ac:dyDescent="0.2">
      <c r="I97" s="544">
        <f>+I93-'FINAL-Distributed E&amp;G Budget'!D12</f>
        <v>0</v>
      </c>
      <c r="J97" s="544">
        <f>+B29-F19+N16-B23-J93</f>
        <v>0</v>
      </c>
      <c r="K97" s="547"/>
      <c r="M97" t="s">
        <v>589</v>
      </c>
      <c r="N97" s="147">
        <f>+'Productivity Split'!C13+'Productivity Split'!C18+'Productivity Split'!C19+'Productivity Split'!C20+'Productivity Split'!C21</f>
        <v>21903619</v>
      </c>
    </row>
    <row r="98" spans="9:14" x14ac:dyDescent="0.2">
      <c r="J98" s="547"/>
      <c r="K98" s="547"/>
      <c r="M98" t="s">
        <v>591</v>
      </c>
      <c r="N98" s="147">
        <f>+F18-N14-N16-N15</f>
        <v>5346638</v>
      </c>
    </row>
    <row r="99" spans="9:14" x14ac:dyDescent="0.2">
      <c r="J99" s="1096"/>
      <c r="K99" s="547"/>
      <c r="N99" s="556"/>
    </row>
    <row r="100" spans="9:14" x14ac:dyDescent="0.2">
      <c r="N100" s="556"/>
    </row>
    <row r="101" spans="9:14" x14ac:dyDescent="0.2">
      <c r="J101" s="199"/>
      <c r="M101" t="s">
        <v>590</v>
      </c>
    </row>
    <row r="102" spans="9:14" x14ac:dyDescent="0.2">
      <c r="J102" s="199"/>
    </row>
    <row r="103" spans="9:14" x14ac:dyDescent="0.2">
      <c r="N103" s="547"/>
    </row>
    <row r="104" spans="9:14" x14ac:dyDescent="0.2">
      <c r="N104" s="547"/>
    </row>
    <row r="105" spans="9:14" x14ac:dyDescent="0.2">
      <c r="N105" s="547"/>
    </row>
    <row r="107" spans="9:14" x14ac:dyDescent="0.2">
      <c r="N107" s="850"/>
    </row>
    <row r="108" spans="9:14" x14ac:dyDescent="0.2">
      <c r="N108" s="547"/>
    </row>
  </sheetData>
  <mergeCells count="2">
    <mergeCell ref="A1:E1"/>
    <mergeCell ref="D5:F5"/>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W97"/>
  <sheetViews>
    <sheetView workbookViewId="0">
      <selection activeCell="I1" sqref="I1"/>
    </sheetView>
  </sheetViews>
  <sheetFormatPr baseColWidth="10" defaultColWidth="12.5" defaultRowHeight="13" x14ac:dyDescent="0.15"/>
  <cols>
    <col min="1" max="1" width="39.1640625" style="178" customWidth="1"/>
    <col min="2" max="2" width="13.83203125" style="178" customWidth="1"/>
    <col min="3" max="3" width="12.6640625" style="178" customWidth="1"/>
    <col min="4" max="4" width="11.5" style="178" customWidth="1"/>
    <col min="5" max="5" width="10" style="178" customWidth="1"/>
    <col min="6" max="6" width="12.83203125" style="178" bestFit="1" customWidth="1"/>
    <col min="7" max="7" width="15.33203125" style="178" customWidth="1"/>
    <col min="8" max="8" width="2.83203125" style="178" customWidth="1"/>
    <col min="9" max="9" width="13.5" style="538" bestFit="1" customWidth="1"/>
    <col min="10" max="11" width="13.83203125" style="519" customWidth="1"/>
    <col min="12" max="12" width="15.1640625" style="178" bestFit="1" customWidth="1"/>
    <col min="13" max="13" width="12.83203125" style="178" bestFit="1" customWidth="1"/>
    <col min="14" max="14" width="15" style="178" bestFit="1" customWidth="1"/>
    <col min="15" max="15" width="2.5" style="519" customWidth="1"/>
    <col min="16" max="16" width="13" style="178" customWidth="1"/>
    <col min="17" max="18" width="14.5" style="178" customWidth="1"/>
    <col min="19" max="19" width="12.83203125" style="178" bestFit="1" customWidth="1"/>
    <col min="20" max="20" width="12.83203125" style="519" customWidth="1"/>
    <col min="21" max="21" width="40.1640625" style="178" customWidth="1"/>
    <col min="22" max="16384" width="12.5" style="178"/>
  </cols>
  <sheetData>
    <row r="1" spans="1:16" ht="16" thickBot="1" x14ac:dyDescent="0.25">
      <c r="A1" s="371" t="s">
        <v>668</v>
      </c>
      <c r="D1" s="372" t="s">
        <v>371</v>
      </c>
      <c r="E1" s="373"/>
      <c r="F1" s="373"/>
      <c r="G1" s="374">
        <f>ROUND('Step 0 Revenue Detail'!I57-SUM('FINAL-Distributed E&amp;G Budget'!L57:O57,'FINAL-Distributed E&amp;G Budget'!AC57,'FINAL-Distributed E&amp;G Budget'!B57,'FINAL-Distributed E&amp;G Budget'!J57)+'FINAL-Distributed E&amp;G Budget'!B57,0)</f>
        <v>151869832</v>
      </c>
      <c r="H1" s="228"/>
      <c r="I1" s="817" t="str">
        <f>IF(G1='Productivity Split'!C23,"","Check")</f>
        <v/>
      </c>
      <c r="J1" s="556">
        <f>+G1-'Productivity Split'!C23</f>
        <v>0</v>
      </c>
      <c r="K1" s="556"/>
      <c r="L1" s="538"/>
    </row>
    <row r="2" spans="1:16" ht="16" thickBot="1" x14ac:dyDescent="0.25">
      <c r="A2" s="371" t="s">
        <v>623</v>
      </c>
      <c r="D2" s="372" t="s">
        <v>372</v>
      </c>
      <c r="E2" s="373"/>
      <c r="F2" s="373"/>
      <c r="G2" s="374">
        <f>-'FINAL-Distributed E&amp;G Budget'!B57</f>
        <v>0</v>
      </c>
      <c r="H2" s="462"/>
      <c r="I2" s="817" t="str">
        <f>+IF(G2=M30,"","Check")</f>
        <v/>
      </c>
      <c r="J2" s="721" t="s">
        <v>777</v>
      </c>
      <c r="K2" s="721"/>
      <c r="L2" s="538"/>
    </row>
    <row r="3" spans="1:16" ht="16" thickBot="1" x14ac:dyDescent="0.25">
      <c r="D3" s="375" t="s">
        <v>373</v>
      </c>
      <c r="E3" s="373"/>
      <c r="F3" s="373"/>
      <c r="G3" s="374">
        <f>-SUM(M30,I30,J30)+G2+G1+(SUM(I15:J15,I17:J19,M15,M17:M19))</f>
        <v>-15735471.550000012</v>
      </c>
      <c r="I3" s="817" t="str">
        <f>IF(G3='FINAL-Distributed E&amp;G Budget'!Q7+'FINAL-Distributed E&amp;G Budget'!Q8+'FINAL-Distributed E&amp;G Budget'!Q9,"","Check")</f>
        <v/>
      </c>
      <c r="J3" s="721"/>
      <c r="K3" s="721"/>
      <c r="L3" s="538"/>
    </row>
    <row r="4" spans="1:16" s="519" customFormat="1" ht="15" x14ac:dyDescent="0.2">
      <c r="D4" s="723" t="s">
        <v>667</v>
      </c>
      <c r="E4" s="283"/>
      <c r="F4" s="283"/>
      <c r="G4" s="724"/>
      <c r="I4" s="721"/>
      <c r="J4" s="721"/>
      <c r="K4" s="721"/>
      <c r="L4" s="815"/>
      <c r="M4" s="815"/>
    </row>
    <row r="5" spans="1:16" s="519" customFormat="1" ht="15" x14ac:dyDescent="0.2">
      <c r="D5" s="723"/>
      <c r="E5" s="283"/>
      <c r="F5" s="283"/>
      <c r="G5" s="724"/>
      <c r="I5" s="721"/>
      <c r="J5" s="721"/>
      <c r="K5" s="721"/>
      <c r="L5" s="815"/>
      <c r="M5" s="815"/>
    </row>
    <row r="6" spans="1:16" x14ac:dyDescent="0.15">
      <c r="B6" s="1224" t="str">
        <f>"Prior FY Budget Model - "&amp;Dashboard!B6-1</f>
        <v>Prior FY Budget Model - 2021</v>
      </c>
      <c r="C6" s="1225"/>
      <c r="D6" s="1225"/>
      <c r="E6" s="1225"/>
      <c r="F6" s="1225"/>
      <c r="G6" s="1226"/>
      <c r="H6" s="522"/>
      <c r="I6" s="1224" t="str">
        <f>"This FY Budget Model - "&amp;Dashboard!B6</f>
        <v>This FY Budget Model - 2022</v>
      </c>
      <c r="J6" s="1225"/>
      <c r="K6" s="1225"/>
      <c r="L6" s="1225"/>
      <c r="M6" s="1225"/>
      <c r="N6" s="1226"/>
    </row>
    <row r="7" spans="1:16" ht="65.25" customHeight="1" thickBot="1" x14ac:dyDescent="0.2">
      <c r="B7" s="795" t="s">
        <v>655</v>
      </c>
      <c r="C7" s="796" t="s">
        <v>510</v>
      </c>
      <c r="D7" s="796" t="s">
        <v>656</v>
      </c>
      <c r="E7" s="796" t="s">
        <v>657</v>
      </c>
      <c r="F7" s="796" t="s">
        <v>658</v>
      </c>
      <c r="G7" s="796" t="s">
        <v>588</v>
      </c>
      <c r="H7" s="545"/>
      <c r="I7" s="818" t="s">
        <v>660</v>
      </c>
      <c r="J7" s="796" t="s">
        <v>374</v>
      </c>
      <c r="K7" s="796" t="s">
        <v>659</v>
      </c>
      <c r="L7" s="796" t="s">
        <v>656</v>
      </c>
      <c r="M7" s="796" t="s">
        <v>657</v>
      </c>
      <c r="N7" s="797" t="s">
        <v>661</v>
      </c>
      <c r="O7" s="537"/>
    </row>
    <row r="8" spans="1:16" ht="14.25" customHeight="1" thickTop="1" x14ac:dyDescent="0.15">
      <c r="A8" s="192" t="s">
        <v>141</v>
      </c>
      <c r="B8" s="771"/>
      <c r="C8" s="283"/>
      <c r="D8" s="283"/>
      <c r="E8" s="283"/>
      <c r="F8" s="283"/>
      <c r="G8" s="772"/>
      <c r="H8" s="522"/>
      <c r="I8" s="837"/>
      <c r="J8" s="838"/>
      <c r="K8" s="541"/>
      <c r="L8" s="541"/>
      <c r="M8" s="500"/>
      <c r="N8" s="836"/>
    </row>
    <row r="9" spans="1:16" s="519" customFormat="1" ht="14.25" customHeight="1" x14ac:dyDescent="0.2">
      <c r="A9" s="524" t="s">
        <v>163</v>
      </c>
      <c r="B9" s="779">
        <v>21610993</v>
      </c>
      <c r="C9" s="546">
        <v>0</v>
      </c>
      <c r="D9" s="546">
        <v>0</v>
      </c>
      <c r="E9" s="546">
        <v>0</v>
      </c>
      <c r="F9" s="546">
        <f>B9-C9-D9-E9</f>
        <v>21610993</v>
      </c>
      <c r="G9" s="780"/>
      <c r="H9" s="536"/>
      <c r="I9" s="812">
        <f>SUM(F9:G9)</f>
        <v>21610993</v>
      </c>
      <c r="J9" s="750">
        <f>+'Support &amp; Exec Detail'!F4</f>
        <v>1929839</v>
      </c>
      <c r="K9" s="389">
        <f>SUM('FINAL-Distributed E&amp;G Budget'!B30,'FINAL-Distributed E&amp;G Budget'!J30,'FINAL-Distributed E&amp;G Budget'!L30,'FINAL-Distributed E&amp;G Budget'!M30,'FINAL-Distributed E&amp;G Budget'!N30,'FINAL-Distributed E&amp;G Budget'!O30)</f>
        <v>0</v>
      </c>
      <c r="L9" s="389">
        <f>+'FINAL-Distributed E&amp;G Budget'!AC30</f>
        <v>0</v>
      </c>
      <c r="M9" s="389"/>
      <c r="N9" s="828">
        <f t="shared" ref="N9" si="0">SUM(I9:M9)</f>
        <v>23540832</v>
      </c>
      <c r="P9" s="543" t="str">
        <f>IF(N9=SUM('FINAL-Distributed E&amp;G Budget'!B30,'FINAL-Distributed E&amp;G Budget'!J30,'FINAL-Distributed E&amp;G Budget'!L30:O30,'FINAL-Distributed E&amp;G Budget'!U30,'FINAL-Distributed E&amp;G Budget'!AC30),"","Check")</f>
        <v/>
      </c>
    </row>
    <row r="10" spans="1:16" ht="14.25" customHeight="1" x14ac:dyDescent="0.2">
      <c r="A10" s="207" t="s">
        <v>770</v>
      </c>
      <c r="B10" s="777">
        <v>651853</v>
      </c>
      <c r="C10" s="593">
        <v>0</v>
      </c>
      <c r="D10" s="593">
        <v>0</v>
      </c>
      <c r="E10" s="593"/>
      <c r="F10" s="593">
        <f>B10-C10-D10-E10</f>
        <v>651853</v>
      </c>
      <c r="G10" s="778"/>
      <c r="H10" s="536"/>
      <c r="I10" s="813">
        <f>SUM(F10:G10)</f>
        <v>651853</v>
      </c>
      <c r="J10" s="731">
        <f>'Support &amp; Exec Detail'!F8</f>
        <v>35496</v>
      </c>
      <c r="K10" s="391">
        <f>SUM('FINAL-Distributed E&amp;G Budget'!B32,'FINAL-Distributed E&amp;G Budget'!J32,'FINAL-Distributed E&amp;G Budget'!L32,'FINAL-Distributed E&amp;G Budget'!M32,'FINAL-Distributed E&amp;G Budget'!N32,'FINAL-Distributed E&amp;G Budget'!O32)</f>
        <v>0</v>
      </c>
      <c r="L10" s="391">
        <f>+'FINAL-Distributed E&amp;G Budget'!AC32</f>
        <v>0</v>
      </c>
      <c r="M10" s="391"/>
      <c r="N10" s="829">
        <f t="shared" ref="N10:N29" si="1">SUM(I10:M10)</f>
        <v>687349</v>
      </c>
      <c r="O10" s="538"/>
      <c r="P10" s="543" t="str">
        <f>IF(N10=SUM('FINAL-Distributed E&amp;G Budget'!B32,'FINAL-Distributed E&amp;G Budget'!J32,'FINAL-Distributed E&amp;G Budget'!L32:O32,'FINAL-Distributed E&amp;G Budget'!U32,'FINAL-Distributed E&amp;G Budget'!AC32),"","Check")</f>
        <v/>
      </c>
    </row>
    <row r="11" spans="1:16" ht="14.25" customHeight="1" x14ac:dyDescent="0.2">
      <c r="A11" s="190" t="s">
        <v>163</v>
      </c>
      <c r="B11" s="779">
        <v>14813189</v>
      </c>
      <c r="C11" s="546">
        <v>2661489</v>
      </c>
      <c r="D11" s="546">
        <v>1216</v>
      </c>
      <c r="E11" s="546"/>
      <c r="F11" s="546">
        <f>B11-C11-D11-E11</f>
        <v>12150484</v>
      </c>
      <c r="G11" s="780"/>
      <c r="H11" s="536"/>
      <c r="I11" s="812">
        <f t="shared" ref="I11:I29" si="2">SUM(F11:G11)</f>
        <v>12150484</v>
      </c>
      <c r="J11" s="750">
        <f>'Support &amp; Exec Detail'!F12</f>
        <v>544308</v>
      </c>
      <c r="K11" s="389">
        <f>SUM('FINAL-Distributed E&amp;G Budget'!B34,'FINAL-Distributed E&amp;G Budget'!J34,'FINAL-Distributed E&amp;G Budget'!L34,'FINAL-Distributed E&amp;G Budget'!M34,'FINAL-Distributed E&amp;G Budget'!N34,'FINAL-Distributed E&amp;G Budget'!O34)</f>
        <v>2758689</v>
      </c>
      <c r="L11" s="389">
        <f>+'FINAL-Distributed E&amp;G Budget'!AC34</f>
        <v>0</v>
      </c>
      <c r="M11" s="389"/>
      <c r="N11" s="828">
        <f t="shared" si="1"/>
        <v>15453481</v>
      </c>
      <c r="O11" s="538"/>
      <c r="P11" s="543" t="str">
        <f>IF(N11=SUM('FINAL-Distributed E&amp;G Budget'!B34,'FINAL-Distributed E&amp;G Budget'!J34,'FINAL-Distributed E&amp;G Budget'!L34:O34,'FINAL-Distributed E&amp;G Budget'!U34,'FINAL-Distributed E&amp;G Budget'!AC34),"","Check")</f>
        <v/>
      </c>
    </row>
    <row r="12" spans="1:16" ht="14.25" customHeight="1" x14ac:dyDescent="0.15">
      <c r="A12" s="190"/>
      <c r="B12" s="771"/>
      <c r="C12" s="283"/>
      <c r="D12" s="283"/>
      <c r="E12" s="283"/>
      <c r="F12" s="283"/>
      <c r="G12" s="772"/>
      <c r="H12" s="522"/>
      <c r="I12" s="814"/>
      <c r="J12" s="541"/>
      <c r="K12" s="541"/>
      <c r="L12" s="541"/>
      <c r="M12" s="541"/>
      <c r="N12" s="830"/>
      <c r="O12" s="538"/>
    </row>
    <row r="13" spans="1:16" ht="14.25" customHeight="1" x14ac:dyDescent="0.15">
      <c r="A13" s="188"/>
      <c r="B13" s="749"/>
      <c r="C13" s="524"/>
      <c r="D13" s="524"/>
      <c r="E13" s="524"/>
      <c r="F13" s="524"/>
      <c r="G13" s="776"/>
      <c r="H13" s="522"/>
      <c r="I13" s="812"/>
      <c r="J13" s="750"/>
      <c r="K13" s="389"/>
      <c r="L13" s="389"/>
      <c r="M13" s="389"/>
      <c r="N13" s="828"/>
      <c r="O13" s="538"/>
    </row>
    <row r="14" spans="1:16" ht="14.25" customHeight="1" x14ac:dyDescent="0.15">
      <c r="A14" s="485" t="s">
        <v>166</v>
      </c>
      <c r="B14" s="749"/>
      <c r="C14" s="524"/>
      <c r="D14" s="524"/>
      <c r="E14" s="524"/>
      <c r="F14" s="524"/>
      <c r="G14" s="780"/>
      <c r="H14" s="522"/>
      <c r="I14" s="812"/>
      <c r="J14" s="528"/>
      <c r="K14" s="389"/>
      <c r="L14" s="389"/>
      <c r="M14" s="389"/>
      <c r="N14" s="828"/>
      <c r="O14" s="538"/>
    </row>
    <row r="15" spans="1:16" ht="14.25" customHeight="1" x14ac:dyDescent="0.2">
      <c r="A15" s="720" t="s">
        <v>631</v>
      </c>
      <c r="B15" s="781">
        <v>9277097</v>
      </c>
      <c r="C15" s="782">
        <v>0</v>
      </c>
      <c r="D15" s="782">
        <v>-1386</v>
      </c>
      <c r="E15" s="782"/>
      <c r="F15" s="782">
        <f>B15-C15-D15-E15</f>
        <v>9278483</v>
      </c>
      <c r="G15" s="783"/>
      <c r="H15" s="719"/>
      <c r="I15" s="781">
        <f t="shared" si="2"/>
        <v>9278483</v>
      </c>
      <c r="J15" s="791">
        <f>+'Support &amp; Exec Detail'!F16</f>
        <v>666044</v>
      </c>
      <c r="K15" s="782">
        <f>SUM('FINAL-Distributed E&amp;G Budget'!B40:H40)</f>
        <v>0</v>
      </c>
      <c r="L15" s="782">
        <f>+'FINAL-Distributed E&amp;G Budget'!AC40</f>
        <v>0</v>
      </c>
      <c r="M15" s="782"/>
      <c r="N15" s="831">
        <f t="shared" si="1"/>
        <v>9944527</v>
      </c>
      <c r="O15" s="538"/>
      <c r="P15" s="543" t="str">
        <f>IF(N15=SUM('FINAL-Distributed E&amp;G Budget'!B40,'FINAL-Distributed E&amp;G Budget'!J40,'FINAL-Distributed E&amp;G Budget'!L40:O40,'FINAL-Distributed E&amp;G Budget'!U40,'FINAL-Distributed E&amp;G Budget'!AC40),"","Check")</f>
        <v/>
      </c>
    </row>
    <row r="16" spans="1:16" ht="14.25" customHeight="1" x14ac:dyDescent="0.2">
      <c r="A16" s="190" t="s">
        <v>169</v>
      </c>
      <c r="B16" s="779">
        <v>4035978</v>
      </c>
      <c r="C16" s="546">
        <v>6334</v>
      </c>
      <c r="D16" s="546">
        <v>0</v>
      </c>
      <c r="E16" s="546"/>
      <c r="F16" s="546">
        <f>B16-C16-D16-E16</f>
        <v>4029644</v>
      </c>
      <c r="G16" s="784"/>
      <c r="H16" s="536"/>
      <c r="I16" s="812">
        <f>SUM(F16:G16)</f>
        <v>4029644</v>
      </c>
      <c r="J16" s="848">
        <f>'Support &amp; Exec Detail'!F24</f>
        <v>246953</v>
      </c>
      <c r="K16" s="389">
        <f>SUM('FINAL-Distributed E&amp;G Budget'!B42,'FINAL-Distributed E&amp;G Budget'!J42,'FINAL-Distributed E&amp;G Budget'!L42,'FINAL-Distributed E&amp;G Budget'!M42,'FINAL-Distributed E&amp;G Budget'!N42,'FINAL-Distributed E&amp;G Budget'!O42)</f>
        <v>6900</v>
      </c>
      <c r="L16" s="389">
        <f>+'FINAL-Distributed E&amp;G Budget'!AC42</f>
        <v>0</v>
      </c>
      <c r="M16" s="389"/>
      <c r="N16" s="828">
        <f>SUM(I16:M16)</f>
        <v>4283497</v>
      </c>
      <c r="O16" s="538"/>
      <c r="P16" s="543" t="str">
        <f>IF(N16=SUM('FINAL-Distributed E&amp;G Budget'!B42,'FINAL-Distributed E&amp;G Budget'!J42,'FINAL-Distributed E&amp;G Budget'!L42:O42,'FINAL-Distributed E&amp;G Budget'!U42,'FINAL-Distributed E&amp;G Budget'!AC42),"","Check")</f>
        <v/>
      </c>
    </row>
    <row r="17" spans="1:17" ht="14.25" customHeight="1" x14ac:dyDescent="0.2">
      <c r="A17" s="718" t="s">
        <v>170</v>
      </c>
      <c r="B17" s="781">
        <v>1171072</v>
      </c>
      <c r="C17" s="782">
        <v>0</v>
      </c>
      <c r="D17" s="720">
        <v>0</v>
      </c>
      <c r="E17" s="720"/>
      <c r="F17" s="782">
        <f t="shared" ref="F17:F29" si="3">B17-C17-D17-E17</f>
        <v>1171072</v>
      </c>
      <c r="G17" s="783"/>
      <c r="H17" s="719"/>
      <c r="I17" s="781">
        <f t="shared" si="2"/>
        <v>1171072</v>
      </c>
      <c r="J17" s="793">
        <f>+'Support &amp; Exec Detail'!F27</f>
        <v>52611</v>
      </c>
      <c r="K17" s="782">
        <f>SUM('FINAL-Distributed E&amp;G Budget'!B43:H43)</f>
        <v>0</v>
      </c>
      <c r="L17" s="782">
        <f>+'FINAL-Distributed E&amp;G Budget'!AC43</f>
        <v>0</v>
      </c>
      <c r="M17" s="782"/>
      <c r="N17" s="831">
        <f>SUM(I17:M17)</f>
        <v>1223683</v>
      </c>
      <c r="O17" s="538"/>
      <c r="P17" s="543" t="str">
        <f>IF(N17=SUM('FINAL-Distributed E&amp;G Budget'!B43,'FINAL-Distributed E&amp;G Budget'!J43,'FINAL-Distributed E&amp;G Budget'!L43:O43,'FINAL-Distributed E&amp;G Budget'!U43,'FINAL-Distributed E&amp;G Budget'!AC43),"","Check")</f>
        <v/>
      </c>
    </row>
    <row r="18" spans="1:17" ht="14.25" customHeight="1" x14ac:dyDescent="0.2">
      <c r="A18" s="720" t="s">
        <v>171</v>
      </c>
      <c r="B18" s="781">
        <v>1731253</v>
      </c>
      <c r="C18" s="782">
        <v>0</v>
      </c>
      <c r="D18" s="720">
        <v>0</v>
      </c>
      <c r="E18" s="720"/>
      <c r="F18" s="782">
        <f t="shared" si="3"/>
        <v>1731253</v>
      </c>
      <c r="G18" s="783"/>
      <c r="H18" s="719"/>
      <c r="I18" s="781">
        <f t="shared" si="2"/>
        <v>1731253</v>
      </c>
      <c r="J18" s="791">
        <f>+'Support &amp; Exec Detail'!F32</f>
        <v>56501</v>
      </c>
      <c r="K18" s="782">
        <f>SUM('FINAL-Distributed E&amp;G Budget'!B44:H44)</f>
        <v>0</v>
      </c>
      <c r="L18" s="782"/>
      <c r="M18" s="782"/>
      <c r="N18" s="831">
        <f t="shared" si="1"/>
        <v>1787754</v>
      </c>
      <c r="O18" s="538"/>
      <c r="P18" s="543" t="str">
        <f>IF(N18=SUM('FINAL-Distributed E&amp;G Budget'!B44,'FINAL-Distributed E&amp;G Budget'!J44,'FINAL-Distributed E&amp;G Budget'!L44:O44,'FINAL-Distributed E&amp;G Budget'!U44,'FINAL-Distributed E&amp;G Budget'!AC44),"","Check")</f>
        <v/>
      </c>
    </row>
    <row r="19" spans="1:17" s="519" customFormat="1" ht="14.25" customHeight="1" x14ac:dyDescent="0.2">
      <c r="A19" s="720" t="s">
        <v>682</v>
      </c>
      <c r="B19" s="781">
        <v>749304</v>
      </c>
      <c r="C19" s="782">
        <v>0</v>
      </c>
      <c r="D19" s="720">
        <v>0</v>
      </c>
      <c r="E19" s="720"/>
      <c r="F19" s="782">
        <f t="shared" si="3"/>
        <v>749304</v>
      </c>
      <c r="G19" s="783"/>
      <c r="H19" s="719"/>
      <c r="I19" s="781">
        <f>SUM(F19:G19)</f>
        <v>749304</v>
      </c>
      <c r="J19" s="791">
        <f>+'Support &amp; Exec Detail'!F35</f>
        <v>35788</v>
      </c>
      <c r="K19" s="782">
        <f>SUM('FINAL-Distributed E&amp;G Budget'!B45:H45)</f>
        <v>1200</v>
      </c>
      <c r="L19" s="782">
        <f>+'FINAL-Distributed E&amp;G Budget'!Z45</f>
        <v>0</v>
      </c>
      <c r="M19" s="782"/>
      <c r="N19" s="831">
        <f t="shared" si="1"/>
        <v>786292</v>
      </c>
      <c r="O19" s="538"/>
      <c r="P19" s="543" t="str">
        <f>IF(N19=SUM('FINAL-Distributed E&amp;G Budget'!B45,'FINAL-Distributed E&amp;G Budget'!J45,'FINAL-Distributed E&amp;G Budget'!L45:O45,'FINAL-Distributed E&amp;G Budget'!U45,'FINAL-Distributed E&amp;G Budget'!AC45),"","Check")</f>
        <v/>
      </c>
    </row>
    <row r="20" spans="1:17" ht="14.25" customHeight="1" x14ac:dyDescent="0.2">
      <c r="A20" s="190" t="s">
        <v>172</v>
      </c>
      <c r="B20" s="786">
        <v>12340041</v>
      </c>
      <c r="C20" s="219">
        <v>3165958</v>
      </c>
      <c r="D20" s="219">
        <v>0</v>
      </c>
      <c r="E20" s="219"/>
      <c r="F20" s="219">
        <f>B20-C20-D20-E20</f>
        <v>9174083</v>
      </c>
      <c r="G20" s="787"/>
      <c r="H20" s="539"/>
      <c r="I20" s="812">
        <f t="shared" si="2"/>
        <v>9174083</v>
      </c>
      <c r="J20" s="848">
        <f>'Support &amp; Exec Detail'!F39</f>
        <v>1119639</v>
      </c>
      <c r="K20" s="389">
        <f>SUM('FINAL-Distributed E&amp;G Budget'!B46,'FINAL-Distributed E&amp;G Budget'!J46,'FINAL-Distributed E&amp;G Budget'!L46,'FINAL-Distributed E&amp;G Budget'!M46,'FINAL-Distributed E&amp;G Budget'!N46,'FINAL-Distributed E&amp;G Budget'!O46)</f>
        <v>3388126</v>
      </c>
      <c r="L20" s="389">
        <f>+'FINAL-Distributed E&amp;G Budget'!AC46</f>
        <v>0</v>
      </c>
      <c r="M20" s="389"/>
      <c r="N20" s="828">
        <f t="shared" si="1"/>
        <v>13681848</v>
      </c>
      <c r="O20" s="538"/>
      <c r="P20" s="543" t="str">
        <f>IF(N20=SUM('FINAL-Distributed E&amp;G Budget'!B46,'FINAL-Distributed E&amp;G Budget'!J46,'FINAL-Distributed E&amp;G Budget'!L46:O46,'FINAL-Distributed E&amp;G Budget'!U46,'FINAL-Distributed E&amp;G Budget'!AC46),"","Check")</f>
        <v/>
      </c>
    </row>
    <row r="21" spans="1:17" ht="14.25" customHeight="1" x14ac:dyDescent="0.2">
      <c r="A21" s="679" t="s">
        <v>893</v>
      </c>
      <c r="B21" s="786">
        <v>4420908</v>
      </c>
      <c r="C21" s="219">
        <v>736170</v>
      </c>
      <c r="D21" s="219">
        <v>773282</v>
      </c>
      <c r="E21" s="219"/>
      <c r="F21" s="219">
        <f t="shared" si="3"/>
        <v>2911456</v>
      </c>
      <c r="G21" s="788"/>
      <c r="H21" s="539"/>
      <c r="I21" s="812">
        <f t="shared" si="2"/>
        <v>2911456</v>
      </c>
      <c r="J21" s="389">
        <f>'Support &amp; Exec Detail'!F45</f>
        <v>1022901.65</v>
      </c>
      <c r="K21" s="389">
        <f>SUM('FINAL-Distributed E&amp;G Budget'!B47,'FINAL-Distributed E&amp;G Budget'!J47,'FINAL-Distributed E&amp;G Budget'!L47,'FINAL-Distributed E&amp;G Budget'!M47,'FINAL-Distributed E&amp;G Budget'!N47,'FINAL-Distributed E&amp;G Budget'!O47)</f>
        <v>955000</v>
      </c>
      <c r="L21" s="389">
        <f>+'FINAL-Distributed E&amp;G Budget'!AC47</f>
        <v>0</v>
      </c>
      <c r="M21" s="389"/>
      <c r="N21" s="828">
        <f t="shared" si="1"/>
        <v>4889357.6500000004</v>
      </c>
      <c r="O21" s="538"/>
      <c r="P21" s="543" t="str">
        <f>IF(N21=SUM('FINAL-Distributed E&amp;G Budget'!B47,'FINAL-Distributed E&amp;G Budget'!J47,'FINAL-Distributed E&amp;G Budget'!L47:O47,'FINAL-Distributed E&amp;G Budget'!U47,'FINAL-Distributed E&amp;G Budget'!AC47),"","Check")</f>
        <v/>
      </c>
    </row>
    <row r="22" spans="1:17" ht="14.25" customHeight="1" x14ac:dyDescent="0.2">
      <c r="A22" s="190" t="s">
        <v>173</v>
      </c>
      <c r="B22" s="786">
        <f>1771354-346951</f>
        <v>1424403</v>
      </c>
      <c r="C22" s="219">
        <v>0</v>
      </c>
      <c r="D22" s="219">
        <v>2629</v>
      </c>
      <c r="E22" s="219">
        <v>576106</v>
      </c>
      <c r="F22" s="219">
        <f>B22-C22-D22-E22</f>
        <v>845668</v>
      </c>
      <c r="G22" s="788"/>
      <c r="H22" s="539"/>
      <c r="I22" s="812">
        <f>SUM(F22:G22)</f>
        <v>845668</v>
      </c>
      <c r="J22" s="848">
        <f>'Support &amp; Exec Detail'!F52</f>
        <v>504456</v>
      </c>
      <c r="K22" s="389">
        <f>SUM('FINAL-Distributed E&amp;G Budget'!B48,'FINAL-Distributed E&amp;G Budget'!J48,'FINAL-Distributed E&amp;G Budget'!L48,'FINAL-Distributed E&amp;G Budget'!M48,'FINAL-Distributed E&amp;G Budget'!N48,'FINAL-Distributed E&amp;G Budget'!O48)</f>
        <v>0</v>
      </c>
      <c r="L22" s="389">
        <f>+'FINAL-Distributed E&amp;G Budget'!AC48</f>
        <v>0</v>
      </c>
      <c r="M22" s="389">
        <f>ROUND(-('FINAL-Distributed E&amp;G Budget'!$B$57*'FINAL-Distributed E&amp;G Budget'!AQ12),-1)</f>
        <v>0</v>
      </c>
      <c r="N22" s="828">
        <f>SUM(I22:M22)</f>
        <v>1350124</v>
      </c>
      <c r="O22" s="538"/>
      <c r="P22" s="543" t="str">
        <f>IF(N22=SUM('FINAL-Distributed E&amp;G Budget'!B48,'FINAL-Distributed E&amp;G Budget'!J48,'FINAL-Distributed E&amp;G Budget'!L48:O48,'FINAL-Distributed E&amp;G Budget'!U48,'FINAL-Distributed E&amp;G Budget'!AC48),"","Check")</f>
        <v/>
      </c>
    </row>
    <row r="23" spans="1:17" ht="14.25" customHeight="1" x14ac:dyDescent="0.2">
      <c r="A23" s="677" t="s">
        <v>894</v>
      </c>
      <c r="B23" s="789">
        <v>24673369</v>
      </c>
      <c r="C23" s="210">
        <v>2753286</v>
      </c>
      <c r="D23" s="210">
        <v>8</v>
      </c>
      <c r="E23" s="210">
        <v>905310</v>
      </c>
      <c r="F23" s="210">
        <f t="shared" si="3"/>
        <v>21014765</v>
      </c>
      <c r="G23" s="790"/>
      <c r="H23" s="539"/>
      <c r="I23" s="813">
        <f t="shared" si="2"/>
        <v>21014765</v>
      </c>
      <c r="J23" s="849">
        <f>'Support &amp; Exec Detail'!F59</f>
        <v>3584795</v>
      </c>
      <c r="K23" s="391">
        <f>SUM('FINAL-Distributed E&amp;G Budget'!B49,'FINAL-Distributed E&amp;G Budget'!J49,'FINAL-Distributed E&amp;G Budget'!L49,'FINAL-Distributed E&amp;G Budget'!M49,'FINAL-Distributed E&amp;G Budget'!N49,'FINAL-Distributed E&amp;G Budget'!O49)</f>
        <v>2702700</v>
      </c>
      <c r="L23" s="391">
        <f>+'FINAL-Distributed E&amp;G Budget'!AC49</f>
        <v>0</v>
      </c>
      <c r="M23" s="391">
        <f>ROUND(-('FINAL-Distributed E&amp;G Budget'!$B$57*'FINAL-Distributed E&amp;G Budget'!AQ13),-1)</f>
        <v>0</v>
      </c>
      <c r="N23" s="829">
        <f t="shared" si="1"/>
        <v>27302260</v>
      </c>
      <c r="O23" s="538"/>
      <c r="P23" s="543" t="str">
        <f>IF(N23=SUM('FINAL-Distributed E&amp;G Budget'!B49,'FINAL-Distributed E&amp;G Budget'!J49,'FINAL-Distributed E&amp;G Budget'!L49:O49,'FINAL-Distributed E&amp;G Budget'!U49,'FINAL-Distributed E&amp;G Budget'!AC49),"","Check")</f>
        <v/>
      </c>
    </row>
    <row r="24" spans="1:17" ht="14.25" customHeight="1" x14ac:dyDescent="0.2">
      <c r="A24" s="190" t="s">
        <v>378</v>
      </c>
      <c r="B24" s="786">
        <v>4488396</v>
      </c>
      <c r="C24" s="219">
        <f>1381485+930050</f>
        <v>2311535</v>
      </c>
      <c r="D24" s="219">
        <v>0</v>
      </c>
      <c r="E24" s="219">
        <v>205752</v>
      </c>
      <c r="F24" s="219">
        <f>B24-C24-D24-E24</f>
        <v>1971109</v>
      </c>
      <c r="G24" s="788"/>
      <c r="H24" s="539"/>
      <c r="I24" s="812">
        <f t="shared" si="2"/>
        <v>1971109</v>
      </c>
      <c r="J24" s="848">
        <f>'Support &amp; Exec Detail'!F69</f>
        <v>381336.9</v>
      </c>
      <c r="K24" s="389">
        <f>SUM('FINAL-Distributed E&amp;G Budget'!B50,'FINAL-Distributed E&amp;G Budget'!J50,'FINAL-Distributed E&amp;G Budget'!L50,'FINAL-Distributed E&amp;G Budget'!M50,'FINAL-Distributed E&amp;G Budget'!N50,'FINAL-Distributed E&amp;G Budget'!O50)</f>
        <v>2360050</v>
      </c>
      <c r="L24" s="389">
        <f>+'FINAL-Distributed E&amp;G Budget'!AC50</f>
        <v>0</v>
      </c>
      <c r="M24" s="389">
        <f>ROUND(-('FINAL-Distributed E&amp;G Budget'!$B$57*'FINAL-Distributed E&amp;G Budget'!AQ15),-1)</f>
        <v>0</v>
      </c>
      <c r="N24" s="828">
        <f t="shared" si="1"/>
        <v>4712495.9000000004</v>
      </c>
      <c r="O24" s="538"/>
      <c r="P24" s="543" t="str">
        <f>IF(N24=SUM('FINAL-Distributed E&amp;G Budget'!B50,'FINAL-Distributed E&amp;G Budget'!J50,'FINAL-Distributed E&amp;G Budget'!L50:O50,'FINAL-Distributed E&amp;G Budget'!U50,'FINAL-Distributed E&amp;G Budget'!AC50),"","Check")</f>
        <v/>
      </c>
    </row>
    <row r="25" spans="1:17" ht="14.25" customHeight="1" x14ac:dyDescent="0.2">
      <c r="A25" s="200" t="s">
        <v>895</v>
      </c>
      <c r="B25" s="832">
        <v>641479</v>
      </c>
      <c r="C25" s="219">
        <v>0</v>
      </c>
      <c r="D25" s="219">
        <v>9789</v>
      </c>
      <c r="E25" s="219"/>
      <c r="F25" s="219">
        <f>B25-C25-D25-E25</f>
        <v>631690</v>
      </c>
      <c r="G25" s="788"/>
      <c r="H25" s="539"/>
      <c r="I25" s="812">
        <f t="shared" si="2"/>
        <v>631690</v>
      </c>
      <c r="J25" s="848">
        <f>'Support &amp; Exec Detail'!F72</f>
        <v>120830</v>
      </c>
      <c r="K25" s="389">
        <f>SUM('FINAL-Distributed E&amp;G Budget'!B51,'FINAL-Distributed E&amp;G Budget'!J51,'FINAL-Distributed E&amp;G Budget'!L51,'FINAL-Distributed E&amp;G Budget'!M51,'FINAL-Distributed E&amp;G Budget'!N51,'FINAL-Distributed E&amp;G Budget'!O51)</f>
        <v>0</v>
      </c>
      <c r="L25" s="389">
        <f>+'FINAL-Distributed E&amp;G Budget'!AC51</f>
        <v>0</v>
      </c>
      <c r="M25" s="389"/>
      <c r="N25" s="828">
        <f t="shared" si="1"/>
        <v>752520</v>
      </c>
      <c r="O25" s="538"/>
      <c r="P25" s="543" t="str">
        <f>IF(N25=SUM('FINAL-Distributed E&amp;G Budget'!B51,'FINAL-Distributed E&amp;G Budget'!J51,'FINAL-Distributed E&amp;G Budget'!L51:O51,'FINAL-Distributed E&amp;G Budget'!U51,'FINAL-Distributed E&amp;G Budget'!AC51),"","Check")</f>
        <v/>
      </c>
    </row>
    <row r="26" spans="1:17" ht="14.25" customHeight="1" x14ac:dyDescent="0.2">
      <c r="A26" s="207" t="s">
        <v>175</v>
      </c>
      <c r="B26" s="789">
        <v>7760729</v>
      </c>
      <c r="C26" s="210">
        <v>3337372</v>
      </c>
      <c r="D26" s="210">
        <v>0</v>
      </c>
      <c r="E26" s="210">
        <v>205752</v>
      </c>
      <c r="F26" s="210">
        <f t="shared" si="3"/>
        <v>4217605</v>
      </c>
      <c r="G26" s="790"/>
      <c r="H26" s="539"/>
      <c r="I26" s="813">
        <f t="shared" si="2"/>
        <v>4217605</v>
      </c>
      <c r="J26" s="731">
        <f>'Support &amp; Exec Detail'!F77</f>
        <v>1978776</v>
      </c>
      <c r="K26" s="391">
        <f>SUM('FINAL-Distributed E&amp;G Budget'!B52,'FINAL-Distributed E&amp;G Budget'!J52,'FINAL-Distributed E&amp;G Budget'!L52,'FINAL-Distributed E&amp;G Budget'!M52,'FINAL-Distributed E&amp;G Budget'!N52,'FINAL-Distributed E&amp;G Budget'!O52)</f>
        <v>3440000</v>
      </c>
      <c r="L26" s="391">
        <f>+'FINAL-Distributed E&amp;G Budget'!AC52</f>
        <v>0</v>
      </c>
      <c r="M26" s="391">
        <f>ROUND(-('FINAL-Distributed E&amp;G Budget'!$B$57*'FINAL-Distributed E&amp;G Budget'!AQ16),-1)</f>
        <v>0</v>
      </c>
      <c r="N26" s="829">
        <f t="shared" si="1"/>
        <v>9636381</v>
      </c>
      <c r="O26" s="538"/>
      <c r="P26" s="543" t="str">
        <f>IF(N26=SUM('FINAL-Distributed E&amp;G Budget'!B52,'FINAL-Distributed E&amp;G Budget'!J52,'FINAL-Distributed E&amp;G Budget'!L52:O52,'FINAL-Distributed E&amp;G Budget'!U52,'FINAL-Distributed E&amp;G Budget'!AC52),"","Check")</f>
        <v/>
      </c>
    </row>
    <row r="27" spans="1:17" ht="14.25" customHeight="1" x14ac:dyDescent="0.2">
      <c r="A27" s="190" t="s">
        <v>176</v>
      </c>
      <c r="B27" s="786">
        <v>12946725</v>
      </c>
      <c r="C27" s="219">
        <v>988807</v>
      </c>
      <c r="D27" s="219">
        <v>1070645</v>
      </c>
      <c r="E27" s="219"/>
      <c r="F27" s="219">
        <f>B27-C27-D27-E27</f>
        <v>10887273</v>
      </c>
      <c r="G27" s="788"/>
      <c r="H27" s="539"/>
      <c r="I27" s="812">
        <f t="shared" si="2"/>
        <v>10887273</v>
      </c>
      <c r="J27" s="750">
        <f>'Support &amp; Exec Detail'!F84</f>
        <v>1389689</v>
      </c>
      <c r="K27" s="389">
        <f>SUM('FINAL-Distributed E&amp;G Budget'!B53,'FINAL-Distributed E&amp;G Budget'!J53,'FINAL-Distributed E&amp;G Budget'!L53,'FINAL-Distributed E&amp;G Budget'!M53,'FINAL-Distributed E&amp;G Budget'!N53,'FINAL-Distributed E&amp;G Budget'!O53)</f>
        <v>1338459</v>
      </c>
      <c r="L27" s="389">
        <f>+'FINAL-Distributed E&amp;G Budget'!AC53</f>
        <v>0</v>
      </c>
      <c r="M27" s="389"/>
      <c r="N27" s="828">
        <f t="shared" si="1"/>
        <v>13615421</v>
      </c>
      <c r="O27" s="538"/>
      <c r="P27" s="543" t="str">
        <f>IF(N27=SUM('FINAL-Distributed E&amp;G Budget'!B53,'FINAL-Distributed E&amp;G Budget'!J53,'FINAL-Distributed E&amp;G Budget'!L53:O53,'FINAL-Distributed E&amp;G Budget'!U53,'FINAL-Distributed E&amp;G Budget'!AC53),"","Check")</f>
        <v/>
      </c>
    </row>
    <row r="28" spans="1:17" ht="14.25" customHeight="1" x14ac:dyDescent="0.2">
      <c r="A28" s="207" t="s">
        <v>178</v>
      </c>
      <c r="B28" s="789">
        <f>42348868+346951</f>
        <v>42695819</v>
      </c>
      <c r="C28" s="210">
        <v>4153641</v>
      </c>
      <c r="D28" s="210">
        <v>0</v>
      </c>
      <c r="E28" s="210">
        <v>1152213</v>
      </c>
      <c r="F28" s="210">
        <f t="shared" si="3"/>
        <v>37389965</v>
      </c>
      <c r="G28" s="790"/>
      <c r="H28" s="539"/>
      <c r="I28" s="813">
        <f>SUM(F28:G28)</f>
        <v>37389965</v>
      </c>
      <c r="J28" s="731">
        <f>'Support &amp; Exec Detail'!F89</f>
        <v>4082125</v>
      </c>
      <c r="K28" s="391">
        <f>SUM('FINAL-Distributed E&amp;G Budget'!B54,'FINAL-Distributed E&amp;G Budget'!J54,'FINAL-Distributed E&amp;G Budget'!L54,'FINAL-Distributed E&amp;G Budget'!M54,'FINAL-Distributed E&amp;G Budget'!N54,'FINAL-Distributed E&amp;G Budget'!O54)</f>
        <v>4075000</v>
      </c>
      <c r="L28" s="391">
        <f>+'FINAL-Distributed E&amp;G Budget'!AC54</f>
        <v>0</v>
      </c>
      <c r="M28" s="391">
        <f>ROUND(-('FINAL-Distributed E&amp;G Budget'!$B$57*'FINAL-Distributed E&amp;G Budget'!AQ18)+-('FINAL-Distributed E&amp;G Budget'!$B$57*'FINAL-Distributed E&amp;G Budget'!AQ19)+-('FINAL-Distributed E&amp;G Budget'!$B$57*'FINAL-Distributed E&amp;G Budget'!AQ17),-1)</f>
        <v>0</v>
      </c>
      <c r="N28" s="829">
        <f>SUM(I28:M28)</f>
        <v>45547090</v>
      </c>
      <c r="O28" s="538"/>
      <c r="P28" s="543" t="str">
        <f>IF(N28=SUM('FINAL-Distributed E&amp;G Budget'!B54,'FINAL-Distributed E&amp;G Budget'!J54,'FINAL-Distributed E&amp;G Budget'!L54:O54,'FINAL-Distributed E&amp;G Budget'!U54,'FINAL-Distributed E&amp;G Budget'!AC54),"","Check")</f>
        <v/>
      </c>
      <c r="Q28" s="535"/>
    </row>
    <row r="29" spans="1:17" ht="14.25" customHeight="1" x14ac:dyDescent="0.2">
      <c r="A29" s="190" t="s">
        <v>179</v>
      </c>
      <c r="B29" s="786">
        <f>26132172-36400+825314+4172290</f>
        <v>31093376</v>
      </c>
      <c r="C29" s="219">
        <f>4582521+833186+4212228</f>
        <v>9627935</v>
      </c>
      <c r="D29" s="219">
        <v>190</v>
      </c>
      <c r="E29" s="219"/>
      <c r="F29" s="219">
        <f t="shared" si="3"/>
        <v>21465251</v>
      </c>
      <c r="G29" s="788"/>
      <c r="H29" s="539"/>
      <c r="I29" s="812">
        <f t="shared" si="2"/>
        <v>21465251</v>
      </c>
      <c r="J29" s="750">
        <f>'Support &amp; Exec Detail'!F103</f>
        <v>1712320</v>
      </c>
      <c r="K29" s="389">
        <f>SUM('FINAL-Distributed E&amp;G Budget'!B55,'FINAL-Distributed E&amp;G Budget'!J55,'FINAL-Distributed E&amp;G Budget'!L55,'FINAL-Distributed E&amp;G Budget'!M55,'FINAL-Distributed E&amp;G Budget'!N55,'FINAL-Distributed E&amp;G Budget'!O55)</f>
        <v>9940000</v>
      </c>
      <c r="L29" s="389">
        <f>+'FINAL-Distributed E&amp;G Budget'!AC55</f>
        <v>0</v>
      </c>
      <c r="M29" s="389"/>
      <c r="N29" s="828">
        <f t="shared" si="1"/>
        <v>33117571</v>
      </c>
      <c r="O29" s="538"/>
      <c r="P29" s="543" t="str">
        <f>IF(N29=SUM('FINAL-Distributed E&amp;G Budget'!B55,'FINAL-Distributed E&amp;G Budget'!J55,'FINAL-Distributed E&amp;G Budget'!L55:O55,'FINAL-Distributed E&amp;G Budget'!U55,'FINAL-Distributed E&amp;G Budget'!AC55),"","Check")</f>
        <v/>
      </c>
    </row>
    <row r="30" spans="1:17" ht="14.25" customHeight="1" thickBot="1" x14ac:dyDescent="0.2">
      <c r="A30" s="474"/>
      <c r="B30" s="475">
        <f>SUM(B9:B29)</f>
        <v>196525984</v>
      </c>
      <c r="C30" s="542">
        <f t="shared" ref="C30:G30" si="4">SUM(C9:C29)</f>
        <v>29742527</v>
      </c>
      <c r="D30" s="542">
        <f t="shared" si="4"/>
        <v>1856373</v>
      </c>
      <c r="E30" s="542">
        <f t="shared" si="4"/>
        <v>3045133</v>
      </c>
      <c r="F30" s="542">
        <f t="shared" si="4"/>
        <v>161881951</v>
      </c>
      <c r="G30" s="542">
        <f t="shared" si="4"/>
        <v>0</v>
      </c>
      <c r="H30" s="824"/>
      <c r="I30" s="839">
        <f>SUM(I9:I29)</f>
        <v>161881951</v>
      </c>
      <c r="J30" s="839">
        <f t="shared" ref="J30:N30" si="5">SUM(J9:J29)</f>
        <v>19464408.550000001</v>
      </c>
      <c r="K30" s="839">
        <f t="shared" si="5"/>
        <v>30966124</v>
      </c>
      <c r="L30" s="839">
        <f t="shared" si="5"/>
        <v>0</v>
      </c>
      <c r="M30" s="839">
        <f t="shared" si="5"/>
        <v>0</v>
      </c>
      <c r="N30" s="839">
        <f t="shared" si="5"/>
        <v>212312483.55000001</v>
      </c>
    </row>
    <row r="31" spans="1:17" ht="14.25" customHeight="1" thickTop="1" x14ac:dyDescent="0.15">
      <c r="B31" s="228" t="s">
        <v>675</v>
      </c>
      <c r="C31" s="228">
        <f>+C30-29742527</f>
        <v>0</v>
      </c>
      <c r="D31" s="228" t="s">
        <v>675</v>
      </c>
      <c r="E31" s="535" t="s">
        <v>675</v>
      </c>
      <c r="F31" s="228"/>
      <c r="G31" s="228"/>
      <c r="H31" s="536"/>
      <c r="J31" s="535"/>
      <c r="K31" s="535"/>
      <c r="L31" s="381"/>
      <c r="N31" s="188"/>
    </row>
    <row r="32" spans="1:17" ht="14.25" customHeight="1" x14ac:dyDescent="0.2">
      <c r="A32" s="719" t="s">
        <v>654</v>
      </c>
      <c r="B32" s="502" t="s">
        <v>492</v>
      </c>
      <c r="C32" s="502" t="s">
        <v>492</v>
      </c>
      <c r="D32" s="502" t="s">
        <v>492</v>
      </c>
      <c r="E32" s="543" t="s">
        <v>492</v>
      </c>
      <c r="F32" s="502" t="s">
        <v>494</v>
      </c>
      <c r="G32" s="502" t="s">
        <v>492</v>
      </c>
      <c r="H32" s="524"/>
      <c r="I32" s="819" t="s">
        <v>494</v>
      </c>
      <c r="J32" s="501"/>
      <c r="K32" s="501"/>
      <c r="L32" s="501" t="s">
        <v>494</v>
      </c>
      <c r="M32" s="501" t="s">
        <v>494</v>
      </c>
      <c r="N32" s="382"/>
    </row>
    <row r="33" spans="2:15" ht="14.25" customHeight="1" x14ac:dyDescent="0.2">
      <c r="B33" s="228"/>
      <c r="C33" s="228"/>
      <c r="D33" s="228"/>
      <c r="E33" s="535"/>
      <c r="F33" s="228"/>
      <c r="G33" s="228"/>
      <c r="H33" s="546"/>
      <c r="I33" s="820"/>
      <c r="J33" s="816" t="s">
        <v>666</v>
      </c>
      <c r="K33" s="1227" t="s">
        <v>665</v>
      </c>
      <c r="L33" s="1227"/>
      <c r="M33" s="1227"/>
      <c r="N33" s="382"/>
    </row>
    <row r="34" spans="2:15" ht="14.25" customHeight="1" x14ac:dyDescent="0.15">
      <c r="B34" s="228"/>
      <c r="C34" s="228"/>
      <c r="D34" s="228"/>
      <c r="E34" s="535"/>
      <c r="F34" s="228"/>
      <c r="G34" s="228"/>
      <c r="H34" s="546"/>
      <c r="I34" s="541"/>
      <c r="J34" s="541"/>
      <c r="K34" s="541"/>
      <c r="L34" s="541"/>
      <c r="M34" s="541"/>
      <c r="N34" s="600"/>
    </row>
    <row r="35" spans="2:15" ht="26.25" customHeight="1" x14ac:dyDescent="0.15">
      <c r="B35" s="228"/>
      <c r="C35" s="535"/>
      <c r="D35" s="535"/>
      <c r="E35" s="535"/>
      <c r="F35" s="535"/>
      <c r="G35" s="228"/>
      <c r="H35" s="546"/>
      <c r="J35" s="535"/>
      <c r="K35" s="535"/>
      <c r="L35" s="535"/>
      <c r="M35" s="535"/>
      <c r="N35" s="535"/>
    </row>
    <row r="36" spans="2:15" ht="14.25" customHeight="1" x14ac:dyDescent="0.15">
      <c r="B36" s="228"/>
      <c r="C36" s="535"/>
      <c r="D36" s="535"/>
      <c r="E36" s="535"/>
      <c r="F36" s="535"/>
      <c r="G36" s="228"/>
      <c r="H36" s="546"/>
      <c r="J36" s="535"/>
      <c r="K36" s="535"/>
      <c r="L36" s="535"/>
      <c r="M36" s="535"/>
      <c r="N36" s="535"/>
    </row>
    <row r="37" spans="2:15" ht="14.25" customHeight="1" x14ac:dyDescent="0.15">
      <c r="B37" s="535"/>
      <c r="C37" s="535"/>
      <c r="D37" s="535"/>
      <c r="E37" s="535"/>
      <c r="F37" s="535"/>
      <c r="H37" s="546"/>
      <c r="J37" s="535"/>
      <c r="K37" s="535"/>
      <c r="L37" s="535"/>
      <c r="M37" s="535"/>
      <c r="N37" s="535"/>
    </row>
    <row r="38" spans="2:15" ht="14.25" customHeight="1" x14ac:dyDescent="0.15">
      <c r="C38" s="194"/>
      <c r="E38" s="519"/>
      <c r="H38" s="524"/>
      <c r="I38" s="541"/>
      <c r="J38" s="284"/>
      <c r="K38" s="284"/>
      <c r="L38" s="284"/>
      <c r="M38" s="284"/>
    </row>
    <row r="39" spans="2:15" ht="14.25" customHeight="1" x14ac:dyDescent="0.15">
      <c r="C39" s="194"/>
      <c r="E39" s="519"/>
      <c r="H39" s="524"/>
      <c r="I39" s="541"/>
      <c r="J39" s="700"/>
      <c r="K39" s="700"/>
      <c r="L39" s="383"/>
      <c r="M39" s="500"/>
      <c r="N39" s="381"/>
    </row>
    <row r="40" spans="2:15" ht="14.25" customHeight="1" x14ac:dyDescent="0.15">
      <c r="C40" s="194"/>
      <c r="E40" s="519"/>
      <c r="H40" s="524"/>
      <c r="I40" s="541"/>
      <c r="J40" s="283"/>
      <c r="K40" s="283"/>
      <c r="L40" s="383"/>
      <c r="M40" s="500"/>
    </row>
    <row r="41" spans="2:15" x14ac:dyDescent="0.15">
      <c r="E41" s="519"/>
      <c r="H41" s="524"/>
      <c r="I41" s="541"/>
      <c r="J41" s="283"/>
      <c r="K41" s="283"/>
      <c r="L41" s="383"/>
      <c r="M41" s="283"/>
      <c r="O41" s="524"/>
    </row>
    <row r="42" spans="2:15" x14ac:dyDescent="0.15">
      <c r="E42" s="519"/>
      <c r="H42" s="524"/>
      <c r="I42" s="541"/>
      <c r="J42" s="283"/>
      <c r="K42" s="283"/>
      <c r="L42" s="383"/>
      <c r="M42" s="283"/>
    </row>
    <row r="43" spans="2:15" x14ac:dyDescent="0.15">
      <c r="E43" s="519"/>
      <c r="H43" s="524"/>
      <c r="I43" s="541"/>
      <c r="J43" s="283"/>
      <c r="K43" s="283"/>
      <c r="L43" s="383"/>
      <c r="M43" s="283"/>
    </row>
    <row r="44" spans="2:15" x14ac:dyDescent="0.15">
      <c r="E44" s="519"/>
      <c r="H44" s="522"/>
      <c r="L44" s="383"/>
    </row>
    <row r="45" spans="2:15" x14ac:dyDescent="0.15">
      <c r="E45" s="519"/>
      <c r="H45" s="522"/>
      <c r="L45" s="383"/>
    </row>
    <row r="46" spans="2:15" x14ac:dyDescent="0.15">
      <c r="E46" s="519"/>
      <c r="H46" s="522"/>
      <c r="L46" s="383"/>
    </row>
    <row r="47" spans="2:15" x14ac:dyDescent="0.15">
      <c r="E47" s="519"/>
      <c r="H47" s="522"/>
      <c r="L47" s="383"/>
    </row>
    <row r="48" spans="2:15" x14ac:dyDescent="0.15">
      <c r="E48" s="519"/>
      <c r="H48" s="522"/>
      <c r="L48" s="383"/>
    </row>
    <row r="49" spans="5:14" x14ac:dyDescent="0.15">
      <c r="E49" s="519"/>
      <c r="H49" s="522"/>
      <c r="L49" s="383"/>
      <c r="N49" s="462"/>
    </row>
    <row r="50" spans="5:14" x14ac:dyDescent="0.15">
      <c r="E50" s="519"/>
      <c r="H50" s="522"/>
      <c r="L50" s="383"/>
    </row>
    <row r="51" spans="5:14" x14ac:dyDescent="0.15">
      <c r="E51" s="519"/>
      <c r="H51" s="522"/>
      <c r="L51" s="383"/>
    </row>
    <row r="52" spans="5:14" x14ac:dyDescent="0.15">
      <c r="E52" s="519"/>
      <c r="H52" s="522"/>
      <c r="L52" s="383"/>
    </row>
    <row r="53" spans="5:14" x14ac:dyDescent="0.15">
      <c r="E53" s="519"/>
      <c r="H53" s="522"/>
      <c r="L53" s="383"/>
    </row>
    <row r="54" spans="5:14" x14ac:dyDescent="0.15">
      <c r="E54" s="519"/>
      <c r="H54" s="522"/>
      <c r="L54" s="383"/>
    </row>
    <row r="55" spans="5:14" x14ac:dyDescent="0.15">
      <c r="E55" s="519"/>
      <c r="H55" s="522"/>
      <c r="L55" s="383"/>
    </row>
    <row r="56" spans="5:14" x14ac:dyDescent="0.15">
      <c r="E56" s="519"/>
      <c r="H56" s="522"/>
      <c r="L56" s="383"/>
    </row>
    <row r="57" spans="5:14" x14ac:dyDescent="0.15">
      <c r="E57" s="519"/>
      <c r="H57" s="522"/>
      <c r="L57" s="383"/>
    </row>
    <row r="58" spans="5:14" x14ac:dyDescent="0.15">
      <c r="E58" s="519"/>
      <c r="H58" s="522"/>
      <c r="L58" s="383"/>
    </row>
    <row r="59" spans="5:14" x14ac:dyDescent="0.15">
      <c r="E59" s="519"/>
      <c r="H59" s="522"/>
      <c r="L59" s="383"/>
    </row>
    <row r="60" spans="5:14" x14ac:dyDescent="0.15">
      <c r="E60" s="519"/>
      <c r="H60" s="522"/>
      <c r="L60" s="383"/>
    </row>
    <row r="61" spans="5:14" x14ac:dyDescent="0.15">
      <c r="E61" s="519"/>
      <c r="H61" s="522"/>
      <c r="L61" s="383"/>
    </row>
    <row r="62" spans="5:14" x14ac:dyDescent="0.15">
      <c r="E62" s="519"/>
      <c r="H62" s="522"/>
    </row>
    <row r="63" spans="5:14" x14ac:dyDescent="0.15">
      <c r="E63" s="519"/>
      <c r="H63" s="522"/>
    </row>
    <row r="64" spans="5:14" x14ac:dyDescent="0.15">
      <c r="E64" s="519"/>
      <c r="H64" s="522"/>
    </row>
    <row r="65" spans="5:23" x14ac:dyDescent="0.15">
      <c r="E65" s="519"/>
      <c r="H65" s="522"/>
      <c r="V65" s="535"/>
    </row>
    <row r="66" spans="5:23" ht="15" x14ac:dyDescent="0.2">
      <c r="E66" s="519"/>
      <c r="H66" s="522"/>
      <c r="P66" s="680"/>
      <c r="Q66" s="680"/>
      <c r="R66" s="680"/>
      <c r="S66" s="680"/>
      <c r="T66" s="716"/>
      <c r="U66" s="680"/>
      <c r="V66" s="680"/>
      <c r="W66" s="680"/>
    </row>
    <row r="67" spans="5:23" ht="15" x14ac:dyDescent="0.2">
      <c r="E67" s="519"/>
      <c r="H67" s="522"/>
      <c r="P67" s="680"/>
      <c r="Q67" s="680"/>
      <c r="R67" s="680"/>
      <c r="S67" s="680"/>
      <c r="T67" s="716"/>
      <c r="U67" s="680"/>
      <c r="V67" s="680"/>
      <c r="W67" s="680"/>
    </row>
    <row r="68" spans="5:23" ht="15" x14ac:dyDescent="0.2">
      <c r="E68" s="519"/>
      <c r="H68" s="522"/>
      <c r="P68" s="680"/>
      <c r="Q68" s="680"/>
      <c r="R68" s="680"/>
      <c r="S68" s="680"/>
      <c r="T68" s="716"/>
      <c r="U68" s="680"/>
      <c r="V68" s="680"/>
      <c r="W68" s="680"/>
    </row>
    <row r="69" spans="5:23" ht="15" x14ac:dyDescent="0.2">
      <c r="E69" s="519"/>
      <c r="H69" s="522"/>
      <c r="P69" s="680"/>
      <c r="Q69" s="680"/>
      <c r="R69" s="680"/>
      <c r="S69" s="680"/>
      <c r="T69" s="716"/>
      <c r="U69" s="680"/>
      <c r="V69" s="680"/>
      <c r="W69" s="680"/>
    </row>
    <row r="70" spans="5:23" ht="15" x14ac:dyDescent="0.2">
      <c r="E70" s="519"/>
      <c r="H70" s="522"/>
      <c r="P70" s="680"/>
      <c r="Q70" s="680"/>
      <c r="R70" s="680"/>
      <c r="S70" s="680"/>
      <c r="T70" s="716"/>
      <c r="U70" s="680"/>
      <c r="V70" s="680"/>
      <c r="W70" s="680"/>
    </row>
    <row r="71" spans="5:23" ht="15" x14ac:dyDescent="0.2">
      <c r="E71" s="519"/>
      <c r="H71" s="522"/>
      <c r="P71" s="680"/>
      <c r="Q71" s="680"/>
      <c r="R71" s="680"/>
      <c r="S71" s="680"/>
      <c r="T71" s="716"/>
      <c r="U71" s="680"/>
      <c r="V71" s="680"/>
      <c r="W71" s="680"/>
    </row>
    <row r="72" spans="5:23" ht="15" x14ac:dyDescent="0.2">
      <c r="E72" s="519"/>
      <c r="H72" s="522"/>
      <c r="P72" s="680"/>
      <c r="Q72" s="680"/>
      <c r="R72" s="680"/>
      <c r="S72" s="680"/>
      <c r="T72" s="716"/>
      <c r="U72" s="680"/>
      <c r="V72" s="680"/>
      <c r="W72" s="680"/>
    </row>
    <row r="73" spans="5:23" ht="15" x14ac:dyDescent="0.2">
      <c r="E73" s="519"/>
      <c r="H73" s="522"/>
      <c r="P73" s="680"/>
      <c r="Q73" s="680"/>
      <c r="R73" s="680"/>
      <c r="S73" s="680"/>
      <c r="T73" s="716"/>
      <c r="U73" s="680"/>
      <c r="V73" s="680"/>
      <c r="W73" s="680"/>
    </row>
    <row r="74" spans="5:23" ht="15" x14ac:dyDescent="0.2">
      <c r="E74" s="519"/>
      <c r="H74" s="522"/>
      <c r="P74" s="680"/>
      <c r="Q74" s="680"/>
      <c r="R74" s="680"/>
      <c r="S74" s="680"/>
      <c r="T74" s="716"/>
      <c r="U74" s="680"/>
      <c r="V74" s="680"/>
      <c r="W74" s="680"/>
    </row>
    <row r="75" spans="5:23" x14ac:dyDescent="0.15">
      <c r="E75" s="519"/>
      <c r="H75" s="522"/>
    </row>
    <row r="76" spans="5:23" x14ac:dyDescent="0.15">
      <c r="E76" s="519"/>
      <c r="H76" s="522"/>
      <c r="Q76" s="228"/>
      <c r="S76" s="228"/>
      <c r="T76" s="535"/>
      <c r="U76" s="188"/>
      <c r="V76" s="384"/>
    </row>
    <row r="77" spans="5:23" x14ac:dyDescent="0.15">
      <c r="E77" s="519"/>
      <c r="H77" s="522"/>
      <c r="Q77" s="188"/>
    </row>
    <row r="78" spans="5:23" x14ac:dyDescent="0.15">
      <c r="E78" s="519"/>
      <c r="H78" s="522"/>
      <c r="Q78" s="188"/>
    </row>
    <row r="79" spans="5:23" x14ac:dyDescent="0.15">
      <c r="E79" s="519"/>
      <c r="H79" s="522"/>
      <c r="Q79" s="188"/>
    </row>
    <row r="80" spans="5:23" x14ac:dyDescent="0.15">
      <c r="E80" s="519"/>
      <c r="H80" s="522"/>
      <c r="Q80" s="188"/>
    </row>
    <row r="81" spans="5:17" x14ac:dyDescent="0.15">
      <c r="E81" s="519"/>
      <c r="H81" s="522"/>
      <c r="Q81" s="188"/>
    </row>
    <row r="82" spans="5:17" x14ac:dyDescent="0.15">
      <c r="E82" s="519"/>
      <c r="H82" s="522"/>
    </row>
    <row r="83" spans="5:17" x14ac:dyDescent="0.15">
      <c r="E83" s="519"/>
      <c r="H83" s="522"/>
    </row>
    <row r="84" spans="5:17" x14ac:dyDescent="0.15">
      <c r="E84" s="519"/>
      <c r="H84" s="522"/>
    </row>
    <row r="85" spans="5:17" ht="16" x14ac:dyDescent="0.2">
      <c r="E85" s="519"/>
      <c r="H85" s="522"/>
      <c r="N85" s="161"/>
      <c r="O85" s="516"/>
    </row>
    <row r="86" spans="5:17" ht="16" x14ac:dyDescent="0.2">
      <c r="E86" s="519"/>
      <c r="H86" s="522"/>
      <c r="M86" s="161"/>
      <c r="N86" s="161"/>
      <c r="O86" s="516"/>
    </row>
    <row r="87" spans="5:17" ht="16" x14ac:dyDescent="0.2">
      <c r="E87" s="519"/>
      <c r="H87" s="522"/>
      <c r="M87" s="161"/>
      <c r="N87" s="161"/>
      <c r="O87" s="516"/>
    </row>
    <row r="88" spans="5:17" ht="16" x14ac:dyDescent="0.2">
      <c r="E88" s="519"/>
      <c r="H88" s="522"/>
      <c r="M88" s="161"/>
      <c r="N88" s="161"/>
      <c r="O88" s="516"/>
    </row>
    <row r="89" spans="5:17" ht="16" x14ac:dyDescent="0.2">
      <c r="E89" s="519"/>
      <c r="H89" s="522"/>
      <c r="M89" s="161"/>
    </row>
    <row r="90" spans="5:17" x14ac:dyDescent="0.15">
      <c r="E90" s="519"/>
      <c r="H90" s="522"/>
    </row>
    <row r="94" spans="5:17" ht="16" x14ac:dyDescent="0.2">
      <c r="P94" s="385"/>
    </row>
    <row r="95" spans="5:17" ht="16" x14ac:dyDescent="0.2">
      <c r="P95" s="161"/>
    </row>
    <row r="96" spans="5:17" ht="16" x14ac:dyDescent="0.2">
      <c r="P96" s="161"/>
    </row>
    <row r="97" spans="16:16" ht="16" x14ac:dyDescent="0.2">
      <c r="P97" s="161"/>
    </row>
  </sheetData>
  <mergeCells count="3">
    <mergeCell ref="B6:G6"/>
    <mergeCell ref="I6:N6"/>
    <mergeCell ref="K33:M33"/>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L123"/>
  <sheetViews>
    <sheetView workbookViewId="0">
      <selection activeCell="J3" sqref="J3:L11"/>
    </sheetView>
  </sheetViews>
  <sheetFormatPr baseColWidth="10" defaultColWidth="8.83203125" defaultRowHeight="15" x14ac:dyDescent="0.2"/>
  <cols>
    <col min="1" max="1" width="42.5" bestFit="1" customWidth="1"/>
    <col min="2" max="2" width="10.33203125" bestFit="1" customWidth="1"/>
    <col min="3" max="3" width="11.33203125" bestFit="1" customWidth="1"/>
    <col min="4" max="4" width="8.5" bestFit="1" customWidth="1"/>
    <col min="5" max="5" width="52.6640625" bestFit="1" customWidth="1"/>
    <col min="6" max="6" width="11" bestFit="1" customWidth="1"/>
    <col min="10" max="11" width="10.5" bestFit="1" customWidth="1"/>
  </cols>
  <sheetData>
    <row r="1" spans="1:12" ht="16" thickBot="1" x14ac:dyDescent="0.25">
      <c r="A1" s="599" t="s">
        <v>662</v>
      </c>
      <c r="B1" s="598"/>
      <c r="C1" s="598"/>
      <c r="D1" s="598"/>
      <c r="E1" s="598"/>
      <c r="F1" s="598"/>
    </row>
    <row r="2" spans="1:12" ht="16" thickTop="1" x14ac:dyDescent="0.2">
      <c r="A2" s="178"/>
      <c r="B2" s="178"/>
      <c r="C2" s="178"/>
      <c r="D2" s="519"/>
      <c r="E2" s="178"/>
      <c r="F2" s="178"/>
    </row>
    <row r="3" spans="1:12" ht="29" x14ac:dyDescent="0.2">
      <c r="A3" s="725"/>
      <c r="B3" s="726" t="s">
        <v>375</v>
      </c>
      <c r="C3" s="725" t="s">
        <v>653</v>
      </c>
      <c r="D3" s="725" t="s">
        <v>651</v>
      </c>
      <c r="E3" s="725" t="s">
        <v>376</v>
      </c>
      <c r="F3" s="727" t="s">
        <v>622</v>
      </c>
      <c r="J3" s="1095"/>
      <c r="K3" s="1095"/>
      <c r="L3" s="1095"/>
    </row>
    <row r="4" spans="1:12" s="1006" customFormat="1" x14ac:dyDescent="0.2">
      <c r="A4" s="956" t="s">
        <v>177</v>
      </c>
      <c r="B4" s="1067"/>
      <c r="C4" s="1068">
        <v>406625</v>
      </c>
      <c r="D4" s="1068"/>
      <c r="E4" s="1074" t="s">
        <v>935</v>
      </c>
      <c r="F4" s="1073">
        <f>SUM(B4:D7)</f>
        <v>1929839</v>
      </c>
      <c r="J4" s="1095"/>
      <c r="K4" s="1095"/>
      <c r="L4" s="1095"/>
    </row>
    <row r="5" spans="1:12" s="1006" customFormat="1" x14ac:dyDescent="0.2">
      <c r="A5" s="1063"/>
      <c r="B5" s="1069"/>
      <c r="C5" s="1070">
        <v>1400000</v>
      </c>
      <c r="D5" s="1070"/>
      <c r="E5" s="1093" t="s">
        <v>999</v>
      </c>
      <c r="F5" s="1064"/>
      <c r="J5" s="1095"/>
      <c r="K5" s="1095"/>
      <c r="L5" s="1095"/>
    </row>
    <row r="6" spans="1:12" s="1006" customFormat="1" x14ac:dyDescent="0.2">
      <c r="A6" s="1063"/>
      <c r="B6" s="1069"/>
      <c r="C6" s="1070">
        <v>-57000</v>
      </c>
      <c r="D6" s="1070"/>
      <c r="E6" s="1093" t="s">
        <v>998</v>
      </c>
      <c r="F6" s="1064"/>
      <c r="J6" s="1095"/>
      <c r="K6" s="1095"/>
      <c r="L6" s="1095"/>
    </row>
    <row r="7" spans="1:12" s="1006" customFormat="1" x14ac:dyDescent="0.2">
      <c r="A7" s="1065"/>
      <c r="B7" s="1071">
        <v>180214</v>
      </c>
      <c r="C7" s="1072"/>
      <c r="D7" s="1072"/>
      <c r="E7" s="1094" t="s">
        <v>375</v>
      </c>
      <c r="F7" s="1066"/>
      <c r="J7" s="1095"/>
      <c r="K7" s="1095"/>
      <c r="L7" s="1095"/>
    </row>
    <row r="8" spans="1:12" x14ac:dyDescent="0.2">
      <c r="A8" s="730" t="s">
        <v>770</v>
      </c>
      <c r="B8" s="731">
        <v>16262</v>
      </c>
      <c r="C8" s="731"/>
      <c r="D8" s="731"/>
      <c r="E8" s="207" t="s">
        <v>375</v>
      </c>
      <c r="F8" s="732">
        <f>SUM(B8:D11)</f>
        <v>35496</v>
      </c>
      <c r="J8" s="1095"/>
      <c r="K8" s="1095"/>
      <c r="L8" s="1095"/>
    </row>
    <row r="9" spans="1:12" x14ac:dyDescent="0.2">
      <c r="A9" s="730"/>
      <c r="B9" s="731"/>
      <c r="C9" s="731">
        <v>19234</v>
      </c>
      <c r="D9" s="731"/>
      <c r="E9" s="207" t="s">
        <v>935</v>
      </c>
      <c r="F9" s="732"/>
      <c r="J9" s="1095"/>
      <c r="K9" s="1095"/>
      <c r="L9" s="1095"/>
    </row>
    <row r="10" spans="1:12" x14ac:dyDescent="0.2">
      <c r="A10" s="730"/>
      <c r="B10" s="731"/>
      <c r="C10" s="731"/>
      <c r="D10" s="731"/>
      <c r="E10" s="207"/>
      <c r="F10" s="732"/>
      <c r="J10" s="1095"/>
      <c r="K10" s="1095"/>
      <c r="L10" s="1095"/>
    </row>
    <row r="11" spans="1:12" x14ac:dyDescent="0.2">
      <c r="A11" s="733"/>
      <c r="B11" s="734"/>
      <c r="C11" s="734"/>
      <c r="D11" s="734"/>
      <c r="E11" s="735"/>
      <c r="F11" s="736"/>
      <c r="J11" s="1095"/>
      <c r="K11" s="1095"/>
      <c r="L11" s="1095"/>
    </row>
    <row r="12" spans="1:12" x14ac:dyDescent="0.2">
      <c r="A12" s="761" t="s">
        <v>163</v>
      </c>
      <c r="B12" s="728">
        <v>110559</v>
      </c>
      <c r="C12" s="728"/>
      <c r="D12" s="728"/>
      <c r="E12" s="748" t="s">
        <v>375</v>
      </c>
      <c r="F12" s="729">
        <f>SUM(B12:D15)</f>
        <v>544308</v>
      </c>
      <c r="K12" s="556"/>
    </row>
    <row r="13" spans="1:12" x14ac:dyDescent="0.2">
      <c r="A13" s="608"/>
      <c r="B13" s="750">
        <v>108439</v>
      </c>
      <c r="C13" s="750"/>
      <c r="D13" s="750"/>
      <c r="E13" s="524" t="s">
        <v>715</v>
      </c>
      <c r="F13" s="101"/>
    </row>
    <row r="14" spans="1:12" x14ac:dyDescent="0.2">
      <c r="A14" s="749"/>
      <c r="B14" s="50"/>
      <c r="C14" s="571">
        <v>20355</v>
      </c>
      <c r="D14" s="50"/>
      <c r="E14" s="524" t="s">
        <v>762</v>
      </c>
      <c r="F14" s="751"/>
    </row>
    <row r="15" spans="1:12" x14ac:dyDescent="0.2">
      <c r="A15" s="773"/>
      <c r="B15" s="765"/>
      <c r="C15" s="754">
        <v>304955</v>
      </c>
      <c r="D15" s="754"/>
      <c r="E15" s="756" t="s">
        <v>935</v>
      </c>
      <c r="F15" s="774"/>
    </row>
    <row r="16" spans="1:12" x14ac:dyDescent="0.2">
      <c r="A16" s="806" t="s">
        <v>167</v>
      </c>
      <c r="B16" s="807">
        <v>3943</v>
      </c>
      <c r="C16" s="807"/>
      <c r="D16" s="807"/>
      <c r="E16" s="800" t="s">
        <v>375</v>
      </c>
      <c r="F16" s="808">
        <f>SUM(B16:D23)</f>
        <v>666044</v>
      </c>
    </row>
    <row r="17" spans="1:11" s="721" customFormat="1" x14ac:dyDescent="0.2">
      <c r="A17" s="785"/>
      <c r="B17" s="791">
        <v>82770</v>
      </c>
      <c r="C17" s="791"/>
      <c r="D17" s="791"/>
      <c r="E17" s="720" t="s">
        <v>715</v>
      </c>
      <c r="F17" s="792"/>
    </row>
    <row r="18" spans="1:11" s="721" customFormat="1" x14ac:dyDescent="0.2">
      <c r="A18" s="927" t="s">
        <v>721</v>
      </c>
      <c r="B18" s="791"/>
      <c r="C18" s="791">
        <v>207000</v>
      </c>
      <c r="D18" s="791"/>
      <c r="E18" s="720" t="s">
        <v>845</v>
      </c>
      <c r="F18" s="792"/>
    </row>
    <row r="19" spans="1:11" s="969" customFormat="1" x14ac:dyDescent="0.2">
      <c r="A19" s="927"/>
      <c r="B19" s="791"/>
      <c r="C19" s="791">
        <f>14722+5609</f>
        <v>20331</v>
      </c>
      <c r="D19" s="791"/>
      <c r="E19" s="720" t="s">
        <v>846</v>
      </c>
      <c r="F19" s="792"/>
    </row>
    <row r="20" spans="1:11" s="721" customFormat="1" x14ac:dyDescent="0.2">
      <c r="A20" s="927" t="s">
        <v>722</v>
      </c>
      <c r="B20" s="791"/>
      <c r="C20" s="791">
        <v>19571</v>
      </c>
      <c r="D20" s="791"/>
      <c r="E20" s="720" t="s">
        <v>763</v>
      </c>
      <c r="F20" s="792"/>
    </row>
    <row r="21" spans="1:11" s="925" customFormat="1" x14ac:dyDescent="0.2">
      <c r="A21" s="927" t="s">
        <v>723</v>
      </c>
      <c r="B21" s="791"/>
      <c r="C21" s="791">
        <v>95000</v>
      </c>
      <c r="D21" s="791"/>
      <c r="E21" s="720" t="s">
        <v>724</v>
      </c>
      <c r="F21" s="792"/>
      <c r="K21" s="556"/>
    </row>
    <row r="22" spans="1:11" s="925" customFormat="1" x14ac:dyDescent="0.2">
      <c r="A22" s="927" t="s">
        <v>725</v>
      </c>
      <c r="B22" s="791"/>
      <c r="C22" s="791">
        <v>75000</v>
      </c>
      <c r="D22" s="791"/>
      <c r="E22" s="720" t="s">
        <v>726</v>
      </c>
      <c r="F22" s="792"/>
    </row>
    <row r="23" spans="1:11" x14ac:dyDescent="0.2">
      <c r="A23" s="785"/>
      <c r="B23" s="791"/>
      <c r="C23" s="791">
        <v>162429</v>
      </c>
      <c r="D23" s="791"/>
      <c r="E23" s="720" t="s">
        <v>935</v>
      </c>
      <c r="F23" s="792"/>
    </row>
    <row r="24" spans="1:11" x14ac:dyDescent="0.2">
      <c r="A24" s="761" t="s">
        <v>169</v>
      </c>
      <c r="B24" s="728">
        <v>56283</v>
      </c>
      <c r="C24" s="728"/>
      <c r="D24" s="728"/>
      <c r="E24" s="748" t="s">
        <v>375</v>
      </c>
      <c r="F24" s="729">
        <f>SUM(B24:D26)</f>
        <v>246953</v>
      </c>
    </row>
    <row r="25" spans="1:11" s="1006" customFormat="1" x14ac:dyDescent="0.2">
      <c r="A25" s="749"/>
      <c r="B25" s="750">
        <v>59056</v>
      </c>
      <c r="C25" s="750"/>
      <c r="D25" s="750"/>
      <c r="E25" s="524" t="s">
        <v>715</v>
      </c>
      <c r="F25" s="751"/>
    </row>
    <row r="26" spans="1:11" s="896" customFormat="1" x14ac:dyDescent="0.2">
      <c r="A26" s="753"/>
      <c r="B26" s="754"/>
      <c r="C26" s="754">
        <v>131614</v>
      </c>
      <c r="D26" s="754"/>
      <c r="E26" s="756" t="s">
        <v>935</v>
      </c>
      <c r="F26" s="757"/>
    </row>
    <row r="27" spans="1:11" x14ac:dyDescent="0.2">
      <c r="A27" s="798" t="s">
        <v>170</v>
      </c>
      <c r="B27" s="799">
        <v>0</v>
      </c>
      <c r="C27" s="799"/>
      <c r="D27" s="799"/>
      <c r="E27" s="800" t="s">
        <v>375</v>
      </c>
      <c r="F27" s="801">
        <f>SUM(B27:D31)</f>
        <v>52611</v>
      </c>
    </row>
    <row r="28" spans="1:11" s="721" customFormat="1" x14ac:dyDescent="0.2">
      <c r="A28" s="718"/>
      <c r="B28" s="793">
        <v>30704</v>
      </c>
      <c r="C28" s="793"/>
      <c r="D28" s="793"/>
      <c r="E28" s="720" t="s">
        <v>715</v>
      </c>
      <c r="F28" s="794"/>
    </row>
    <row r="29" spans="1:11" s="721" customFormat="1" x14ac:dyDescent="0.2">
      <c r="A29" s="718"/>
      <c r="B29" s="793"/>
      <c r="C29" s="793">
        <v>21907</v>
      </c>
      <c r="D29" s="793"/>
      <c r="E29" s="720" t="s">
        <v>935</v>
      </c>
      <c r="F29" s="794"/>
    </row>
    <row r="30" spans="1:11" s="721" customFormat="1" x14ac:dyDescent="0.2">
      <c r="A30" s="718"/>
      <c r="B30" s="793"/>
      <c r="C30" s="793"/>
      <c r="D30" s="793"/>
      <c r="E30" s="720"/>
      <c r="F30" s="794"/>
    </row>
    <row r="31" spans="1:11" s="721" customFormat="1" x14ac:dyDescent="0.2">
      <c r="A31" s="802"/>
      <c r="B31" s="803"/>
      <c r="C31" s="803"/>
      <c r="D31" s="803"/>
      <c r="E31" s="804"/>
      <c r="F31" s="805"/>
    </row>
    <row r="32" spans="1:11" x14ac:dyDescent="0.2">
      <c r="A32" s="806" t="s">
        <v>171</v>
      </c>
      <c r="B32" s="807">
        <v>9046</v>
      </c>
      <c r="C32" s="807"/>
      <c r="D32" s="807"/>
      <c r="E32" s="800" t="s">
        <v>375</v>
      </c>
      <c r="F32" s="808">
        <f>SUM(B32:D34)</f>
        <v>56501</v>
      </c>
    </row>
    <row r="33" spans="1:6" s="721" customFormat="1" x14ac:dyDescent="0.2">
      <c r="A33" s="785"/>
      <c r="B33" s="791">
        <v>0</v>
      </c>
      <c r="C33" s="791"/>
      <c r="D33" s="791"/>
      <c r="E33" s="720" t="s">
        <v>715</v>
      </c>
      <c r="F33" s="792"/>
    </row>
    <row r="34" spans="1:6" s="721" customFormat="1" x14ac:dyDescent="0.2">
      <c r="A34" s="809"/>
      <c r="B34" s="810"/>
      <c r="C34" s="810">
        <v>47455</v>
      </c>
      <c r="D34" s="810"/>
      <c r="E34" s="804" t="s">
        <v>935</v>
      </c>
      <c r="F34" s="811"/>
    </row>
    <row r="35" spans="1:6" s="721" customFormat="1" x14ac:dyDescent="0.2">
      <c r="A35" s="927" t="s">
        <v>663</v>
      </c>
      <c r="B35" s="791">
        <v>0</v>
      </c>
      <c r="C35" s="791"/>
      <c r="D35" s="791"/>
      <c r="E35" s="720" t="s">
        <v>375</v>
      </c>
      <c r="F35" s="792">
        <f>SUM(B35:D38)</f>
        <v>35788</v>
      </c>
    </row>
    <row r="36" spans="1:6" s="721" customFormat="1" x14ac:dyDescent="0.2">
      <c r="A36" s="785"/>
      <c r="B36" s="791">
        <v>11938</v>
      </c>
      <c r="C36" s="791"/>
      <c r="D36" s="791"/>
      <c r="E36" s="720" t="s">
        <v>715</v>
      </c>
      <c r="F36" s="792"/>
    </row>
    <row r="37" spans="1:6" s="721" customFormat="1" x14ac:dyDescent="0.2">
      <c r="A37" s="785"/>
      <c r="B37" s="791"/>
      <c r="C37" s="791">
        <v>23850</v>
      </c>
      <c r="D37" s="791"/>
      <c r="E37" s="720" t="s">
        <v>935</v>
      </c>
      <c r="F37" s="792"/>
    </row>
    <row r="38" spans="1:6" s="721" customFormat="1" x14ac:dyDescent="0.2">
      <c r="A38" s="785"/>
      <c r="B38" s="791"/>
      <c r="C38" s="791"/>
      <c r="D38" s="791"/>
      <c r="E38" s="720"/>
      <c r="F38" s="792"/>
    </row>
    <row r="39" spans="1:6" x14ac:dyDescent="0.2">
      <c r="A39" s="761" t="s">
        <v>172</v>
      </c>
      <c r="B39" s="728">
        <v>70386</v>
      </c>
      <c r="C39" s="728"/>
      <c r="D39" s="728"/>
      <c r="E39" s="748" t="s">
        <v>375</v>
      </c>
      <c r="F39" s="729">
        <f>SUM(B39:D44)</f>
        <v>1119639</v>
      </c>
    </row>
    <row r="40" spans="1:6" x14ac:dyDescent="0.2">
      <c r="A40" s="749"/>
      <c r="B40" s="750">
        <v>102939</v>
      </c>
      <c r="C40" s="750"/>
      <c r="D40" s="750"/>
      <c r="E40" s="524" t="s">
        <v>715</v>
      </c>
      <c r="F40" s="751"/>
    </row>
    <row r="41" spans="1:6" x14ac:dyDescent="0.2">
      <c r="A41" s="749"/>
      <c r="B41" s="750"/>
      <c r="C41" s="750">
        <v>700000</v>
      </c>
      <c r="D41" s="750"/>
      <c r="E41" s="524" t="s">
        <v>727</v>
      </c>
      <c r="F41" s="751"/>
    </row>
    <row r="42" spans="1:6" x14ac:dyDescent="0.2">
      <c r="A42" s="749"/>
      <c r="B42" s="750"/>
      <c r="C42" s="750">
        <v>246314</v>
      </c>
      <c r="D42" s="750"/>
      <c r="E42" s="524" t="s">
        <v>935</v>
      </c>
      <c r="F42" s="751"/>
    </row>
    <row r="43" spans="1:6" x14ac:dyDescent="0.2">
      <c r="A43" s="771"/>
      <c r="B43" s="283"/>
      <c r="C43" s="750"/>
      <c r="D43" s="750"/>
      <c r="E43" s="283"/>
      <c r="F43" s="772"/>
    </row>
    <row r="44" spans="1:6" x14ac:dyDescent="0.2">
      <c r="A44" s="773"/>
      <c r="B44" s="765"/>
      <c r="C44" s="755"/>
      <c r="D44" s="755"/>
      <c r="E44" s="756"/>
      <c r="F44" s="774"/>
    </row>
    <row r="45" spans="1:6" x14ac:dyDescent="0.2">
      <c r="A45" s="1004" t="s">
        <v>893</v>
      </c>
      <c r="B45" s="767">
        <f>8088.65+13398</f>
        <v>21486.65</v>
      </c>
      <c r="C45" s="767"/>
      <c r="D45" s="767"/>
      <c r="E45" s="847" t="s">
        <v>375</v>
      </c>
      <c r="F45" s="740">
        <f>SUM(B45:D51)</f>
        <v>1022901.65</v>
      </c>
    </row>
    <row r="46" spans="1:6" x14ac:dyDescent="0.2">
      <c r="A46" s="768"/>
      <c r="B46" s="769">
        <v>54168</v>
      </c>
      <c r="C46" s="769"/>
      <c r="D46" s="769"/>
      <c r="E46" s="742" t="s">
        <v>715</v>
      </c>
      <c r="F46" s="743"/>
    </row>
    <row r="47" spans="1:6" x14ac:dyDescent="0.2">
      <c r="A47" s="768"/>
      <c r="B47" s="769"/>
      <c r="C47" s="769">
        <v>210000</v>
      </c>
      <c r="D47" s="769"/>
      <c r="E47" s="742" t="s">
        <v>732</v>
      </c>
      <c r="F47" s="743"/>
    </row>
    <row r="48" spans="1:6" s="925" customFormat="1" x14ac:dyDescent="0.2">
      <c r="A48" s="768"/>
      <c r="B48" s="769"/>
      <c r="C48" s="769">
        <v>112280</v>
      </c>
      <c r="D48" s="769"/>
      <c r="E48" s="742" t="s">
        <v>733</v>
      </c>
      <c r="F48" s="743"/>
    </row>
    <row r="49" spans="1:8" s="961" customFormat="1" x14ac:dyDescent="0.2">
      <c r="A49" s="768"/>
      <c r="B49" s="769"/>
      <c r="C49" s="769">
        <v>17020</v>
      </c>
      <c r="D49" s="769"/>
      <c r="E49" s="742" t="s">
        <v>808</v>
      </c>
      <c r="F49" s="743"/>
    </row>
    <row r="50" spans="1:8" s="1006" customFormat="1" x14ac:dyDescent="0.2">
      <c r="A50" s="768"/>
      <c r="B50" s="769"/>
      <c r="C50" s="769">
        <v>162057</v>
      </c>
      <c r="D50" s="769"/>
      <c r="E50" s="742" t="s">
        <v>809</v>
      </c>
      <c r="F50" s="743"/>
    </row>
    <row r="51" spans="1:8" x14ac:dyDescent="0.2">
      <c r="A51" s="744"/>
      <c r="B51" s="746"/>
      <c r="C51" s="989">
        <v>445890</v>
      </c>
      <c r="D51" s="745"/>
      <c r="E51" s="746" t="s">
        <v>935</v>
      </c>
      <c r="F51" s="770"/>
    </row>
    <row r="52" spans="1:8" x14ac:dyDescent="0.2">
      <c r="A52" s="761" t="s">
        <v>173</v>
      </c>
      <c r="B52" s="750"/>
      <c r="C52" s="728"/>
      <c r="D52" s="728"/>
      <c r="E52" s="748" t="s">
        <v>375</v>
      </c>
      <c r="F52" s="729">
        <f>SUM(B52:D58)</f>
        <v>504456</v>
      </c>
    </row>
    <row r="53" spans="1:8" x14ac:dyDescent="0.2">
      <c r="A53" s="749"/>
      <c r="B53" s="750">
        <v>19250</v>
      </c>
      <c r="C53" s="750"/>
      <c r="D53" s="750"/>
      <c r="E53" s="524" t="s">
        <v>715</v>
      </c>
      <c r="F53" s="751"/>
    </row>
    <row r="54" spans="1:8" x14ac:dyDescent="0.2">
      <c r="A54" s="749"/>
      <c r="B54" s="750"/>
      <c r="C54" s="750">
        <v>-17020</v>
      </c>
      <c r="D54" s="750"/>
      <c r="E54" s="524" t="s">
        <v>807</v>
      </c>
      <c r="F54" s="751"/>
    </row>
    <row r="55" spans="1:8" x14ac:dyDescent="0.2">
      <c r="A55" s="749"/>
      <c r="B55" s="750"/>
      <c r="C55" s="750">
        <v>-162057</v>
      </c>
      <c r="D55" s="750"/>
      <c r="E55" s="524" t="s">
        <v>810</v>
      </c>
      <c r="F55" s="751"/>
    </row>
    <row r="56" spans="1:8" x14ac:dyDescent="0.2">
      <c r="A56" s="749"/>
      <c r="B56" s="750"/>
      <c r="C56" s="750">
        <v>664283</v>
      </c>
      <c r="D56" s="750"/>
      <c r="E56" s="524" t="s">
        <v>935</v>
      </c>
      <c r="F56" s="751"/>
    </row>
    <row r="57" spans="1:8" x14ac:dyDescent="0.2">
      <c r="A57" s="749"/>
      <c r="B57" s="750"/>
      <c r="C57" s="750"/>
      <c r="D57" s="750"/>
      <c r="E57" s="524"/>
      <c r="F57" s="751"/>
    </row>
    <row r="58" spans="1:8" x14ac:dyDescent="0.2">
      <c r="A58" s="753"/>
      <c r="B58" s="754"/>
      <c r="C58" s="754"/>
      <c r="D58" s="754"/>
      <c r="E58" s="756"/>
      <c r="F58" s="757"/>
    </row>
    <row r="59" spans="1:8" x14ac:dyDescent="0.2">
      <c r="A59" s="956" t="s">
        <v>894</v>
      </c>
      <c r="B59" s="728">
        <v>329906</v>
      </c>
      <c r="C59" s="728"/>
      <c r="D59" s="728"/>
      <c r="E59" s="748" t="s">
        <v>375</v>
      </c>
      <c r="F59" s="729">
        <f>SUM(B59:D68)</f>
        <v>3584795</v>
      </c>
    </row>
    <row r="60" spans="1:8" x14ac:dyDescent="0.2">
      <c r="A60" s="749"/>
      <c r="B60" s="750">
        <v>205626</v>
      </c>
      <c r="C60" s="750"/>
      <c r="D60" s="750"/>
      <c r="E60" s="524" t="s">
        <v>715</v>
      </c>
      <c r="F60" s="751"/>
    </row>
    <row r="61" spans="1:8" x14ac:dyDescent="0.2">
      <c r="A61" s="749"/>
      <c r="B61" s="750"/>
      <c r="C61" s="750">
        <v>650000</v>
      </c>
      <c r="D61" s="750"/>
      <c r="E61" s="524" t="s">
        <v>735</v>
      </c>
      <c r="F61" s="751"/>
    </row>
    <row r="62" spans="1:8" x14ac:dyDescent="0.2">
      <c r="A62" s="749"/>
      <c r="B62" s="750"/>
      <c r="C62" s="750">
        <v>80000</v>
      </c>
      <c r="D62" s="750"/>
      <c r="E62" s="524" t="s">
        <v>736</v>
      </c>
      <c r="F62" s="751"/>
    </row>
    <row r="63" spans="1:8" s="925" customFormat="1" x14ac:dyDescent="0.2">
      <c r="A63" s="749"/>
      <c r="B63" s="750"/>
      <c r="C63" s="750">
        <v>57000</v>
      </c>
      <c r="D63" s="750"/>
      <c r="E63" s="524" t="s">
        <v>734</v>
      </c>
      <c r="F63" s="751"/>
      <c r="H63" s="547"/>
    </row>
    <row r="64" spans="1:8" s="925" customFormat="1" x14ac:dyDescent="0.2">
      <c r="A64" s="749"/>
      <c r="B64" s="750"/>
      <c r="C64" s="750">
        <v>240000</v>
      </c>
      <c r="D64" s="750"/>
      <c r="E64" s="925" t="s">
        <v>764</v>
      </c>
      <c r="F64" s="751"/>
      <c r="H64" s="547"/>
    </row>
    <row r="65" spans="1:8" s="925" customFormat="1" x14ac:dyDescent="0.2">
      <c r="A65" s="749"/>
      <c r="B65" s="750"/>
      <c r="C65" s="750">
        <v>0</v>
      </c>
      <c r="D65" s="750"/>
      <c r="E65" s="925" t="s">
        <v>738</v>
      </c>
      <c r="F65" s="751"/>
      <c r="H65" s="547"/>
    </row>
    <row r="66" spans="1:8" s="954" customFormat="1" x14ac:dyDescent="0.2">
      <c r="A66" s="749"/>
      <c r="B66" s="750"/>
      <c r="C66" s="541">
        <v>403920</v>
      </c>
      <c r="D66" s="541"/>
      <c r="E66" s="524" t="s">
        <v>788</v>
      </c>
      <c r="F66" s="751"/>
      <c r="H66" s="547"/>
    </row>
    <row r="67" spans="1:8" s="954" customFormat="1" x14ac:dyDescent="0.2">
      <c r="A67" s="749"/>
      <c r="B67" s="750"/>
      <c r="C67" s="541">
        <v>12000</v>
      </c>
      <c r="D67" s="541"/>
      <c r="E67" s="524" t="s">
        <v>789</v>
      </c>
      <c r="F67" s="751"/>
    </row>
    <row r="68" spans="1:8" x14ac:dyDescent="0.2">
      <c r="A68" s="749"/>
      <c r="B68" s="750"/>
      <c r="C68" s="750">
        <v>1606343</v>
      </c>
      <c r="D68" s="750"/>
      <c r="E68" s="524" t="s">
        <v>946</v>
      </c>
      <c r="F68" s="751"/>
    </row>
    <row r="69" spans="1:8" x14ac:dyDescent="0.2">
      <c r="A69" s="737" t="s">
        <v>378</v>
      </c>
      <c r="B69" s="738">
        <f>36651.9+1458</f>
        <v>38109.9</v>
      </c>
      <c r="C69" s="738"/>
      <c r="D69" s="738"/>
      <c r="E69" s="739" t="s">
        <v>375</v>
      </c>
      <c r="F69" s="740">
        <f>SUM(B69:D71)</f>
        <v>381336.9</v>
      </c>
    </row>
    <row r="70" spans="1:8" s="1006" customFormat="1" x14ac:dyDescent="0.2">
      <c r="A70" s="741"/>
      <c r="B70" s="742">
        <v>36438</v>
      </c>
      <c r="C70" s="742"/>
      <c r="D70" s="742"/>
      <c r="E70" s="379" t="s">
        <v>715</v>
      </c>
      <c r="F70" s="743"/>
    </row>
    <row r="71" spans="1:8" s="896" customFormat="1" x14ac:dyDescent="0.2">
      <c r="A71" s="744"/>
      <c r="B71" s="745"/>
      <c r="C71" s="745">
        <v>306789</v>
      </c>
      <c r="D71" s="745"/>
      <c r="E71" s="746" t="s">
        <v>946</v>
      </c>
      <c r="F71" s="747"/>
    </row>
    <row r="72" spans="1:8" x14ac:dyDescent="0.2">
      <c r="A72" s="903" t="s">
        <v>895</v>
      </c>
      <c r="B72" s="905">
        <v>0</v>
      </c>
      <c r="C72" s="905"/>
      <c r="D72" s="904"/>
      <c r="E72" s="906" t="s">
        <v>375</v>
      </c>
      <c r="F72" s="762">
        <f>SUM(B72:D76)</f>
        <v>120830</v>
      </c>
    </row>
    <row r="73" spans="1:8" s="925" customFormat="1" x14ac:dyDescent="0.2">
      <c r="A73" s="928"/>
      <c r="B73" s="304">
        <v>0</v>
      </c>
      <c r="C73" s="528"/>
      <c r="D73" s="304"/>
      <c r="E73" s="200" t="s">
        <v>715</v>
      </c>
      <c r="F73" s="929"/>
    </row>
    <row r="74" spans="1:8" s="925" customFormat="1" x14ac:dyDescent="0.2">
      <c r="A74" s="928"/>
      <c r="B74" s="304"/>
      <c r="C74" s="528">
        <v>65530</v>
      </c>
      <c r="D74" s="304"/>
      <c r="E74" s="200" t="s">
        <v>728</v>
      </c>
      <c r="F74" s="929"/>
    </row>
    <row r="75" spans="1:8" s="925" customFormat="1" x14ac:dyDescent="0.2">
      <c r="A75" s="928"/>
      <c r="B75" s="304"/>
      <c r="C75" s="528">
        <v>44000</v>
      </c>
      <c r="D75" s="304"/>
      <c r="E75" s="200" t="s">
        <v>729</v>
      </c>
      <c r="F75" s="929"/>
    </row>
    <row r="76" spans="1:8" s="896" customFormat="1" x14ac:dyDescent="0.2">
      <c r="A76" s="907"/>
      <c r="B76" s="908"/>
      <c r="C76" s="909">
        <v>11300</v>
      </c>
      <c r="D76" s="908"/>
      <c r="E76" s="756" t="s">
        <v>946</v>
      </c>
      <c r="F76" s="910"/>
    </row>
    <row r="77" spans="1:8" x14ac:dyDescent="0.2">
      <c r="A77" s="741" t="s">
        <v>175</v>
      </c>
      <c r="B77" s="742">
        <v>0</v>
      </c>
      <c r="C77" s="742"/>
      <c r="D77" s="742"/>
      <c r="E77" s="379" t="s">
        <v>840</v>
      </c>
      <c r="F77" s="743">
        <f>SUM(B77:D83)</f>
        <v>1978776</v>
      </c>
    </row>
    <row r="78" spans="1:8" x14ac:dyDescent="0.2">
      <c r="A78" s="741"/>
      <c r="B78" s="742">
        <v>0</v>
      </c>
      <c r="C78" s="742"/>
      <c r="D78" s="742"/>
      <c r="E78" s="379" t="s">
        <v>841</v>
      </c>
      <c r="F78" s="743"/>
    </row>
    <row r="79" spans="1:8" s="925" customFormat="1" x14ac:dyDescent="0.2">
      <c r="A79" s="741"/>
      <c r="B79" s="742"/>
      <c r="C79" s="742">
        <v>1200000</v>
      </c>
      <c r="D79" s="742"/>
      <c r="E79" s="379" t="s">
        <v>842</v>
      </c>
      <c r="F79" s="743"/>
    </row>
    <row r="80" spans="1:8" s="925" customFormat="1" x14ac:dyDescent="0.2">
      <c r="A80" s="741"/>
      <c r="B80" s="742"/>
      <c r="C80" s="742">
        <v>0</v>
      </c>
      <c r="D80" s="742"/>
      <c r="E80" s="379" t="s">
        <v>737</v>
      </c>
      <c r="F80" s="743"/>
      <c r="H80" s="547"/>
    </row>
    <row r="81" spans="1:6" s="925" customFormat="1" x14ac:dyDescent="0.2">
      <c r="A81" s="741"/>
      <c r="B81" s="742"/>
      <c r="C81" s="742">
        <v>126000</v>
      </c>
      <c r="D81" s="742"/>
      <c r="E81" s="379" t="s">
        <v>739</v>
      </c>
      <c r="F81" s="743"/>
    </row>
    <row r="82" spans="1:6" s="925" customFormat="1" x14ac:dyDescent="0.2">
      <c r="A82" s="741"/>
      <c r="B82" s="742"/>
      <c r="C82" s="742">
        <v>130000</v>
      </c>
      <c r="D82" s="742"/>
      <c r="E82" s="379" t="s">
        <v>740</v>
      </c>
      <c r="F82" s="743"/>
    </row>
    <row r="83" spans="1:6" x14ac:dyDescent="0.2">
      <c r="A83" s="744"/>
      <c r="B83" s="745"/>
      <c r="C83" s="745">
        <v>522776</v>
      </c>
      <c r="D83" s="745"/>
      <c r="E83" s="746" t="s">
        <v>946</v>
      </c>
      <c r="F83" s="747"/>
    </row>
    <row r="84" spans="1:6" x14ac:dyDescent="0.2">
      <c r="A84" s="761" t="s">
        <v>176</v>
      </c>
      <c r="B84" s="728">
        <v>35154</v>
      </c>
      <c r="C84" s="728"/>
      <c r="D84" s="728"/>
      <c r="E84" s="748" t="s">
        <v>375</v>
      </c>
      <c r="F84" s="762">
        <f>SUM(B84:D88)</f>
        <v>1389689</v>
      </c>
    </row>
    <row r="85" spans="1:6" x14ac:dyDescent="0.2">
      <c r="A85" s="749"/>
      <c r="B85" s="750">
        <v>143414</v>
      </c>
      <c r="C85" s="750"/>
      <c r="D85" s="750"/>
      <c r="E85" s="524" t="s">
        <v>715</v>
      </c>
      <c r="F85" s="751"/>
    </row>
    <row r="86" spans="1:6" x14ac:dyDescent="0.2">
      <c r="A86" s="749"/>
      <c r="B86" s="750"/>
      <c r="C86" s="528">
        <v>100000</v>
      </c>
      <c r="D86" s="528"/>
      <c r="E86" s="200" t="s">
        <v>730</v>
      </c>
      <c r="F86" s="751"/>
    </row>
    <row r="87" spans="1:6" x14ac:dyDescent="0.2">
      <c r="A87" s="763"/>
      <c r="B87" s="750"/>
      <c r="C87" s="750">
        <v>100000</v>
      </c>
      <c r="D87" s="750"/>
      <c r="E87" s="283" t="s">
        <v>731</v>
      </c>
      <c r="F87" s="751"/>
    </row>
    <row r="88" spans="1:6" x14ac:dyDescent="0.2">
      <c r="A88" s="764"/>
      <c r="B88" s="754"/>
      <c r="C88" s="754">
        <v>1011121</v>
      </c>
      <c r="D88" s="754"/>
      <c r="E88" s="765" t="s">
        <v>946</v>
      </c>
      <c r="F88" s="766"/>
    </row>
    <row r="89" spans="1:6" x14ac:dyDescent="0.2">
      <c r="A89" s="737" t="s">
        <v>676</v>
      </c>
      <c r="B89" s="738">
        <v>639977</v>
      </c>
      <c r="C89" s="738"/>
      <c r="D89" s="738"/>
      <c r="E89" s="739" t="s">
        <v>375</v>
      </c>
      <c r="F89" s="740">
        <f>SUM(B89:D102)</f>
        <v>4082125</v>
      </c>
    </row>
    <row r="90" spans="1:6" x14ac:dyDescent="0.2">
      <c r="A90" s="741"/>
      <c r="B90" s="742">
        <v>505727</v>
      </c>
      <c r="C90" s="742"/>
      <c r="D90" s="742"/>
      <c r="E90" s="379" t="s">
        <v>715</v>
      </c>
      <c r="F90" s="743"/>
    </row>
    <row r="91" spans="1:6" x14ac:dyDescent="0.2">
      <c r="A91" s="930" t="s">
        <v>742</v>
      </c>
      <c r="B91" s="742"/>
      <c r="C91" s="742">
        <v>22000</v>
      </c>
      <c r="D91" s="742"/>
      <c r="E91" s="379" t="s">
        <v>741</v>
      </c>
      <c r="F91" s="743"/>
    </row>
    <row r="92" spans="1:6" x14ac:dyDescent="0.2">
      <c r="A92" s="930" t="s">
        <v>743</v>
      </c>
      <c r="B92" s="742"/>
      <c r="C92" s="742">
        <v>165000</v>
      </c>
      <c r="D92" s="742"/>
      <c r="E92" s="379" t="s">
        <v>744</v>
      </c>
      <c r="F92" s="743"/>
    </row>
    <row r="93" spans="1:6" x14ac:dyDescent="0.2">
      <c r="A93" s="741"/>
      <c r="B93" s="742"/>
      <c r="C93" s="742">
        <v>72211</v>
      </c>
      <c r="D93" s="742"/>
      <c r="E93" s="379" t="s">
        <v>745</v>
      </c>
      <c r="F93" s="743"/>
    </row>
    <row r="94" spans="1:6" s="969" customFormat="1" x14ac:dyDescent="0.2">
      <c r="A94" s="741"/>
      <c r="B94" s="742"/>
      <c r="C94" s="742">
        <f>11760+3628</f>
        <v>15388</v>
      </c>
      <c r="D94" s="742"/>
      <c r="E94" s="379" t="s">
        <v>843</v>
      </c>
      <c r="F94" s="743"/>
    </row>
    <row r="95" spans="1:6" x14ac:dyDescent="0.2">
      <c r="A95" s="930" t="s">
        <v>746</v>
      </c>
      <c r="B95" s="742"/>
      <c r="C95" s="742">
        <v>46476</v>
      </c>
      <c r="D95" s="742"/>
      <c r="E95" s="379" t="s">
        <v>761</v>
      </c>
      <c r="F95" s="743"/>
    </row>
    <row r="96" spans="1:6" x14ac:dyDescent="0.2">
      <c r="A96" s="741"/>
      <c r="B96" s="742"/>
      <c r="C96" s="742">
        <v>186000</v>
      </c>
      <c r="D96" s="742"/>
      <c r="E96" s="379" t="s">
        <v>748</v>
      </c>
      <c r="F96" s="743"/>
    </row>
    <row r="97" spans="1:6" x14ac:dyDescent="0.2">
      <c r="A97" s="741"/>
      <c r="B97" s="742"/>
      <c r="C97" s="742">
        <v>20000</v>
      </c>
      <c r="D97" s="742"/>
      <c r="E97" s="379" t="s">
        <v>747</v>
      </c>
      <c r="F97" s="743"/>
    </row>
    <row r="98" spans="1:6" s="925" customFormat="1" x14ac:dyDescent="0.2">
      <c r="A98" s="930" t="s">
        <v>749</v>
      </c>
      <c r="B98" s="742"/>
      <c r="C98" s="742">
        <v>94265</v>
      </c>
      <c r="D98" s="742"/>
      <c r="E98" s="379" t="s">
        <v>750</v>
      </c>
      <c r="F98" s="743"/>
    </row>
    <row r="99" spans="1:6" s="954" customFormat="1" x14ac:dyDescent="0.2">
      <c r="A99" s="930"/>
      <c r="B99" s="742"/>
      <c r="C99" s="742">
        <v>115470</v>
      </c>
      <c r="D99" s="742"/>
      <c r="E99" s="379" t="s">
        <v>751</v>
      </c>
      <c r="F99" s="743"/>
    </row>
    <row r="100" spans="1:6" s="954" customFormat="1" x14ac:dyDescent="0.2">
      <c r="A100" s="930" t="s">
        <v>356</v>
      </c>
      <c r="B100" s="742"/>
      <c r="C100" s="742">
        <v>-403920</v>
      </c>
      <c r="D100" s="742"/>
      <c r="E100" s="379" t="s">
        <v>786</v>
      </c>
      <c r="F100" s="743"/>
    </row>
    <row r="101" spans="1:6" s="925" customFormat="1" x14ac:dyDescent="0.2">
      <c r="A101" s="741"/>
      <c r="B101" s="742"/>
      <c r="C101" s="742">
        <v>-12000</v>
      </c>
      <c r="D101" s="742"/>
      <c r="E101" s="379" t="s">
        <v>787</v>
      </c>
      <c r="F101" s="743"/>
    </row>
    <row r="102" spans="1:6" x14ac:dyDescent="0.2">
      <c r="A102" s="744"/>
      <c r="B102" s="745"/>
      <c r="C102" s="745">
        <v>2615531</v>
      </c>
      <c r="D102" s="745"/>
      <c r="E102" s="746" t="s">
        <v>946</v>
      </c>
      <c r="F102" s="747"/>
    </row>
    <row r="103" spans="1:6" x14ac:dyDescent="0.2">
      <c r="A103" s="956" t="s">
        <v>379</v>
      </c>
      <c r="B103" s="728">
        <v>352225</v>
      </c>
      <c r="C103" s="728"/>
      <c r="D103" s="728"/>
      <c r="E103" s="748" t="s">
        <v>375</v>
      </c>
      <c r="F103" s="729">
        <f>SUM(B103:D115)</f>
        <v>1712320</v>
      </c>
    </row>
    <row r="104" spans="1:6" x14ac:dyDescent="0.2">
      <c r="A104" s="749"/>
      <c r="B104" s="750">
        <v>183616</v>
      </c>
      <c r="C104" s="750"/>
      <c r="D104" s="750"/>
      <c r="E104" s="524" t="s">
        <v>715</v>
      </c>
      <c r="F104" s="751"/>
    </row>
    <row r="105" spans="1:6" x14ac:dyDescent="0.2">
      <c r="A105" s="749"/>
      <c r="B105" s="750"/>
      <c r="C105" s="752">
        <v>51000</v>
      </c>
      <c r="D105" s="752"/>
      <c r="E105" s="524" t="s">
        <v>752</v>
      </c>
      <c r="F105" s="751"/>
    </row>
    <row r="106" spans="1:6" x14ac:dyDescent="0.2">
      <c r="A106" s="749"/>
      <c r="B106" s="750"/>
      <c r="C106" s="500">
        <v>124000</v>
      </c>
      <c r="D106" s="500"/>
      <c r="E106" s="283" t="s">
        <v>753</v>
      </c>
      <c r="F106" s="751"/>
    </row>
    <row r="107" spans="1:6" x14ac:dyDescent="0.2">
      <c r="A107" s="749"/>
      <c r="B107" s="750"/>
      <c r="C107" s="750">
        <f>499700-171300</f>
        <v>328400</v>
      </c>
      <c r="D107" s="750"/>
      <c r="E107" s="775" t="s">
        <v>754</v>
      </c>
      <c r="F107" s="751"/>
    </row>
    <row r="108" spans="1:6" x14ac:dyDescent="0.2">
      <c r="A108" s="749"/>
      <c r="B108" s="750"/>
      <c r="C108" s="541">
        <v>2200</v>
      </c>
      <c r="D108" s="541"/>
      <c r="E108" s="524" t="s">
        <v>755</v>
      </c>
      <c r="F108" s="751"/>
    </row>
    <row r="109" spans="1:6" x14ac:dyDescent="0.2">
      <c r="A109" s="749"/>
      <c r="B109" s="750"/>
      <c r="C109" s="541">
        <v>-5000</v>
      </c>
      <c r="D109" s="541"/>
      <c r="E109" s="524" t="s">
        <v>756</v>
      </c>
      <c r="F109" s="751"/>
    </row>
    <row r="110" spans="1:6" x14ac:dyDescent="0.2">
      <c r="A110" s="749"/>
      <c r="B110" s="750"/>
      <c r="C110" s="541">
        <v>50000</v>
      </c>
      <c r="D110" s="541"/>
      <c r="E110" s="524" t="s">
        <v>757</v>
      </c>
      <c r="F110" s="751"/>
    </row>
    <row r="111" spans="1:6" x14ac:dyDescent="0.2">
      <c r="A111" s="749"/>
      <c r="B111" s="750"/>
      <c r="C111" s="541">
        <v>3730</v>
      </c>
      <c r="D111" s="541"/>
      <c r="E111" s="524" t="s">
        <v>758</v>
      </c>
      <c r="F111" s="751"/>
    </row>
    <row r="112" spans="1:6" x14ac:dyDescent="0.2">
      <c r="A112" s="749"/>
      <c r="B112" s="750"/>
      <c r="C112" s="541">
        <v>203800</v>
      </c>
      <c r="D112" s="541"/>
      <c r="E112" s="524" t="s">
        <v>759</v>
      </c>
      <c r="F112" s="751"/>
    </row>
    <row r="113" spans="1:6" x14ac:dyDescent="0.2">
      <c r="A113" s="749"/>
      <c r="B113" s="541"/>
      <c r="C113" s="541">
        <v>-42800</v>
      </c>
      <c r="D113" s="541"/>
      <c r="E113" s="524" t="s">
        <v>760</v>
      </c>
      <c r="F113" s="955"/>
    </row>
    <row r="114" spans="1:6" s="954" customFormat="1" x14ac:dyDescent="0.2">
      <c r="A114" s="749"/>
      <c r="B114" s="541"/>
      <c r="C114" s="541">
        <v>461149</v>
      </c>
      <c r="D114" s="541"/>
      <c r="E114" s="524" t="s">
        <v>946</v>
      </c>
      <c r="F114" s="955"/>
    </row>
    <row r="115" spans="1:6" s="954" customFormat="1" x14ac:dyDescent="0.2">
      <c r="A115" s="753"/>
      <c r="B115" s="755"/>
      <c r="C115" s="755"/>
      <c r="D115" s="755"/>
      <c r="E115" s="756"/>
      <c r="F115" s="758"/>
    </row>
    <row r="116" spans="1:6" x14ac:dyDescent="0.2">
      <c r="A116" s="380"/>
      <c r="B116" s="380"/>
      <c r="C116" s="380"/>
      <c r="D116" s="540"/>
      <c r="E116" s="380"/>
      <c r="F116" s="380"/>
    </row>
    <row r="117" spans="1:6" x14ac:dyDescent="0.2">
      <c r="A117" s="367"/>
      <c r="B117" s="367"/>
      <c r="C117" s="367"/>
      <c r="D117" s="367"/>
      <c r="E117" s="367"/>
      <c r="F117" s="367"/>
    </row>
    <row r="118" spans="1:6" x14ac:dyDescent="0.2">
      <c r="A118" s="759" t="s">
        <v>380</v>
      </c>
      <c r="B118" s="760">
        <f>SUM(B4:B117)</f>
        <v>3407636.55</v>
      </c>
      <c r="C118" s="760">
        <f t="shared" ref="C118:D118" si="0">SUM(C4:C117)</f>
        <v>16056772</v>
      </c>
      <c r="D118" s="760">
        <f t="shared" si="0"/>
        <v>0</v>
      </c>
      <c r="E118" s="759"/>
      <c r="F118" s="760">
        <f>SUM(F4:F117)</f>
        <v>19464408.550000001</v>
      </c>
    </row>
    <row r="119" spans="1:6" x14ac:dyDescent="0.2">
      <c r="A119" s="178"/>
      <c r="B119" s="178"/>
      <c r="C119" s="178"/>
      <c r="D119" s="519"/>
      <c r="E119" s="178" t="s">
        <v>592</v>
      </c>
      <c r="F119" s="535">
        <f>+F118-C118-B118</f>
        <v>0</v>
      </c>
    </row>
    <row r="120" spans="1:6" x14ac:dyDescent="0.2">
      <c r="A120" s="178"/>
      <c r="B120" s="178"/>
      <c r="C120" s="535"/>
      <c r="D120" s="519"/>
      <c r="E120" s="178" t="s">
        <v>593</v>
      </c>
      <c r="F120" s="535">
        <f>+F118-'Service Support &amp; Mgmt'!J30</f>
        <v>0</v>
      </c>
    </row>
    <row r="123" spans="1:6" x14ac:dyDescent="0.2">
      <c r="A123" s="714" t="s">
        <v>654</v>
      </c>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AG25"/>
  <sheetViews>
    <sheetView workbookViewId="0"/>
  </sheetViews>
  <sheetFormatPr baseColWidth="10" defaultColWidth="8.83203125" defaultRowHeight="15" outlineLevelCol="1" x14ac:dyDescent="0.2"/>
  <cols>
    <col min="1" max="1" width="19.83203125" bestFit="1" customWidth="1"/>
    <col min="2" max="3" width="19.83203125" customWidth="1"/>
    <col min="4" max="10" width="19.83203125" hidden="1" customWidth="1" outlineLevel="1"/>
    <col min="11" max="11" width="26.5" bestFit="1" customWidth="1" collapsed="1"/>
    <col min="12" max="12" width="26" bestFit="1" customWidth="1"/>
    <col min="13" max="13" width="15" bestFit="1" customWidth="1"/>
    <col min="14" max="14" width="15.5" bestFit="1" customWidth="1"/>
    <col min="15" max="15" width="11.5" bestFit="1" customWidth="1"/>
    <col min="16" max="16" width="10.5" bestFit="1" customWidth="1"/>
    <col min="17" max="17" width="13.33203125" bestFit="1" customWidth="1"/>
    <col min="18" max="18" width="12" hidden="1" customWidth="1" outlineLevel="1"/>
    <col min="19" max="19" width="13.33203125" hidden="1" customWidth="1" outlineLevel="1"/>
    <col min="20" max="20" width="11.33203125" hidden="1" customWidth="1" outlineLevel="1"/>
    <col min="21" max="21" width="11.33203125" bestFit="1" customWidth="1" collapsed="1"/>
    <col min="22" max="22" width="12.1640625" hidden="1" customWidth="1" outlineLevel="1"/>
    <col min="23" max="23" width="15.33203125" hidden="1" customWidth="1" outlineLevel="1"/>
    <col min="24" max="24" width="9.6640625" hidden="1" customWidth="1" outlineLevel="1"/>
    <col min="25" max="25" width="11" hidden="1" customWidth="1" outlineLevel="1"/>
    <col min="26" max="26" width="5.5" hidden="1" customWidth="1" outlineLevel="1"/>
    <col min="27" max="27" width="9.6640625" hidden="1" customWidth="1" outlineLevel="1"/>
    <col min="28" max="28" width="17.6640625" hidden="1" customWidth="1" outlineLevel="1"/>
    <col min="29" max="29" width="11.1640625" hidden="1" customWidth="1" outlineLevel="1"/>
    <col min="30" max="30" width="15.5" hidden="1" customWidth="1" outlineLevel="1"/>
    <col min="31" max="31" width="9.1640625" collapsed="1"/>
    <col min="32" max="32" width="11.5" bestFit="1" customWidth="1"/>
    <col min="33" max="33" width="9.5" bestFit="1" customWidth="1"/>
  </cols>
  <sheetData>
    <row r="1" spans="1:33" ht="21" x14ac:dyDescent="0.25">
      <c r="B1" s="1208" t="s">
        <v>520</v>
      </c>
      <c r="C1" s="1208"/>
      <c r="D1" s="1208"/>
      <c r="E1" s="1208"/>
      <c r="F1" s="1208"/>
      <c r="G1" s="1208"/>
      <c r="H1" s="1208"/>
      <c r="I1" s="1208"/>
      <c r="J1" s="1208"/>
      <c r="K1" s="1208"/>
      <c r="L1" s="1208"/>
      <c r="M1" s="1208"/>
      <c r="N1" s="1208"/>
      <c r="O1" s="1208"/>
      <c r="P1" s="1208"/>
      <c r="Q1" s="1208"/>
      <c r="R1" s="1208"/>
      <c r="S1" s="1208"/>
      <c r="T1" s="1208"/>
      <c r="U1" s="1208"/>
      <c r="V1" s="1208"/>
      <c r="W1" s="1208"/>
      <c r="X1" s="1208"/>
      <c r="Y1" s="1208"/>
      <c r="Z1" s="1208"/>
      <c r="AA1" s="1208"/>
      <c r="AB1" s="1208"/>
      <c r="AC1" s="1208"/>
      <c r="AD1" s="1208"/>
    </row>
    <row r="2" spans="1:33" s="294" customFormat="1" x14ac:dyDescent="0.2">
      <c r="B2" s="1228" t="s">
        <v>470</v>
      </c>
      <c r="C2" s="1229"/>
      <c r="D2" s="1229"/>
      <c r="E2" s="1229"/>
      <c r="F2" s="1229"/>
      <c r="G2" s="1229"/>
      <c r="H2" s="1229"/>
      <c r="I2" s="1229"/>
      <c r="J2" s="629"/>
      <c r="K2" s="1239" t="s">
        <v>251</v>
      </c>
      <c r="L2" s="1240"/>
      <c r="M2" s="1240"/>
      <c r="N2" s="1241"/>
      <c r="O2" s="1234" t="s">
        <v>420</v>
      </c>
      <c r="P2" s="1235"/>
      <c r="Q2" s="1231" t="s">
        <v>473</v>
      </c>
      <c r="R2" s="1232"/>
      <c r="S2" s="1232"/>
      <c r="T2" s="1233"/>
      <c r="U2" s="1228" t="s">
        <v>473</v>
      </c>
      <c r="V2" s="1229"/>
      <c r="W2" s="1229"/>
      <c r="X2" s="1229"/>
      <c r="Y2" s="1229"/>
      <c r="Z2" s="1229"/>
      <c r="AA2" s="1229"/>
      <c r="AB2" s="1229"/>
      <c r="AC2" s="1229"/>
      <c r="AD2" s="1230"/>
    </row>
    <row r="3" spans="1:33" s="294" customFormat="1" x14ac:dyDescent="0.2">
      <c r="B3" s="1236" t="s">
        <v>426</v>
      </c>
      <c r="C3" s="1237"/>
      <c r="D3" s="642"/>
      <c r="E3" s="1237" t="s">
        <v>428</v>
      </c>
      <c r="F3" s="1237"/>
      <c r="G3" s="1238"/>
      <c r="H3" s="1236" t="s">
        <v>427</v>
      </c>
      <c r="I3" s="1237"/>
      <c r="J3" s="1238"/>
      <c r="K3" s="1242" t="s">
        <v>426</v>
      </c>
      <c r="L3" s="1243"/>
      <c r="M3" s="1243"/>
      <c r="N3" s="1244"/>
      <c r="O3" s="1234" t="s">
        <v>426</v>
      </c>
      <c r="P3" s="1235"/>
      <c r="Q3" s="649" t="s">
        <v>426</v>
      </c>
      <c r="R3" s="1231" t="s">
        <v>448</v>
      </c>
      <c r="S3" s="1232"/>
      <c r="T3" s="652"/>
      <c r="U3" s="658" t="s">
        <v>426</v>
      </c>
      <c r="V3" s="661"/>
      <c r="W3" s="662"/>
      <c r="X3" s="1228" t="s">
        <v>454</v>
      </c>
      <c r="Y3" s="1229"/>
      <c r="Z3" s="1229"/>
      <c r="AA3" s="629" t="s">
        <v>448</v>
      </c>
      <c r="AB3" s="1228" t="s">
        <v>253</v>
      </c>
      <c r="AC3" s="1229"/>
      <c r="AD3" s="1230"/>
    </row>
    <row r="4" spans="1:33" s="294" customFormat="1" x14ac:dyDescent="0.2">
      <c r="B4" s="631" t="s">
        <v>412</v>
      </c>
      <c r="C4" s="630" t="s">
        <v>471</v>
      </c>
      <c r="D4" s="632" t="s">
        <v>432</v>
      </c>
      <c r="E4" s="630" t="s">
        <v>429</v>
      </c>
      <c r="F4" s="630" t="s">
        <v>430</v>
      </c>
      <c r="G4" s="632" t="s">
        <v>431</v>
      </c>
      <c r="H4" s="631" t="s">
        <v>429</v>
      </c>
      <c r="I4" s="630" t="s">
        <v>430</v>
      </c>
      <c r="J4" s="632" t="s">
        <v>431</v>
      </c>
      <c r="K4" s="640" t="s">
        <v>637</v>
      </c>
      <c r="L4" s="640" t="s">
        <v>638</v>
      </c>
      <c r="M4" s="640" t="s">
        <v>639</v>
      </c>
      <c r="N4" s="641" t="s">
        <v>472</v>
      </c>
      <c r="O4" s="643" t="s">
        <v>177</v>
      </c>
      <c r="P4" s="644" t="s">
        <v>95</v>
      </c>
      <c r="Q4" s="650" t="s">
        <v>388</v>
      </c>
      <c r="R4" s="645" t="s">
        <v>250</v>
      </c>
      <c r="S4" s="553" t="s">
        <v>19</v>
      </c>
      <c r="T4" s="646" t="s">
        <v>253</v>
      </c>
      <c r="U4" s="659" t="s">
        <v>389</v>
      </c>
      <c r="V4" s="631" t="s">
        <v>467</v>
      </c>
      <c r="W4" s="630" t="s">
        <v>466</v>
      </c>
      <c r="X4" s="631" t="s">
        <v>450</v>
      </c>
      <c r="Y4" s="630" t="s">
        <v>451</v>
      </c>
      <c r="Z4" s="630" t="s">
        <v>455</v>
      </c>
      <c r="AA4" s="632" t="s">
        <v>447</v>
      </c>
      <c r="AB4" s="631" t="s">
        <v>463</v>
      </c>
      <c r="AC4" s="630" t="s">
        <v>464</v>
      </c>
      <c r="AD4" s="632" t="s">
        <v>465</v>
      </c>
    </row>
    <row r="5" spans="1:33" x14ac:dyDescent="0.2">
      <c r="A5" t="s">
        <v>222</v>
      </c>
      <c r="B5" s="609">
        <f>ROUND(Dashboard!$D$29*(('Data-Credit &amp; Degree'!AU6+'Data-Credit &amp; Degree'!AV6+'Data-Credit &amp; Degree'!AW6)/('Data-Credit &amp; Degree'!$AU$23+'Data-Credit &amp; Degree'!$AV$23+'Data-Credit &amp; Degree'!$AW$23)),-2)</f>
        <v>5300</v>
      </c>
      <c r="C5" s="610">
        <f>ROUND(Dashboard!$D$23*'Productivity Calc'!D5,-2)</f>
        <v>3950600</v>
      </c>
      <c r="D5" s="635">
        <f>+(E5+F5+G5)/($E$22+$F$22+$G$22)</f>
        <v>6.6682971702705568E-2</v>
      </c>
      <c r="E5" s="610">
        <f>+Dashboard!$B$24*'Productivity Calc'!H5</f>
        <v>35076.922500000001</v>
      </c>
      <c r="F5" s="610">
        <f>+Dashboard!$B$26*'Productivity Calc'!I5</f>
        <v>23589.314999999999</v>
      </c>
      <c r="G5" s="614">
        <f>+Dashboard!$B$28*'Productivity Calc'!J5</f>
        <v>5729.0039999999999</v>
      </c>
      <c r="H5" s="609">
        <f>IF(A5="PHHS",IF(Dashboard!$C$13="no",SUM('Data-Credit &amp; Degree'!$B$16:$G$16)+SUM('Data-Credit &amp; Degree'!$B$25:$D$25),SUM('Data-Credit &amp; Degree'!$B$16:$G$16)+(SUM('Data-Credit &amp; Degree'!$B$25:$D$25)*Dashboard!$C$14)),SUM('Data-Credit &amp; Degree'!B6:G6))</f>
        <v>49754.5</v>
      </c>
      <c r="I5" s="610">
        <f>+'Data-Credit &amp; Degree'!K6+'Data-Credit &amp; Degree'!L6+'Data-Credit &amp; Degree'!M6</f>
        <v>23195</v>
      </c>
      <c r="J5" s="614">
        <f>+'Data-Credit &amp; Degree'!Q6+'Data-Credit &amp; Degree'!R6+'Data-Credit &amp; Degree'!S6</f>
        <v>2796</v>
      </c>
      <c r="K5" s="638">
        <f>ROUND((('Data-Credit &amp; Degree'!AI34+'Data-Credit &amp; Degree'!AJ34+'Data-Credit &amp; Degree'!AK34)*Dashboard!$B$44)/((('Data-Credit &amp; Degree'!$AI$51+'Data-Credit &amp; Degree'!$AJ$51+'Data-Credit &amp; Degree'!$AK$51)*Dashboard!$B$44)+(('Data-Credit &amp; Degree'!$AC$51+'Data-Credit &amp; Degree'!$AD$51+'Data-Credit &amp; Degree'!$AE$51)*Dashboard!$B$45)+(('Data-Credit &amp; Degree'!$AF$51+'Data-Credit &amp; Degree'!$AG$51+'Data-Credit &amp; Degree'!$AH$51)*Dashboard!$B$46))*Dashboard!$D$43,-2)</f>
        <v>160400</v>
      </c>
      <c r="L5" s="638">
        <f>ROUND((('Data-Credit &amp; Degree'!AC34+'Data-Credit &amp; Degree'!AD34+'Data-Credit &amp; Degree'!AE34)*Dashboard!$B$45)/((('Data-Credit &amp; Degree'!$AI$51+'Data-Credit &amp; Degree'!$AJ$51+'Data-Credit &amp; Degree'!$AK$51)*Dashboard!$B$44)+(('Data-Credit &amp; Degree'!$AC$51+'Data-Credit &amp; Degree'!$AD$51+'Data-Credit &amp; Degree'!$AE$51)*Dashboard!$B$45)+(('Data-Credit &amp; Degree'!$AF$51+'Data-Credit &amp; Degree'!$AG$51+'Data-Credit &amp; Degree'!$AH$51)*Dashboard!$B$46))*Dashboard!$D$43,-2)</f>
        <v>53000</v>
      </c>
      <c r="M5" s="638">
        <f>ROUND((('Data-Credit &amp; Degree'!AF34+'Data-Credit &amp; Degree'!AG34+'Data-Credit &amp; Degree'!AH34)*Dashboard!$B$46)/((('Data-Credit &amp; Degree'!$AI$51+'Data-Credit &amp; Degree'!$AJ$51+'Data-Credit &amp; Degree'!$AK$51)*Dashboard!$B$44)+(('Data-Credit &amp; Degree'!$AC$51+'Data-Credit &amp; Degree'!$AD$51+'Data-Credit &amp; Degree'!$AE$51)*Dashboard!$B$45)+(('Data-Credit &amp; Degree'!$AF$51+'Data-Credit &amp; Degree'!$AG$51+'Data-Credit &amp; Degree'!$AH$51)*Dashboard!$B$46))*Dashboard!$D$43,-2)</f>
        <v>90100</v>
      </c>
      <c r="N5" s="639">
        <f>ROUND(IF(A5="PHHS",Dashboard!$D$49*((SUM('Data-Credit &amp; Degree'!AX6:AZ6,'Data-Credit &amp; Degree'!$AX$25:$AZ$25)/(SUM('Data-Credit &amp; Degree'!$AX$23:$AZ$23,'Data-Credit &amp; Degree'!$AX$25:$AZ$25)))),Dashboard!$D$49*((SUM('Data-Credit &amp; Degree'!AX6:AZ6)/(SUM('Data-Credit &amp; Degree'!$AX$23:$AZ$23,'Data-Credit &amp; Degree'!$AX$25:$AZ$25))))),-2)</f>
        <v>28200</v>
      </c>
      <c r="O5" s="620">
        <f>+Ecampus!B7</f>
        <v>10500000</v>
      </c>
      <c r="P5" s="613">
        <f>+Summer!B8</f>
        <v>400000</v>
      </c>
      <c r="Q5" s="651">
        <f>ROUND((Dashboard!$D$30*(R5/'Productivity Calc'!$R$22))+(Dashboard!$D$31*(S5/$S$22)),-2)</f>
        <v>2871000</v>
      </c>
      <c r="R5" s="625">
        <f>(SUM('Data-Credit &amp; Degree'!B34:D34)+(SUM('Data-Credit &amp; Degree'!Q34:S34,'Data-Credit &amp; Degree'!N34:P34)/5))*T5</f>
        <v>1987.2901088095123</v>
      </c>
      <c r="S5" s="571">
        <f>(((SUM('Data-Credit &amp; Degree'!H6:J6)*T5)))</f>
        <v>61581.423656395971</v>
      </c>
      <c r="T5" s="647">
        <f>IF(Dashboard!$C$17="yes",Weights!C5,1)</f>
        <v>1.4284719010994193</v>
      </c>
      <c r="U5" s="660">
        <f>ROUND((V5*Dashboard!$D$37)+(W5*Dashboard!$D$32),-2)</f>
        <v>2875500</v>
      </c>
      <c r="V5" s="663">
        <f t="shared" ref="V5:V21" si="0">AA5/$AA$22</f>
        <v>0.14504598785451098</v>
      </c>
      <c r="W5" s="633">
        <f t="shared" ref="W5:W21" si="1">(SUM(X5:Z5)/SUM($X$22:$Z$22))</f>
        <v>0.1182254272816185</v>
      </c>
      <c r="X5" s="609">
        <f>IF(A5="Graduate School",((SUM('Data-Credit &amp; Degree'!T34:V34)*AD5))*AC5,(SUM('Data-Credit &amp; Degree'!E34:G34)+(SUM('Data-Credit &amp; Degree'!T34:V34)*AD5))*AC5)</f>
        <v>327.58539956717055</v>
      </c>
      <c r="Y5" s="610">
        <f>IF(A5="Graduate School",((SUM('Data-Credit &amp; Degree'!W34:Y34)*AD5))*AB5,(SUM('Data-Credit &amp; Degree'!H34:J34)+(SUM('Data-Credit &amp; Degree'!W34:Y34)*AD5))*AB5)</f>
        <v>645.21012379283047</v>
      </c>
      <c r="Z5" s="610">
        <f>(SUM('Data-Credit &amp; Degree'!K34:M34)/5)*AB5</f>
        <v>94.012343086966666</v>
      </c>
      <c r="AA5" s="614">
        <f>SUM('Data-Credit &amp; Degree'!N6:P6)*AB5</f>
        <v>96126.123794590821</v>
      </c>
      <c r="AB5" s="666">
        <f>IF((OR(A5="Pharmacy",A5="Veterinary Medicine")),IF(Dashboard!$C$15="yes",Dashboard!$C$16,IF(Dashboard!$C$18="yes",Weights!F5,1)),IF(Dashboard!$C$18="yes",Weights!D5,1))</f>
        <v>2.9940236651900212</v>
      </c>
      <c r="AC5" s="653">
        <f>IF(Dashboard!$C$18="yes",Weights!E5,1)</f>
        <v>3.0615572354211658</v>
      </c>
      <c r="AD5" s="654">
        <f>IF(A5="Graduate School",Dashboard!$B$34*Dashboard!$B$36,Dashboard!$B$34*Dashboard!$B$35)</f>
        <v>0.99995999999999996</v>
      </c>
    </row>
    <row r="6" spans="1:33" x14ac:dyDescent="0.2">
      <c r="A6" t="s">
        <v>223</v>
      </c>
      <c r="B6" s="609">
        <f>ROUND(Dashboard!$D$29*(('Data-Credit &amp; Degree'!AU7+'Data-Credit &amp; Degree'!AV7+'Data-Credit &amp; Degree'!AW7)/('Data-Credit &amp; Degree'!$AU$23+'Data-Credit &amp; Degree'!$AV$23+'Data-Credit &amp; Degree'!$AW$23)),-2)</f>
        <v>106000</v>
      </c>
      <c r="C6" s="610">
        <f>ROUND(Dashboard!$D$23*'Productivity Calc'!D6,-2)</f>
        <v>5649400</v>
      </c>
      <c r="D6" s="635">
        <f t="shared" ref="D6:D21" si="2">+(E6+F6+G6)/($E$22+$F$22+$G$22)</f>
        <v>9.5357407182926845E-2</v>
      </c>
      <c r="E6" s="610">
        <f>+Dashboard!$B$24*'Productivity Calc'!H6</f>
        <v>72330.179999999993</v>
      </c>
      <c r="F6" s="610">
        <f>+Dashboard!$B$26*'Productivity Calc'!I6</f>
        <v>16350.308999999999</v>
      </c>
      <c r="G6" s="614">
        <f>+Dashboard!$B$28*'Productivity Calc'!J6</f>
        <v>3405.4380000000001</v>
      </c>
      <c r="H6" s="609">
        <f>IF(A6="PHHS",IF(Dashboard!$C$13="no",SUM('Data-Credit &amp; Degree'!$B$16:$G$16)+SUM('Data-Credit &amp; Degree'!$B$25:$D$25),SUM('Data-Credit &amp; Degree'!$B$16:$G$16)+(SUM('Data-Credit &amp; Degree'!$B$25:$D$25)*Dashboard!$C$14)),SUM('Data-Credit &amp; Degree'!B7:G7))</f>
        <v>102596</v>
      </c>
      <c r="I6" s="610">
        <f>+'Data-Credit &amp; Degree'!K7+'Data-Credit &amp; Degree'!L7+'Data-Credit &amp; Degree'!M7</f>
        <v>16077</v>
      </c>
      <c r="J6" s="614">
        <f>+'Data-Credit &amp; Degree'!Q7+'Data-Credit &amp; Degree'!R7+'Data-Credit &amp; Degree'!S7</f>
        <v>1662</v>
      </c>
      <c r="K6" s="638">
        <f>ROUND((('Data-Credit &amp; Degree'!AI35+'Data-Credit &amp; Degree'!AJ35+'Data-Credit &amp; Degree'!AK35)*Dashboard!$B$44)/((('Data-Credit &amp; Degree'!$AI$51+'Data-Credit &amp; Degree'!$AJ$51+'Data-Credit &amp; Degree'!$AK$51)*Dashboard!$B$44)+(('Data-Credit &amp; Degree'!$AC$51+'Data-Credit &amp; Degree'!$AD$51+'Data-Credit &amp; Degree'!$AE$51)*Dashboard!$B$45)+(('Data-Credit &amp; Degree'!$AF$51+'Data-Credit &amp; Degree'!$AG$51+'Data-Credit &amp; Degree'!$AH$51)*Dashboard!$B$46))*Dashboard!$D$43,-2)</f>
        <v>400200</v>
      </c>
      <c r="L6" s="638">
        <f>ROUND((('Data-Credit &amp; Degree'!AC35+'Data-Credit &amp; Degree'!AD35+'Data-Credit &amp; Degree'!AE35)*Dashboard!$B$45)/((('Data-Credit &amp; Degree'!$AI$51+'Data-Credit &amp; Degree'!$AJ$51+'Data-Credit &amp; Degree'!$AK$51)*Dashboard!$B$44)+(('Data-Credit &amp; Degree'!$AC$51+'Data-Credit &amp; Degree'!$AD$51+'Data-Credit &amp; Degree'!$AE$51)*Dashboard!$B$45)+(('Data-Credit &amp; Degree'!$AF$51+'Data-Credit &amp; Degree'!$AG$51+'Data-Credit &amp; Degree'!$AH$51)*Dashboard!$B$46))*Dashboard!$D$43,-2)</f>
        <v>432200</v>
      </c>
      <c r="M6" s="638">
        <f>ROUND((('Data-Credit &amp; Degree'!AF35+'Data-Credit &amp; Degree'!AG35+'Data-Credit &amp; Degree'!AH35)*Dashboard!$B$46)/((('Data-Credit &amp; Degree'!$AI$51+'Data-Credit &amp; Degree'!$AJ$51+'Data-Credit &amp; Degree'!$AK$51)*Dashboard!$B$44)+(('Data-Credit &amp; Degree'!$AC$51+'Data-Credit &amp; Degree'!$AD$51+'Data-Credit &amp; Degree'!$AE$51)*Dashboard!$B$45)+(('Data-Credit &amp; Degree'!$AF$51+'Data-Credit &amp; Degree'!$AG$51+'Data-Credit &amp; Degree'!$AH$51)*Dashboard!$B$46))*Dashboard!$D$43,-2)</f>
        <v>116600</v>
      </c>
      <c r="N6" s="639">
        <f>ROUND(IF(A6="PHHS",Dashboard!$D$49*((SUM('Data-Credit &amp; Degree'!AX7:AZ7,'Data-Credit &amp; Degree'!$AX$25:$AZ$25)/(SUM('Data-Credit &amp; Degree'!$AX$23:$AZ$23,'Data-Credit &amp; Degree'!$AX$25:$AZ$25)))),Dashboard!$D$49*((SUM('Data-Credit &amp; Degree'!AX7:AZ7)/(SUM('Data-Credit &amp; Degree'!$AX$23:$AZ$23,'Data-Credit &amp; Degree'!$AX$25:$AZ$25))))),-2)</f>
        <v>64200</v>
      </c>
      <c r="O6" s="620">
        <f>+Ecampus!B8</f>
        <v>10248900</v>
      </c>
      <c r="P6" s="613">
        <f>+Summer!B9</f>
        <v>470000</v>
      </c>
      <c r="Q6" s="651">
        <f>ROUND((Dashboard!$D$30*(R6/'Productivity Calc'!$R$22))+(Dashboard!$D$31*(S6/$S$22)),-2)</f>
        <v>5339300</v>
      </c>
      <c r="R6" s="625">
        <f>(SUM('Data-Credit &amp; Degree'!B35:D35)+(SUM('Data-Credit &amp; Degree'!Q35:S35,'Data-Credit &amp; Degree'!N35:P35)/5))*T6</f>
        <v>3212.0583764369962</v>
      </c>
      <c r="S6" s="571">
        <f>(((SUM('Data-Credit &amp; Degree'!H7:J7)*T6)))</f>
        <v>139158.53243494726</v>
      </c>
      <c r="T6" s="647">
        <f>IF(Dashboard!$C$17="yes",Weights!C6,1)</f>
        <v>1.0336138423339543</v>
      </c>
      <c r="U6" s="660">
        <f>ROUND((V6*Dashboard!$D$37)+(W6*Dashboard!$D$32),-2)</f>
        <v>1083800</v>
      </c>
      <c r="V6" s="663">
        <f t="shared" si="0"/>
        <v>2.3291083679654646E-2</v>
      </c>
      <c r="W6" s="633">
        <f t="shared" si="1"/>
        <v>6.3982747878359753E-2</v>
      </c>
      <c r="X6" s="609">
        <f>IF(A6="Graduate School",((SUM('Data-Credit &amp; Degree'!T35:V35)*AD6))*AC6,(SUM('Data-Credit &amp; Degree'!E35:G35)+(SUM('Data-Credit &amp; Degree'!T35:V35)*AD6))*AC6)</f>
        <v>38.107146666666658</v>
      </c>
      <c r="Y6" s="610">
        <f>IF(A6="Graduate School",((SUM('Data-Credit &amp; Degree'!W35:Y35)*AD6))*AB6,(SUM('Data-Credit &amp; Degree'!H35:J35)+(SUM('Data-Credit &amp; Degree'!W35:Y35)*AD6))*AB6)</f>
        <v>533.67562816281622</v>
      </c>
      <c r="Z6" s="610">
        <f>(SUM('Data-Credit &amp; Degree'!K35:M35)/5)*AB6</f>
        <v>5.5659421342134205</v>
      </c>
      <c r="AA6" s="614">
        <f>SUM('Data-Credit &amp; Degree'!N7:P7)*AB6</f>
        <v>15435.667171617159</v>
      </c>
      <c r="AB6" s="666">
        <f>IF((OR(A6="Pharmacy",A6="Veterinary Medicine")),IF(Dashboard!$C$15="yes",Dashboard!$C$16,IF(Dashboard!$C$18="yes",Weights!F6,1)),IF(Dashboard!$C$18="yes",Weights!D6,1))</f>
        <v>1.6370418041804178</v>
      </c>
      <c r="AC6" s="653">
        <f>IF(Dashboard!$C$18="yes",Weights!E6,1)</f>
        <v>4.7633933333333323</v>
      </c>
      <c r="AD6" s="654">
        <f>IF(A6="Graduate School",Dashboard!$B$34*Dashboard!$B$36,Dashboard!$B$34*Dashboard!$B$35)</f>
        <v>0.99995999999999996</v>
      </c>
    </row>
    <row r="7" spans="1:33" x14ac:dyDescent="0.2">
      <c r="A7" t="s">
        <v>224</v>
      </c>
      <c r="B7" s="609">
        <f>ROUND(Dashboard!$D$29*(('Data-Credit &amp; Degree'!AU8+'Data-Credit &amp; Degree'!AV8+'Data-Credit &amp; Degree'!AW8)/('Data-Credit &amp; Degree'!$AU$23+'Data-Credit &amp; Degree'!$AV$23+'Data-Credit &amp; Degree'!$AW$23)),-2)</f>
        <v>6000</v>
      </c>
      <c r="C7" s="610">
        <f>ROUND(Dashboard!$D$23*'Productivity Calc'!D7,-2)</f>
        <v>993000</v>
      </c>
      <c r="D7" s="635">
        <f t="shared" si="2"/>
        <v>1.6760364239478586E-2</v>
      </c>
      <c r="E7" s="610">
        <f>+Dashboard!$B$24*'Productivity Calc'!H7</f>
        <v>5361.5249999999996</v>
      </c>
      <c r="F7" s="610">
        <f>+Dashboard!$B$26*'Productivity Calc'!I7</f>
        <v>9864.9</v>
      </c>
      <c r="G7" s="614">
        <f>+Dashboard!$B$28*'Productivity Calc'!J7</f>
        <v>958.93200000000002</v>
      </c>
      <c r="H7" s="609">
        <f>IF(A7="PHHS",IF(Dashboard!$C$13="no",SUM('Data-Credit &amp; Degree'!$B$16:$G$16)+SUM('Data-Credit &amp; Degree'!$B$25:$D$25),SUM('Data-Credit &amp; Degree'!$B$16:$G$16)+(SUM('Data-Credit &amp; Degree'!$B$25:$D$25)*Dashboard!$C$14)),SUM('Data-Credit &amp; Degree'!B8:G8))</f>
        <v>7605</v>
      </c>
      <c r="I7" s="610">
        <f>+'Data-Credit &amp; Degree'!K8+'Data-Credit &amp; Degree'!L8+'Data-Credit &amp; Degree'!M8</f>
        <v>9700</v>
      </c>
      <c r="J7" s="614">
        <f>+'Data-Credit &amp; Degree'!Q8+'Data-Credit &amp; Degree'!R8+'Data-Credit &amp; Degree'!S8</f>
        <v>468</v>
      </c>
      <c r="K7" s="638">
        <f>ROUND((('Data-Credit &amp; Degree'!AI36+'Data-Credit &amp; Degree'!AJ36+'Data-Credit &amp; Degree'!AK36)*Dashboard!$B$44)/((('Data-Credit &amp; Degree'!$AI$51+'Data-Credit &amp; Degree'!$AJ$51+'Data-Credit &amp; Degree'!$AK$51)*Dashboard!$B$44)+(('Data-Credit &amp; Degree'!$AC$51+'Data-Credit &amp; Degree'!$AD$51+'Data-Credit &amp; Degree'!$AE$51)*Dashboard!$B$45)+(('Data-Credit &amp; Degree'!$AF$51+'Data-Credit &amp; Degree'!$AG$51+'Data-Credit &amp; Degree'!$AH$51)*Dashboard!$B$46))*Dashboard!$D$43,-2)</f>
        <v>53700</v>
      </c>
      <c r="L7" s="638">
        <f>ROUND((('Data-Credit &amp; Degree'!AC36+'Data-Credit &amp; Degree'!AD36+'Data-Credit &amp; Degree'!AE36)*Dashboard!$B$45)/((('Data-Credit &amp; Degree'!$AI$51+'Data-Credit &amp; Degree'!$AJ$51+'Data-Credit &amp; Degree'!$AK$51)*Dashboard!$B$44)+(('Data-Credit &amp; Degree'!$AC$51+'Data-Credit &amp; Degree'!$AD$51+'Data-Credit &amp; Degree'!$AE$51)*Dashboard!$B$45)+(('Data-Credit &amp; Degree'!$AF$51+'Data-Credit &amp; Degree'!$AG$51+'Data-Credit &amp; Degree'!$AH$51)*Dashboard!$B$46))*Dashboard!$D$43,-2)</f>
        <v>1700</v>
      </c>
      <c r="M7" s="638">
        <f>ROUND((('Data-Credit &amp; Degree'!AF36+'Data-Credit &amp; Degree'!AG36+'Data-Credit &amp; Degree'!AH36)*Dashboard!$B$46)/((('Data-Credit &amp; Degree'!$AI$51+'Data-Credit &amp; Degree'!$AJ$51+'Data-Credit &amp; Degree'!$AK$51)*Dashboard!$B$44)+(('Data-Credit &amp; Degree'!$AC$51+'Data-Credit &amp; Degree'!$AD$51+'Data-Credit &amp; Degree'!$AE$51)*Dashboard!$B$45)+(('Data-Credit &amp; Degree'!$AF$51+'Data-Credit &amp; Degree'!$AG$51+'Data-Credit &amp; Degree'!$AH$51)*Dashboard!$B$46))*Dashboard!$D$43,-2)</f>
        <v>17800</v>
      </c>
      <c r="N7" s="639">
        <f>ROUND(IF(A7="PHHS",Dashboard!$D$49*((SUM('Data-Credit &amp; Degree'!AX8:AZ8,'Data-Credit &amp; Degree'!$AX$25:$AZ$25)/(SUM('Data-Credit &amp; Degree'!$AX$23:$AZ$23,'Data-Credit &amp; Degree'!$AX$25:$AZ$25)))),Dashboard!$D$49*((SUM('Data-Credit &amp; Degree'!AX8:AZ8)/(SUM('Data-Credit &amp; Degree'!$AX$23:$AZ$23,'Data-Credit &amp; Degree'!$AX$25:$AZ$25))))),-2)</f>
        <v>96900</v>
      </c>
      <c r="O7" s="620">
        <f>+Ecampus!B9</f>
        <v>3804000</v>
      </c>
      <c r="P7" s="613">
        <f>+Summer!B10</f>
        <v>61000</v>
      </c>
      <c r="Q7" s="651">
        <f>ROUND((Dashboard!$D$30*(R7/'Productivity Calc'!$R$22))+(Dashboard!$D$31*(S7/$S$22)),-2)</f>
        <v>229000</v>
      </c>
      <c r="R7" s="625">
        <f>(SUM('Data-Credit &amp; Degree'!B36:D36)+(SUM('Data-Credit &amp; Degree'!Q36:S36,'Data-Credit &amp; Degree'!N36:P36)/5))*T7</f>
        <v>241.417</v>
      </c>
      <c r="S7" s="571">
        <f>(((SUM('Data-Credit &amp; Degree'!H8:J8)*T7)))</f>
        <v>690.96500000000003</v>
      </c>
      <c r="T7" s="647">
        <f>IF(Dashboard!$C$17="yes",Weights!C7,1)</f>
        <v>0.93500000000000005</v>
      </c>
      <c r="U7" s="660">
        <f>ROUND((V7*Dashboard!$D$37)+(W7*Dashboard!$D$32),-2)</f>
        <v>786400</v>
      </c>
      <c r="V7" s="663">
        <f t="shared" si="0"/>
        <v>7.4858396554397383E-3</v>
      </c>
      <c r="W7" s="633">
        <f t="shared" si="1"/>
        <v>5.2251825204546687E-2</v>
      </c>
      <c r="X7" s="609">
        <f>IF(A7="Graduate School",((SUM('Data-Credit &amp; Degree'!T36:V36)*AD7))*AC7,(SUM('Data-Credit &amp; Degree'!E36:G36)+(SUM('Data-Credit &amp; Degree'!T36:V36)*AD7))*AC7)</f>
        <v>191.17489804000004</v>
      </c>
      <c r="Y7" s="610">
        <f>IF(A7="Graduate School",((SUM('Data-Credit &amp; Degree'!W36:Y36)*AD7))*AB7,(SUM('Data-Credit &amp; Degree'!H36:J36)+(SUM('Data-Credit &amp; Degree'!W36:Y36)*AD7))*AB7)</f>
        <v>273.01976639999998</v>
      </c>
      <c r="Z7" s="610">
        <f>(SUM('Data-Credit &amp; Degree'!K36:M36)/5)*AB7</f>
        <v>7.3</v>
      </c>
      <c r="AA7" s="614">
        <f>SUM('Data-Credit &amp; Degree'!N8:P8)*AB7</f>
        <v>4961.08</v>
      </c>
      <c r="AB7" s="666">
        <f>IF((OR(A7="Pharmacy",A7="Veterinary Medicine")),IF(Dashboard!$C$15="yes",Dashboard!$C$16,IF(Dashboard!$C$18="yes",Weights!F7,1)),IF(Dashboard!$C$18="yes",Weights!D7,1))</f>
        <v>1.46</v>
      </c>
      <c r="AC7" s="653">
        <f>IF(Dashboard!$C$18="yes",Weights!E7,1)</f>
        <v>2.5490000000000004</v>
      </c>
      <c r="AD7" s="654">
        <f>IF(A7="Graduate School",Dashboard!$B$34*Dashboard!$B$36,Dashboard!$B$34*Dashboard!$B$35)</f>
        <v>0.99995999999999996</v>
      </c>
    </row>
    <row r="8" spans="1:33" x14ac:dyDescent="0.2">
      <c r="A8" t="s">
        <v>225</v>
      </c>
      <c r="B8" s="609">
        <f>ROUND(Dashboard!$D$29*(('Data-Credit &amp; Degree'!AU9+'Data-Credit &amp; Degree'!AV9+'Data-Credit &amp; Degree'!AW9)/('Data-Credit &amp; Degree'!$AU$23+'Data-Credit &amp; Degree'!$AV$23+'Data-Credit &amp; Degree'!$AW$23)),-2)</f>
        <v>0</v>
      </c>
      <c r="C8" s="610">
        <f>ROUND(Dashboard!$D$23*'Productivity Calc'!D8,-2)</f>
        <v>760400</v>
      </c>
      <c r="D8" s="635">
        <f t="shared" si="2"/>
        <v>1.2835369228819459E-2</v>
      </c>
      <c r="E8" s="610">
        <f>+Dashboard!$B$24*'Productivity Calc'!H8</f>
        <v>6560.73</v>
      </c>
      <c r="F8" s="610">
        <f>+Dashboard!$B$26*'Productivity Calc'!I8</f>
        <v>3088.6289999999999</v>
      </c>
      <c r="G8" s="614">
        <f>+Dashboard!$B$28*'Productivity Calc'!J8</f>
        <v>2745.66</v>
      </c>
      <c r="H8" s="609">
        <f>IF(A8="PHHS",IF(Dashboard!$C$13="no",SUM('Data-Credit &amp; Degree'!$B$16:$G$16)+SUM('Data-Credit &amp; Degree'!$B$25:$D$25),SUM('Data-Credit &amp; Degree'!$B$16:$G$16)+(SUM('Data-Credit &amp; Degree'!$B$25:$D$25)*Dashboard!$C$14)),SUM('Data-Credit &amp; Degree'!B9:G9))</f>
        <v>9306</v>
      </c>
      <c r="I8" s="610">
        <f>+'Data-Credit &amp; Degree'!K9+'Data-Credit &amp; Degree'!L9+'Data-Credit &amp; Degree'!M9</f>
        <v>3037</v>
      </c>
      <c r="J8" s="614">
        <f>+'Data-Credit &amp; Degree'!Q9+'Data-Credit &amp; Degree'!R9+'Data-Credit &amp; Degree'!S9</f>
        <v>1340</v>
      </c>
      <c r="K8" s="638">
        <f>ROUND((('Data-Credit &amp; Degree'!AI37+'Data-Credit &amp; Degree'!AJ37+'Data-Credit &amp; Degree'!AK37)*Dashboard!$B$44)/((('Data-Credit &amp; Degree'!$AI$51+'Data-Credit &amp; Degree'!$AJ$51+'Data-Credit &amp; Degree'!$AK$51)*Dashboard!$B$44)+(('Data-Credit &amp; Degree'!$AC$51+'Data-Credit &amp; Degree'!$AD$51+'Data-Credit &amp; Degree'!$AE$51)*Dashboard!$B$45)+(('Data-Credit &amp; Degree'!$AF$51+'Data-Credit &amp; Degree'!$AG$51+'Data-Credit &amp; Degree'!$AH$51)*Dashboard!$B$46))*Dashboard!$D$43,-2)</f>
        <v>53000</v>
      </c>
      <c r="L8" s="638">
        <f>ROUND((('Data-Credit &amp; Degree'!AC37+'Data-Credit &amp; Degree'!AD37+'Data-Credit &amp; Degree'!AE37)*Dashboard!$B$45)/((('Data-Credit &amp; Degree'!$AI$51+'Data-Credit &amp; Degree'!$AJ$51+'Data-Credit &amp; Degree'!$AK$51)*Dashboard!$B$44)+(('Data-Credit &amp; Degree'!$AC$51+'Data-Credit &amp; Degree'!$AD$51+'Data-Credit &amp; Degree'!$AE$51)*Dashboard!$B$45)+(('Data-Credit &amp; Degree'!$AF$51+'Data-Credit &amp; Degree'!$AG$51+'Data-Credit &amp; Degree'!$AH$51)*Dashboard!$B$46))*Dashboard!$D$43,-2)</f>
        <v>19200</v>
      </c>
      <c r="M8" s="638">
        <f>ROUND((('Data-Credit &amp; Degree'!AF37+'Data-Credit &amp; Degree'!AG37+'Data-Credit &amp; Degree'!AH37)*Dashboard!$B$46)/((('Data-Credit &amp; Degree'!$AI$51+'Data-Credit &amp; Degree'!$AJ$51+'Data-Credit &amp; Degree'!$AK$51)*Dashboard!$B$44)+(('Data-Credit &amp; Degree'!$AC$51+'Data-Credit &amp; Degree'!$AD$51+'Data-Credit &amp; Degree'!$AE$51)*Dashboard!$B$45)+(('Data-Credit &amp; Degree'!$AF$51+'Data-Credit &amp; Degree'!$AG$51+'Data-Credit &amp; Degree'!$AH$51)*Dashboard!$B$46))*Dashboard!$D$43,-2)</f>
        <v>46500</v>
      </c>
      <c r="N8" s="639">
        <f>ROUND(IF(A8="PHHS",Dashboard!$D$49*((SUM('Data-Credit &amp; Degree'!AX9:AZ9,'Data-Credit &amp; Degree'!$AX$25:$AZ$25)/(SUM('Data-Credit &amp; Degree'!$AX$23:$AZ$23,'Data-Credit &amp; Degree'!$AX$25:$AZ$25)))),Dashboard!$D$49*((SUM('Data-Credit &amp; Degree'!AX9:AZ9)/(SUM('Data-Credit &amp; Degree'!$AX$23:$AZ$23,'Data-Credit &amp; Degree'!$AX$25:$AZ$25))))),-2)</f>
        <v>28500</v>
      </c>
      <c r="O8" s="620">
        <f>+Ecampus!B10</f>
        <v>1500000</v>
      </c>
      <c r="P8" s="613">
        <f>+Summer!B11</f>
        <v>12000</v>
      </c>
      <c r="Q8" s="651">
        <f>ROUND((Dashboard!$D$30*(R8/'Productivity Calc'!$R$22))+(Dashboard!$D$31*(S8/$S$22)),-2)</f>
        <v>1167300</v>
      </c>
      <c r="R8" s="625">
        <f>(SUM('Data-Credit &amp; Degree'!B37:D37)+(SUM('Data-Credit &amp; Degree'!Q37:S37,'Data-Credit &amp; Degree'!N37:P37)/5))*T8</f>
        <v>829.95360000000005</v>
      </c>
      <c r="S8" s="571">
        <f>(((SUM('Data-Credit &amp; Degree'!H9:J9)*T8)))</f>
        <v>23923.284</v>
      </c>
      <c r="T8" s="647">
        <f>IF(Dashboard!$C$17="yes",Weights!C8,1)</f>
        <v>1.4279999999999999</v>
      </c>
      <c r="U8" s="660">
        <f>ROUND((V8*Dashboard!$D$37)+(W8*Dashboard!$D$32),-2)</f>
        <v>1276600</v>
      </c>
      <c r="V8" s="663">
        <f t="shared" si="0"/>
        <v>3.3498154682266461E-2</v>
      </c>
      <c r="W8" s="633">
        <f t="shared" si="1"/>
        <v>7.1613617011872216E-2</v>
      </c>
      <c r="X8" s="609">
        <f>IF(A8="Graduate School",((SUM('Data-Credit &amp; Degree'!T37:V37)*AD8))*AC8,(SUM('Data-Credit &amp; Degree'!E37:G37)+(SUM('Data-Credit &amp; Degree'!T37:V37)*AD8))*AC8)</f>
        <v>94.312796079999998</v>
      </c>
      <c r="Y8" s="610">
        <f>IF(A8="Graduate School",((SUM('Data-Credit &amp; Degree'!W37:Y37)*AD8))*AB8,(SUM('Data-Credit &amp; Degree'!H37:J37)+(SUM('Data-Credit &amp; Degree'!W37:Y37)*AD8))*AB8)</f>
        <v>514.28911520000008</v>
      </c>
      <c r="Z8" s="610">
        <f>(SUM('Data-Credit &amp; Degree'!K37:M37)/5)*AB8</f>
        <v>37.604000000000006</v>
      </c>
      <c r="AA8" s="614">
        <f>SUM('Data-Credit &amp; Degree'!N9:P9)*AB8</f>
        <v>22200.185000000005</v>
      </c>
      <c r="AB8" s="666">
        <f>IF((OR(A8="Pharmacy",A8="Veterinary Medicine")),IF(Dashboard!$C$15="yes",Dashboard!$C$16,IF(Dashboard!$C$18="yes",Weights!F8,1)),IF(Dashboard!$C$18="yes",Weights!D8,1))</f>
        <v>2.7650000000000006</v>
      </c>
      <c r="AC8" s="653">
        <f>IF(Dashboard!$C$18="yes",Weights!E8,1)</f>
        <v>2.5489999999999999</v>
      </c>
      <c r="AD8" s="654">
        <f>IF(A8="Graduate School",Dashboard!$B$34*Dashboard!$B$36,Dashboard!$B$34*Dashboard!$B$35)</f>
        <v>0.99995999999999996</v>
      </c>
    </row>
    <row r="9" spans="1:33" x14ac:dyDescent="0.2">
      <c r="A9" t="s">
        <v>226</v>
      </c>
      <c r="B9" s="609">
        <f>ROUND(Dashboard!$D$29*(('Data-Credit &amp; Degree'!AU10+'Data-Credit &amp; Degree'!AV10+'Data-Credit &amp; Degree'!AW10)/('Data-Credit &amp; Degree'!$AU$23+'Data-Credit &amp; Degree'!$AV$23+'Data-Credit &amp; Degree'!$AW$23)),-2)</f>
        <v>0</v>
      </c>
      <c r="C9" s="610">
        <f>ROUND(Dashboard!$D$23*'Productivity Calc'!D9,-2)</f>
        <v>0</v>
      </c>
      <c r="D9" s="635">
        <f t="shared" si="2"/>
        <v>0</v>
      </c>
      <c r="E9" s="610">
        <f>+Dashboard!$B$24*'Productivity Calc'!H9</f>
        <v>0</v>
      </c>
      <c r="F9" s="610">
        <f>+Dashboard!$B$26*'Productivity Calc'!I9</f>
        <v>0</v>
      </c>
      <c r="G9" s="614">
        <f>+Dashboard!$B$28*'Productivity Calc'!J9</f>
        <v>0</v>
      </c>
      <c r="H9" s="609">
        <f>IF(A9="PHHS",IF(Dashboard!$C$13="no",SUM('Data-Credit &amp; Degree'!$B$16:$G$16)+SUM('Data-Credit &amp; Degree'!$B$25:$D$25),SUM('Data-Credit &amp; Degree'!$B$16:$G$16)+(SUM('Data-Credit &amp; Degree'!$B$25:$D$25)*Dashboard!$C$14)),SUM('Data-Credit &amp; Degree'!B10:G10))</f>
        <v>0</v>
      </c>
      <c r="I9" s="610">
        <f>+'Data-Credit &amp; Degree'!K10+'Data-Credit &amp; Degree'!L10+'Data-Credit &amp; Degree'!M10</f>
        <v>0</v>
      </c>
      <c r="J9" s="614">
        <f>+'Data-Credit &amp; Degree'!Q10+'Data-Credit &amp; Degree'!R10+'Data-Credit &amp; Degree'!S10</f>
        <v>0</v>
      </c>
      <c r="K9" s="638">
        <f>ROUND((('Data-Credit &amp; Degree'!AI38+'Data-Credit &amp; Degree'!AJ38+'Data-Credit &amp; Degree'!AK38)*Dashboard!$B$44)/((('Data-Credit &amp; Degree'!$AI$51+'Data-Credit &amp; Degree'!$AJ$51+'Data-Credit &amp; Degree'!$AK$51)*Dashboard!$B$44)+(('Data-Credit &amp; Degree'!$AC$51+'Data-Credit &amp; Degree'!$AD$51+'Data-Credit &amp; Degree'!$AE$51)*Dashboard!$B$45)+(('Data-Credit &amp; Degree'!$AF$51+'Data-Credit &amp; Degree'!$AG$51+'Data-Credit &amp; Degree'!$AH$51)*Dashboard!$B$46))*Dashboard!$D$43,-2)</f>
        <v>0</v>
      </c>
      <c r="L9" s="638">
        <f>ROUND((('Data-Credit &amp; Degree'!AC38+'Data-Credit &amp; Degree'!AD38+'Data-Credit &amp; Degree'!AE38)*Dashboard!$B$45)/((('Data-Credit &amp; Degree'!$AI$51+'Data-Credit &amp; Degree'!$AJ$51+'Data-Credit &amp; Degree'!$AK$51)*Dashboard!$B$44)+(('Data-Credit &amp; Degree'!$AC$51+'Data-Credit &amp; Degree'!$AD$51+'Data-Credit &amp; Degree'!$AE$51)*Dashboard!$B$45)+(('Data-Credit &amp; Degree'!$AF$51+'Data-Credit &amp; Degree'!$AG$51+'Data-Credit &amp; Degree'!$AH$51)*Dashboard!$B$46))*Dashboard!$D$43,-2)</f>
        <v>0</v>
      </c>
      <c r="M9" s="638">
        <f>ROUND((('Data-Credit &amp; Degree'!AF38+'Data-Credit &amp; Degree'!AG38+'Data-Credit &amp; Degree'!AH38)*Dashboard!$B$46)/((('Data-Credit &amp; Degree'!$AI$51+'Data-Credit &amp; Degree'!$AJ$51+'Data-Credit &amp; Degree'!$AK$51)*Dashboard!$B$44)+(('Data-Credit &amp; Degree'!$AC$51+'Data-Credit &amp; Degree'!$AD$51+'Data-Credit &amp; Degree'!$AE$51)*Dashboard!$B$45)+(('Data-Credit &amp; Degree'!$AF$51+'Data-Credit &amp; Degree'!$AG$51+'Data-Credit &amp; Degree'!$AH$51)*Dashboard!$B$46))*Dashboard!$D$43,-2)</f>
        <v>0</v>
      </c>
      <c r="N9" s="639">
        <f>ROUND(IF(A9="PHHS",Dashboard!$D$49*((SUM('Data-Credit &amp; Degree'!AX10:AZ10,'Data-Credit &amp; Degree'!$AX$25:$AZ$25)/(SUM('Data-Credit &amp; Degree'!$AX$23:$AZ$23,'Data-Credit &amp; Degree'!$AX$25:$AZ$25)))),Dashboard!$D$49*((SUM('Data-Credit &amp; Degree'!AX10:AZ10)/(SUM('Data-Credit &amp; Degree'!$AX$23:$AZ$23,'Data-Credit &amp; Degree'!$AX$25:$AZ$25))))),-2)</f>
        <v>0</v>
      </c>
      <c r="O9" s="620">
        <f>+Ecampus!B11</f>
        <v>40000</v>
      </c>
      <c r="P9" s="613">
        <f>+Summer!B12</f>
        <v>70000</v>
      </c>
      <c r="Q9" s="651">
        <f>ROUND((Dashboard!$D$30*(R9/'Productivity Calc'!$R$22))+(Dashboard!$D$31*(S9/$S$22)),-2)</f>
        <v>0</v>
      </c>
      <c r="R9" s="625">
        <f>(SUM('Data-Credit &amp; Degree'!B38:D38)+(SUM('Data-Credit &amp; Degree'!Q38:S38,'Data-Credit &amp; Degree'!N38:P38)/5))*T9</f>
        <v>0</v>
      </c>
      <c r="S9" s="571">
        <f>(((SUM('Data-Credit &amp; Degree'!H10:J10)*T9)))</f>
        <v>0</v>
      </c>
      <c r="T9" s="647">
        <f>IF(Dashboard!$C$17="yes",Weights!C9,1)</f>
        <v>0</v>
      </c>
      <c r="U9" s="660">
        <f>ROUND((V9*Dashboard!$D$37)+(W9*Dashboard!$D$32),-2)</f>
        <v>0</v>
      </c>
      <c r="V9" s="663">
        <f t="shared" si="0"/>
        <v>0</v>
      </c>
      <c r="W9" s="633">
        <f t="shared" si="1"/>
        <v>0</v>
      </c>
      <c r="X9" s="609">
        <f>IF(A9="Graduate School",((SUM('Data-Credit &amp; Degree'!T38:V38)*AD9))*AC9,(SUM('Data-Credit &amp; Degree'!E38:G38)+(SUM('Data-Credit &amp; Degree'!T38:V38)*AD9))*AC9)</f>
        <v>0</v>
      </c>
      <c r="Y9" s="610">
        <f>IF(A9="Graduate School",((SUM('Data-Credit &amp; Degree'!W38:Y38)*AD9))*AB9,(SUM('Data-Credit &amp; Degree'!H38:J38)+(SUM('Data-Credit &amp; Degree'!W38:Y38)*AD9))*AB9)</f>
        <v>0</v>
      </c>
      <c r="Z9" s="610">
        <f>(SUM('Data-Credit &amp; Degree'!K38:M38)/5)*AB9</f>
        <v>0</v>
      </c>
      <c r="AA9" s="614">
        <f>SUM('Data-Credit &amp; Degree'!N10:P10)*AB9</f>
        <v>0</v>
      </c>
      <c r="AB9" s="666">
        <f>IF((OR(A9="Pharmacy",A9="Veterinary Medicine")),IF(Dashboard!$C$15="yes",Dashboard!$C$16,IF(Dashboard!$C$18="yes",Weights!F9,1)),IF(Dashboard!$C$18="yes",Weights!D9,1))</f>
        <v>2.7690000000000001</v>
      </c>
      <c r="AC9" s="653">
        <f>IF(Dashboard!$C$18="yes",Weights!E9,1)</f>
        <v>2.976</v>
      </c>
      <c r="AD9" s="654">
        <f>IF(A9="Graduate School",Dashboard!$B$34*Dashboard!$B$36,Dashboard!$B$34*Dashboard!$B$35)</f>
        <v>0.99995999999999996</v>
      </c>
    </row>
    <row r="10" spans="1:33" x14ac:dyDescent="0.2">
      <c r="A10" t="s">
        <v>227</v>
      </c>
      <c r="B10" s="609">
        <f>ROUND(Dashboard!$D$29*(('Data-Credit &amp; Degree'!AU11+'Data-Credit &amp; Degree'!AV11+'Data-Credit &amp; Degree'!AW11)/('Data-Credit &amp; Degree'!$AU$23+'Data-Credit &amp; Degree'!$AV$23+'Data-Credit &amp; Degree'!$AW$23)),-2)</f>
        <v>207900</v>
      </c>
      <c r="C10" s="610">
        <f>ROUND(Dashboard!$D$23*'Productivity Calc'!D10,-2)</f>
        <v>19570000</v>
      </c>
      <c r="D10" s="635">
        <f t="shared" si="2"/>
        <v>0.33032776692674271</v>
      </c>
      <c r="E10" s="610">
        <f>+Dashboard!$B$24*'Productivity Calc'!H10</f>
        <v>244547.22749999998</v>
      </c>
      <c r="F10" s="610">
        <f>+Dashboard!$B$26*'Productivity Calc'!I10</f>
        <v>55506.842999999993</v>
      </c>
      <c r="G10" s="614">
        <f>+Dashboard!$B$28*'Productivity Calc'!J10</f>
        <v>18940.955999999998</v>
      </c>
      <c r="H10" s="609">
        <f>IF(A10="PHHS",IF(Dashboard!$C$13="no",SUM('Data-Credit &amp; Degree'!$B$16:$G$16)+SUM('Data-Credit &amp; Degree'!$B$25:$D$25),SUM('Data-Credit &amp; Degree'!$B$16:$G$16)+(SUM('Data-Credit &amp; Degree'!$B$25:$D$25)*Dashboard!$C$14)),SUM('Data-Credit &amp; Degree'!B11:G11))</f>
        <v>346875.5</v>
      </c>
      <c r="I10" s="610">
        <f>+'Data-Credit &amp; Degree'!K11+'Data-Credit &amp; Degree'!L11+'Data-Credit &amp; Degree'!M11</f>
        <v>54579</v>
      </c>
      <c r="J10" s="614">
        <f>+'Data-Credit &amp; Degree'!Q11+'Data-Credit &amp; Degree'!R11+'Data-Credit &amp; Degree'!S11</f>
        <v>9244</v>
      </c>
      <c r="K10" s="638">
        <f>ROUND((('Data-Credit &amp; Degree'!AI39+'Data-Credit &amp; Degree'!AJ39+'Data-Credit &amp; Degree'!AK39)*Dashboard!$B$44)/((('Data-Credit &amp; Degree'!$AI$51+'Data-Credit &amp; Degree'!$AJ$51+'Data-Credit &amp; Degree'!$AK$51)*Dashboard!$B$44)+(('Data-Credit &amp; Degree'!$AC$51+'Data-Credit &amp; Degree'!$AD$51+'Data-Credit &amp; Degree'!$AE$51)*Dashboard!$B$45)+(('Data-Credit &amp; Degree'!$AF$51+'Data-Credit &amp; Degree'!$AG$51+'Data-Credit &amp; Degree'!$AH$51)*Dashboard!$B$46))*Dashboard!$D$43,-2)</f>
        <v>393500</v>
      </c>
      <c r="L10" s="638">
        <f>ROUND((('Data-Credit &amp; Degree'!AC39+'Data-Credit &amp; Degree'!AD39+'Data-Credit &amp; Degree'!AE39)*Dashboard!$B$45)/((('Data-Credit &amp; Degree'!$AI$51+'Data-Credit &amp; Degree'!$AJ$51+'Data-Credit &amp; Degree'!$AK$51)*Dashboard!$B$44)+(('Data-Credit &amp; Degree'!$AC$51+'Data-Credit &amp; Degree'!$AD$51+'Data-Credit &amp; Degree'!$AE$51)*Dashboard!$B$45)+(('Data-Credit &amp; Degree'!$AF$51+'Data-Credit &amp; Degree'!$AG$51+'Data-Credit &amp; Degree'!$AH$51)*Dashboard!$B$46))*Dashboard!$D$43,-2)</f>
        <v>103100</v>
      </c>
      <c r="M10" s="638">
        <f>ROUND((('Data-Credit &amp; Degree'!AF39+'Data-Credit &amp; Degree'!AG39+'Data-Credit &amp; Degree'!AH39)*Dashboard!$B$46)/((('Data-Credit &amp; Degree'!$AI$51+'Data-Credit &amp; Degree'!$AJ$51+'Data-Credit &amp; Degree'!$AK$51)*Dashboard!$B$44)+(('Data-Credit &amp; Degree'!$AC$51+'Data-Credit &amp; Degree'!$AD$51+'Data-Credit &amp; Degree'!$AE$51)*Dashboard!$B$45)+(('Data-Credit &amp; Degree'!$AF$51+'Data-Credit &amp; Degree'!$AG$51+'Data-Credit &amp; Degree'!$AH$51)*Dashboard!$B$46))*Dashboard!$D$43,-2)</f>
        <v>100900</v>
      </c>
      <c r="N10" s="639">
        <f>ROUND(IF(A10="PHHS",Dashboard!$D$49*((SUM('Data-Credit &amp; Degree'!AX11:AZ11,'Data-Credit &amp; Degree'!$AX$25:$AZ$25)/(SUM('Data-Credit &amp; Degree'!$AX$23:$AZ$23,'Data-Credit &amp; Degree'!$AX$25:$AZ$25)))),Dashboard!$D$49*((SUM('Data-Credit &amp; Degree'!AX11:AZ11)/(SUM('Data-Credit &amp; Degree'!$AX$23:$AZ$23,'Data-Credit &amp; Degree'!$AX$25:$AZ$25))))),-2)</f>
        <v>124700</v>
      </c>
      <c r="O10" s="620">
        <f>+Ecampus!B12</f>
        <v>12500000</v>
      </c>
      <c r="P10" s="613">
        <f>+Summer!B13</f>
        <v>1900000</v>
      </c>
      <c r="Q10" s="651">
        <f>ROUND((Dashboard!$D$30*(R10/'Productivity Calc'!$R$22))+(Dashboard!$D$31*(S10/$S$22)),-2)</f>
        <v>4579600</v>
      </c>
      <c r="R10" s="625">
        <f>(SUM('Data-Credit &amp; Degree'!B39:D39)+(SUM('Data-Credit &amp; Degree'!Q39:S39,'Data-Credit &amp; Degree'!N39:P39)/5))*T10</f>
        <v>2445.5397236359759</v>
      </c>
      <c r="S10" s="571">
        <f>(((SUM('Data-Credit &amp; Degree'!H11:J11)*T10)))</f>
        <v>135117.6251245685</v>
      </c>
      <c r="T10" s="647">
        <f>IF(Dashboard!$C$17="yes",Weights!C10,1)</f>
        <v>1.1521434672740865</v>
      </c>
      <c r="U10" s="660">
        <f>ROUND((V10*Dashboard!$D$37)+(W10*Dashboard!$D$32),-2)</f>
        <v>3012900</v>
      </c>
      <c r="V10" s="663">
        <f t="shared" si="0"/>
        <v>0.17561899256575197</v>
      </c>
      <c r="W10" s="633">
        <f t="shared" si="1"/>
        <v>0.10923404490270076</v>
      </c>
      <c r="X10" s="609">
        <f>IF(A10="Graduate School",((SUM('Data-Credit &amp; Degree'!T39:V39)*AD10))*AC10,(SUM('Data-Credit &amp; Degree'!E39:G39)+(SUM('Data-Credit &amp; Degree'!T39:V39)*AD10))*AC10)</f>
        <v>452.35140479999995</v>
      </c>
      <c r="Y10" s="610">
        <f>IF(A10="Graduate School",((SUM('Data-Credit &amp; Degree'!W39:Y39)*AD10))*AB10,(SUM('Data-Credit &amp; Degree'!H39:J39)+(SUM('Data-Credit &amp; Degree'!W39:Y39)*AD10))*AB10)</f>
        <v>526.99867978453824</v>
      </c>
      <c r="Z10" s="610">
        <f>(SUM('Data-Credit &amp; Degree'!K39:M39)/5)*AB10</f>
        <v>6.3239879518072302</v>
      </c>
      <c r="AA10" s="614">
        <f>SUM('Data-Credit &amp; Degree'!N11:P11)*AB10</f>
        <v>116387.72826305224</v>
      </c>
      <c r="AB10" s="666">
        <f>IF((OR(A10="Pharmacy",A10="Veterinary Medicine")),IF(Dashboard!$C$15="yes",Dashboard!$C$16,IF(Dashboard!$C$18="yes",Weights!F10,1)),IF(Dashboard!$C$18="yes",Weights!D10,1))</f>
        <v>2.6349949799196795</v>
      </c>
      <c r="AC10" s="653">
        <f>IF(Dashboard!$C$18="yes",Weights!E10,1)</f>
        <v>2.976</v>
      </c>
      <c r="AD10" s="654">
        <f>IF(A10="Graduate School",Dashboard!$B$34*Dashboard!$B$36,Dashboard!$B$34*Dashboard!$B$35)</f>
        <v>0.99995999999999996</v>
      </c>
    </row>
    <row r="11" spans="1:33" x14ac:dyDescent="0.2">
      <c r="A11" t="s">
        <v>140</v>
      </c>
      <c r="B11" s="609">
        <f>ROUND(Dashboard!$D$29*(('Data-Credit &amp; Degree'!AU12+'Data-Credit &amp; Degree'!AV12+'Data-Credit &amp; Degree'!AW12)/('Data-Credit &amp; Degree'!$AU$23+'Data-Credit &amp; Degree'!$AV$23+'Data-Credit &amp; Degree'!$AW$23)),-2)</f>
        <v>0</v>
      </c>
      <c r="C11" s="610">
        <f>ROUND(Dashboard!$D$23*'Productivity Calc'!D11,-2)</f>
        <v>212000</v>
      </c>
      <c r="D11" s="635">
        <f t="shared" si="2"/>
        <v>3.5791240201207635E-3</v>
      </c>
      <c r="E11" s="610">
        <f>+Dashboard!$B$24*'Productivity Calc'!H11</f>
        <v>0</v>
      </c>
      <c r="F11" s="610">
        <f>+Dashboard!$B$26*'Productivity Calc'!I11</f>
        <v>44.747999999999998</v>
      </c>
      <c r="G11" s="614">
        <f>+Dashboard!$B$28*'Productivity Calc'!J11</f>
        <v>3411.585</v>
      </c>
      <c r="H11" s="609">
        <f>IF(A11="PHHS",IF(Dashboard!$C$13="no",SUM('Data-Credit &amp; Degree'!$B$16:$G$16)+SUM('Data-Credit &amp; Degree'!$B$25:$D$25),SUM('Data-Credit &amp; Degree'!$B$16:$G$16)+(SUM('Data-Credit &amp; Degree'!$B$25:$D$25)*Dashboard!$C$14)),SUM('Data-Credit &amp; Degree'!B12:G12))</f>
        <v>0</v>
      </c>
      <c r="I11" s="610">
        <f>+'Data-Credit &amp; Degree'!K12+'Data-Credit &amp; Degree'!L12+'Data-Credit &amp; Degree'!M12</f>
        <v>44</v>
      </c>
      <c r="J11" s="614">
        <f>+'Data-Credit &amp; Degree'!Q12+'Data-Credit &amp; Degree'!R12+'Data-Credit &amp; Degree'!S12</f>
        <v>1665</v>
      </c>
      <c r="K11" s="638">
        <f>ROUND((('Data-Credit &amp; Degree'!AI40+'Data-Credit &amp; Degree'!AJ40+'Data-Credit &amp; Degree'!AK40)*Dashboard!$B$44)/((('Data-Credit &amp; Degree'!$AI$51+'Data-Credit &amp; Degree'!$AJ$51+'Data-Credit &amp; Degree'!$AK$51)*Dashboard!$B$44)+(('Data-Credit &amp; Degree'!$AC$51+'Data-Credit &amp; Degree'!$AD$51+'Data-Credit &amp; Degree'!$AE$51)*Dashboard!$B$45)+(('Data-Credit &amp; Degree'!$AF$51+'Data-Credit &amp; Degree'!$AG$51+'Data-Credit &amp; Degree'!$AH$51)*Dashboard!$B$46))*Dashboard!$D$43,-2)</f>
        <v>18300</v>
      </c>
      <c r="L11" s="638">
        <f>ROUND((('Data-Credit &amp; Degree'!AC40+'Data-Credit &amp; Degree'!AD40+'Data-Credit &amp; Degree'!AE40)*Dashboard!$B$45)/((('Data-Credit &amp; Degree'!$AI$51+'Data-Credit &amp; Degree'!$AJ$51+'Data-Credit &amp; Degree'!$AK$51)*Dashboard!$B$44)+(('Data-Credit &amp; Degree'!$AC$51+'Data-Credit &amp; Degree'!$AD$51+'Data-Credit &amp; Degree'!$AE$51)*Dashboard!$B$45)+(('Data-Credit &amp; Degree'!$AF$51+'Data-Credit &amp; Degree'!$AG$51+'Data-Credit &amp; Degree'!$AH$51)*Dashboard!$B$46))*Dashboard!$D$43,-2)</f>
        <v>28000</v>
      </c>
      <c r="M11" s="638">
        <f>ROUND((('Data-Credit &amp; Degree'!AF40+'Data-Credit &amp; Degree'!AG40+'Data-Credit &amp; Degree'!AH40)*Dashboard!$B$46)/((('Data-Credit &amp; Degree'!$AI$51+'Data-Credit &amp; Degree'!$AJ$51+'Data-Credit &amp; Degree'!$AK$51)*Dashboard!$B$44)+(('Data-Credit &amp; Degree'!$AC$51+'Data-Credit &amp; Degree'!$AD$51+'Data-Credit &amp; Degree'!$AE$51)*Dashboard!$B$45)+(('Data-Credit &amp; Degree'!$AF$51+'Data-Credit &amp; Degree'!$AG$51+'Data-Credit &amp; Degree'!$AH$51)*Dashboard!$B$46))*Dashboard!$D$43,-2)</f>
        <v>2800</v>
      </c>
      <c r="N11" s="639">
        <f>ROUND(IF(A11="PHHS",Dashboard!$D$49*((SUM('Data-Credit &amp; Degree'!AX12:AZ12,'Data-Credit &amp; Degree'!$AX$25:$AZ$25)/(SUM('Data-Credit &amp; Degree'!$AX$23:$AZ$23,'Data-Credit &amp; Degree'!$AX$25:$AZ$25)))),Dashboard!$D$49*((SUM('Data-Credit &amp; Degree'!AX12:AZ12)/(SUM('Data-Credit &amp; Degree'!$AX$23:$AZ$23,'Data-Credit &amp; Degree'!$AX$25:$AZ$25))))),-2)</f>
        <v>0</v>
      </c>
      <c r="O11" s="620">
        <f>+Ecampus!B13</f>
        <v>329000</v>
      </c>
      <c r="P11" s="613">
        <f>+Summer!B14</f>
        <v>74000</v>
      </c>
      <c r="Q11" s="651">
        <f>ROUND((Dashboard!$D$30*(R11/'Productivity Calc'!$R$22))+(Dashboard!$D$31*(S11/$S$22)),-2)</f>
        <v>0</v>
      </c>
      <c r="R11" s="625">
        <f>(SUM('Data-Credit &amp; Degree'!B40:D40)+(SUM('Data-Credit &amp; Degree'!Q40:S40,'Data-Credit &amp; Degree'!N40:P40)/5))*T11</f>
        <v>0</v>
      </c>
      <c r="S11" s="571">
        <f>(((SUM('Data-Credit &amp; Degree'!H12:J12)*T11)))</f>
        <v>0</v>
      </c>
      <c r="T11" s="647">
        <f>IF(Dashboard!$C$17="yes",Weights!C11,1)</f>
        <v>0</v>
      </c>
      <c r="U11" s="660">
        <f>ROUND((V11*Dashboard!$D$37)+(W11*Dashboard!$D$32),-2)</f>
        <v>260700</v>
      </c>
      <c r="V11" s="664">
        <f t="shared" si="0"/>
        <v>2.29347814981265E-2</v>
      </c>
      <c r="W11" s="655">
        <f t="shared" si="1"/>
        <v>4.6606630790062813E-3</v>
      </c>
      <c r="X11" s="609">
        <f>IF(A11="Graduate School",((SUM('Data-Credit &amp; Degree'!T40:V40)*AD11))*AC11,(SUM('Data-Credit &amp; Degree'!E40:G40)+(SUM('Data-Credit &amp; Degree'!T40:V40)*AD11))*AC11)</f>
        <v>1.1487491904784128</v>
      </c>
      <c r="Y11" s="610">
        <f>IF(A11="Graduate School",((SUM('Data-Credit &amp; Degree'!W40:Y40)*AD11))*AB11,(SUM('Data-Credit &amp; Degree'!H40:J40)+(SUM('Data-Credit &amp; Degree'!W40:Y40)*AD11))*AB11)</f>
        <v>7.5366875383160981</v>
      </c>
      <c r="Z11" s="610">
        <f>(SUM('Data-Credit &amp; Degree'!K40:M40)/5)*AB11</f>
        <v>33.370085081240767</v>
      </c>
      <c r="AA11" s="614">
        <f>SUM('Data-Credit &amp; Degree'!N12:P12)*AB11</f>
        <v>15199.535527326439</v>
      </c>
      <c r="AB11" s="666">
        <f>IF((OR(A11="Pharmacy",A11="Veterinary Medicine")),IF(Dashboard!$C$15="yes",Dashboard!$C$16,IF(Dashboard!$C$18="yes",Weights!F11,1)),IF(Dashboard!$C$18="yes",Weights!D11,1))</f>
        <v>2.6911358936484491</v>
      </c>
      <c r="AC11" s="653">
        <f>IF(Dashboard!$C$18="yes",Weights!E11,1)</f>
        <v>2.8712987164527424</v>
      </c>
      <c r="AD11" s="654">
        <f>IF(A11="Graduate School",Dashboard!$B$34*Dashboard!$B$36,Dashboard!$B$34*Dashboard!$B$35)</f>
        <v>0.20003999999999994</v>
      </c>
    </row>
    <row r="12" spans="1:33" x14ac:dyDescent="0.2">
      <c r="A12" t="s">
        <v>228</v>
      </c>
      <c r="B12" s="609">
        <f>ROUND(Dashboard!$D$29*(('Data-Credit &amp; Degree'!AU13+'Data-Credit &amp; Degree'!AV13+'Data-Credit &amp; Degree'!AW13)/('Data-Credit &amp; Degree'!$AU$23+'Data-Credit &amp; Degree'!$AV$23+'Data-Credit &amp; Degree'!$AW$23)),-2)</f>
        <v>104400</v>
      </c>
      <c r="C12" s="610">
        <f>ROUND(Dashboard!$D$23*'Productivity Calc'!D12,-2)</f>
        <v>16608900</v>
      </c>
      <c r="D12" s="635">
        <f t="shared" si="2"/>
        <v>0.28034637677269109</v>
      </c>
      <c r="E12" s="610">
        <f>+Dashboard!$B$24*'Productivity Calc'!H12</f>
        <v>195827.14499999999</v>
      </c>
      <c r="F12" s="610">
        <f>+Dashboard!$B$26*'Productivity Calc'!I12</f>
        <v>62232.263999999996</v>
      </c>
      <c r="G12" s="614">
        <f>+Dashboard!$B$28*'Productivity Calc'!J12</f>
        <v>12668.966999999999</v>
      </c>
      <c r="H12" s="609">
        <f>IF(A12="PHHS",IF(Dashboard!$C$13="no",SUM('Data-Credit &amp; Degree'!$B$16:$G$16)+SUM('Data-Credit &amp; Degree'!$B$25:$D$25),SUM('Data-Credit &amp; Degree'!$B$16:$G$16)+(SUM('Data-Credit &amp; Degree'!$B$25:$D$25)*Dashboard!$C$14)),SUM('Data-Credit &amp; Degree'!B13:G13))</f>
        <v>277769</v>
      </c>
      <c r="I12" s="610">
        <f>+'Data-Credit &amp; Degree'!K13+'Data-Credit &amp; Degree'!L13+'Data-Credit &amp; Degree'!M13</f>
        <v>61192</v>
      </c>
      <c r="J12" s="614">
        <f>+'Data-Credit &amp; Degree'!Q13+'Data-Credit &amp; Degree'!R13+'Data-Credit &amp; Degree'!S13</f>
        <v>6183</v>
      </c>
      <c r="K12" s="638">
        <f>ROUND((('Data-Credit &amp; Degree'!AI41+'Data-Credit &amp; Degree'!AJ41+'Data-Credit &amp; Degree'!AK41)*Dashboard!$B$44)/((('Data-Credit &amp; Degree'!$AI$51+'Data-Credit &amp; Degree'!$AJ$51+'Data-Credit &amp; Degree'!$AK$51)*Dashboard!$B$44)+(('Data-Credit &amp; Degree'!$AC$51+'Data-Credit &amp; Degree'!$AD$51+'Data-Credit &amp; Degree'!$AE$51)*Dashboard!$B$45)+(('Data-Credit &amp; Degree'!$AF$51+'Data-Credit &amp; Degree'!$AG$51+'Data-Credit &amp; Degree'!$AH$51)*Dashboard!$B$46))*Dashboard!$D$43,-2)</f>
        <v>509000</v>
      </c>
      <c r="L12" s="638">
        <f>ROUND((('Data-Credit &amp; Degree'!AC41+'Data-Credit &amp; Degree'!AD41+'Data-Credit &amp; Degree'!AE41)*Dashboard!$B$45)/((('Data-Credit &amp; Degree'!$AI$51+'Data-Credit &amp; Degree'!$AJ$51+'Data-Credit &amp; Degree'!$AK$51)*Dashboard!$B$44)+(('Data-Credit &amp; Degree'!$AC$51+'Data-Credit &amp; Degree'!$AD$51+'Data-Credit &amp; Degree'!$AE$51)*Dashboard!$B$45)+(('Data-Credit &amp; Degree'!$AF$51+'Data-Credit &amp; Degree'!$AG$51+'Data-Credit &amp; Degree'!$AH$51)*Dashboard!$B$46))*Dashboard!$D$43,-2)</f>
        <v>122300</v>
      </c>
      <c r="M12" s="638">
        <f>ROUND((('Data-Credit &amp; Degree'!AF41+'Data-Credit &amp; Degree'!AG41+'Data-Credit &amp; Degree'!AH41)*Dashboard!$B$46)/((('Data-Credit &amp; Degree'!$AI$51+'Data-Credit &amp; Degree'!$AJ$51+'Data-Credit &amp; Degree'!$AK$51)*Dashboard!$B$44)+(('Data-Credit &amp; Degree'!$AC$51+'Data-Credit &amp; Degree'!$AD$51+'Data-Credit &amp; Degree'!$AE$51)*Dashboard!$B$45)+(('Data-Credit &amp; Degree'!$AF$51+'Data-Credit &amp; Degree'!$AG$51+'Data-Credit &amp; Degree'!$AH$51)*Dashboard!$B$46))*Dashboard!$D$43,-2)</f>
        <v>205000</v>
      </c>
      <c r="N12" s="639">
        <f>ROUND(IF(A12="PHHS",Dashboard!$D$49*((SUM('Data-Credit &amp; Degree'!AX13:AZ13,'Data-Credit &amp; Degree'!$AX$25:$AZ$25)/(SUM('Data-Credit &amp; Degree'!$AX$23:$AZ$23,'Data-Credit &amp; Degree'!$AX$25:$AZ$25)))),Dashboard!$D$49*((SUM('Data-Credit &amp; Degree'!AX13:AZ13)/(SUM('Data-Credit &amp; Degree'!$AX$23:$AZ$23,'Data-Credit &amp; Degree'!$AX$25:$AZ$25))))),-2)</f>
        <v>147300</v>
      </c>
      <c r="O12" s="620">
        <f>+Ecampus!B14</f>
        <v>21800000</v>
      </c>
      <c r="P12" s="613">
        <f>+Summer!B15</f>
        <v>495000</v>
      </c>
      <c r="Q12" s="651">
        <f>ROUND((Dashboard!$D$30*(R12/'Productivity Calc'!$R$22))+(Dashboard!$D$31*(S12/$S$22)),-2)</f>
        <v>4770500</v>
      </c>
      <c r="R12" s="625">
        <f>(SUM('Data-Credit &amp; Degree'!B41:D41)+(SUM('Data-Credit &amp; Degree'!Q41:S41,'Data-Credit &amp; Degree'!N41:P41)/5))*T12</f>
        <v>3304.5326107927863</v>
      </c>
      <c r="S12" s="571">
        <f>(((SUM('Data-Credit &amp; Degree'!H13:J13)*T12)))</f>
        <v>102202.2069694099</v>
      </c>
      <c r="T12" s="647">
        <f>IF(Dashboard!$C$17="yes",Weights!C12,1)</f>
        <v>0.95550908246379429</v>
      </c>
      <c r="U12" s="660">
        <f>ROUND((V12*Dashboard!$D$37)+(W12*Dashboard!$D$32),-2)</f>
        <v>1691900</v>
      </c>
      <c r="V12" s="663">
        <f t="shared" si="0"/>
        <v>7.2646102025113041E-2</v>
      </c>
      <c r="W12" s="633">
        <f t="shared" si="1"/>
        <v>7.742100335444807E-2</v>
      </c>
      <c r="X12" s="609">
        <f>IF(A12="Graduate School",((SUM('Data-Credit &amp; Degree'!T41:V41)*AD12))*AC12,(SUM('Data-Credit &amp; Degree'!E41:G41)+(SUM('Data-Credit &amp; Degree'!T41:V41)*AD12))*AC12)</f>
        <v>123.47891407570503</v>
      </c>
      <c r="Y12" s="610">
        <f>IF(A12="Graduate School",((SUM('Data-Credit &amp; Degree'!W41:Y41)*AD12))*AB12,(SUM('Data-Credit &amp; Degree'!H41:J41)+(SUM('Data-Credit &amp; Degree'!W41:Y41)*AD12))*AB12)</f>
        <v>574.71276732290892</v>
      </c>
      <c r="Z12" s="610">
        <f>(SUM('Data-Credit &amp; Degree'!K41:M41)/5)*AB12</f>
        <v>0.41721607655502385</v>
      </c>
      <c r="AA12" s="614">
        <f>SUM('Data-Credit &amp; Degree'!N13:P13)*AB12</f>
        <v>48144.649154066974</v>
      </c>
      <c r="AB12" s="666">
        <f>IF((OR(A12="Pharmacy",A12="Veterinary Medicine")),IF(Dashboard!$C$15="yes",Dashboard!$C$16,IF(Dashboard!$C$18="yes",Weights!F12,1)),IF(Dashboard!$C$18="yes",Weights!D12,1))</f>
        <v>2.0860803827751191</v>
      </c>
      <c r="AC12" s="653">
        <f>IF(Dashboard!$C$18="yes",Weights!E12,1)</f>
        <v>3.2494553686934022</v>
      </c>
      <c r="AD12" s="654">
        <f>IF(A12="Graduate School",Dashboard!$B$34*Dashboard!$B$36,Dashboard!$B$34*Dashboard!$B$35)</f>
        <v>0.99995999999999996</v>
      </c>
    </row>
    <row r="13" spans="1:33" x14ac:dyDescent="0.2">
      <c r="A13" t="s">
        <v>229</v>
      </c>
      <c r="B13" s="609">
        <f>ROUND(Dashboard!$D$29*(('Data-Credit &amp; Degree'!AU14+'Data-Credit &amp; Degree'!AV14+'Data-Credit &amp; Degree'!AW14)/('Data-Credit &amp; Degree'!$AU$23+'Data-Credit &amp; Degree'!$AV$23+'Data-Credit &amp; Degree'!$AW$23)),-2)</f>
        <v>0</v>
      </c>
      <c r="C13" s="610">
        <f>ROUND(Dashboard!$D$23*'Productivity Calc'!D13,-2)</f>
        <v>0</v>
      </c>
      <c r="D13" s="635">
        <f t="shared" si="2"/>
        <v>0</v>
      </c>
      <c r="E13" s="610">
        <f>+Dashboard!$B$24*'Productivity Calc'!H13</f>
        <v>0</v>
      </c>
      <c r="F13" s="610">
        <f>+Dashboard!$B$26*'Productivity Calc'!I13</f>
        <v>0</v>
      </c>
      <c r="G13" s="614">
        <f>+Dashboard!$B$28*'Productivity Calc'!J13</f>
        <v>0</v>
      </c>
      <c r="H13" s="609">
        <f>IF(A13="PHHS",IF(Dashboard!$C$13="no",SUM('Data-Credit &amp; Degree'!$B$16:$G$16)+SUM('Data-Credit &amp; Degree'!$B$25:$D$25),SUM('Data-Credit &amp; Degree'!$B$16:$G$16)+(SUM('Data-Credit &amp; Degree'!$B$25:$D$25)*Dashboard!$C$14)),SUM('Data-Credit &amp; Degree'!B14:G14))</f>
        <v>0</v>
      </c>
      <c r="I13" s="610">
        <f>+'Data-Credit &amp; Degree'!K14+'Data-Credit &amp; Degree'!L14+'Data-Credit &amp; Degree'!M14</f>
        <v>0</v>
      </c>
      <c r="J13" s="614">
        <f>+'Data-Credit &amp; Degree'!Q14+'Data-Credit &amp; Degree'!R14+'Data-Credit &amp; Degree'!S14</f>
        <v>0</v>
      </c>
      <c r="K13" s="638">
        <f>ROUND((('Data-Credit &amp; Degree'!AI42+'Data-Credit &amp; Degree'!AJ42+'Data-Credit &amp; Degree'!AK42)*Dashboard!$B$44)/((('Data-Credit &amp; Degree'!$AI$51+'Data-Credit &amp; Degree'!$AJ$51+'Data-Credit &amp; Degree'!$AK$51)*Dashboard!$B$44)+(('Data-Credit &amp; Degree'!$AC$51+'Data-Credit &amp; Degree'!$AD$51+'Data-Credit &amp; Degree'!$AE$51)*Dashboard!$B$45)+(('Data-Credit &amp; Degree'!$AF$51+'Data-Credit &amp; Degree'!$AG$51+'Data-Credit &amp; Degree'!$AH$51)*Dashboard!$B$46))*Dashboard!$D$43,-2)</f>
        <v>0</v>
      </c>
      <c r="L13" s="638">
        <f>ROUND((('Data-Credit &amp; Degree'!AC42+'Data-Credit &amp; Degree'!AD42+'Data-Credit &amp; Degree'!AE42)*Dashboard!$B$45)/((('Data-Credit &amp; Degree'!$AI$51+'Data-Credit &amp; Degree'!$AJ$51+'Data-Credit &amp; Degree'!$AK$51)*Dashboard!$B$44)+(('Data-Credit &amp; Degree'!$AC$51+'Data-Credit &amp; Degree'!$AD$51+'Data-Credit &amp; Degree'!$AE$51)*Dashboard!$B$45)+(('Data-Credit &amp; Degree'!$AF$51+'Data-Credit &amp; Degree'!$AG$51+'Data-Credit &amp; Degree'!$AH$51)*Dashboard!$B$46))*Dashboard!$D$43,-2)</f>
        <v>0</v>
      </c>
      <c r="M13" s="638">
        <f>ROUND((('Data-Credit &amp; Degree'!AF42+'Data-Credit &amp; Degree'!AG42+'Data-Credit &amp; Degree'!AH42)*Dashboard!$B$46)/((('Data-Credit &amp; Degree'!$AI$51+'Data-Credit &amp; Degree'!$AJ$51+'Data-Credit &amp; Degree'!$AK$51)*Dashboard!$B$44)+(('Data-Credit &amp; Degree'!$AC$51+'Data-Credit &amp; Degree'!$AD$51+'Data-Credit &amp; Degree'!$AE$51)*Dashboard!$B$45)+(('Data-Credit &amp; Degree'!$AF$51+'Data-Credit &amp; Degree'!$AG$51+'Data-Credit &amp; Degree'!$AH$51)*Dashboard!$B$46))*Dashboard!$D$43,-2)</f>
        <v>0</v>
      </c>
      <c r="N13" s="639">
        <f>ROUND(IF(A13="PHHS",Dashboard!$D$49*((SUM('Data-Credit &amp; Degree'!AX14:AZ14,'Data-Credit &amp; Degree'!$AX$25:$AZ$25)/(SUM('Data-Credit &amp; Degree'!$AX$23:$AZ$23,'Data-Credit &amp; Degree'!$AX$25:$AZ$25)))),Dashboard!$D$49*((SUM('Data-Credit &amp; Degree'!AX14:AZ14)/(SUM('Data-Credit &amp; Degree'!$AX$23:$AZ$23,'Data-Credit &amp; Degree'!$AX$25:$AZ$25))))),-2)</f>
        <v>0</v>
      </c>
      <c r="O13" s="620">
        <f>+Ecampus!B15</f>
        <v>0</v>
      </c>
      <c r="P13" s="613">
        <f>+Summer!B16</f>
        <v>0</v>
      </c>
      <c r="Q13" s="651">
        <f>ROUND((Dashboard!$D$30*(R13/'Productivity Calc'!$R$22))+(Dashboard!$D$31*(S13/$S$22)),-2)</f>
        <v>0</v>
      </c>
      <c r="R13" s="625">
        <f>(SUM('Data-Credit &amp; Degree'!B42:D42)+(SUM('Data-Credit &amp; Degree'!Q42:S42,'Data-Credit &amp; Degree'!N42:P42)/5))*T13</f>
        <v>0</v>
      </c>
      <c r="S13" s="571">
        <f>(((SUM('Data-Credit &amp; Degree'!H14:J14)*T13)))</f>
        <v>0</v>
      </c>
      <c r="T13" s="647">
        <f>IF(Dashboard!$C$17="yes",Weights!C13,1)</f>
        <v>0</v>
      </c>
      <c r="U13" s="660">
        <f>ROUND((V13*Dashboard!$D$37)+(W13*Dashboard!$D$32),-2)</f>
        <v>0</v>
      </c>
      <c r="V13" s="663">
        <f t="shared" si="0"/>
        <v>0</v>
      </c>
      <c r="W13" s="633">
        <f t="shared" si="1"/>
        <v>0</v>
      </c>
      <c r="X13" s="609">
        <f>IF(A13="Graduate School",((SUM('Data-Credit &amp; Degree'!T42:V42)*AD13))*AC13,(SUM('Data-Credit &amp; Degree'!E42:G42)+(SUM('Data-Credit &amp; Degree'!T42:V42)*AD13))*AC13)</f>
        <v>0</v>
      </c>
      <c r="Y13" s="610">
        <f>IF(A13="Graduate School",((SUM('Data-Credit &amp; Degree'!W42:Y42)*AD13))*AB13,(SUM('Data-Credit &amp; Degree'!H42:J42)+(SUM('Data-Credit &amp; Degree'!W42:Y42)*AD13))*AB13)</f>
        <v>0</v>
      </c>
      <c r="Z13" s="610">
        <f>(SUM('Data-Credit &amp; Degree'!K42:M42)/5)*AB13</f>
        <v>0</v>
      </c>
      <c r="AA13" s="614">
        <f>SUM('Data-Credit &amp; Degree'!N14:P14)*AB13</f>
        <v>0</v>
      </c>
      <c r="AB13" s="666">
        <f>IF((OR(A13="Pharmacy",A13="Veterinary Medicine")),IF(Dashboard!$C$15="yes",Dashboard!$C$16,IF(Dashboard!$C$18="yes",Weights!F13,1)),IF(Dashboard!$C$18="yes",Weights!D13,1))</f>
        <v>2.7690000000000001</v>
      </c>
      <c r="AC13" s="653">
        <f>IF(Dashboard!$C$18="yes",Weights!E13,1)</f>
        <v>0</v>
      </c>
      <c r="AD13" s="654">
        <f>IF(A13="Graduate School",Dashboard!$B$34*Dashboard!$B$36,Dashboard!$B$34*Dashboard!$B$35)</f>
        <v>0.99995999999999996</v>
      </c>
      <c r="AF13" s="301"/>
      <c r="AG13" s="230"/>
    </row>
    <row r="14" spans="1:33" x14ac:dyDescent="0.2">
      <c r="A14" t="s">
        <v>230</v>
      </c>
      <c r="B14" s="609">
        <f>ROUND(Dashboard!$D$29*(('Data-Credit &amp; Degree'!AU15+'Data-Credit &amp; Degree'!AV15+'Data-Credit &amp; Degree'!AW15)/('Data-Credit &amp; Degree'!$AU$23+'Data-Credit &amp; Degree'!$AV$23+'Data-Credit &amp; Degree'!$AW$23)),-2)</f>
        <v>68100</v>
      </c>
      <c r="C14" s="610">
        <f>ROUND(Dashboard!$D$23*'Productivity Calc'!D14,-2)</f>
        <v>5074900</v>
      </c>
      <c r="D14" s="635">
        <f t="shared" si="2"/>
        <v>8.5660717394387603E-2</v>
      </c>
      <c r="E14" s="610">
        <f>+Dashboard!$B$24*'Productivity Calc'!H14</f>
        <v>73164.194999999992</v>
      </c>
      <c r="F14" s="610">
        <f>+Dashboard!$B$26*'Productivity Calc'!I14</f>
        <v>4424.9669999999996</v>
      </c>
      <c r="G14" s="614">
        <f>+Dashboard!$B$28*'Productivity Calc'!J14</f>
        <v>5132.7449999999999</v>
      </c>
      <c r="H14" s="609">
        <f>IF(A14="PHHS",IF(Dashboard!$C$13="no",SUM('Data-Credit &amp; Degree'!$B$16:$G$16)+SUM('Data-Credit &amp; Degree'!$B$25:$D$25),SUM('Data-Credit &amp; Degree'!$B$16:$G$16)+(SUM('Data-Credit &amp; Degree'!$B$25:$D$25)*Dashboard!$C$14)),SUM('Data-Credit &amp; Degree'!B15:G15))</f>
        <v>103779</v>
      </c>
      <c r="I14" s="610">
        <f>+'Data-Credit &amp; Degree'!K15+'Data-Credit &amp; Degree'!L15+'Data-Credit &amp; Degree'!M15</f>
        <v>4351</v>
      </c>
      <c r="J14" s="614">
        <f>+'Data-Credit &amp; Degree'!Q15+'Data-Credit &amp; Degree'!R15+'Data-Credit &amp; Degree'!S15</f>
        <v>2505</v>
      </c>
      <c r="K14" s="638">
        <f>ROUND((('Data-Credit &amp; Degree'!AI43+'Data-Credit &amp; Degree'!AJ43+'Data-Credit &amp; Degree'!AK43)*Dashboard!$B$44)/((('Data-Credit &amp; Degree'!$AI$51+'Data-Credit &amp; Degree'!$AJ$51+'Data-Credit &amp; Degree'!$AK$51)*Dashboard!$B$44)+(('Data-Credit &amp; Degree'!$AC$51+'Data-Credit &amp; Degree'!$AD$51+'Data-Credit &amp; Degree'!$AE$51)*Dashboard!$B$45)+(('Data-Credit &amp; Degree'!$AF$51+'Data-Credit &amp; Degree'!$AG$51+'Data-Credit &amp; Degree'!$AH$51)*Dashboard!$B$46))*Dashboard!$D$43,-2)</f>
        <v>643500</v>
      </c>
      <c r="L14" s="638">
        <f>ROUND((('Data-Credit &amp; Degree'!AC43+'Data-Credit &amp; Degree'!AD43+'Data-Credit &amp; Degree'!AE43)*Dashboard!$B$45)/((('Data-Credit &amp; Degree'!$AI$51+'Data-Credit &amp; Degree'!$AJ$51+'Data-Credit &amp; Degree'!$AK$51)*Dashboard!$B$44)+(('Data-Credit &amp; Degree'!$AC$51+'Data-Credit &amp; Degree'!$AD$51+'Data-Credit &amp; Degree'!$AE$51)*Dashboard!$B$45)+(('Data-Credit &amp; Degree'!$AF$51+'Data-Credit &amp; Degree'!$AG$51+'Data-Credit &amp; Degree'!$AH$51)*Dashboard!$B$46))*Dashboard!$D$43,-2)</f>
        <v>714100</v>
      </c>
      <c r="M14" s="638">
        <f>ROUND((('Data-Credit &amp; Degree'!AF43+'Data-Credit &amp; Degree'!AG43+'Data-Credit &amp; Degree'!AH43)*Dashboard!$B$46)/((('Data-Credit &amp; Degree'!$AI$51+'Data-Credit &amp; Degree'!$AJ$51+'Data-Credit &amp; Degree'!$AK$51)*Dashboard!$B$44)+(('Data-Credit &amp; Degree'!$AC$51+'Data-Credit &amp; Degree'!$AD$51+'Data-Credit &amp; Degree'!$AE$51)*Dashboard!$B$45)+(('Data-Credit &amp; Degree'!$AF$51+'Data-Credit &amp; Degree'!$AG$51+'Data-Credit &amp; Degree'!$AH$51)*Dashboard!$B$46))*Dashboard!$D$43,-2)</f>
        <v>172400</v>
      </c>
      <c r="N14" s="639">
        <f>ROUND(IF(A14="PHHS",Dashboard!$D$49*((SUM('Data-Credit &amp; Degree'!AX15:AZ15,'Data-Credit &amp; Degree'!$AX$25:$AZ$25)/(SUM('Data-Credit &amp; Degree'!$AX$23:$AZ$23,'Data-Credit &amp; Degree'!$AX$25:$AZ$25)))),Dashboard!$D$49*((SUM('Data-Credit &amp; Degree'!AX15:AZ15)/(SUM('Data-Credit &amp; Degree'!$AX$23:$AZ$23,'Data-Credit &amp; Degree'!$AX$25:$AZ$25))))),-2)</f>
        <v>81600</v>
      </c>
      <c r="O14" s="620">
        <f>+Ecampus!B16</f>
        <v>21000000</v>
      </c>
      <c r="P14" s="613">
        <f>+Summer!B17</f>
        <v>1500000</v>
      </c>
      <c r="Q14" s="651">
        <f>ROUND((Dashboard!$D$30*(R14/'Productivity Calc'!$R$22))+(Dashboard!$D$31*(S14/$S$22)),-2)</f>
        <v>12369900</v>
      </c>
      <c r="R14" s="625">
        <f>(SUM('Data-Credit &amp; Degree'!B43:D43)+(SUM('Data-Credit &amp; Degree'!Q43:S43,'Data-Credit &amp; Degree'!N43:P43)/5))*T14</f>
        <v>6729.156365884588</v>
      </c>
      <c r="S14" s="571">
        <f>(((SUM('Data-Credit &amp; Degree'!H15:J15)*T14)))</f>
        <v>358679.81898224464</v>
      </c>
      <c r="T14" s="647">
        <f>IF(Dashboard!$C$17="yes",Weights!C14,1)</f>
        <v>1.3870545339251739</v>
      </c>
      <c r="U14" s="660">
        <f>ROUND((V14*Dashboard!$D$37)+(W14*Dashboard!$D$32),-2)</f>
        <v>8509400</v>
      </c>
      <c r="V14" s="663">
        <f t="shared" si="0"/>
        <v>0.38936624141309883</v>
      </c>
      <c r="W14" s="633">
        <f t="shared" si="1"/>
        <v>0.37453222816396126</v>
      </c>
      <c r="X14" s="609">
        <f>IF(A14="Graduate School",((SUM('Data-Credit &amp; Degree'!T43:V43)*AD14))*AC14,(SUM('Data-Credit &amp; Degree'!E43:G43)+(SUM('Data-Credit &amp; Degree'!T43:V43)*AD14))*AC14)</f>
        <v>790.12782144000016</v>
      </c>
      <c r="Y14" s="610">
        <f>IF(A14="Graduate School",((SUM('Data-Credit &amp; Degree'!W43:Y43)*AD14))*AB14,(SUM('Data-Credit &amp; Degree'!H43:J43)+(SUM('Data-Credit &amp; Degree'!W43:Y43)*AD14))*AB14)</f>
        <v>2588.9503037260556</v>
      </c>
      <c r="Z14" s="610">
        <f>(SUM('Data-Credit &amp; Degree'!K43:M43)/5)*AB14</f>
        <v>0.51572727541808483</v>
      </c>
      <c r="AA14" s="614">
        <f>SUM('Data-Credit &amp; Degree'!N15:P15)*AB14</f>
        <v>258044.14225543875</v>
      </c>
      <c r="AB14" s="666">
        <f>IF((OR(A14="Pharmacy",A14="Veterinary Medicine")),IF(Dashboard!$C$15="yes",Dashboard!$C$16,IF(Dashboard!$C$18="yes",Weights!F14,1)),IF(Dashboard!$C$18="yes",Weights!D14,1))</f>
        <v>2.5786363770904241</v>
      </c>
      <c r="AC14" s="653">
        <f>IF(Dashboard!$C$18="yes",Weights!E14,1)</f>
        <v>2.9760000000000009</v>
      </c>
      <c r="AD14" s="654">
        <f>IF(A14="Graduate School",Dashboard!$B$34*Dashboard!$B$36,Dashboard!$B$34*Dashboard!$B$35)</f>
        <v>0.99995999999999996</v>
      </c>
      <c r="AG14" s="301"/>
    </row>
    <row r="15" spans="1:33" x14ac:dyDescent="0.2">
      <c r="A15" t="s">
        <v>231</v>
      </c>
      <c r="B15" s="609">
        <f>ROUND(Dashboard!$D$29*(('Data-Credit &amp; Degree'!AU16+'Data-Credit &amp; Degree'!AV16+'Data-Credit &amp; Degree'!AW16)/('Data-Credit &amp; Degree'!$AU$23+'Data-Credit &amp; Degree'!$AV$23+'Data-Credit &amp; Degree'!$AW$23)),-2)</f>
        <v>4300</v>
      </c>
      <c r="C15" s="610">
        <f>ROUND(Dashboard!$D$23*'Productivity Calc'!D15,-2)</f>
        <v>3861900</v>
      </c>
      <c r="D15" s="635">
        <f t="shared" si="2"/>
        <v>6.5186447868090913E-2</v>
      </c>
      <c r="E15" s="610">
        <f>+Dashboard!$B$24*'Productivity Calc'!H15</f>
        <v>51877.671750000001</v>
      </c>
      <c r="F15" s="610">
        <f>+Dashboard!$B$26*'Productivity Calc'!I15</f>
        <v>9224.1899999999987</v>
      </c>
      <c r="G15" s="614">
        <f>+Dashboard!$B$28*'Productivity Calc'!J15</f>
        <v>1848.1979999999999</v>
      </c>
      <c r="H15" s="609">
        <f>IF(A15="PHHS",IF(Dashboard!$C$13="no",SUM('Data-Credit &amp; Degree'!$B$16:$G$16)+SUM('Data-Credit &amp; Degree'!$B$25:$D$25),SUM('Data-Credit &amp; Degree'!$B$16:$G$16)+(SUM('Data-Credit &amp; Degree'!$B$25:$D$25)*Dashboard!$C$14)),SUM('Data-Credit &amp; Degree'!B16:G16))</f>
        <v>73585.350000000006</v>
      </c>
      <c r="I15" s="610">
        <f>+'Data-Credit &amp; Degree'!K16+'Data-Credit &amp; Degree'!L16+'Data-Credit &amp; Degree'!M16</f>
        <v>9070</v>
      </c>
      <c r="J15" s="614">
        <f>+'Data-Credit &amp; Degree'!Q16+'Data-Credit &amp; Degree'!R16+'Data-Credit &amp; Degree'!S16</f>
        <v>902</v>
      </c>
      <c r="K15" s="638">
        <f>ROUND((('Data-Credit &amp; Degree'!AI44+'Data-Credit &amp; Degree'!AJ44+'Data-Credit &amp; Degree'!AK44)*Dashboard!$B$44)/((('Data-Credit &amp; Degree'!$AI$51+'Data-Credit &amp; Degree'!$AJ$51+'Data-Credit &amp; Degree'!$AK$51)*Dashboard!$B$44)+(('Data-Credit &amp; Degree'!$AC$51+'Data-Credit &amp; Degree'!$AD$51+'Data-Credit &amp; Degree'!$AE$51)*Dashboard!$B$45)+(('Data-Credit &amp; Degree'!$AF$51+'Data-Credit &amp; Degree'!$AG$51+'Data-Credit &amp; Degree'!$AH$51)*Dashboard!$B$46))*Dashboard!$D$43,-2)</f>
        <v>359500</v>
      </c>
      <c r="L15" s="638">
        <f>ROUND((('Data-Credit &amp; Degree'!AC44+'Data-Credit &amp; Degree'!AD44+'Data-Credit &amp; Degree'!AE44)*Dashboard!$B$45)/((('Data-Credit &amp; Degree'!$AI$51+'Data-Credit &amp; Degree'!$AJ$51+'Data-Credit &amp; Degree'!$AK$51)*Dashboard!$B$44)+(('Data-Credit &amp; Degree'!$AC$51+'Data-Credit &amp; Degree'!$AD$51+'Data-Credit &amp; Degree'!$AE$51)*Dashboard!$B$45)+(('Data-Credit &amp; Degree'!$AF$51+'Data-Credit &amp; Degree'!$AG$51+'Data-Credit &amp; Degree'!$AH$51)*Dashboard!$B$46))*Dashboard!$D$43,-2)</f>
        <v>53000</v>
      </c>
      <c r="M15" s="638">
        <f>ROUND((('Data-Credit &amp; Degree'!AF44+'Data-Credit &amp; Degree'!AG44+'Data-Credit &amp; Degree'!AH44)*Dashboard!$B$46)/((('Data-Credit &amp; Degree'!$AI$51+'Data-Credit &amp; Degree'!$AJ$51+'Data-Credit &amp; Degree'!$AK$51)*Dashboard!$B$44)+(('Data-Credit &amp; Degree'!$AC$51+'Data-Credit &amp; Degree'!$AD$51+'Data-Credit &amp; Degree'!$AE$51)*Dashboard!$B$45)+(('Data-Credit &amp; Degree'!$AF$51+'Data-Credit &amp; Degree'!$AG$51+'Data-Credit &amp; Degree'!$AH$51)*Dashboard!$B$46))*Dashboard!$D$43,-2)</f>
        <v>130500</v>
      </c>
      <c r="N15" s="639">
        <f>ROUND(IF(A15="PHHS",Dashboard!$D$49*((SUM('Data-Credit &amp; Degree'!AX16:AZ16,'Data-Credit &amp; Degree'!$AX$25:$AZ$25)/(SUM('Data-Credit &amp; Degree'!$AX$23:$AZ$23,'Data-Credit &amp; Degree'!$AX$25:$AZ$25)))),Dashboard!$D$49*((SUM('Data-Credit &amp; Degree'!AX16:AZ16)/(SUM('Data-Credit &amp; Degree'!$AX$23:$AZ$23,'Data-Credit &amp; Degree'!$AX$25:$AZ$25))))),-2)</f>
        <v>75500</v>
      </c>
      <c r="O15" s="620">
        <f>+Ecampus!B17</f>
        <v>5600000</v>
      </c>
      <c r="P15" s="613">
        <f>+Summer!B18</f>
        <v>195000</v>
      </c>
      <c r="Q15" s="651">
        <f>ROUND((Dashboard!$D$30*(R15/'Productivity Calc'!$R$22))+(Dashboard!$D$31*(S15/$S$22)),-2)</f>
        <v>2708500</v>
      </c>
      <c r="R15" s="625">
        <f>(SUM('Data-Credit &amp; Degree'!B44:D44)+(SUM('Data-Credit &amp; Degree'!Q44:S44,'Data-Credit &amp; Degree'!N44:P44)/5))*T15</f>
        <v>1893.7283959337899</v>
      </c>
      <c r="S15" s="571">
        <f>(((SUM('Data-Credit &amp; Degree'!H16:J16)*T15)))</f>
        <v>57134.3222046269</v>
      </c>
      <c r="T15" s="647">
        <f>IF(Dashboard!$C$17="yes",Weights!C15,1)</f>
        <v>0.95123990151385873</v>
      </c>
      <c r="U15" s="660">
        <f>ROUND((V15*Dashboard!$D$37)+(W15*Dashboard!$D$32),-2)</f>
        <v>1756000</v>
      </c>
      <c r="V15" s="663">
        <f t="shared" si="0"/>
        <v>8.1135121336705612E-2</v>
      </c>
      <c r="W15" s="633">
        <f t="shared" si="1"/>
        <v>7.6804142407189538E-2</v>
      </c>
      <c r="X15" s="609">
        <f>IF(A15="Graduate School",((SUM('Data-Credit &amp; Degree'!T44:V44)*AD15))*AC15,(SUM('Data-Credit &amp; Degree'!E44:G44)+(SUM('Data-Credit &amp; Degree'!T44:V44)*AD15))*AC15)</f>
        <v>148.43082334686258</v>
      </c>
      <c r="Y15" s="610">
        <f>IF(A15="Graduate School",((SUM('Data-Credit &amp; Degree'!W44:Y44)*AD15))*AB15,(SUM('Data-Credit &amp; Degree'!H44:J44)+(SUM('Data-Credit &amp; Degree'!W44:Y44)*AD15))*AB15)</f>
        <v>538.87655356421521</v>
      </c>
      <c r="Z15" s="610">
        <f>(SUM('Data-Credit &amp; Degree'!K44:M44)/5)*AB15</f>
        <v>5.7352720321931585</v>
      </c>
      <c r="AA15" s="614">
        <f>SUM('Data-Credit &amp; Degree'!N16:P16)*AB15</f>
        <v>53770.564998490947</v>
      </c>
      <c r="AB15" s="666">
        <f>IF((OR(A15="Pharmacy",A15="Veterinary Medicine")),IF(Dashboard!$C$15="yes",Dashboard!$C$16,IF(Dashboard!$C$18="yes",Weights!F15,1)),IF(Dashboard!$C$18="yes",Weights!D15,1))</f>
        <v>2.3896966800804829</v>
      </c>
      <c r="AC15" s="653">
        <f>IF(Dashboard!$C$18="yes",Weights!E15,1)</f>
        <v>2.9686188418323249</v>
      </c>
      <c r="AD15" s="654">
        <f>IF(A15="Graduate School",Dashboard!$B$34*Dashboard!$B$36,Dashboard!$B$34*Dashboard!$B$35)</f>
        <v>0.99995999999999996</v>
      </c>
    </row>
    <row r="16" spans="1:33" x14ac:dyDescent="0.2">
      <c r="A16" t="s">
        <v>232</v>
      </c>
      <c r="B16" s="609">
        <f>ROUND(Dashboard!$D$29*(('Data-Credit &amp; Degree'!AU17+'Data-Credit &amp; Degree'!AV17+'Data-Credit &amp; Degree'!AW17)/('Data-Credit &amp; Degree'!$AU$23+'Data-Credit &amp; Degree'!$AV$23+'Data-Credit &amp; Degree'!$AW$23)),-2)</f>
        <v>4800</v>
      </c>
      <c r="C16" s="610">
        <f>ROUND(Dashboard!$D$23*'Productivity Calc'!D16,-2)</f>
        <v>2108700</v>
      </c>
      <c r="D16" s="635">
        <f t="shared" si="2"/>
        <v>3.5592593103538565E-2</v>
      </c>
      <c r="E16" s="610">
        <f>+Dashboard!$B$24*'Productivity Calc'!H16</f>
        <v>17898.539999999997</v>
      </c>
      <c r="F16" s="610">
        <f>+Dashboard!$B$26*'Productivity Calc'!I16</f>
        <v>11110.724999999999</v>
      </c>
      <c r="G16" s="614">
        <f>+Dashboard!$B$28*'Productivity Calc'!J16</f>
        <v>5362.2330000000002</v>
      </c>
      <c r="H16" s="609">
        <f>IF(A16="PHHS",IF(Dashboard!$C$13="no",SUM('Data-Credit &amp; Degree'!$B$16:$G$16)+SUM('Data-Credit &amp; Degree'!$B$25:$D$25),SUM('Data-Credit &amp; Degree'!$B$16:$G$16)+(SUM('Data-Credit &amp; Degree'!$B$25:$D$25)*Dashboard!$C$14)),SUM('Data-Credit &amp; Degree'!B17:G17))</f>
        <v>25388</v>
      </c>
      <c r="I16" s="610">
        <f>+'Data-Credit &amp; Degree'!K17+'Data-Credit &amp; Degree'!L17+'Data-Credit &amp; Degree'!M17</f>
        <v>10925</v>
      </c>
      <c r="J16" s="614">
        <f>+'Data-Credit &amp; Degree'!Q17+'Data-Credit &amp; Degree'!R17+'Data-Credit &amp; Degree'!S17</f>
        <v>2617</v>
      </c>
      <c r="K16" s="638">
        <f>ROUND((('Data-Credit &amp; Degree'!AI45+'Data-Credit &amp; Degree'!AJ45+'Data-Credit &amp; Degree'!AK45)*Dashboard!$B$44)/((('Data-Credit &amp; Degree'!$AI$51+'Data-Credit &amp; Degree'!$AJ$51+'Data-Credit &amp; Degree'!$AK$51)*Dashboard!$B$44)+(('Data-Credit &amp; Degree'!$AC$51+'Data-Credit &amp; Degree'!$AD$51+'Data-Credit &amp; Degree'!$AE$51)*Dashboard!$B$45)+(('Data-Credit &amp; Degree'!$AF$51+'Data-Credit &amp; Degree'!$AG$51+'Data-Credit &amp; Degree'!$AH$51)*Dashboard!$B$46))*Dashboard!$D$43,-2)</f>
        <v>82900</v>
      </c>
      <c r="L16" s="638">
        <f>ROUND((('Data-Credit &amp; Degree'!AC45+'Data-Credit &amp; Degree'!AD45+'Data-Credit &amp; Degree'!AE45)*Dashboard!$B$45)/((('Data-Credit &amp; Degree'!$AI$51+'Data-Credit &amp; Degree'!$AJ$51+'Data-Credit &amp; Degree'!$AK$51)*Dashboard!$B$44)+(('Data-Credit &amp; Degree'!$AC$51+'Data-Credit &amp; Degree'!$AD$51+'Data-Credit &amp; Degree'!$AE$51)*Dashboard!$B$45)+(('Data-Credit &amp; Degree'!$AF$51+'Data-Credit &amp; Degree'!$AG$51+'Data-Credit &amp; Degree'!$AH$51)*Dashboard!$B$46))*Dashboard!$D$43,-2)</f>
        <v>26200</v>
      </c>
      <c r="M16" s="638">
        <f>ROUND((('Data-Credit &amp; Degree'!AF45+'Data-Credit &amp; Degree'!AG45+'Data-Credit &amp; Degree'!AH45)*Dashboard!$B$46)/((('Data-Credit &amp; Degree'!$AI$51+'Data-Credit &amp; Degree'!$AJ$51+'Data-Credit &amp; Degree'!$AK$51)*Dashboard!$B$44)+(('Data-Credit &amp; Degree'!$AC$51+'Data-Credit &amp; Degree'!$AD$51+'Data-Credit &amp; Degree'!$AE$51)*Dashboard!$B$45)+(('Data-Credit &amp; Degree'!$AF$51+'Data-Credit &amp; Degree'!$AG$51+'Data-Credit &amp; Degree'!$AH$51)*Dashboard!$B$46))*Dashboard!$D$43,-2)</f>
        <v>39600</v>
      </c>
      <c r="N16" s="639">
        <f>ROUND(IF(A16="PHHS",Dashboard!$D$49*((SUM('Data-Credit &amp; Degree'!AX17:AZ17,'Data-Credit &amp; Degree'!$AX$25:$AZ$25)/(SUM('Data-Credit &amp; Degree'!$AX$23:$AZ$23,'Data-Credit &amp; Degree'!$AX$25:$AZ$25)))),Dashboard!$D$49*((SUM('Data-Credit &amp; Degree'!AX17:AZ17)/(SUM('Data-Credit &amp; Degree'!$AX$23:$AZ$23,'Data-Credit &amp; Degree'!$AX$25:$AZ$25))))),-2)</f>
        <v>11000</v>
      </c>
      <c r="O16" s="620">
        <f>+Ecampus!B18</f>
        <v>2500000</v>
      </c>
      <c r="P16" s="613">
        <f>+Summer!B19</f>
        <v>100000</v>
      </c>
      <c r="Q16" s="651">
        <f>ROUND((Dashboard!$D$30*(R16/'Productivity Calc'!$R$22))+(Dashboard!$D$31*(S16/$S$22)),-2)</f>
        <v>945900</v>
      </c>
      <c r="R16" s="625">
        <f>(SUM('Data-Credit &amp; Degree'!B45:D45)+(SUM('Data-Credit &amp; Degree'!Q45:S45,'Data-Credit &amp; Degree'!N45:P45)/5))*T16</f>
        <v>715.45636257756553</v>
      </c>
      <c r="S16" s="571">
        <f>(((SUM('Data-Credit &amp; Degree'!H17:J17)*T16)))</f>
        <v>17198.143442482098</v>
      </c>
      <c r="T16" s="647">
        <f>IF(Dashboard!$C$17="yes",Weights!C16,1)</f>
        <v>1.4161844073190133</v>
      </c>
      <c r="U16" s="660">
        <f>ROUND((V16*Dashboard!$D$37)+(W16*Dashboard!$D$32),-2)</f>
        <v>1127900</v>
      </c>
      <c r="V16" s="663">
        <f t="shared" si="0"/>
        <v>4.8977695289332025E-2</v>
      </c>
      <c r="W16" s="633">
        <f t="shared" si="1"/>
        <v>5.1274300716296989E-2</v>
      </c>
      <c r="X16" s="609">
        <f>IF(A16="Graduate School",((SUM('Data-Credit &amp; Degree'!T45:V45)*AD16))*AC16,(SUM('Data-Credit &amp; Degree'!E45:G45)+(SUM('Data-Credit &amp; Degree'!T45:V45)*AD16))*AC16)</f>
        <v>114.36208413636363</v>
      </c>
      <c r="Y16" s="610">
        <f>IF(A16="Graduate School",((SUM('Data-Credit &amp; Degree'!W45:Y45)*AD16))*AB16,(SUM('Data-Credit &amp; Degree'!H45:J45)+(SUM('Data-Credit &amp; Degree'!W45:Y45)*AD16))*AB16)</f>
        <v>264.57694184311691</v>
      </c>
      <c r="Z16" s="610">
        <f>(SUM('Data-Credit &amp; Degree'!K45:M45)/5)*AB16</f>
        <v>83.73494025974027</v>
      </c>
      <c r="AA16" s="614">
        <f>SUM('Data-Credit &amp; Degree'!N17:P17)*AB16</f>
        <v>32458.919203463211</v>
      </c>
      <c r="AB16" s="666">
        <f>IF((OR(A16="Pharmacy",A16="Veterinary Medicine")),IF(Dashboard!$C$15="yes",Dashboard!$C$16,IF(Dashboard!$C$18="yes",Weights!F16,1)),IF(Dashboard!$C$18="yes",Weights!D16,1))</f>
        <v>2.907463203463204</v>
      </c>
      <c r="AC16" s="653">
        <f>IF(Dashboard!$C$18="yes",Weights!E16,1)</f>
        <v>2.9704545454545457</v>
      </c>
      <c r="AD16" s="654">
        <f>IF(A16="Graduate School",Dashboard!$B$34*Dashboard!$B$36,Dashboard!$B$34*Dashboard!$B$35)</f>
        <v>0.99995999999999996</v>
      </c>
    </row>
    <row r="17" spans="1:30" x14ac:dyDescent="0.2">
      <c r="A17" t="s">
        <v>233</v>
      </c>
      <c r="B17" s="609">
        <f>ROUND(Dashboard!$D$29*(('Data-Credit &amp; Degree'!AU18+'Data-Credit &amp; Degree'!AV18+'Data-Credit &amp; Degree'!AW18)/('Data-Credit &amp; Degree'!$AU$23+'Data-Credit &amp; Degree'!$AV$23+'Data-Credit &amp; Degree'!$AW$23)),-2)</f>
        <v>0</v>
      </c>
      <c r="C17" s="610">
        <f>ROUND(Dashboard!$D$23*'Productivity Calc'!D17,-2)</f>
        <v>0</v>
      </c>
      <c r="D17" s="635">
        <f t="shared" si="2"/>
        <v>0</v>
      </c>
      <c r="E17" s="610">
        <f>+Dashboard!$B$24*'Productivity Calc'!H17</f>
        <v>0</v>
      </c>
      <c r="F17" s="610">
        <f>+Dashboard!$B$26*'Productivity Calc'!I17</f>
        <v>0</v>
      </c>
      <c r="G17" s="614">
        <f>+Dashboard!$B$28*'Productivity Calc'!J17</f>
        <v>0</v>
      </c>
      <c r="H17" s="609">
        <f>IF(A17="PHHS",IF(Dashboard!$C$13="no",SUM('Data-Credit &amp; Degree'!$B$16:$G$16)+SUM('Data-Credit &amp; Degree'!$B$25:$D$25),SUM('Data-Credit &amp; Degree'!$B$16:$G$16)+(SUM('Data-Credit &amp; Degree'!$B$25:$D$25)*Dashboard!$C$14)),SUM('Data-Credit &amp; Degree'!B18:G18))</f>
        <v>0</v>
      </c>
      <c r="I17" s="610">
        <f>+'Data-Credit &amp; Degree'!K18+'Data-Credit &amp; Degree'!L18+'Data-Credit &amp; Degree'!M18</f>
        <v>0</v>
      </c>
      <c r="J17" s="614">
        <f>+'Data-Credit &amp; Degree'!Q18+'Data-Credit &amp; Degree'!R18+'Data-Credit &amp; Degree'!S18</f>
        <v>0</v>
      </c>
      <c r="K17" s="638">
        <f>ROUND((('Data-Credit &amp; Degree'!AI46+'Data-Credit &amp; Degree'!AJ46+'Data-Credit &amp; Degree'!AK46)*Dashboard!$B$44)/((('Data-Credit &amp; Degree'!$AI$51+'Data-Credit &amp; Degree'!$AJ$51+'Data-Credit &amp; Degree'!$AK$51)*Dashboard!$B$44)+(('Data-Credit &amp; Degree'!$AC$51+'Data-Credit &amp; Degree'!$AD$51+'Data-Credit &amp; Degree'!$AE$51)*Dashboard!$B$45)+(('Data-Credit &amp; Degree'!$AF$51+'Data-Credit &amp; Degree'!$AG$51+'Data-Credit &amp; Degree'!$AH$51)*Dashboard!$B$46))*Dashboard!$D$43,-2)</f>
        <v>0</v>
      </c>
      <c r="L17" s="638">
        <f>ROUND((('Data-Credit &amp; Degree'!AC46+'Data-Credit &amp; Degree'!AD46+'Data-Credit &amp; Degree'!AE46)*Dashboard!$B$45)/((('Data-Credit &amp; Degree'!$AI$51+'Data-Credit &amp; Degree'!$AJ$51+'Data-Credit &amp; Degree'!$AK$51)*Dashboard!$B$44)+(('Data-Credit &amp; Degree'!$AC$51+'Data-Credit &amp; Degree'!$AD$51+'Data-Credit &amp; Degree'!$AE$51)*Dashboard!$B$45)+(('Data-Credit &amp; Degree'!$AF$51+'Data-Credit &amp; Degree'!$AG$51+'Data-Credit &amp; Degree'!$AH$51)*Dashboard!$B$46))*Dashboard!$D$43,-2)</f>
        <v>0</v>
      </c>
      <c r="M17" s="638">
        <f>ROUND((('Data-Credit &amp; Degree'!AF46+'Data-Credit &amp; Degree'!AG46+'Data-Credit &amp; Degree'!AH46)*Dashboard!$B$46)/((('Data-Credit &amp; Degree'!$AI$51+'Data-Credit &amp; Degree'!$AJ$51+'Data-Credit &amp; Degree'!$AK$51)*Dashboard!$B$44)+(('Data-Credit &amp; Degree'!$AC$51+'Data-Credit &amp; Degree'!$AD$51+'Data-Credit &amp; Degree'!$AE$51)*Dashboard!$B$45)+(('Data-Credit &amp; Degree'!$AF$51+'Data-Credit &amp; Degree'!$AG$51+'Data-Credit &amp; Degree'!$AH$51)*Dashboard!$B$46))*Dashboard!$D$43,-2)</f>
        <v>0</v>
      </c>
      <c r="N17" s="639">
        <f>ROUND(IF(A17="PHHS",Dashboard!$D$49*((SUM('Data-Credit &amp; Degree'!AX18:AZ18,'Data-Credit &amp; Degree'!$AX$25:$AZ$25)/(SUM('Data-Credit &amp; Degree'!$AX$23:$AZ$23,'Data-Credit &amp; Degree'!$AX$25:$AZ$25)))),Dashboard!$D$49*((SUM('Data-Credit &amp; Degree'!AX18:AZ18)/(SUM('Data-Credit &amp; Degree'!$AX$23:$AZ$23,'Data-Credit &amp; Degree'!$AX$25:$AZ$25))))),-2)</f>
        <v>0</v>
      </c>
      <c r="O17" s="620">
        <f>+Ecampus!B19</f>
        <v>0</v>
      </c>
      <c r="P17" s="613">
        <f>+Summer!B20</f>
        <v>0</v>
      </c>
      <c r="Q17" s="651">
        <f>ROUND((Dashboard!$D$30*(R17/'Productivity Calc'!$R$22))+(Dashboard!$D$31*(S17/$S$22)),-2)</f>
        <v>0</v>
      </c>
      <c r="R17" s="625">
        <f>(SUM('Data-Credit &amp; Degree'!B46:D46)+(SUM('Data-Credit &amp; Degree'!Q46:S46,'Data-Credit &amp; Degree'!N46:P46)/5))*T17</f>
        <v>0</v>
      </c>
      <c r="S17" s="571">
        <f>(((SUM('Data-Credit &amp; Degree'!H18:J18)*T17)))</f>
        <v>0</v>
      </c>
      <c r="T17" s="647">
        <f>IF(Dashboard!$C$17="yes",Weights!C17,1)</f>
        <v>0</v>
      </c>
      <c r="U17" s="660">
        <f>ROUND((V17*Dashboard!$D$37)+(W17*Dashboard!$D$32),-2)</f>
        <v>0</v>
      </c>
      <c r="V17" s="663">
        <f t="shared" si="0"/>
        <v>0</v>
      </c>
      <c r="W17" s="633">
        <f t="shared" si="1"/>
        <v>0</v>
      </c>
      <c r="X17" s="609">
        <f>IF(A17="Graduate School",((SUM('Data-Credit &amp; Degree'!T46:V46)*AD17))*AC17,(SUM('Data-Credit &amp; Degree'!E46:G46)+(SUM('Data-Credit &amp; Degree'!T46:V46)*AD17))*AC17)</f>
        <v>0</v>
      </c>
      <c r="Y17" s="610">
        <f>IF(A17="Graduate School",((SUM('Data-Credit &amp; Degree'!W46:Y46)*AD17))*AB17,(SUM('Data-Credit &amp; Degree'!H46:J46)+(SUM('Data-Credit &amp; Degree'!W46:Y46)*AD17))*AB17)</f>
        <v>0</v>
      </c>
      <c r="Z17" s="610">
        <f>(SUM('Data-Credit &amp; Degree'!K46:M46)/5)*AB17</f>
        <v>0</v>
      </c>
      <c r="AA17" s="614">
        <f>SUM('Data-Credit &amp; Degree'!N18:P18)*AB17</f>
        <v>0</v>
      </c>
      <c r="AB17" s="666">
        <f>IF((OR(A17="Pharmacy",A17="Veterinary Medicine")),IF(Dashboard!$C$15="yes",Dashboard!$C$16,IF(Dashboard!$C$18="yes",Weights!F17,1)),IF(Dashboard!$C$18="yes",Weights!D17,1))</f>
        <v>0</v>
      </c>
      <c r="AC17" s="653">
        <f>IF(Dashboard!$C$18="yes",Weights!E17,1)</f>
        <v>0</v>
      </c>
      <c r="AD17" s="654">
        <f>IF(A17="Graduate School",Dashboard!$B$34*Dashboard!$B$36,Dashboard!$B$34*Dashboard!$B$35)</f>
        <v>0.99995999999999996</v>
      </c>
    </row>
    <row r="18" spans="1:30" x14ac:dyDescent="0.2">
      <c r="A18" t="s">
        <v>234</v>
      </c>
      <c r="B18" s="609">
        <f>ROUND(Dashboard!$D$29*(('Data-Credit &amp; Degree'!AU19+'Data-Credit &amp; Degree'!AV19+'Data-Credit &amp; Degree'!AW19)/('Data-Credit &amp; Degree'!$AU$23+'Data-Credit &amp; Degree'!$AV$23+'Data-Credit &amp; Degree'!$AW$23)),-2)</f>
        <v>0</v>
      </c>
      <c r="C18" s="610">
        <f>ROUND(Dashboard!$D$23*'Productivity Calc'!D18,-2)</f>
        <v>8500</v>
      </c>
      <c r="D18" s="635">
        <f t="shared" si="2"/>
        <v>1.4285914915253256E-4</v>
      </c>
      <c r="E18" s="610">
        <f>+Dashboard!$B$24*'Productivity Calc'!H18</f>
        <v>88.125</v>
      </c>
      <c r="F18" s="610">
        <f>+Dashboard!$B$26*'Productivity Calc'!I18</f>
        <v>49.832999999999998</v>
      </c>
      <c r="G18" s="614">
        <f>+Dashboard!$B$28*'Productivity Calc'!J18</f>
        <v>0</v>
      </c>
      <c r="H18" s="609">
        <f>IF(A18="PHHS",IF(Dashboard!$C$13="no",SUM('Data-Credit &amp; Degree'!$B$16:$G$16)+SUM('Data-Credit &amp; Degree'!$B$25:$D$25),SUM('Data-Credit &amp; Degree'!$B$16:$G$16)+(SUM('Data-Credit &amp; Degree'!$B$25:$D$25)*Dashboard!$C$14)),SUM('Data-Credit &amp; Degree'!B19:G19))</f>
        <v>125</v>
      </c>
      <c r="I18" s="610">
        <f>+'Data-Credit &amp; Degree'!K19+'Data-Credit &amp; Degree'!L19+'Data-Credit &amp; Degree'!M19</f>
        <v>49</v>
      </c>
      <c r="J18" s="614">
        <f>+'Data-Credit &amp; Degree'!Q19+'Data-Credit &amp; Degree'!R19+'Data-Credit &amp; Degree'!S19</f>
        <v>0</v>
      </c>
      <c r="K18" s="638">
        <f>ROUND((('Data-Credit &amp; Degree'!AI47+'Data-Credit &amp; Degree'!AJ47+'Data-Credit &amp; Degree'!AK47)*Dashboard!$B$44)/((('Data-Credit &amp; Degree'!$AI$51+'Data-Credit &amp; Degree'!$AJ$51+'Data-Credit &amp; Degree'!$AK$51)*Dashboard!$B$44)+(('Data-Credit &amp; Degree'!$AC$51+'Data-Credit &amp; Degree'!$AD$51+'Data-Credit &amp; Degree'!$AE$51)*Dashboard!$B$45)+(('Data-Credit &amp; Degree'!$AF$51+'Data-Credit &amp; Degree'!$AG$51+'Data-Credit &amp; Degree'!$AH$51)*Dashboard!$B$46))*Dashboard!$D$43,-2)</f>
        <v>0</v>
      </c>
      <c r="L18" s="638">
        <f>ROUND((('Data-Credit &amp; Degree'!AC47+'Data-Credit &amp; Degree'!AD47+'Data-Credit &amp; Degree'!AE47)*Dashboard!$B$45)/((('Data-Credit &amp; Degree'!$AI$51+'Data-Credit &amp; Degree'!$AJ$51+'Data-Credit &amp; Degree'!$AK$51)*Dashboard!$B$44)+(('Data-Credit &amp; Degree'!$AC$51+'Data-Credit &amp; Degree'!$AD$51+'Data-Credit &amp; Degree'!$AE$51)*Dashboard!$B$45)+(('Data-Credit &amp; Degree'!$AF$51+'Data-Credit &amp; Degree'!$AG$51+'Data-Credit &amp; Degree'!$AH$51)*Dashboard!$B$46))*Dashboard!$D$43,-2)</f>
        <v>0</v>
      </c>
      <c r="M18" s="638">
        <f>ROUND((('Data-Credit &amp; Degree'!AF47+'Data-Credit &amp; Degree'!AG47+'Data-Credit &amp; Degree'!AH47)*Dashboard!$B$46)/((('Data-Credit &amp; Degree'!$AI$51+'Data-Credit &amp; Degree'!$AJ$51+'Data-Credit &amp; Degree'!$AK$51)*Dashboard!$B$44)+(('Data-Credit &amp; Degree'!$AC$51+'Data-Credit &amp; Degree'!$AD$51+'Data-Credit &amp; Degree'!$AE$51)*Dashboard!$B$45)+(('Data-Credit &amp; Degree'!$AF$51+'Data-Credit &amp; Degree'!$AG$51+'Data-Credit &amp; Degree'!$AH$51)*Dashboard!$B$46))*Dashboard!$D$43,-2)</f>
        <v>0</v>
      </c>
      <c r="N18" s="639">
        <f>ROUND(IF(A18="PHHS",Dashboard!$D$49*((SUM('Data-Credit &amp; Degree'!AX19:AZ19,'Data-Credit &amp; Degree'!$AX$25:$AZ$25)/(SUM('Data-Credit &amp; Degree'!$AX$23:$AZ$23,'Data-Credit &amp; Degree'!$AX$25:$AZ$25)))),Dashboard!$D$49*((SUM('Data-Credit &amp; Degree'!AX19:AZ19)/(SUM('Data-Credit &amp; Degree'!$AX$23:$AZ$23,'Data-Credit &amp; Degree'!$AX$25:$AZ$25))))),-2)</f>
        <v>0</v>
      </c>
      <c r="O18" s="620">
        <f>+Ecampus!B20</f>
        <v>0</v>
      </c>
      <c r="P18" s="613">
        <f>+Summer!B21</f>
        <v>0</v>
      </c>
      <c r="Q18" s="651">
        <f>ROUND((Dashboard!$D$30*(R18/'Productivity Calc'!$R$22))+(Dashboard!$D$31*(S18/$S$22)),-2)</f>
        <v>0</v>
      </c>
      <c r="R18" s="625">
        <f>(SUM('Data-Credit &amp; Degree'!B47:D47)+(SUM('Data-Credit &amp; Degree'!Q47:S47,'Data-Credit &amp; Degree'!N47:P47)/5))*T18</f>
        <v>0</v>
      </c>
      <c r="S18" s="571">
        <f>(((SUM('Data-Credit &amp; Degree'!H19:J19)*T18)))</f>
        <v>0</v>
      </c>
      <c r="T18" s="647">
        <f>IF(Dashboard!$C$17="yes",Weights!C18,1)</f>
        <v>1.232</v>
      </c>
      <c r="U18" s="660">
        <f>ROUND((V18*Dashboard!$D$37)+(W18*Dashboard!$D$32),-2)</f>
        <v>0</v>
      </c>
      <c r="V18" s="663">
        <f t="shared" si="0"/>
        <v>0</v>
      </c>
      <c r="W18" s="633">
        <f t="shared" si="1"/>
        <v>0</v>
      </c>
      <c r="X18" s="609">
        <f>IF(A18="Graduate School",((SUM('Data-Credit &amp; Degree'!T47:V47)*AD18))*AC18,(SUM('Data-Credit &amp; Degree'!E47:G47)+(SUM('Data-Credit &amp; Degree'!T47:V47)*AD18))*AC18)</f>
        <v>0</v>
      </c>
      <c r="Y18" s="610">
        <f>IF(A18="Graduate School",((SUM('Data-Credit &amp; Degree'!W47:Y47)*AD18))*AB18,(SUM('Data-Credit &amp; Degree'!H47:J47)+(SUM('Data-Credit &amp; Degree'!W47:Y47)*AD18))*AB18)</f>
        <v>0</v>
      </c>
      <c r="Z18" s="610">
        <f>(SUM('Data-Credit &amp; Degree'!K47:M47)/5)*AB18</f>
        <v>0</v>
      </c>
      <c r="AA18" s="614">
        <f>SUM('Data-Credit &amp; Degree'!N19:P19)*AB18</f>
        <v>0</v>
      </c>
      <c r="AB18" s="666">
        <f>IF((OR(A18="Pharmacy",A18="Veterinary Medicine")),IF(Dashboard!$C$15="yes",Dashboard!$C$16,IF(Dashboard!$C$18="yes",Weights!F18,1)),IF(Dashboard!$C$18="yes",Weights!D18,1))</f>
        <v>0</v>
      </c>
      <c r="AC18" s="653">
        <f>IF(Dashboard!$C$18="yes",Weights!E18,1)</f>
        <v>0</v>
      </c>
      <c r="AD18" s="654">
        <f>IF(A18="Graduate School",Dashboard!$B$34*Dashboard!$B$36,Dashboard!$B$34*Dashboard!$B$35)</f>
        <v>0.99995999999999996</v>
      </c>
    </row>
    <row r="19" spans="1:30" x14ac:dyDescent="0.2">
      <c r="A19" t="s">
        <v>235</v>
      </c>
      <c r="B19" s="609">
        <f>ROUND(Dashboard!$D$29*(('Data-Credit &amp; Degree'!AU20+'Data-Credit &amp; Degree'!AV20+'Data-Credit &amp; Degree'!AW20)/('Data-Credit &amp; Degree'!$AU$23+'Data-Credit &amp; Degree'!$AV$23+'Data-Credit &amp; Degree'!$AW$23)),-2)</f>
        <v>151600</v>
      </c>
      <c r="C19" s="610">
        <f>ROUND(Dashboard!$D$23*'Productivity Calc'!D19,-2)</f>
        <v>446000</v>
      </c>
      <c r="D19" s="635">
        <f t="shared" si="2"/>
        <v>7.5280024113453812E-3</v>
      </c>
      <c r="E19" s="610">
        <f>+Dashboard!$B$24*'Productivity Calc'!H19</f>
        <v>1182.99</v>
      </c>
      <c r="F19" s="610">
        <f>+Dashboard!$B$26*'Productivity Calc'!I19</f>
        <v>6086.744999999999</v>
      </c>
      <c r="G19" s="614">
        <f>+Dashboard!$B$28*'Productivity Calc'!J19</f>
        <v>0</v>
      </c>
      <c r="H19" s="609">
        <f>IF(A19="PHHS",IF(Dashboard!$C$13="no",SUM('Data-Credit &amp; Degree'!$B$16:$G$16)+SUM('Data-Credit &amp; Degree'!$B$25:$D$25),SUM('Data-Credit &amp; Degree'!$B$16:$G$16)+(SUM('Data-Credit &amp; Degree'!$B$25:$D$25)*Dashboard!$C$14)),SUM('Data-Credit &amp; Degree'!B20:G20))</f>
        <v>1678</v>
      </c>
      <c r="I19" s="610">
        <f>+'Data-Credit &amp; Degree'!K20+'Data-Credit &amp; Degree'!L20+'Data-Credit &amp; Degree'!M20</f>
        <v>5985</v>
      </c>
      <c r="J19" s="614">
        <f>+'Data-Credit &amp; Degree'!Q20+'Data-Credit &amp; Degree'!R20+'Data-Credit &amp; Degree'!S20</f>
        <v>0</v>
      </c>
      <c r="K19" s="638">
        <f>ROUND((('Data-Credit &amp; Degree'!AI48+'Data-Credit &amp; Degree'!AJ48+'Data-Credit &amp; Degree'!AK48)*Dashboard!$B$44)/((('Data-Credit &amp; Degree'!$AI$51+'Data-Credit &amp; Degree'!$AJ$51+'Data-Credit &amp; Degree'!$AK$51)*Dashboard!$B$44)+(('Data-Credit &amp; Degree'!$AC$51+'Data-Credit &amp; Degree'!$AD$51+'Data-Credit &amp; Degree'!$AE$51)*Dashboard!$B$45)+(('Data-Credit &amp; Degree'!$AF$51+'Data-Credit &amp; Degree'!$AG$51+'Data-Credit &amp; Degree'!$AH$51)*Dashboard!$B$46))*Dashboard!$D$43,-2)</f>
        <v>93100</v>
      </c>
      <c r="L19" s="638">
        <f>ROUND((('Data-Credit &amp; Degree'!AC48+'Data-Credit &amp; Degree'!AD48+'Data-Credit &amp; Degree'!AE48)*Dashboard!$B$45)/((('Data-Credit &amp; Degree'!$AI$51+'Data-Credit &amp; Degree'!$AJ$51+'Data-Credit &amp; Degree'!$AK$51)*Dashboard!$B$44)+(('Data-Credit &amp; Degree'!$AC$51+'Data-Credit &amp; Degree'!$AD$51+'Data-Credit &amp; Degree'!$AE$51)*Dashboard!$B$45)+(('Data-Credit &amp; Degree'!$AF$51+'Data-Credit &amp; Degree'!$AG$51+'Data-Credit &amp; Degree'!$AH$51)*Dashboard!$B$46))*Dashboard!$D$43,-2)</f>
        <v>7600</v>
      </c>
      <c r="M19" s="638">
        <f>ROUND((('Data-Credit &amp; Degree'!AF48+'Data-Credit &amp; Degree'!AG48+'Data-Credit &amp; Degree'!AH48)*Dashboard!$B$46)/((('Data-Credit &amp; Degree'!$AI$51+'Data-Credit &amp; Degree'!$AJ$51+'Data-Credit &amp; Degree'!$AK$51)*Dashboard!$B$44)+(('Data-Credit &amp; Degree'!$AC$51+'Data-Credit &amp; Degree'!$AD$51+'Data-Credit &amp; Degree'!$AE$51)*Dashboard!$B$45)+(('Data-Credit &amp; Degree'!$AF$51+'Data-Credit &amp; Degree'!$AG$51+'Data-Credit &amp; Degree'!$AH$51)*Dashboard!$B$46))*Dashboard!$D$43,-2)</f>
        <v>16500</v>
      </c>
      <c r="N19" s="639">
        <f>ROUND(IF(A19="PHHS",Dashboard!$D$49*((SUM('Data-Credit &amp; Degree'!AX20:AZ20,'Data-Credit &amp; Degree'!$AX$25:$AZ$25)/(SUM('Data-Credit &amp; Degree'!$AX$23:$AZ$23,'Data-Credit &amp; Degree'!$AX$25:$AZ$25)))),Dashboard!$D$49*((SUM('Data-Credit &amp; Degree'!AX20:AZ20)/(SUM('Data-Credit &amp; Degree'!$AX$23:$AZ$23,'Data-Credit &amp; Degree'!$AX$25:$AZ$25))))),-2)</f>
        <v>400</v>
      </c>
      <c r="O19" s="620">
        <f>+Ecampus!B21</f>
        <v>40000</v>
      </c>
      <c r="P19" s="613">
        <f>+Summer!B22</f>
        <v>5000</v>
      </c>
      <c r="Q19" s="651">
        <f>ROUND((Dashboard!$D$30*(R19/'Productivity Calc'!$R$22))+(Dashboard!$D$31*(S19/$S$22)),-2)</f>
        <v>565600</v>
      </c>
      <c r="R19" s="625">
        <f>(SUM('Data-Credit &amp; Degree'!B48:D48)+(SUM('Data-Credit &amp; Degree'!Q48:S48,'Data-Credit &amp; Degree'!N48:P48)/5))*T19</f>
        <v>629.72400000000005</v>
      </c>
      <c r="S19" s="571">
        <f>(((SUM('Data-Credit &amp; Degree'!H20:J20)*T19)))</f>
        <v>0</v>
      </c>
      <c r="T19" s="647">
        <f>IF(Dashboard!$C$17="yes",Weights!C19,1)</f>
        <v>1.0820000000000001</v>
      </c>
      <c r="U19" s="660">
        <f>ROUND((V19*Dashboard!$D$37)+(W19*Dashboard!$D$32),-2)</f>
        <v>0</v>
      </c>
      <c r="V19" s="663">
        <f t="shared" si="0"/>
        <v>0</v>
      </c>
      <c r="W19" s="633">
        <f t="shared" si="1"/>
        <v>0</v>
      </c>
      <c r="X19" s="609">
        <f>IF(A19="Graduate School",((SUM('Data-Credit &amp; Degree'!T48:V48)*AD19))*AC19,(SUM('Data-Credit &amp; Degree'!E48:G48)+(SUM('Data-Credit &amp; Degree'!T48:V48)*AD19))*AC19)</f>
        <v>0</v>
      </c>
      <c r="Y19" s="610">
        <f>IF(A19="Graduate School",((SUM('Data-Credit &amp; Degree'!W48:Y48)*AD19))*AB19,(SUM('Data-Credit &amp; Degree'!H48:J48)+(SUM('Data-Credit &amp; Degree'!W48:Y48)*AD19))*AB19)</f>
        <v>0</v>
      </c>
      <c r="Z19" s="610">
        <f>(SUM('Data-Credit &amp; Degree'!K48:M48)/5)*AB19</f>
        <v>0</v>
      </c>
      <c r="AA19" s="614">
        <f>SUM('Data-Credit &amp; Degree'!N20:P20)*AB19</f>
        <v>0</v>
      </c>
      <c r="AB19" s="666">
        <f>IF((OR(A19="Pharmacy",A19="Veterinary Medicine")),IF(Dashboard!$C$15="yes",Dashboard!$C$16,IF(Dashboard!$C$18="yes",Weights!F19,1)),IF(Dashboard!$C$18="yes",Weights!D19,1))</f>
        <v>0</v>
      </c>
      <c r="AC19" s="653">
        <f>IF(Dashboard!$C$18="yes",Weights!E19,1)</f>
        <v>0</v>
      </c>
      <c r="AD19" s="654">
        <f>IF(A19="Graduate School",Dashboard!$B$34*Dashboard!$B$36,Dashboard!$B$34*Dashboard!$B$35)</f>
        <v>0.99995999999999996</v>
      </c>
    </row>
    <row r="20" spans="1:30" x14ac:dyDescent="0.2">
      <c r="A20" t="s">
        <v>236</v>
      </c>
      <c r="B20" s="609">
        <f>ROUND(Dashboard!$D$29*(('Data-Credit &amp; Degree'!AU21+'Data-Credit &amp; Degree'!AV21+'Data-Credit &amp; Degree'!AW21)/('Data-Credit &amp; Degree'!$AU$23+'Data-Credit &amp; Degree'!$AV$23+'Data-Credit &amp; Degree'!$AW$23)),-2)</f>
        <v>0</v>
      </c>
      <c r="C20" s="610">
        <f>ROUND(Dashboard!$D$23*'Productivity Calc'!D20,-2)</f>
        <v>0</v>
      </c>
      <c r="D20" s="635">
        <f t="shared" si="2"/>
        <v>0</v>
      </c>
      <c r="E20" s="610">
        <f>+Dashboard!$B$24*'Productivity Calc'!H20</f>
        <v>0</v>
      </c>
      <c r="F20" s="610">
        <f>+Dashboard!$B$26*'Productivity Calc'!I20</f>
        <v>0</v>
      </c>
      <c r="G20" s="614">
        <f>+Dashboard!$B$28*'Productivity Calc'!J20</f>
        <v>0</v>
      </c>
      <c r="H20" s="609">
        <f>IF(A20="PHHS",IF(Dashboard!$C$13="no",SUM('Data-Credit &amp; Degree'!$B$16:$G$16)+SUM('Data-Credit &amp; Degree'!$B$25:$D$25),SUM('Data-Credit &amp; Degree'!$B$16:$G$16)+(SUM('Data-Credit &amp; Degree'!$B$25:$D$25)*Dashboard!$C$14)),SUM('Data-Credit &amp; Degree'!B21:G21))</f>
        <v>0</v>
      </c>
      <c r="I20" s="610">
        <f>+'Data-Credit &amp; Degree'!K21+'Data-Credit &amp; Degree'!L21+'Data-Credit &amp; Degree'!M21</f>
        <v>0</v>
      </c>
      <c r="J20" s="614">
        <f>+'Data-Credit &amp; Degree'!Q21+'Data-Credit &amp; Degree'!R21+'Data-Credit &amp; Degree'!S21</f>
        <v>0</v>
      </c>
      <c r="K20" s="638">
        <f>ROUND((('Data-Credit &amp; Degree'!AI49+'Data-Credit &amp; Degree'!AJ49+'Data-Credit &amp; Degree'!AK49)*Dashboard!$B$44)/((('Data-Credit &amp; Degree'!$AI$51+'Data-Credit &amp; Degree'!$AJ$51+'Data-Credit &amp; Degree'!$AK$51)*Dashboard!$B$44)+(('Data-Credit &amp; Degree'!$AC$51+'Data-Credit &amp; Degree'!$AD$51+'Data-Credit &amp; Degree'!$AE$51)*Dashboard!$B$45)+(('Data-Credit &amp; Degree'!$AF$51+'Data-Credit &amp; Degree'!$AG$51+'Data-Credit &amp; Degree'!$AH$51)*Dashboard!$B$46))*Dashboard!$D$43,-2)</f>
        <v>0</v>
      </c>
      <c r="L20" s="638">
        <f>ROUND((('Data-Credit &amp; Degree'!AC49+'Data-Credit &amp; Degree'!AD49+'Data-Credit &amp; Degree'!AE49)*Dashboard!$B$45)/((('Data-Credit &amp; Degree'!$AI$51+'Data-Credit &amp; Degree'!$AJ$51+'Data-Credit &amp; Degree'!$AK$51)*Dashboard!$B$44)+(('Data-Credit &amp; Degree'!$AC$51+'Data-Credit &amp; Degree'!$AD$51+'Data-Credit &amp; Degree'!$AE$51)*Dashboard!$B$45)+(('Data-Credit &amp; Degree'!$AF$51+'Data-Credit &amp; Degree'!$AG$51+'Data-Credit &amp; Degree'!$AH$51)*Dashboard!$B$46))*Dashboard!$D$43,-2)</f>
        <v>0</v>
      </c>
      <c r="M20" s="638">
        <f>ROUND((('Data-Credit &amp; Degree'!AF49+'Data-Credit &amp; Degree'!AG49+'Data-Credit &amp; Degree'!AH49)*Dashboard!$B$46)/((('Data-Credit &amp; Degree'!$AI$51+'Data-Credit &amp; Degree'!$AJ$51+'Data-Credit &amp; Degree'!$AK$51)*Dashboard!$B$44)+(('Data-Credit &amp; Degree'!$AC$51+'Data-Credit &amp; Degree'!$AD$51+'Data-Credit &amp; Degree'!$AE$51)*Dashboard!$B$45)+(('Data-Credit &amp; Degree'!$AF$51+'Data-Credit &amp; Degree'!$AG$51+'Data-Credit &amp; Degree'!$AH$51)*Dashboard!$B$46))*Dashboard!$D$43,-2)</f>
        <v>0</v>
      </c>
      <c r="N20" s="639">
        <f>ROUND(IF(A20="PHHS",Dashboard!$D$49*((SUM('Data-Credit &amp; Degree'!AX21:AZ21,'Data-Credit &amp; Degree'!$AX$25:$AZ$25)/(SUM('Data-Credit &amp; Degree'!$AX$23:$AZ$23,'Data-Credit &amp; Degree'!$AX$25:$AZ$25)))),Dashboard!$D$49*((SUM('Data-Credit &amp; Degree'!AX21:AZ21)/(SUM('Data-Credit &amp; Degree'!$AX$23:$AZ$23,'Data-Credit &amp; Degree'!$AX$25:$AZ$25))))),-2)</f>
        <v>0</v>
      </c>
      <c r="O20" s="620">
        <f>+Ecampus!B22</f>
        <v>0</v>
      </c>
      <c r="P20" s="613">
        <f>+Summer!B23</f>
        <v>0</v>
      </c>
      <c r="Q20" s="651">
        <f>ROUND((Dashboard!$D$30*(R20/'Productivity Calc'!$R$22))+(Dashboard!$D$31*(S20/$S$22)),-2)</f>
        <v>0</v>
      </c>
      <c r="R20" s="625">
        <f>(SUM('Data-Credit &amp; Degree'!B49:D49)+(SUM('Data-Credit &amp; Degree'!Q49:S49,'Data-Credit &amp; Degree'!N49:P49)/5))*T20</f>
        <v>0</v>
      </c>
      <c r="S20" s="571">
        <f>(((SUM('Data-Credit &amp; Degree'!H21:J21)*T20)))</f>
        <v>0</v>
      </c>
      <c r="T20" s="647">
        <f>IF(Dashboard!$C$17="yes",Weights!C20,1)</f>
        <v>0</v>
      </c>
      <c r="U20" s="660">
        <f>ROUND((V20*Dashboard!$D$37)+(W20*Dashboard!$D$32),-2)</f>
        <v>0</v>
      </c>
      <c r="V20" s="663">
        <f t="shared" si="0"/>
        <v>0</v>
      </c>
      <c r="W20" s="633">
        <f t="shared" si="1"/>
        <v>0</v>
      </c>
      <c r="X20" s="609">
        <f>IF(A20="Graduate School",((SUM('Data-Credit &amp; Degree'!T49:V49)*AD20))*AC20,(SUM('Data-Credit &amp; Degree'!E49:G49)+(SUM('Data-Credit &amp; Degree'!T49:V49)*AD20))*AC20)</f>
        <v>0</v>
      </c>
      <c r="Y20" s="610">
        <f>IF(A20="Graduate School",((SUM('Data-Credit &amp; Degree'!W49:Y49)*AD20))*AB20,(SUM('Data-Credit &amp; Degree'!H49:J49)+(SUM('Data-Credit &amp; Degree'!W49:Y49)*AD20))*AB20)</f>
        <v>0</v>
      </c>
      <c r="Z20" s="610">
        <f>(SUM('Data-Credit &amp; Degree'!K49:M49)/5)*AB20</f>
        <v>0</v>
      </c>
      <c r="AA20" s="614">
        <f>SUM('Data-Credit &amp; Degree'!N21:P21)*AB20</f>
        <v>0</v>
      </c>
      <c r="AB20" s="666">
        <f>IF((OR(A20="Pharmacy",A20="Veterinary Medicine")),IF(Dashboard!$C$15="yes",Dashboard!$C$16,IF(Dashboard!$C$18="yes",Weights!F20,1)),IF(Dashboard!$C$18="yes",Weights!D20,1))</f>
        <v>0</v>
      </c>
      <c r="AC20" s="653">
        <f>IF(Dashboard!$C$18="yes",Weights!E20,1)</f>
        <v>0</v>
      </c>
      <c r="AD20" s="654">
        <f>IF(A20="Graduate School",Dashboard!$B$34*Dashboard!$B$36,Dashboard!$B$34*Dashboard!$B$35)</f>
        <v>0.99995999999999996</v>
      </c>
    </row>
    <row r="21" spans="1:30" x14ac:dyDescent="0.2">
      <c r="A21" t="s">
        <v>237</v>
      </c>
      <c r="B21" s="609">
        <f>ROUND(Dashboard!$D$29*(('Data-Credit &amp; Degree'!AU22+'Data-Credit &amp; Degree'!AV22+'Data-Credit &amp; Degree'!AW22)/('Data-Credit &amp; Degree'!$AU$23+'Data-Credit &amp; Degree'!$AV$23+'Data-Credit &amp; Degree'!$AW$23)),-2)</f>
        <v>0</v>
      </c>
      <c r="C21" s="610">
        <f>ROUND(Dashboard!$D$23*'Productivity Calc'!D21,-2)</f>
        <v>0</v>
      </c>
      <c r="D21" s="636">
        <f t="shared" si="2"/>
        <v>0</v>
      </c>
      <c r="E21" s="616">
        <f>+Dashboard!$B$24*'Productivity Calc'!H21</f>
        <v>0</v>
      </c>
      <c r="F21" s="616">
        <f>+Dashboard!$B$26*'Productivity Calc'!I21</f>
        <v>0</v>
      </c>
      <c r="G21" s="617">
        <f>+Dashboard!$B$28*'Productivity Calc'!J21</f>
        <v>0</v>
      </c>
      <c r="H21" s="615">
        <f>IF(A21="PHHS",IF(Dashboard!$C$13="no",SUM('Data-Credit &amp; Degree'!$B$16:$G$16)+SUM('Data-Credit &amp; Degree'!$B$25:$D$25),SUM('Data-Credit &amp; Degree'!$B$16:$G$16)+(SUM('Data-Credit &amp; Degree'!$B$25:$D$25)*Dashboard!$C$14)),SUM('Data-Credit &amp; Degree'!B22:G22))</f>
        <v>0</v>
      </c>
      <c r="I21" s="616">
        <f>+'Data-Credit &amp; Degree'!K22+'Data-Credit &amp; Degree'!L22+'Data-Credit &amp; Degree'!M22</f>
        <v>0</v>
      </c>
      <c r="J21" s="617">
        <f>+'Data-Credit &amp; Degree'!Q22+'Data-Credit &amp; Degree'!R22+'Data-Credit &amp; Degree'!S22</f>
        <v>0</v>
      </c>
      <c r="K21" s="638">
        <f>ROUND((('Data-Credit &amp; Degree'!AI50+'Data-Credit &amp; Degree'!AJ50+'Data-Credit &amp; Degree'!AK50)*Dashboard!$B$44)/((('Data-Credit &amp; Degree'!$AI$51+'Data-Credit &amp; Degree'!$AJ$51+'Data-Credit &amp; Degree'!$AK$51)*Dashboard!$B$44)+(('Data-Credit &amp; Degree'!$AC$51+'Data-Credit &amp; Degree'!$AD$51+'Data-Credit &amp; Degree'!$AE$51)*Dashboard!$B$45)+(('Data-Credit &amp; Degree'!$AF$51+'Data-Credit &amp; Degree'!$AG$51+'Data-Credit &amp; Degree'!$AH$51)*Dashboard!$B$46))*Dashboard!$D$43,-2)</f>
        <v>0</v>
      </c>
      <c r="L21" s="638">
        <f>ROUND((('Data-Credit &amp; Degree'!AC50+'Data-Credit &amp; Degree'!AD50+'Data-Credit &amp; Degree'!AE50)*Dashboard!$B$45)/((('Data-Credit &amp; Degree'!$AI$51+'Data-Credit &amp; Degree'!$AJ$51+'Data-Credit &amp; Degree'!$AK$51)*Dashboard!$B$44)+(('Data-Credit &amp; Degree'!$AC$51+'Data-Credit &amp; Degree'!$AD$51+'Data-Credit &amp; Degree'!$AE$51)*Dashboard!$B$45)+(('Data-Credit &amp; Degree'!$AF$51+'Data-Credit &amp; Degree'!$AG$51+'Data-Credit &amp; Degree'!$AH$51)*Dashboard!$B$46))*Dashboard!$D$43,-2)</f>
        <v>0</v>
      </c>
      <c r="M21" s="638">
        <f>ROUND((('Data-Credit &amp; Degree'!AF50+'Data-Credit &amp; Degree'!AG50+'Data-Credit &amp; Degree'!AH50)*Dashboard!$B$46)/((('Data-Credit &amp; Degree'!$AI$51+'Data-Credit &amp; Degree'!$AJ$51+'Data-Credit &amp; Degree'!$AK$51)*Dashboard!$B$44)+(('Data-Credit &amp; Degree'!$AC$51+'Data-Credit &amp; Degree'!$AD$51+'Data-Credit &amp; Degree'!$AE$51)*Dashboard!$B$45)+(('Data-Credit &amp; Degree'!$AF$51+'Data-Credit &amp; Degree'!$AG$51+'Data-Credit &amp; Degree'!$AH$51)*Dashboard!$B$46))*Dashboard!$D$43,-2)</f>
        <v>0</v>
      </c>
      <c r="N21" s="639">
        <f>ROUND(IF(A21="PHHS",Dashboard!$D$49*((SUM('Data-Credit &amp; Degree'!AX22:AZ22,'Data-Credit &amp; Degree'!$AX$25:$AZ$25)/(SUM('Data-Credit &amp; Degree'!$AX$23:$AZ$23,'Data-Credit &amp; Degree'!$AX$25:$AZ$25)))),Dashboard!$D$49*((SUM('Data-Credit &amp; Degree'!AX22:AZ22)/(SUM('Data-Credit &amp; Degree'!$AX$23:$AZ$23,'Data-Credit &amp; Degree'!$AX$25:$AZ$25))))),-2)</f>
        <v>0</v>
      </c>
      <c r="O21" s="621">
        <f>+Ecampus!B23</f>
        <v>0</v>
      </c>
      <c r="P21" s="622">
        <f>+Summer!B24</f>
        <v>0</v>
      </c>
      <c r="Q21" s="651">
        <f>ROUND((Dashboard!$D$30*(R21/'Productivity Calc'!$R$22))+(Dashboard!$D$31*(S21/$S$22)),-2)</f>
        <v>0</v>
      </c>
      <c r="R21" s="626">
        <f>(SUM('Data-Credit &amp; Degree'!B50:D50)+(SUM('Data-Credit &amp; Degree'!Q50:S50,'Data-Credit &amp; Degree'!N50:P50)/5))*T21</f>
        <v>0</v>
      </c>
      <c r="S21" s="627">
        <f>(((SUM('Data-Credit &amp; Degree'!H22:J22)*T21)))</f>
        <v>0</v>
      </c>
      <c r="T21" s="648">
        <f>IF(Dashboard!$C$17="yes",Weights!C21,1)</f>
        <v>0</v>
      </c>
      <c r="U21" s="660">
        <f>ROUND((V21*Dashboard!$D$37)+(W21*Dashboard!$D$32),-2)</f>
        <v>0</v>
      </c>
      <c r="V21" s="665">
        <f t="shared" si="0"/>
        <v>0</v>
      </c>
      <c r="W21" s="634">
        <f t="shared" si="1"/>
        <v>0</v>
      </c>
      <c r="X21" s="615">
        <f>IF(A21="Graduate School",((SUM('Data-Credit &amp; Degree'!T50:V50)*AD21))*AC21,(SUM('Data-Credit &amp; Degree'!E50:G50)+(SUM('Data-Credit &amp; Degree'!T50:V50)*AD21))*AC21)</f>
        <v>0</v>
      </c>
      <c r="Y21" s="616">
        <f>IF(A21="Graduate School",((SUM('Data-Credit &amp; Degree'!W50:Y50)*AD21))*AB21,(SUM('Data-Credit &amp; Degree'!H50:J50)+(SUM('Data-Credit &amp; Degree'!W50:Y50)*AD21))*AB21)</f>
        <v>0</v>
      </c>
      <c r="Z21" s="616">
        <f>(SUM('Data-Credit &amp; Degree'!K50:M50)/5)*AB21</f>
        <v>0</v>
      </c>
      <c r="AA21" s="617">
        <f>SUM('Data-Credit &amp; Degree'!N22:P22)*AB21</f>
        <v>0</v>
      </c>
      <c r="AB21" s="667">
        <f>IF((OR(A21="Pharmacy",A21="Veterinary Medicine")),IF(Dashboard!$C$15="yes",Dashboard!$C$16,IF(Dashboard!$C$18="yes",Weights!F21,1)),IF(Dashboard!$C$18="yes",Weights!D21,1))</f>
        <v>0</v>
      </c>
      <c r="AC21" s="656">
        <f>IF(Dashboard!$C$18="yes",Weights!E21,1)</f>
        <v>0</v>
      </c>
      <c r="AD21" s="657">
        <f>IF(A21="Graduate School",Dashboard!$B$34*Dashboard!$B$36,Dashboard!$B$34*Dashboard!$B$35)</f>
        <v>0.99995999999999996</v>
      </c>
    </row>
    <row r="22" spans="1:30" ht="16" thickBot="1" x14ac:dyDescent="0.25">
      <c r="B22" s="834">
        <f t="shared" ref="B22:S22" si="3">SUM(B5:B21)</f>
        <v>658400</v>
      </c>
      <c r="C22" s="290">
        <f t="shared" si="3"/>
        <v>59244300</v>
      </c>
      <c r="D22" s="637">
        <f t="shared" si="3"/>
        <v>1</v>
      </c>
      <c r="E22" s="290">
        <f t="shared" si="3"/>
        <v>703915.25174999994</v>
      </c>
      <c r="F22" s="290">
        <f t="shared" si="3"/>
        <v>201573.46799999999</v>
      </c>
      <c r="G22" s="290">
        <f t="shared" si="3"/>
        <v>60203.717999999993</v>
      </c>
      <c r="H22" s="290">
        <f t="shared" si="3"/>
        <v>998461.35</v>
      </c>
      <c r="I22" s="290">
        <f t="shared" si="3"/>
        <v>198204</v>
      </c>
      <c r="J22" s="290">
        <f t="shared" si="3"/>
        <v>29382</v>
      </c>
      <c r="K22" s="296">
        <f t="shared" si="3"/>
        <v>2767100</v>
      </c>
      <c r="L22" s="296">
        <f t="shared" si="3"/>
        <v>1560400</v>
      </c>
      <c r="M22" s="290">
        <f t="shared" si="3"/>
        <v>938700</v>
      </c>
      <c r="N22" s="290">
        <f t="shared" si="3"/>
        <v>658300</v>
      </c>
      <c r="O22" s="290">
        <f t="shared" si="3"/>
        <v>89861900</v>
      </c>
      <c r="P22" s="290">
        <f t="shared" si="3"/>
        <v>5282000</v>
      </c>
      <c r="Q22" s="432">
        <f t="shared" si="3"/>
        <v>35546600</v>
      </c>
      <c r="R22" s="296">
        <f t="shared" si="3"/>
        <v>21988.856544071215</v>
      </c>
      <c r="S22" s="296">
        <f t="shared" si="3"/>
        <v>895686.32181467523</v>
      </c>
      <c r="T22" s="295"/>
      <c r="U22" s="290">
        <f t="shared" ref="U22:AA22" si="4">SUM(U5:U21)</f>
        <v>22381100</v>
      </c>
      <c r="V22" s="428">
        <f t="shared" si="4"/>
        <v>0.99999999999999989</v>
      </c>
      <c r="W22" s="428">
        <f t="shared" si="4"/>
        <v>1</v>
      </c>
      <c r="X22" s="290">
        <f t="shared" si="4"/>
        <v>2281.0800373432471</v>
      </c>
      <c r="Y22" s="290">
        <f t="shared" si="4"/>
        <v>6467.8465673347973</v>
      </c>
      <c r="Z22" s="290">
        <f t="shared" si="4"/>
        <v>274.57951389813462</v>
      </c>
      <c r="AA22" s="290">
        <f t="shared" si="4"/>
        <v>662728.59536804666</v>
      </c>
      <c r="AB22" s="290"/>
      <c r="AC22" s="290"/>
      <c r="AD22" s="290"/>
    </row>
    <row r="23" spans="1:30" ht="16" thickTop="1" x14ac:dyDescent="0.2"/>
    <row r="24" spans="1:30" x14ac:dyDescent="0.2">
      <c r="A24" t="s">
        <v>469</v>
      </c>
    </row>
    <row r="25" spans="1:30" x14ac:dyDescent="0.2">
      <c r="M25" s="131"/>
    </row>
  </sheetData>
  <mergeCells count="14">
    <mergeCell ref="B1:AD1"/>
    <mergeCell ref="X3:Z3"/>
    <mergeCell ref="U2:AD2"/>
    <mergeCell ref="Q2:T2"/>
    <mergeCell ref="R3:S3"/>
    <mergeCell ref="AB3:AD3"/>
    <mergeCell ref="O2:P2"/>
    <mergeCell ref="B2:I2"/>
    <mergeCell ref="H3:J3"/>
    <mergeCell ref="E3:G3"/>
    <mergeCell ref="K2:N2"/>
    <mergeCell ref="B3:C3"/>
    <mergeCell ref="K3:N3"/>
    <mergeCell ref="O3:P3"/>
  </mergeCells>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Z48"/>
  <sheetViews>
    <sheetView workbookViewId="0">
      <selection activeCell="B44" sqref="B44"/>
    </sheetView>
  </sheetViews>
  <sheetFormatPr baseColWidth="10" defaultColWidth="8.83203125" defaultRowHeight="15" x14ac:dyDescent="0.2"/>
  <cols>
    <col min="1" max="1" width="40" bestFit="1" customWidth="1"/>
    <col min="2" max="2" width="13.1640625" customWidth="1"/>
    <col min="3" max="3" width="12.5" bestFit="1" customWidth="1"/>
    <col min="4" max="4" width="13.5" customWidth="1"/>
    <col min="5" max="6" width="12.5" bestFit="1" customWidth="1"/>
    <col min="7" max="7" width="11" bestFit="1" customWidth="1"/>
    <col min="8" max="8" width="12.5" bestFit="1" customWidth="1"/>
    <col min="9" max="9" width="13.1640625" bestFit="1" customWidth="1"/>
    <col min="10" max="10" width="12.5" bestFit="1" customWidth="1"/>
    <col min="11" max="11" width="13.6640625" bestFit="1" customWidth="1"/>
    <col min="12" max="12" width="14.6640625" bestFit="1" customWidth="1"/>
    <col min="13" max="13" width="14.6640625" customWidth="1"/>
    <col min="14" max="14" width="14.6640625" style="702" customWidth="1"/>
    <col min="15" max="15" width="13.6640625" bestFit="1" customWidth="1"/>
    <col min="16" max="16" width="12.1640625" bestFit="1" customWidth="1"/>
    <col min="17" max="18" width="13.1640625" bestFit="1" customWidth="1"/>
    <col min="19" max="21" width="14.6640625" bestFit="1" customWidth="1"/>
    <col min="23" max="23" width="11.5" style="554" bestFit="1" customWidth="1"/>
    <col min="24" max="24" width="9.6640625" bestFit="1" customWidth="1"/>
    <col min="25" max="25" width="10.5" bestFit="1" customWidth="1"/>
  </cols>
  <sheetData>
    <row r="1" spans="1:26" ht="17" thickBot="1" x14ac:dyDescent="0.25">
      <c r="A1" s="1245" t="s">
        <v>394</v>
      </c>
      <c r="B1" s="1245"/>
    </row>
    <row r="2" spans="1:26" ht="16" thickBot="1" x14ac:dyDescent="0.25">
      <c r="A2" t="s">
        <v>386</v>
      </c>
      <c r="H2" s="567" t="s">
        <v>602</v>
      </c>
      <c r="I2" s="568">
        <v>1</v>
      </c>
      <c r="J2" s="568">
        <v>2</v>
      </c>
      <c r="K2" s="568">
        <v>3</v>
      </c>
      <c r="L2" s="569">
        <v>4</v>
      </c>
      <c r="M2" s="568">
        <v>5</v>
      </c>
      <c r="N2" s="568"/>
      <c r="O2" s="570">
        <v>6</v>
      </c>
    </row>
    <row r="3" spans="1:26" x14ac:dyDescent="0.2">
      <c r="C3" s="231"/>
    </row>
    <row r="4" spans="1:26" ht="60" x14ac:dyDescent="0.2">
      <c r="A4" s="232" t="s">
        <v>115</v>
      </c>
      <c r="B4" s="233" t="s">
        <v>182</v>
      </c>
      <c r="C4" s="233" t="s">
        <v>183</v>
      </c>
      <c r="D4" s="233" t="s">
        <v>582</v>
      </c>
      <c r="E4" s="233" t="s">
        <v>184</v>
      </c>
      <c r="F4" s="233" t="s">
        <v>626</v>
      </c>
      <c r="I4" s="245"/>
      <c r="O4" s="230"/>
    </row>
    <row r="5" spans="1:26" x14ac:dyDescent="0.2">
      <c r="A5" s="234" t="s">
        <v>185</v>
      </c>
      <c r="B5" s="235"/>
      <c r="C5" s="235"/>
      <c r="D5" s="235"/>
      <c r="E5" s="235"/>
      <c r="F5" s="235">
        <f>ROUND(E28-SUM(F9:F27),-2)+30000+3000+37000+50000</f>
        <v>822900</v>
      </c>
    </row>
    <row r="6" spans="1:26" x14ac:dyDescent="0.2">
      <c r="A6" s="178"/>
      <c r="B6" s="236"/>
      <c r="C6" s="236"/>
      <c r="D6" s="236"/>
      <c r="E6" s="236"/>
      <c r="F6" s="236"/>
      <c r="H6" s="1248" t="s">
        <v>387</v>
      </c>
      <c r="I6" s="1248"/>
      <c r="J6" s="1248"/>
      <c r="K6" s="1248"/>
      <c r="L6" s="1248"/>
      <c r="M6" s="1248"/>
      <c r="N6" s="1248"/>
      <c r="O6" s="1248"/>
      <c r="P6" s="1248"/>
      <c r="Q6" s="1248"/>
      <c r="R6" s="1248"/>
      <c r="S6" s="1248"/>
      <c r="T6" s="1248"/>
      <c r="U6" s="1248"/>
    </row>
    <row r="7" spans="1:26" x14ac:dyDescent="0.2">
      <c r="A7" s="237" t="s">
        <v>141</v>
      </c>
      <c r="B7" s="236"/>
      <c r="C7" s="236"/>
      <c r="D7" s="236"/>
      <c r="E7" s="236"/>
      <c r="F7" s="236"/>
      <c r="G7" s="556"/>
      <c r="H7" s="1246" t="s">
        <v>388</v>
      </c>
      <c r="I7" s="1246"/>
      <c r="J7" s="1246"/>
      <c r="K7" s="1246"/>
      <c r="L7" s="1246"/>
      <c r="M7" s="1246"/>
      <c r="N7" s="701"/>
      <c r="O7" s="1247" t="s">
        <v>389</v>
      </c>
      <c r="P7" s="1247"/>
      <c r="Q7" s="1247"/>
      <c r="R7" s="1247"/>
      <c r="S7" s="1247"/>
      <c r="T7" s="1247"/>
      <c r="U7" s="1247"/>
    </row>
    <row r="8" spans="1:26" x14ac:dyDescent="0.2">
      <c r="A8" s="237" t="s">
        <v>141</v>
      </c>
      <c r="B8" s="236"/>
      <c r="C8" s="236"/>
      <c r="D8" s="236"/>
      <c r="E8" s="236"/>
      <c r="F8" s="236"/>
      <c r="H8">
        <v>2016</v>
      </c>
      <c r="I8">
        <v>2017</v>
      </c>
      <c r="J8">
        <v>2018</v>
      </c>
      <c r="K8">
        <v>2019</v>
      </c>
      <c r="L8">
        <v>2020</v>
      </c>
      <c r="M8">
        <v>2021</v>
      </c>
      <c r="N8" s="702" t="s">
        <v>646</v>
      </c>
      <c r="O8">
        <v>2016</v>
      </c>
      <c r="P8">
        <v>2017</v>
      </c>
      <c r="Q8">
        <v>2018</v>
      </c>
      <c r="R8">
        <v>2019</v>
      </c>
      <c r="S8">
        <v>2020</v>
      </c>
      <c r="T8">
        <v>2021</v>
      </c>
      <c r="U8" s="702" t="s">
        <v>646</v>
      </c>
    </row>
    <row r="9" spans="1:26" x14ac:dyDescent="0.2">
      <c r="A9" s="197" t="s">
        <v>145</v>
      </c>
      <c r="B9" s="238"/>
      <c r="C9" s="238"/>
      <c r="D9" s="238"/>
      <c r="E9" s="238"/>
      <c r="F9" s="238"/>
      <c r="H9" s="238"/>
      <c r="I9" s="238"/>
      <c r="J9" s="238"/>
      <c r="K9" s="238"/>
      <c r="L9" s="238"/>
      <c r="M9" s="238"/>
      <c r="N9" s="238"/>
      <c r="O9" s="238"/>
      <c r="P9" s="238"/>
      <c r="Q9" s="238"/>
      <c r="R9" s="238"/>
      <c r="S9" s="241"/>
      <c r="T9" s="241"/>
      <c r="U9" s="241"/>
    </row>
    <row r="10" spans="1:26" x14ac:dyDescent="0.2">
      <c r="A10" s="190" t="s">
        <v>147</v>
      </c>
      <c r="B10" s="239">
        <f>+N10</f>
        <v>2146942.1</v>
      </c>
      <c r="C10" s="239">
        <f>+U10</f>
        <v>818253.02681880002</v>
      </c>
      <c r="D10" s="239">
        <f>-0.1*B10-0.1*C10</f>
        <v>-296519.51268188003</v>
      </c>
      <c r="E10" s="239">
        <f>SUM(B10:D10)</f>
        <v>2668675.6141369203</v>
      </c>
      <c r="F10" s="239">
        <f>ROUND(0.97*E10,-3)</f>
        <v>2589000</v>
      </c>
      <c r="G10" s="556"/>
      <c r="H10" s="240">
        <v>1914340</v>
      </c>
      <c r="I10" s="240">
        <v>2044660</v>
      </c>
      <c r="J10" s="240">
        <v>2043820</v>
      </c>
      <c r="K10" s="240">
        <v>2043780</v>
      </c>
      <c r="L10" s="240">
        <v>2177049</v>
      </c>
      <c r="M10" s="240">
        <v>2089884.5</v>
      </c>
      <c r="N10" s="240">
        <f>TREND(I10:M10,$I$2:$M$2,$O$2)</f>
        <v>2146942.1</v>
      </c>
      <c r="O10" s="240">
        <v>1359143</v>
      </c>
      <c r="P10" s="240">
        <v>1074454</v>
      </c>
      <c r="Q10" s="240">
        <v>969647</v>
      </c>
      <c r="R10" s="240">
        <v>672899.5</v>
      </c>
      <c r="S10" s="240">
        <v>818285.5</v>
      </c>
      <c r="T10" s="888">
        <v>823569</v>
      </c>
      <c r="U10" s="586">
        <f>+T10*0.9935452</f>
        <v>818253.02681880002</v>
      </c>
      <c r="W10" s="556"/>
      <c r="X10" s="556"/>
      <c r="Y10" s="556"/>
      <c r="Z10" s="556"/>
    </row>
    <row r="11" spans="1:26" x14ac:dyDescent="0.2">
      <c r="A11" s="190" t="s">
        <v>149</v>
      </c>
      <c r="B11" s="239">
        <f t="shared" ref="B11:B26" si="0">+N11</f>
        <v>9638345.660000002</v>
      </c>
      <c r="C11" s="239">
        <f t="shared" ref="C11:C26" si="1">+U11</f>
        <v>1907031.3219915</v>
      </c>
      <c r="D11" s="239">
        <f t="shared" ref="D11:D22" si="2">-0.1*B11-0.1*C11</f>
        <v>-1154537.6981991502</v>
      </c>
      <c r="E11" s="239">
        <f>SUM(B11:D11)</f>
        <v>10390839.28379235</v>
      </c>
      <c r="F11" s="239">
        <f t="shared" ref="F11:F27" si="3">ROUND(0.97*E11,-3)</f>
        <v>10079000</v>
      </c>
      <c r="G11" s="556"/>
      <c r="H11" s="240">
        <v>8562458</v>
      </c>
      <c r="I11" s="240">
        <v>8847735</v>
      </c>
      <c r="J11" s="240">
        <v>8966633</v>
      </c>
      <c r="K11" s="240">
        <v>8930933</v>
      </c>
      <c r="L11" s="240">
        <v>9244702</v>
      </c>
      <c r="M11" s="240">
        <v>9581956.6999999993</v>
      </c>
      <c r="N11" s="240">
        <f>TREND(I11:M11,$I$2:$M$2,$O$2)</f>
        <v>9638345.660000002</v>
      </c>
      <c r="O11" s="240">
        <v>1957065</v>
      </c>
      <c r="P11" s="240">
        <v>2025595</v>
      </c>
      <c r="Q11" s="240">
        <v>1900745</v>
      </c>
      <c r="R11" s="240">
        <v>1869725</v>
      </c>
      <c r="S11" s="240">
        <v>1866755</v>
      </c>
      <c r="T11" s="240">
        <v>1929250.5</v>
      </c>
      <c r="U11" s="586">
        <f>+T11*0.988483</f>
        <v>1907031.3219915</v>
      </c>
      <c r="W11" s="556"/>
      <c r="X11" s="556"/>
      <c r="Y11" s="556"/>
      <c r="Z11" s="556"/>
    </row>
    <row r="12" spans="1:26" x14ac:dyDescent="0.2">
      <c r="A12" s="197" t="s">
        <v>150</v>
      </c>
      <c r="B12" s="235">
        <f t="shared" si="0"/>
        <v>115000</v>
      </c>
      <c r="C12" s="235">
        <f t="shared" si="1"/>
        <v>0</v>
      </c>
      <c r="D12" s="235">
        <f t="shared" si="2"/>
        <v>-11500</v>
      </c>
      <c r="E12" s="235">
        <f>SUM(B12:D12)</f>
        <v>103500</v>
      </c>
      <c r="F12" s="235">
        <f t="shared" si="3"/>
        <v>100000</v>
      </c>
      <c r="G12" s="556"/>
      <c r="H12" s="241">
        <v>124905</v>
      </c>
      <c r="I12" s="241">
        <v>130500</v>
      </c>
      <c r="J12" s="241">
        <v>126720</v>
      </c>
      <c r="K12" s="241">
        <v>121860</v>
      </c>
      <c r="L12" s="241">
        <v>127335</v>
      </c>
      <c r="M12" s="241">
        <v>118390.8</v>
      </c>
      <c r="N12" s="704">
        <v>115000</v>
      </c>
      <c r="O12" s="241"/>
      <c r="P12" s="241"/>
      <c r="Q12" s="241"/>
      <c r="R12" s="241"/>
      <c r="S12" s="241"/>
      <c r="T12" s="241"/>
      <c r="U12" s="704"/>
      <c r="W12" s="556"/>
      <c r="X12" s="556"/>
      <c r="Y12" s="556"/>
      <c r="Z12" s="556"/>
    </row>
    <row r="13" spans="1:26" x14ac:dyDescent="0.2">
      <c r="A13" s="190" t="s">
        <v>151</v>
      </c>
      <c r="B13" s="239">
        <f t="shared" si="0"/>
        <v>0</v>
      </c>
      <c r="C13" s="239">
        <v>172000</v>
      </c>
      <c r="D13" s="239">
        <f t="shared" si="2"/>
        <v>-17200</v>
      </c>
      <c r="E13" s="239">
        <f>SUM(B13:D13)</f>
        <v>154800</v>
      </c>
      <c r="F13" s="239">
        <f t="shared" si="3"/>
        <v>150000</v>
      </c>
      <c r="G13" s="556"/>
      <c r="H13" s="240"/>
      <c r="I13" s="240"/>
      <c r="J13" s="240"/>
      <c r="K13" s="240"/>
      <c r="L13" s="240"/>
      <c r="M13" s="240"/>
      <c r="N13" s="240"/>
      <c r="O13" s="240">
        <v>132639</v>
      </c>
      <c r="P13" s="240">
        <v>164687</v>
      </c>
      <c r="Q13" s="240">
        <v>190825</v>
      </c>
      <c r="R13" s="240">
        <v>232657</v>
      </c>
      <c r="S13" s="240">
        <v>197771.5</v>
      </c>
      <c r="T13" s="240">
        <v>178511.5</v>
      </c>
      <c r="U13" s="240">
        <v>178000</v>
      </c>
      <c r="W13" s="556"/>
      <c r="X13" s="556"/>
      <c r="Y13" s="556"/>
      <c r="Z13" s="556"/>
    </row>
    <row r="14" spans="1:26" x14ac:dyDescent="0.2">
      <c r="A14" s="190" t="s">
        <v>152</v>
      </c>
      <c r="B14" s="236">
        <f t="shared" si="0"/>
        <v>0</v>
      </c>
      <c r="C14" s="236">
        <f t="shared" si="1"/>
        <v>0</v>
      </c>
      <c r="D14" s="236">
        <f t="shared" si="2"/>
        <v>0</v>
      </c>
      <c r="E14" s="239">
        <f t="shared" ref="E14:E15" si="4">SUM(B14:D14)</f>
        <v>0</v>
      </c>
      <c r="F14" s="239">
        <f t="shared" si="3"/>
        <v>0</v>
      </c>
      <c r="G14" s="556"/>
      <c r="H14" s="147"/>
      <c r="I14" s="147"/>
      <c r="J14" s="147"/>
      <c r="K14" s="147"/>
      <c r="L14" s="147"/>
      <c r="M14" s="147"/>
      <c r="N14" s="240"/>
      <c r="O14" s="147"/>
      <c r="P14" s="147"/>
      <c r="Q14" s="147"/>
      <c r="R14" s="147"/>
      <c r="S14" s="147"/>
      <c r="T14" s="147"/>
      <c r="U14" s="240"/>
      <c r="W14" s="556"/>
      <c r="X14" s="556"/>
      <c r="Y14" s="556"/>
      <c r="Z14" s="556"/>
    </row>
    <row r="15" spans="1:26" x14ac:dyDescent="0.2">
      <c r="A15" s="197" t="s">
        <v>153</v>
      </c>
      <c r="B15" s="235">
        <f t="shared" si="0"/>
        <v>129007.5</v>
      </c>
      <c r="C15" s="235">
        <f t="shared" si="1"/>
        <v>0</v>
      </c>
      <c r="D15" s="235">
        <f>-0.1*B15-0.1*C15</f>
        <v>-12900.75</v>
      </c>
      <c r="E15" s="235">
        <f t="shared" si="4"/>
        <v>116106.75</v>
      </c>
      <c r="F15" s="235">
        <f t="shared" si="3"/>
        <v>113000</v>
      </c>
      <c r="G15" s="556"/>
      <c r="H15" s="241"/>
      <c r="I15" s="241"/>
      <c r="J15" s="241"/>
      <c r="K15" s="241"/>
      <c r="L15" s="241">
        <v>137790</v>
      </c>
      <c r="M15" s="241">
        <v>125250</v>
      </c>
      <c r="N15" s="705">
        <f>+M15*1.03</f>
        <v>129007.5</v>
      </c>
      <c r="O15" s="241"/>
      <c r="P15" s="241"/>
      <c r="Q15" s="241"/>
      <c r="R15" s="241"/>
      <c r="S15" s="241"/>
      <c r="T15" s="241"/>
      <c r="U15" s="704"/>
      <c r="W15" s="556"/>
      <c r="X15" s="556"/>
      <c r="Y15" s="556"/>
      <c r="Z15" s="556"/>
    </row>
    <row r="16" spans="1:26" x14ac:dyDescent="0.2">
      <c r="A16" s="190" t="s">
        <v>154</v>
      </c>
      <c r="B16" s="38">
        <f t="shared" si="0"/>
        <v>0</v>
      </c>
      <c r="C16" s="38">
        <f t="shared" si="1"/>
        <v>0</v>
      </c>
      <c r="D16" s="38">
        <f t="shared" si="2"/>
        <v>0</v>
      </c>
      <c r="E16" s="38"/>
      <c r="F16" s="236">
        <f t="shared" si="3"/>
        <v>0</v>
      </c>
      <c r="G16" s="556"/>
      <c r="H16" s="147"/>
      <c r="I16" s="147"/>
      <c r="J16" s="147"/>
      <c r="K16" s="147"/>
      <c r="L16" s="147"/>
      <c r="M16" s="147"/>
      <c r="N16" s="240"/>
      <c r="O16" s="147"/>
      <c r="P16" s="147"/>
      <c r="Q16" s="147"/>
      <c r="R16" s="147"/>
      <c r="S16" s="147"/>
      <c r="T16" s="147"/>
      <c r="U16" s="240"/>
      <c r="W16" s="556"/>
      <c r="X16" s="556"/>
      <c r="Y16" s="556"/>
      <c r="Z16" s="556"/>
    </row>
    <row r="17" spans="1:26" x14ac:dyDescent="0.2">
      <c r="A17" s="190" t="s">
        <v>155</v>
      </c>
      <c r="B17" s="1089">
        <f t="shared" si="0"/>
        <v>0</v>
      </c>
      <c r="C17" s="1089">
        <f t="shared" si="1"/>
        <v>4313765.5448061023</v>
      </c>
      <c r="D17" s="1089">
        <f t="shared" si="2"/>
        <v>-431376.55448061024</v>
      </c>
      <c r="E17" s="1089">
        <f>SUM(B17:D17)</f>
        <v>3882388.9903254919</v>
      </c>
      <c r="F17" s="1089">
        <f t="shared" si="3"/>
        <v>3766000</v>
      </c>
      <c r="G17" s="556"/>
      <c r="H17" s="147"/>
      <c r="I17" s="147"/>
      <c r="J17" s="147"/>
      <c r="K17" s="147"/>
      <c r="L17" s="147"/>
      <c r="M17" s="147"/>
      <c r="N17" s="240"/>
      <c r="O17" s="147">
        <v>3743671</v>
      </c>
      <c r="P17" s="147">
        <v>3810417</v>
      </c>
      <c r="Q17" s="147">
        <v>4143126</v>
      </c>
      <c r="R17" s="147">
        <v>4448894.5</v>
      </c>
      <c r="S17" s="147">
        <v>4348249</v>
      </c>
      <c r="T17" s="957">
        <v>4209107</v>
      </c>
      <c r="U17" s="586">
        <f>+T17*1.024864786</f>
        <v>4313765.5448061023</v>
      </c>
      <c r="W17" s="556"/>
      <c r="X17" s="556"/>
      <c r="Y17" s="556"/>
      <c r="Z17" s="556"/>
    </row>
    <row r="18" spans="1:26" x14ac:dyDescent="0.2">
      <c r="A18" s="197" t="s">
        <v>156</v>
      </c>
      <c r="B18" s="235">
        <f t="shared" si="0"/>
        <v>0</v>
      </c>
      <c r="C18" s="235">
        <f t="shared" si="1"/>
        <v>0</v>
      </c>
      <c r="D18" s="235">
        <f t="shared" si="2"/>
        <v>0</v>
      </c>
      <c r="E18" s="235"/>
      <c r="F18" s="235">
        <f t="shared" si="3"/>
        <v>0</v>
      </c>
      <c r="G18" s="556"/>
      <c r="H18" s="241"/>
      <c r="I18" s="241"/>
      <c r="J18" s="241"/>
      <c r="K18" s="241"/>
      <c r="L18" s="241"/>
      <c r="M18" s="241"/>
      <c r="N18" s="704"/>
      <c r="O18" s="241"/>
      <c r="P18" s="241"/>
      <c r="Q18" s="241"/>
      <c r="R18" s="241"/>
      <c r="S18" s="241"/>
      <c r="T18" s="958"/>
      <c r="U18" s="704"/>
      <c r="W18" s="556"/>
      <c r="X18" s="556"/>
      <c r="Y18" s="556"/>
      <c r="Z18" s="556"/>
    </row>
    <row r="19" spans="1:26" x14ac:dyDescent="0.2">
      <c r="A19" s="190" t="s">
        <v>157</v>
      </c>
      <c r="B19" s="1089">
        <f t="shared" si="0"/>
        <v>0</v>
      </c>
      <c r="C19" s="1089">
        <f t="shared" si="1"/>
        <v>4659277.1500000004</v>
      </c>
      <c r="D19" s="1089">
        <f t="shared" si="2"/>
        <v>-465927.71500000008</v>
      </c>
      <c r="E19" s="1089">
        <f>SUM(B19:D19)</f>
        <v>4193349.4350000005</v>
      </c>
      <c r="F19" s="1089">
        <f t="shared" si="3"/>
        <v>4068000</v>
      </c>
      <c r="G19" s="556"/>
      <c r="H19" s="147"/>
      <c r="I19" s="147"/>
      <c r="J19" s="147"/>
      <c r="K19" s="147"/>
      <c r="L19" s="147"/>
      <c r="M19" s="147"/>
      <c r="N19" s="240"/>
      <c r="O19" s="147">
        <v>2429650</v>
      </c>
      <c r="P19" s="147">
        <v>2498367</v>
      </c>
      <c r="Q19" s="147">
        <v>2958168</v>
      </c>
      <c r="R19" s="147">
        <v>3380959</v>
      </c>
      <c r="S19" s="147">
        <v>3889596</v>
      </c>
      <c r="T19" s="957">
        <v>4235706.5</v>
      </c>
      <c r="U19" s="240">
        <f>+T19*1.1</f>
        <v>4659277.1500000004</v>
      </c>
      <c r="W19" s="556"/>
      <c r="X19" s="556"/>
      <c r="Y19" s="556"/>
      <c r="Z19" s="556"/>
    </row>
    <row r="20" spans="1:26" x14ac:dyDescent="0.2">
      <c r="A20" s="190" t="s">
        <v>158</v>
      </c>
      <c r="B20" s="236">
        <f>+N20</f>
        <v>0</v>
      </c>
      <c r="C20" s="236">
        <f t="shared" si="1"/>
        <v>0</v>
      </c>
      <c r="D20" s="236">
        <f>-0.1*B20-0.1*C20</f>
        <v>0</v>
      </c>
      <c r="E20" s="236">
        <f>SUM(B20:D20)</f>
        <v>0</v>
      </c>
      <c r="F20" s="236">
        <f t="shared" si="3"/>
        <v>0</v>
      </c>
      <c r="G20" s="556"/>
      <c r="H20" s="147"/>
      <c r="I20" s="147"/>
      <c r="J20" s="147"/>
      <c r="K20" s="147"/>
      <c r="L20" s="147"/>
      <c r="M20" s="147"/>
      <c r="N20" s="240"/>
      <c r="O20" s="147"/>
      <c r="P20" s="147"/>
      <c r="Q20" s="147"/>
      <c r="R20" s="147"/>
      <c r="S20" s="147"/>
      <c r="T20" s="240"/>
      <c r="U20" s="240"/>
      <c r="W20" s="556"/>
      <c r="X20" s="556"/>
      <c r="Y20" s="556"/>
      <c r="Z20" s="556"/>
    </row>
    <row r="21" spans="1:26" x14ac:dyDescent="0.2">
      <c r="A21" s="197" t="s">
        <v>159</v>
      </c>
      <c r="B21" s="235">
        <f t="shared" si="0"/>
        <v>2164732.0057489998</v>
      </c>
      <c r="C21" s="235">
        <f t="shared" si="1"/>
        <v>0</v>
      </c>
      <c r="D21" s="235">
        <f t="shared" si="2"/>
        <v>-216473.20057489999</v>
      </c>
      <c r="E21" s="235">
        <f>SUM(B21:D21)</f>
        <v>1948258.8051740997</v>
      </c>
      <c r="F21" s="235">
        <f t="shared" si="3"/>
        <v>1890000</v>
      </c>
      <c r="G21" s="556"/>
      <c r="H21" s="235">
        <v>965030</v>
      </c>
      <c r="I21" s="235">
        <v>1278992.5</v>
      </c>
      <c r="J21" s="235">
        <v>1667500</v>
      </c>
      <c r="K21" s="235">
        <v>1902000</v>
      </c>
      <c r="L21" s="235">
        <v>2012500</v>
      </c>
      <c r="M21" s="959">
        <v>2100500</v>
      </c>
      <c r="N21" s="705">
        <f>1948259*1.111111</f>
        <v>2164732.0057489998</v>
      </c>
      <c r="O21" s="235"/>
      <c r="P21" s="235"/>
      <c r="Q21" s="235"/>
      <c r="R21" s="235"/>
      <c r="S21" s="241"/>
      <c r="T21" s="241"/>
      <c r="U21" s="241"/>
      <c r="W21" s="556"/>
      <c r="X21" s="556"/>
      <c r="Y21" s="556"/>
      <c r="Z21" s="556"/>
    </row>
    <row r="22" spans="1:26" x14ac:dyDescent="0.2">
      <c r="A22" s="190" t="s">
        <v>160</v>
      </c>
      <c r="B22" s="236">
        <f t="shared" si="0"/>
        <v>0</v>
      </c>
      <c r="C22" s="236">
        <f t="shared" si="1"/>
        <v>0</v>
      </c>
      <c r="D22" s="236">
        <f t="shared" si="2"/>
        <v>0</v>
      </c>
      <c r="E22" s="236">
        <f>SUM(B22:D22)</f>
        <v>0</v>
      </c>
      <c r="F22" s="236">
        <f t="shared" si="3"/>
        <v>0</v>
      </c>
      <c r="G22" s="556"/>
      <c r="H22" s="236"/>
      <c r="I22" s="236"/>
      <c r="J22" s="236"/>
      <c r="K22" s="236"/>
      <c r="L22" s="236"/>
      <c r="M22" s="236"/>
      <c r="N22" s="236"/>
      <c r="O22" s="236"/>
      <c r="P22" s="236"/>
      <c r="Q22" s="236"/>
      <c r="R22" s="236"/>
      <c r="S22" s="147"/>
      <c r="T22" s="147"/>
      <c r="U22" s="147"/>
      <c r="V22" s="556"/>
      <c r="W22" s="556"/>
      <c r="Y22" s="556"/>
    </row>
    <row r="23" spans="1:26" x14ac:dyDescent="0.2">
      <c r="A23" s="190" t="s">
        <v>186</v>
      </c>
      <c r="B23" s="236">
        <f t="shared" si="0"/>
        <v>0</v>
      </c>
      <c r="C23" s="236">
        <f t="shared" si="1"/>
        <v>0</v>
      </c>
      <c r="D23" s="236"/>
      <c r="E23" s="236"/>
      <c r="F23" s="236">
        <f t="shared" si="3"/>
        <v>0</v>
      </c>
      <c r="G23" s="556"/>
      <c r="H23" s="236"/>
      <c r="I23" s="236"/>
      <c r="J23" s="236"/>
      <c r="K23" s="236"/>
      <c r="L23" s="236"/>
      <c r="M23" s="236"/>
      <c r="N23" s="236"/>
      <c r="O23" s="236"/>
      <c r="P23" s="236"/>
      <c r="Q23" s="236"/>
      <c r="R23" s="236"/>
      <c r="S23" s="147"/>
      <c r="T23" s="147"/>
      <c r="U23" s="147"/>
      <c r="W23" s="556"/>
      <c r="Y23" s="556"/>
    </row>
    <row r="24" spans="1:26" x14ac:dyDescent="0.2">
      <c r="A24" s="207" t="s">
        <v>161</v>
      </c>
      <c r="B24" s="235">
        <f t="shared" si="0"/>
        <v>0</v>
      </c>
      <c r="C24" s="235">
        <f t="shared" si="1"/>
        <v>0</v>
      </c>
      <c r="D24" s="235"/>
      <c r="E24" s="235"/>
      <c r="F24" s="235">
        <f t="shared" si="3"/>
        <v>0</v>
      </c>
      <c r="G24" s="556"/>
      <c r="H24" s="235"/>
      <c r="I24" s="235"/>
      <c r="J24" s="235"/>
      <c r="K24" s="235"/>
      <c r="L24" s="235"/>
      <c r="M24" s="235"/>
      <c r="N24" s="235"/>
      <c r="O24" s="235"/>
      <c r="P24" s="235"/>
      <c r="Q24" s="235"/>
      <c r="R24" s="235"/>
      <c r="S24" s="241"/>
      <c r="T24" s="241"/>
      <c r="U24" s="241"/>
      <c r="W24" s="556"/>
      <c r="Y24" s="556"/>
    </row>
    <row r="25" spans="1:26" x14ac:dyDescent="0.2">
      <c r="A25" s="208" t="s">
        <v>162</v>
      </c>
      <c r="B25" s="236">
        <f t="shared" si="0"/>
        <v>0</v>
      </c>
      <c r="C25" s="236">
        <f t="shared" si="1"/>
        <v>0</v>
      </c>
      <c r="D25" s="236"/>
      <c r="E25" s="236"/>
      <c r="F25" s="236">
        <f t="shared" si="3"/>
        <v>0</v>
      </c>
      <c r="G25" s="556"/>
      <c r="H25" s="236"/>
      <c r="I25" s="236"/>
      <c r="J25" s="236"/>
      <c r="K25" s="236"/>
      <c r="L25" s="236"/>
      <c r="M25" s="236"/>
      <c r="N25" s="236"/>
      <c r="O25" s="236"/>
      <c r="P25" s="236"/>
      <c r="Q25" s="236"/>
      <c r="R25" s="236"/>
      <c r="S25" s="147"/>
      <c r="T25" s="147"/>
      <c r="U25" s="147"/>
      <c r="W25" s="556"/>
      <c r="Y25" s="556"/>
    </row>
    <row r="26" spans="1:26" x14ac:dyDescent="0.2">
      <c r="A26" s="190" t="s">
        <v>163</v>
      </c>
      <c r="B26" s="236">
        <f t="shared" si="0"/>
        <v>0</v>
      </c>
      <c r="C26" s="236">
        <f t="shared" si="1"/>
        <v>0</v>
      </c>
      <c r="D26" s="236"/>
      <c r="E26" s="236"/>
      <c r="F26" s="236">
        <f t="shared" si="3"/>
        <v>0</v>
      </c>
      <c r="G26" s="556"/>
      <c r="H26" s="236"/>
      <c r="I26" s="236"/>
      <c r="J26" s="236"/>
      <c r="K26" s="236"/>
      <c r="L26" s="236"/>
      <c r="M26" s="236"/>
      <c r="N26" s="236"/>
      <c r="O26" s="236"/>
      <c r="P26" s="236"/>
      <c r="Q26" s="236"/>
      <c r="R26" s="236"/>
      <c r="S26" s="147"/>
      <c r="T26" s="147"/>
      <c r="U26" s="147"/>
      <c r="W26" s="556"/>
      <c r="Y26" s="556"/>
    </row>
    <row r="27" spans="1:26" x14ac:dyDescent="0.2">
      <c r="A27" s="207" t="s">
        <v>164</v>
      </c>
      <c r="B27" s="235"/>
      <c r="C27" s="235"/>
      <c r="D27" s="235"/>
      <c r="E27" s="235"/>
      <c r="F27" s="235">
        <f t="shared" si="3"/>
        <v>0</v>
      </c>
      <c r="G27" s="556"/>
      <c r="H27" s="235"/>
      <c r="I27" s="235"/>
      <c r="J27" s="235"/>
      <c r="K27" s="235"/>
      <c r="L27" s="235"/>
      <c r="M27" s="235"/>
      <c r="N27" s="235"/>
      <c r="O27" s="235"/>
      <c r="P27" s="235"/>
      <c r="Q27" s="235"/>
      <c r="R27" s="235"/>
      <c r="S27" s="241"/>
      <c r="T27" s="241"/>
      <c r="U27" s="241"/>
      <c r="W27" s="556"/>
      <c r="Y27" s="556"/>
    </row>
    <row r="28" spans="1:26" x14ac:dyDescent="0.2">
      <c r="A28" s="222" t="s">
        <v>165</v>
      </c>
      <c r="B28" s="242">
        <f>SUM(B9:B27)</f>
        <v>14194027.265749002</v>
      </c>
      <c r="C28" s="242">
        <f>SUM(C9:C27)</f>
        <v>11870327.043616403</v>
      </c>
      <c r="D28" s="242">
        <f>SUM(D9:D27)</f>
        <v>-2606435.4309365405</v>
      </c>
      <c r="E28" s="242">
        <f>SUM(E9:E27)</f>
        <v>23457918.878428865</v>
      </c>
      <c r="F28" s="242">
        <f>SUM(F5:F27)</f>
        <v>23577900</v>
      </c>
      <c r="G28" s="556"/>
      <c r="H28" s="242">
        <f>SUM(H9:H27)</f>
        <v>11566733</v>
      </c>
      <c r="I28" s="242">
        <f t="shared" ref="I28:T28" si="5">SUM(I9:I27)</f>
        <v>12301887.5</v>
      </c>
      <c r="J28" s="242">
        <f t="shared" si="5"/>
        <v>12804673</v>
      </c>
      <c r="K28" s="242">
        <f>SUM(K9:K27)</f>
        <v>12998573</v>
      </c>
      <c r="L28" s="242">
        <f>SUM(L9:L27)</f>
        <v>13699376</v>
      </c>
      <c r="M28" s="242">
        <f>SUM(M9:M27)</f>
        <v>14015982</v>
      </c>
      <c r="N28" s="242">
        <f>SUM(N9:N27)</f>
        <v>14194027.265749002</v>
      </c>
      <c r="O28" s="242">
        <f t="shared" si="5"/>
        <v>9622168</v>
      </c>
      <c r="P28" s="242">
        <f t="shared" si="5"/>
        <v>9573520</v>
      </c>
      <c r="Q28" s="242">
        <f t="shared" si="5"/>
        <v>10162511</v>
      </c>
      <c r="R28" s="242">
        <f t="shared" si="5"/>
        <v>10605135</v>
      </c>
      <c r="S28" s="393">
        <f t="shared" si="5"/>
        <v>11120657</v>
      </c>
      <c r="T28" s="393">
        <f t="shared" si="5"/>
        <v>11376144.5</v>
      </c>
      <c r="U28" s="393">
        <f t="shared" ref="U28" si="6">SUM(U9:U27)</f>
        <v>11876327.043616403</v>
      </c>
      <c r="W28" s="556"/>
      <c r="Y28" s="556"/>
    </row>
    <row r="29" spans="1:26" x14ac:dyDescent="0.2">
      <c r="I29" s="572"/>
      <c r="J29" s="572"/>
      <c r="K29" s="572"/>
      <c r="L29" s="572"/>
      <c r="M29" s="572"/>
      <c r="N29" s="572"/>
      <c r="O29" s="572"/>
      <c r="P29" s="572"/>
      <c r="Q29" s="572"/>
      <c r="R29" s="572"/>
      <c r="S29" s="572"/>
      <c r="T29" s="572"/>
    </row>
    <row r="30" spans="1:26" x14ac:dyDescent="0.2">
      <c r="A30" t="s">
        <v>395</v>
      </c>
      <c r="H30" s="566"/>
      <c r="I30" s="585"/>
      <c r="J30" s="585"/>
      <c r="K30" s="585"/>
      <c r="L30" s="585"/>
      <c r="M30" s="585"/>
      <c r="N30" s="585"/>
      <c r="O30" s="566"/>
      <c r="P30" s="572"/>
      <c r="Q30" s="572"/>
      <c r="R30" s="572"/>
      <c r="S30" s="572"/>
      <c r="T30" s="572"/>
    </row>
    <row r="31" spans="1:26" x14ac:dyDescent="0.2">
      <c r="A31" s="190" t="s">
        <v>390</v>
      </c>
      <c r="H31" s="512"/>
      <c r="I31" s="512"/>
      <c r="J31" s="512"/>
      <c r="K31" s="512"/>
      <c r="L31" s="512"/>
      <c r="M31" s="512"/>
      <c r="N31" s="512"/>
      <c r="O31" s="512"/>
      <c r="P31" s="512"/>
      <c r="Q31" s="512"/>
      <c r="R31" s="512"/>
      <c r="S31" s="513"/>
    </row>
    <row r="32" spans="1:26" x14ac:dyDescent="0.2">
      <c r="A32" s="190" t="s">
        <v>392</v>
      </c>
      <c r="H32" s="512"/>
      <c r="I32" s="512"/>
      <c r="J32" s="512"/>
      <c r="K32" s="512"/>
      <c r="L32" s="512"/>
      <c r="M32" s="512"/>
      <c r="N32" s="512"/>
      <c r="O32" s="512"/>
      <c r="P32" s="512"/>
      <c r="Q32" s="512"/>
      <c r="R32" s="512"/>
      <c r="S32" s="513"/>
    </row>
    <row r="33" spans="1:20" x14ac:dyDescent="0.2">
      <c r="A33" s="190" t="s">
        <v>393</v>
      </c>
      <c r="H33" s="512"/>
      <c r="I33" s="512"/>
      <c r="J33" s="512"/>
      <c r="K33" s="512"/>
      <c r="L33" s="512"/>
      <c r="M33" s="512"/>
      <c r="N33" s="512"/>
      <c r="O33" s="512"/>
      <c r="P33" s="512"/>
      <c r="Q33" s="512"/>
      <c r="R33" s="512"/>
      <c r="S33" s="512"/>
      <c r="T33" s="512"/>
    </row>
    <row r="34" spans="1:20" x14ac:dyDescent="0.2">
      <c r="A34" s="190" t="s">
        <v>391</v>
      </c>
      <c r="H34" s="512"/>
      <c r="I34" s="512"/>
      <c r="J34" s="512"/>
      <c r="K34" s="512"/>
      <c r="L34" s="512"/>
      <c r="M34" s="512"/>
      <c r="N34" s="512"/>
      <c r="O34" s="512"/>
      <c r="P34" s="230"/>
      <c r="Q34" s="230"/>
      <c r="R34" s="230"/>
      <c r="S34" s="230"/>
      <c r="T34" s="230"/>
    </row>
    <row r="35" spans="1:20" x14ac:dyDescent="0.2">
      <c r="H35" s="512"/>
      <c r="I35" s="512"/>
      <c r="J35" s="512"/>
      <c r="K35" s="512"/>
      <c r="L35" s="512"/>
      <c r="M35" s="512"/>
      <c r="N35" s="512"/>
      <c r="O35" s="512"/>
      <c r="P35" s="512"/>
      <c r="Q35" s="512"/>
      <c r="R35" s="512"/>
      <c r="S35" s="513"/>
    </row>
    <row r="36" spans="1:20" x14ac:dyDescent="0.2">
      <c r="H36" s="512"/>
      <c r="I36" s="512"/>
      <c r="J36" s="512"/>
      <c r="K36" s="512"/>
      <c r="L36" s="512"/>
      <c r="M36" s="512"/>
      <c r="N36" s="512"/>
      <c r="O36" s="512"/>
      <c r="P36" s="512"/>
      <c r="Q36" s="512"/>
      <c r="R36" s="512"/>
      <c r="S36" s="513"/>
    </row>
    <row r="37" spans="1:20" x14ac:dyDescent="0.2">
      <c r="A37" s="1075" t="s">
        <v>1011</v>
      </c>
      <c r="H37" s="512"/>
      <c r="I37" s="512"/>
      <c r="J37" s="512"/>
      <c r="K37" s="512"/>
      <c r="L37" s="512"/>
      <c r="M37" s="512"/>
      <c r="N37" s="512"/>
      <c r="O37" s="512"/>
      <c r="P37" s="512"/>
      <c r="Q37" s="512"/>
      <c r="R37" s="512"/>
      <c r="S37" s="513"/>
    </row>
    <row r="38" spans="1:20" x14ac:dyDescent="0.2">
      <c r="A38" s="1075" t="s">
        <v>1012</v>
      </c>
      <c r="H38" s="512"/>
      <c r="I38" s="512"/>
      <c r="J38" s="512"/>
      <c r="K38" s="512"/>
      <c r="L38" s="512"/>
      <c r="M38" s="512"/>
      <c r="N38" s="512"/>
      <c r="O38" s="512"/>
      <c r="P38" s="512"/>
      <c r="Q38" s="512"/>
      <c r="R38" s="512"/>
      <c r="S38" s="513"/>
    </row>
    <row r="39" spans="1:20" x14ac:dyDescent="0.2">
      <c r="H39" s="512"/>
      <c r="I39" s="512"/>
      <c r="J39" s="512"/>
      <c r="K39" s="512"/>
      <c r="L39" s="512"/>
      <c r="M39" s="512"/>
      <c r="N39" s="512"/>
      <c r="O39" s="512"/>
      <c r="P39" s="512"/>
      <c r="Q39" s="512"/>
      <c r="R39" s="512"/>
      <c r="S39" s="513"/>
    </row>
    <row r="40" spans="1:20" x14ac:dyDescent="0.2">
      <c r="H40" s="512"/>
      <c r="I40" s="512"/>
      <c r="J40" s="512"/>
      <c r="K40" s="512"/>
      <c r="L40" s="512"/>
      <c r="M40" s="512"/>
      <c r="N40" s="512"/>
      <c r="O40" s="512"/>
      <c r="P40" s="512"/>
      <c r="Q40" s="512"/>
      <c r="R40" s="512"/>
      <c r="S40" s="513"/>
    </row>
    <row r="41" spans="1:20" x14ac:dyDescent="0.2">
      <c r="H41" s="512"/>
      <c r="I41" s="512"/>
      <c r="J41" s="512"/>
      <c r="K41" s="512"/>
      <c r="L41" s="512"/>
      <c r="M41" s="512"/>
      <c r="N41" s="512"/>
      <c r="O41" s="512"/>
      <c r="P41" s="512"/>
      <c r="Q41" s="512"/>
      <c r="R41" s="512"/>
      <c r="S41" s="513"/>
    </row>
    <row r="42" spans="1:20" x14ac:dyDescent="0.2">
      <c r="H42" s="512"/>
      <c r="I42" s="512"/>
      <c r="J42" s="512"/>
      <c r="K42" s="512"/>
      <c r="L42" s="512"/>
      <c r="M42" s="512"/>
      <c r="N42" s="512"/>
      <c r="O42" s="512"/>
      <c r="P42" s="512"/>
      <c r="Q42" s="512"/>
      <c r="R42" s="512"/>
      <c r="S42" s="513"/>
    </row>
    <row r="43" spans="1:20" x14ac:dyDescent="0.2">
      <c r="H43" s="512"/>
      <c r="I43" s="512"/>
      <c r="J43" s="512"/>
      <c r="K43" s="512"/>
      <c r="L43" s="512"/>
      <c r="M43" s="512"/>
      <c r="N43" s="512"/>
      <c r="O43" s="512"/>
      <c r="P43" s="512"/>
      <c r="Q43" s="512"/>
      <c r="R43" s="512"/>
      <c r="S43" s="513"/>
    </row>
    <row r="44" spans="1:20" x14ac:dyDescent="0.2">
      <c r="H44" s="512"/>
      <c r="I44" s="512"/>
      <c r="J44" s="512"/>
      <c r="K44" s="512"/>
      <c r="L44" s="512"/>
      <c r="M44" s="512"/>
      <c r="N44" s="512"/>
      <c r="O44" s="512"/>
      <c r="P44" s="512"/>
      <c r="Q44" s="512"/>
      <c r="R44" s="512"/>
      <c r="S44" s="513"/>
    </row>
    <row r="45" spans="1:20" x14ac:dyDescent="0.2">
      <c r="H45" s="512"/>
      <c r="I45" s="512"/>
      <c r="J45" s="512"/>
      <c r="K45" s="512"/>
      <c r="L45" s="512"/>
      <c r="M45" s="512"/>
      <c r="N45" s="512"/>
      <c r="O45" s="512"/>
      <c r="P45" s="512"/>
      <c r="Q45" s="512"/>
    </row>
    <row r="46" spans="1:20" x14ac:dyDescent="0.2">
      <c r="H46" s="512"/>
      <c r="I46" s="512"/>
      <c r="J46" s="512"/>
      <c r="K46" s="512"/>
      <c r="L46" s="512"/>
      <c r="M46" s="512"/>
      <c r="N46" s="512"/>
      <c r="O46" s="512"/>
      <c r="P46" s="512"/>
      <c r="Q46" s="512"/>
    </row>
    <row r="47" spans="1:20" x14ac:dyDescent="0.2">
      <c r="H47" s="512"/>
      <c r="I47" s="512"/>
      <c r="J47" s="512"/>
      <c r="K47" s="512"/>
      <c r="L47" s="512"/>
      <c r="M47" s="512"/>
      <c r="N47" s="512"/>
      <c r="O47" s="512"/>
      <c r="P47" s="512"/>
      <c r="Q47" s="512"/>
    </row>
    <row r="48" spans="1:20" x14ac:dyDescent="0.2">
      <c r="H48" s="512"/>
      <c r="I48" s="512"/>
      <c r="J48" s="512"/>
      <c r="K48" s="512"/>
      <c r="L48" s="512"/>
      <c r="M48" s="512"/>
      <c r="N48" s="512"/>
      <c r="O48" s="512"/>
      <c r="P48" s="512"/>
      <c r="Q48" s="512"/>
    </row>
  </sheetData>
  <mergeCells count="4">
    <mergeCell ref="A1:B1"/>
    <mergeCell ref="H7:M7"/>
    <mergeCell ref="O7:U7"/>
    <mergeCell ref="H6:U6"/>
  </mergeCells>
  <pageMargins left="0.7" right="0.7" top="0.75" bottom="0.75" header="0.3" footer="0.3"/>
  <pageSetup orientation="portrait" horizontalDpi="1200" verticalDpi="120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Q60"/>
  <sheetViews>
    <sheetView workbookViewId="0">
      <selection activeCell="B6" sqref="B6"/>
    </sheetView>
  </sheetViews>
  <sheetFormatPr baseColWidth="10" defaultColWidth="12.5" defaultRowHeight="15" x14ac:dyDescent="0.2"/>
  <cols>
    <col min="1" max="1" width="28.5" customWidth="1"/>
    <col min="2" max="2" width="13.1640625" customWidth="1"/>
    <col min="5" max="5" width="25.6640625" customWidth="1"/>
    <col min="6" max="6" width="16.5" customWidth="1"/>
    <col min="7" max="7" width="14.6640625" customWidth="1"/>
    <col min="8" max="8" width="15.5" customWidth="1"/>
    <col min="9" max="9" width="16" customWidth="1"/>
    <col min="10" max="10" width="16" style="554" customWidth="1"/>
    <col min="11" max="11" width="16" style="703" customWidth="1"/>
    <col min="12" max="12" width="2" style="703" customWidth="1"/>
    <col min="13" max="13" width="17" customWidth="1"/>
    <col min="14" max="14" width="14.6640625" bestFit="1" customWidth="1"/>
    <col min="15" max="15" width="15" bestFit="1" customWidth="1"/>
    <col min="16" max="17" width="14.33203125" bestFit="1" customWidth="1"/>
  </cols>
  <sheetData>
    <row r="1" spans="1:17" ht="16" x14ac:dyDescent="0.2">
      <c r="A1" s="272" t="s">
        <v>398</v>
      </c>
    </row>
    <row r="2" spans="1:17" x14ac:dyDescent="0.2">
      <c r="A2" t="s">
        <v>399</v>
      </c>
      <c r="I2" s="566"/>
      <c r="J2" s="566"/>
      <c r="K2" s="566"/>
      <c r="L2" s="566"/>
      <c r="M2" s="294"/>
    </row>
    <row r="3" spans="1:17" x14ac:dyDescent="0.2">
      <c r="A3" t="s">
        <v>400</v>
      </c>
      <c r="M3" s="50"/>
    </row>
    <row r="4" spans="1:17" x14ac:dyDescent="0.2">
      <c r="E4" s="83"/>
      <c r="F4" s="83"/>
      <c r="G4" s="83"/>
      <c r="H4" s="83"/>
      <c r="I4" s="83"/>
      <c r="J4" s="83"/>
      <c r="K4" s="83"/>
      <c r="L4" s="83"/>
      <c r="M4" s="50"/>
    </row>
    <row r="5" spans="1:17" ht="16" x14ac:dyDescent="0.2">
      <c r="A5" s="713" t="s">
        <v>402</v>
      </c>
      <c r="B5" s="714"/>
      <c r="E5" s="83" t="s">
        <v>401</v>
      </c>
      <c r="F5" s="50"/>
      <c r="G5" s="50"/>
      <c r="H5" s="50"/>
      <c r="I5" s="708"/>
      <c r="J5" s="708"/>
      <c r="K5" s="708"/>
      <c r="L5" s="708"/>
      <c r="M5" s="50"/>
      <c r="N5" s="50"/>
      <c r="O5" s="83"/>
      <c r="P5" s="83"/>
    </row>
    <row r="6" spans="1:17" ht="64" x14ac:dyDescent="0.2">
      <c r="A6" s="394"/>
      <c r="B6" s="395" t="s">
        <v>650</v>
      </c>
      <c r="E6" s="396" t="s">
        <v>403</v>
      </c>
      <c r="F6" s="709" t="s">
        <v>599</v>
      </c>
      <c r="G6" s="710" t="s">
        <v>404</v>
      </c>
      <c r="H6" s="710" t="s">
        <v>595</v>
      </c>
      <c r="I6" s="710" t="s">
        <v>642</v>
      </c>
      <c r="J6" s="710" t="s">
        <v>801</v>
      </c>
      <c r="K6" s="711" t="s">
        <v>711</v>
      </c>
      <c r="L6" s="711"/>
      <c r="M6" s="711" t="s">
        <v>649</v>
      </c>
      <c r="N6" s="711" t="s">
        <v>712</v>
      </c>
      <c r="O6" s="83"/>
      <c r="P6" s="83"/>
    </row>
    <row r="7" spans="1:17" x14ac:dyDescent="0.2">
      <c r="A7" s="397" t="s">
        <v>222</v>
      </c>
      <c r="B7" s="399">
        <f>K8</f>
        <v>10500000</v>
      </c>
      <c r="E7" s="400" t="s">
        <v>602</v>
      </c>
      <c r="F7" s="50">
        <v>1</v>
      </c>
      <c r="G7" s="50">
        <v>2</v>
      </c>
      <c r="H7" s="50">
        <v>3</v>
      </c>
      <c r="I7" s="130">
        <v>4</v>
      </c>
      <c r="J7" s="130">
        <v>5</v>
      </c>
      <c r="K7" s="130">
        <v>6</v>
      </c>
      <c r="L7" s="130"/>
      <c r="O7" s="83"/>
      <c r="P7" s="83"/>
    </row>
    <row r="8" spans="1:17" x14ac:dyDescent="0.2">
      <c r="A8" s="397" t="s">
        <v>223</v>
      </c>
      <c r="B8" s="399">
        <f>+K9</f>
        <v>10248900</v>
      </c>
      <c r="E8" s="401" t="s">
        <v>222</v>
      </c>
      <c r="F8" s="402">
        <v>5937897</v>
      </c>
      <c r="G8" s="403">
        <v>6872121</v>
      </c>
      <c r="H8" s="403">
        <v>7842314</v>
      </c>
      <c r="I8" s="402">
        <v>8973405</v>
      </c>
      <c r="J8" s="402">
        <v>10748032</v>
      </c>
      <c r="K8" s="402">
        <v>10500000</v>
      </c>
      <c r="L8" s="402"/>
      <c r="M8" s="402">
        <f>ROUND(((TREND(F8:J8,$F$7:$J$7,$K$7)*0.98175)*0.9),-4)</f>
        <v>10240000</v>
      </c>
      <c r="N8" s="879">
        <f>+K8-M8</f>
        <v>260000</v>
      </c>
      <c r="O8" s="967"/>
      <c r="P8" s="240"/>
      <c r="Q8" s="147"/>
    </row>
    <row r="9" spans="1:17" x14ac:dyDescent="0.2">
      <c r="A9" s="397" t="s">
        <v>224</v>
      </c>
      <c r="B9" s="399">
        <f>+K11</f>
        <v>3804000</v>
      </c>
      <c r="E9" s="401" t="s">
        <v>223</v>
      </c>
      <c r="F9" s="402">
        <v>3085635</v>
      </c>
      <c r="G9" s="403">
        <v>4228605</v>
      </c>
      <c r="H9" s="403">
        <f>4558291+1483738</f>
        <v>6042029</v>
      </c>
      <c r="I9" s="402">
        <f>5636899+1514961</f>
        <v>7151860</v>
      </c>
      <c r="J9" s="402">
        <f>7288955+2348953</f>
        <v>9637908</v>
      </c>
      <c r="K9" s="402">
        <v>10248900</v>
      </c>
      <c r="L9" s="402"/>
      <c r="M9" s="402">
        <f t="shared" ref="M9:M26" si="0">ROUND(((TREND(F9:J9,$F$7:$J$7,$K$7)*0.98175)*0.9),-4)</f>
        <v>9580000</v>
      </c>
      <c r="N9" s="879">
        <f t="shared" ref="N9:N26" si="1">+K9-M9</f>
        <v>668900</v>
      </c>
      <c r="O9" s="967"/>
      <c r="P9" s="240"/>
      <c r="Q9" s="147"/>
    </row>
    <row r="10" spans="1:17" x14ac:dyDescent="0.2">
      <c r="A10" s="405" t="s">
        <v>225</v>
      </c>
      <c r="B10" s="399">
        <f>+K13</f>
        <v>1500000</v>
      </c>
      <c r="E10" s="401" t="s">
        <v>405</v>
      </c>
      <c r="F10" s="402">
        <v>1306248</v>
      </c>
      <c r="G10" s="403">
        <v>1800635</v>
      </c>
      <c r="H10" s="403">
        <v>1857658</v>
      </c>
      <c r="I10" s="402">
        <v>1976855</v>
      </c>
      <c r="J10" s="402">
        <v>2929175</v>
      </c>
      <c r="K10" s="402">
        <v>2500000</v>
      </c>
      <c r="L10" s="402"/>
      <c r="M10" s="402">
        <f>ROUND(((TREND(F10:J10,$F$7:$J$7,$K$7)*0.98175)*0.9),-4)</f>
        <v>2650000</v>
      </c>
      <c r="N10" s="879">
        <f t="shared" si="1"/>
        <v>-150000</v>
      </c>
      <c r="O10" s="967"/>
      <c r="P10" s="240"/>
      <c r="Q10" s="147"/>
    </row>
    <row r="11" spans="1:17" x14ac:dyDescent="0.2">
      <c r="A11" s="397" t="s">
        <v>226</v>
      </c>
      <c r="B11" s="399">
        <f>+K15</f>
        <v>40000</v>
      </c>
      <c r="E11" s="401" t="s">
        <v>224</v>
      </c>
      <c r="F11" s="402">
        <v>1776225</v>
      </c>
      <c r="G11" s="403">
        <v>2097263</v>
      </c>
      <c r="H11" s="403">
        <f>2320690+110455</f>
        <v>2431145</v>
      </c>
      <c r="I11" s="402">
        <f>3002736+121339</f>
        <v>3124075</v>
      </c>
      <c r="J11" s="402">
        <f>3315696+137457</f>
        <v>3453153</v>
      </c>
      <c r="K11" s="402">
        <v>3804000</v>
      </c>
      <c r="L11" s="402"/>
      <c r="M11" s="402">
        <f t="shared" si="0"/>
        <v>3440000</v>
      </c>
      <c r="N11" s="879">
        <f t="shared" si="1"/>
        <v>364000</v>
      </c>
      <c r="O11" s="967"/>
      <c r="P11" s="240"/>
      <c r="Q11" s="147"/>
    </row>
    <row r="12" spans="1:17" x14ac:dyDescent="0.2">
      <c r="A12" s="397" t="s">
        <v>227</v>
      </c>
      <c r="B12" s="399">
        <f>+K17</f>
        <v>12500000</v>
      </c>
      <c r="E12" s="401" t="s">
        <v>230</v>
      </c>
      <c r="F12" s="402">
        <v>11795739</v>
      </c>
      <c r="G12" s="403">
        <v>14620783</v>
      </c>
      <c r="H12" s="403">
        <f>7733423+6890331</f>
        <v>14623754</v>
      </c>
      <c r="I12" s="402">
        <f>9290529+7576117</f>
        <v>16866646</v>
      </c>
      <c r="J12" s="402">
        <f>11600669+9456907</f>
        <v>21057576</v>
      </c>
      <c r="K12" s="402">
        <v>21000000</v>
      </c>
      <c r="L12" s="402"/>
      <c r="M12" s="402">
        <f>ROUND(((TREND(F12:J12,$F$7:$J$7,$K$7)*0.98175)*0.9),-4)</f>
        <v>19460000</v>
      </c>
      <c r="N12" s="879">
        <f t="shared" si="1"/>
        <v>1540000</v>
      </c>
      <c r="O12" s="967"/>
      <c r="P12" s="240"/>
      <c r="Q12" s="147"/>
    </row>
    <row r="13" spans="1:17" x14ac:dyDescent="0.2">
      <c r="A13" s="397" t="s">
        <v>140</v>
      </c>
      <c r="B13" s="399">
        <f>+K19</f>
        <v>329000</v>
      </c>
      <c r="E13" s="401" t="s">
        <v>406</v>
      </c>
      <c r="F13" s="402">
        <v>1317598</v>
      </c>
      <c r="G13" s="403">
        <v>1451243</v>
      </c>
      <c r="H13" s="403">
        <v>1432867</v>
      </c>
      <c r="I13" s="402">
        <v>1691373</v>
      </c>
      <c r="J13" s="402">
        <v>1860432</v>
      </c>
      <c r="K13" s="402">
        <v>1500000</v>
      </c>
      <c r="L13" s="402"/>
      <c r="M13" s="402">
        <f t="shared" si="0"/>
        <v>1720000</v>
      </c>
      <c r="N13" s="879">
        <f t="shared" si="1"/>
        <v>-220000</v>
      </c>
      <c r="O13" s="967"/>
      <c r="P13" s="240"/>
      <c r="Q13" s="147"/>
    </row>
    <row r="14" spans="1:17" x14ac:dyDescent="0.2">
      <c r="A14" s="405" t="s">
        <v>228</v>
      </c>
      <c r="B14" s="399">
        <f>+K14</f>
        <v>21800000</v>
      </c>
      <c r="E14" s="401" t="s">
        <v>228</v>
      </c>
      <c r="F14" s="402">
        <v>11377603</v>
      </c>
      <c r="G14" s="403">
        <v>12649629</v>
      </c>
      <c r="H14" s="403">
        <v>14244632</v>
      </c>
      <c r="I14" s="402">
        <v>15887979</v>
      </c>
      <c r="J14" s="402">
        <v>19007069</v>
      </c>
      <c r="K14" s="402">
        <v>21800000</v>
      </c>
      <c r="L14" s="402"/>
      <c r="M14" s="402">
        <f>ROUND(((TREND(F14:J14,$F$7:$J$7,$K$7)*0.98175)*0.9),-4)</f>
        <v>17830000</v>
      </c>
      <c r="N14" s="879">
        <f t="shared" si="1"/>
        <v>3970000</v>
      </c>
      <c r="O14" s="967"/>
      <c r="P14" s="240"/>
      <c r="Q14" s="147"/>
    </row>
    <row r="15" spans="1:17" x14ac:dyDescent="0.2">
      <c r="A15" s="397" t="s">
        <v>229</v>
      </c>
      <c r="B15" s="399">
        <f>K18</f>
        <v>0</v>
      </c>
      <c r="E15" s="401" t="s">
        <v>226</v>
      </c>
      <c r="F15" s="402">
        <v>22464</v>
      </c>
      <c r="G15" s="403">
        <v>38304</v>
      </c>
      <c r="H15" s="403">
        <v>47060</v>
      </c>
      <c r="I15" s="402">
        <v>45158</v>
      </c>
      <c r="J15" s="402">
        <v>57549</v>
      </c>
      <c r="K15" s="403">
        <v>40000</v>
      </c>
      <c r="L15" s="402"/>
      <c r="M15" s="402">
        <f>ROUND(((TREND(F15:J15,$F$7:$J$7,$K$7)*0.98175)*0.9),-4)</f>
        <v>60000</v>
      </c>
      <c r="N15" s="879">
        <f t="shared" si="1"/>
        <v>-20000</v>
      </c>
      <c r="O15" s="967"/>
      <c r="P15" s="240"/>
      <c r="Q15" s="147"/>
    </row>
    <row r="16" spans="1:17" x14ac:dyDescent="0.2">
      <c r="A16" s="397" t="s">
        <v>230</v>
      </c>
      <c r="B16" s="399">
        <f>K12</f>
        <v>21000000</v>
      </c>
      <c r="E16" s="401" t="s">
        <v>407</v>
      </c>
      <c r="F16" s="402">
        <v>2855981</v>
      </c>
      <c r="G16" s="403">
        <v>3630210</v>
      </c>
      <c r="H16" s="403">
        <v>4098251</v>
      </c>
      <c r="I16" s="402">
        <f>4757322+44893</f>
        <v>4802215</v>
      </c>
      <c r="J16" s="402">
        <f>5360332+60391</f>
        <v>5420723</v>
      </c>
      <c r="K16" s="402">
        <v>5600000</v>
      </c>
      <c r="L16" s="402"/>
      <c r="M16" s="402">
        <f>ROUND(((TREND(F16:J16,$F$7:$J$7,$K$7)*0.98175)*0.9),-4)</f>
        <v>5350000</v>
      </c>
      <c r="N16" s="879">
        <f t="shared" si="1"/>
        <v>250000</v>
      </c>
      <c r="O16" s="967"/>
      <c r="P16" s="240"/>
      <c r="Q16" s="147"/>
    </row>
    <row r="17" spans="1:17" x14ac:dyDescent="0.2">
      <c r="A17" s="397" t="s">
        <v>231</v>
      </c>
      <c r="B17" s="399">
        <f>K16</f>
        <v>5600000</v>
      </c>
      <c r="E17" s="401" t="s">
        <v>227</v>
      </c>
      <c r="F17" s="402">
        <v>4448154</v>
      </c>
      <c r="G17" s="403">
        <v>5082202</v>
      </c>
      <c r="H17" s="403">
        <v>5932434</v>
      </c>
      <c r="I17" s="402">
        <v>7398982</v>
      </c>
      <c r="J17" s="402">
        <v>10236617</v>
      </c>
      <c r="K17" s="403">
        <v>12500000</v>
      </c>
      <c r="L17" s="402"/>
      <c r="M17" s="402">
        <f>ROUND(((TREND(F17:J17,$F$7:$J$7,$K$7)*0.98175)*0.9),-4)</f>
        <v>9530000</v>
      </c>
      <c r="N17" s="879">
        <f t="shared" si="1"/>
        <v>2970000</v>
      </c>
      <c r="O17" s="967"/>
      <c r="P17" s="240"/>
      <c r="Q17" s="147"/>
    </row>
    <row r="18" spans="1:17" x14ac:dyDescent="0.2">
      <c r="A18" s="405" t="s">
        <v>232</v>
      </c>
      <c r="B18" s="399">
        <f>K10</f>
        <v>2500000</v>
      </c>
      <c r="E18" s="401" t="s">
        <v>229</v>
      </c>
      <c r="F18" s="402">
        <v>0</v>
      </c>
      <c r="G18" s="403">
        <v>0</v>
      </c>
      <c r="H18" s="403">
        <v>2786</v>
      </c>
      <c r="I18" s="402">
        <v>0</v>
      </c>
      <c r="J18" s="402">
        <v>0</v>
      </c>
      <c r="K18" s="403">
        <v>0</v>
      </c>
      <c r="L18" s="402"/>
      <c r="M18" s="402">
        <f t="shared" si="0"/>
        <v>0</v>
      </c>
      <c r="N18" s="879">
        <f t="shared" si="1"/>
        <v>0</v>
      </c>
      <c r="O18" s="240"/>
      <c r="P18" s="240"/>
      <c r="Q18" s="147"/>
    </row>
    <row r="19" spans="1:17" ht="16" x14ac:dyDescent="0.2">
      <c r="A19" s="397" t="s">
        <v>233</v>
      </c>
      <c r="B19" s="399"/>
      <c r="E19" s="406" t="s">
        <v>408</v>
      </c>
      <c r="F19" s="402">
        <v>152748</v>
      </c>
      <c r="G19" s="407">
        <v>246927</v>
      </c>
      <c r="H19" s="407">
        <v>293815</v>
      </c>
      <c r="I19" s="402">
        <v>313493</v>
      </c>
      <c r="J19" s="402">
        <v>395439</v>
      </c>
      <c r="K19" s="402">
        <v>329000</v>
      </c>
      <c r="L19" s="402"/>
      <c r="M19" s="402">
        <f t="shared" si="0"/>
        <v>390000</v>
      </c>
      <c r="N19" s="879">
        <f t="shared" si="1"/>
        <v>-61000</v>
      </c>
      <c r="O19" s="240"/>
      <c r="P19" s="240"/>
      <c r="Q19" s="147"/>
    </row>
    <row r="20" spans="1:17" ht="16" x14ac:dyDescent="0.2">
      <c r="A20" s="397" t="s">
        <v>234</v>
      </c>
      <c r="B20" s="399"/>
      <c r="E20" s="406" t="s">
        <v>409</v>
      </c>
      <c r="F20" s="402">
        <v>0</v>
      </c>
      <c r="G20" s="407">
        <v>0</v>
      </c>
      <c r="H20" s="407">
        <v>0</v>
      </c>
      <c r="I20" s="402">
        <v>0</v>
      </c>
      <c r="J20" s="402">
        <v>0</v>
      </c>
      <c r="K20" s="402">
        <v>0</v>
      </c>
      <c r="L20" s="402"/>
      <c r="M20" s="402">
        <f t="shared" si="0"/>
        <v>0</v>
      </c>
      <c r="N20" s="879">
        <f t="shared" si="1"/>
        <v>0</v>
      </c>
      <c r="O20" s="240"/>
      <c r="P20" s="240"/>
      <c r="Q20" s="147"/>
    </row>
    <row r="21" spans="1:17" ht="16" x14ac:dyDescent="0.2">
      <c r="A21" s="405" t="s">
        <v>235</v>
      </c>
      <c r="B21" s="399">
        <f>K25</f>
        <v>40000</v>
      </c>
      <c r="E21" s="406" t="s">
        <v>410</v>
      </c>
      <c r="F21" s="402">
        <v>0</v>
      </c>
      <c r="G21" s="407">
        <v>0</v>
      </c>
      <c r="H21" s="407">
        <v>0</v>
      </c>
      <c r="I21" s="402">
        <v>0</v>
      </c>
      <c r="J21" s="402">
        <v>0</v>
      </c>
      <c r="K21" s="402">
        <v>0</v>
      </c>
      <c r="L21" s="402"/>
      <c r="M21" s="402">
        <f t="shared" si="0"/>
        <v>0</v>
      </c>
      <c r="N21" s="879">
        <f t="shared" si="1"/>
        <v>0</v>
      </c>
      <c r="O21" s="240"/>
      <c r="P21" s="240"/>
      <c r="Q21" s="147"/>
    </row>
    <row r="22" spans="1:17" x14ac:dyDescent="0.2">
      <c r="A22" s="397" t="s">
        <v>236</v>
      </c>
      <c r="B22" s="1049">
        <f>+K23</f>
        <v>0</v>
      </c>
      <c r="E22" s="401" t="s">
        <v>411</v>
      </c>
      <c r="F22" s="402">
        <v>0</v>
      </c>
      <c r="G22" s="407">
        <v>0</v>
      </c>
      <c r="H22" s="407">
        <v>0</v>
      </c>
      <c r="I22" s="402">
        <v>0</v>
      </c>
      <c r="J22" s="402">
        <v>0</v>
      </c>
      <c r="K22" s="402">
        <v>0</v>
      </c>
      <c r="L22" s="402"/>
      <c r="M22" s="402">
        <f t="shared" si="0"/>
        <v>0</v>
      </c>
      <c r="N22" s="879">
        <f t="shared" si="1"/>
        <v>0</v>
      </c>
      <c r="O22" s="240"/>
      <c r="P22" s="240"/>
      <c r="Q22" s="147"/>
    </row>
    <row r="23" spans="1:17" x14ac:dyDescent="0.2">
      <c r="A23" s="408" t="s">
        <v>237</v>
      </c>
      <c r="B23" s="399">
        <f>+K24</f>
        <v>0</v>
      </c>
      <c r="E23" s="401" t="s">
        <v>236</v>
      </c>
      <c r="F23" s="402">
        <v>62496</v>
      </c>
      <c r="G23" s="407">
        <v>68590</v>
      </c>
      <c r="H23" s="407">
        <v>77399</v>
      </c>
      <c r="I23" s="402">
        <v>52577</v>
      </c>
      <c r="J23" s="402">
        <v>33264</v>
      </c>
      <c r="K23" s="403">
        <v>0</v>
      </c>
      <c r="L23" s="402"/>
      <c r="M23" s="402">
        <f t="shared" si="0"/>
        <v>30000</v>
      </c>
      <c r="N23" s="879">
        <f t="shared" si="1"/>
        <v>-30000</v>
      </c>
      <c r="O23" s="240"/>
      <c r="P23" s="240"/>
      <c r="Q23" s="147"/>
    </row>
    <row r="24" spans="1:17" x14ac:dyDescent="0.2">
      <c r="A24" s="408" t="s">
        <v>607</v>
      </c>
      <c r="B24" s="399">
        <f>+K21</f>
        <v>0</v>
      </c>
      <c r="E24" s="401" t="s">
        <v>613</v>
      </c>
      <c r="F24" s="402">
        <v>0</v>
      </c>
      <c r="G24" s="407">
        <v>0</v>
      </c>
      <c r="H24" s="407">
        <v>167494</v>
      </c>
      <c r="I24" s="402">
        <v>380318</v>
      </c>
      <c r="J24" s="402">
        <v>0</v>
      </c>
      <c r="K24" s="403">
        <v>0</v>
      </c>
      <c r="L24" s="402"/>
      <c r="M24" s="402">
        <f t="shared" si="0"/>
        <v>200000</v>
      </c>
      <c r="N24" s="879">
        <f t="shared" si="1"/>
        <v>-200000</v>
      </c>
      <c r="O24" s="240"/>
      <c r="P24" s="240"/>
      <c r="Q24" s="147"/>
    </row>
    <row r="25" spans="1:17" x14ac:dyDescent="0.2">
      <c r="A25" s="409"/>
      <c r="B25" s="410">
        <f>SUM(B7:B24)</f>
        <v>89861900</v>
      </c>
      <c r="E25" s="401" t="s">
        <v>412</v>
      </c>
      <c r="F25" s="402">
        <v>0</v>
      </c>
      <c r="G25" s="402">
        <v>0</v>
      </c>
      <c r="H25" s="402">
        <v>13623</v>
      </c>
      <c r="I25" s="402">
        <v>28063</v>
      </c>
      <c r="J25" s="402">
        <v>42079</v>
      </c>
      <c r="K25" s="402">
        <v>40000</v>
      </c>
      <c r="L25" s="402"/>
      <c r="M25" s="402">
        <f t="shared" si="0"/>
        <v>40000</v>
      </c>
      <c r="N25" s="879">
        <f t="shared" si="1"/>
        <v>0</v>
      </c>
      <c r="O25" s="579"/>
      <c r="P25" s="240"/>
      <c r="Q25" s="147"/>
    </row>
    <row r="26" spans="1:17" ht="16" x14ac:dyDescent="0.2">
      <c r="B26" s="352"/>
      <c r="D26" s="565"/>
      <c r="E26" s="401" t="s">
        <v>413</v>
      </c>
      <c r="F26" s="402">
        <v>0</v>
      </c>
      <c r="G26" s="402">
        <v>0</v>
      </c>
      <c r="H26" s="368">
        <v>0</v>
      </c>
      <c r="I26" s="402">
        <v>0</v>
      </c>
      <c r="J26" s="402">
        <v>0</v>
      </c>
      <c r="K26" s="402">
        <f t="shared" ref="K26" si="2">ROUND(((TREND(F26:J26,$F$7:$J$7,$K$7)*0.98175)*0.9),-4)</f>
        <v>0</v>
      </c>
      <c r="L26" s="402"/>
      <c r="M26" s="402">
        <f t="shared" si="0"/>
        <v>0</v>
      </c>
      <c r="N26" s="879">
        <f t="shared" si="1"/>
        <v>0</v>
      </c>
      <c r="O26" s="579"/>
      <c r="P26" s="240"/>
      <c r="Q26" s="147"/>
    </row>
    <row r="27" spans="1:17" ht="17" thickBot="1" x14ac:dyDescent="0.25">
      <c r="B27" s="411"/>
      <c r="C27" s="398"/>
      <c r="E27" s="412"/>
      <c r="F27" s="429">
        <f>SUM(F8:F26)</f>
        <v>44138788</v>
      </c>
      <c r="G27" s="430">
        <f>SUM(G8:G26)</f>
        <v>52786512</v>
      </c>
      <c r="H27" s="430">
        <f>SUM(H8:H25)</f>
        <v>59107261</v>
      </c>
      <c r="I27" s="429">
        <f>SUM(I8:I26)</f>
        <v>68692999</v>
      </c>
      <c r="J27" s="429">
        <f>SUM(J8:J26)</f>
        <v>84879016</v>
      </c>
      <c r="K27" s="430">
        <f>SUM(K8:K26)</f>
        <v>89861900</v>
      </c>
      <c r="L27" s="430">
        <f t="shared" ref="L27:N27" si="3">SUM(L8:L26)</f>
        <v>0</v>
      </c>
      <c r="M27" s="430">
        <f t="shared" si="3"/>
        <v>80520000</v>
      </c>
      <c r="N27" s="430">
        <f t="shared" si="3"/>
        <v>9341900</v>
      </c>
      <c r="O27" s="403"/>
    </row>
    <row r="28" spans="1:17" ht="17" thickTop="1" x14ac:dyDescent="0.2">
      <c r="B28" s="352"/>
      <c r="C28" s="398"/>
      <c r="E28" s="50"/>
      <c r="F28" s="413"/>
      <c r="G28" s="414"/>
      <c r="H28" s="414"/>
      <c r="I28" s="414"/>
      <c r="J28" s="404"/>
      <c r="K28" s="404"/>
      <c r="L28" s="404"/>
      <c r="N28" s="50"/>
      <c r="O28" s="403"/>
      <c r="P28" s="151"/>
    </row>
    <row r="29" spans="1:17" x14ac:dyDescent="0.2">
      <c r="A29" s="415" t="s">
        <v>414</v>
      </c>
      <c r="B29" s="417">
        <f>K29+K30+K31</f>
        <v>4050000</v>
      </c>
      <c r="C29" s="398"/>
      <c r="E29" s="415" t="s">
        <v>414</v>
      </c>
      <c r="F29" s="418" t="s">
        <v>610</v>
      </c>
      <c r="G29" s="418"/>
      <c r="H29" s="418"/>
      <c r="I29" s="418"/>
      <c r="J29" s="418"/>
      <c r="K29" s="987">
        <f>+K35-K34-K33-K32-K27+K30</f>
        <v>2899322</v>
      </c>
      <c r="L29" s="50"/>
      <c r="M29" s="547"/>
      <c r="N29" s="547"/>
      <c r="O29" s="403"/>
    </row>
    <row r="30" spans="1:17" s="852" customFormat="1" x14ac:dyDescent="0.2">
      <c r="A30" s="50" t="s">
        <v>415</v>
      </c>
      <c r="B30" s="399">
        <f>K32</f>
        <v>12531045</v>
      </c>
      <c r="C30" s="398"/>
      <c r="E30" s="880" t="s">
        <v>414</v>
      </c>
      <c r="F30" s="50" t="s">
        <v>704</v>
      </c>
      <c r="G30" s="50"/>
      <c r="H30" s="50"/>
      <c r="I30" s="50"/>
      <c r="J30" s="50"/>
      <c r="K30" s="147">
        <f>5745192</f>
        <v>5745192</v>
      </c>
      <c r="L30" s="50" t="s">
        <v>442</v>
      </c>
      <c r="M30" s="547"/>
      <c r="N30" s="547"/>
      <c r="O30" s="403"/>
    </row>
    <row r="31" spans="1:17" x14ac:dyDescent="0.2">
      <c r="A31" s="50" t="s">
        <v>416</v>
      </c>
      <c r="B31" s="399">
        <f>K33</f>
        <v>20018180</v>
      </c>
      <c r="C31" s="398"/>
      <c r="E31" s="880" t="s">
        <v>414</v>
      </c>
      <c r="F31" t="s">
        <v>851</v>
      </c>
      <c r="K31" s="970">
        <f>3797684-K29-5542876+50000</f>
        <v>-4594514</v>
      </c>
      <c r="L31" s="703" t="s">
        <v>442</v>
      </c>
      <c r="M31" s="547"/>
      <c r="N31" s="230"/>
    </row>
    <row r="32" spans="1:17" x14ac:dyDescent="0.2">
      <c r="A32" s="50" t="s">
        <v>417</v>
      </c>
      <c r="B32" s="399">
        <f>K34</f>
        <v>38837900</v>
      </c>
      <c r="C32" s="398"/>
      <c r="E32" s="50" t="s">
        <v>415</v>
      </c>
      <c r="F32" s="577" t="s">
        <v>606</v>
      </c>
      <c r="G32" s="50"/>
      <c r="H32" s="402"/>
      <c r="I32" s="402"/>
      <c r="J32" s="403"/>
      <c r="K32" s="147">
        <f>ROUND(+(K35-K34+K30)*0.1,0)</f>
        <v>12531045</v>
      </c>
      <c r="L32" s="403"/>
    </row>
    <row r="33" spans="1:13" x14ac:dyDescent="0.2">
      <c r="A33" s="50"/>
      <c r="B33" s="399"/>
      <c r="C33" s="419"/>
      <c r="E33" s="50" t="s">
        <v>416</v>
      </c>
      <c r="F33" s="50" t="s">
        <v>609</v>
      </c>
      <c r="G33" s="50"/>
      <c r="H33" s="301"/>
      <c r="I33" s="402"/>
      <c r="J33" s="403"/>
      <c r="K33" s="975">
        <f>+F59</f>
        <v>20018180</v>
      </c>
      <c r="L33" s="403"/>
    </row>
    <row r="34" spans="1:13" ht="16" x14ac:dyDescent="0.2">
      <c r="A34" s="421"/>
      <c r="B34" s="423"/>
      <c r="C34" s="398"/>
      <c r="E34" s="50" t="s">
        <v>418</v>
      </c>
      <c r="F34" s="50" t="s">
        <v>645</v>
      </c>
      <c r="G34" s="50"/>
      <c r="H34" s="402"/>
      <c r="I34" s="402"/>
      <c r="J34" s="403"/>
      <c r="K34" s="240">
        <f>ROUND(+'Step 0 Revenue Detail'!L45,-2)</f>
        <v>38837900</v>
      </c>
      <c r="L34" s="403"/>
      <c r="M34" s="256">
        <f>+K34/K35</f>
        <v>0.24518387907109551</v>
      </c>
    </row>
    <row r="35" spans="1:13" x14ac:dyDescent="0.2">
      <c r="C35" s="398"/>
      <c r="E35" s="291" t="s">
        <v>419</v>
      </c>
      <c r="F35" s="291" t="s">
        <v>600</v>
      </c>
      <c r="G35" s="291"/>
      <c r="H35" s="420"/>
      <c r="I35" s="420"/>
      <c r="J35" s="578"/>
      <c r="K35" s="840">
        <f>+'Step 0 Revenue Detail'!F38</f>
        <v>158403155</v>
      </c>
      <c r="L35" s="403"/>
    </row>
    <row r="36" spans="1:13" x14ac:dyDescent="0.2">
      <c r="A36" s="130"/>
      <c r="B36" s="398"/>
      <c r="C36" s="398"/>
      <c r="E36" s="50"/>
      <c r="F36" s="50"/>
      <c r="G36" s="50"/>
      <c r="H36" s="50"/>
      <c r="I36" s="402"/>
      <c r="J36" s="554" t="s">
        <v>608</v>
      </c>
      <c r="K36" s="240">
        <f>+K35-K34-K33-K32-K29-K27</f>
        <v>-5745192</v>
      </c>
      <c r="L36" s="50"/>
    </row>
    <row r="37" spans="1:13" x14ac:dyDescent="0.2">
      <c r="B37" s="398"/>
      <c r="C37" s="398"/>
      <c r="E37" s="853" t="s">
        <v>685</v>
      </c>
      <c r="F37" s="130"/>
      <c r="G37" s="130"/>
      <c r="H37" s="130"/>
      <c r="I37" s="130"/>
      <c r="J37" s="130"/>
      <c r="K37" s="892" t="s">
        <v>711</v>
      </c>
      <c r="L37" s="130"/>
      <c r="M37" s="564" t="s">
        <v>714</v>
      </c>
    </row>
    <row r="38" spans="1:13" x14ac:dyDescent="0.2">
      <c r="B38" s="398"/>
      <c r="C38" s="398"/>
      <c r="E38" s="854" t="s">
        <v>686</v>
      </c>
      <c r="F38" s="855">
        <f>+K27*0.8588</f>
        <v>77173399.719999999</v>
      </c>
      <c r="G38" s="714" t="s">
        <v>687</v>
      </c>
      <c r="H38" s="714"/>
      <c r="I38" s="714"/>
      <c r="J38" s="574"/>
      <c r="K38" s="892" t="s">
        <v>688</v>
      </c>
      <c r="L38" s="574"/>
      <c r="M38" s="892" t="s">
        <v>688</v>
      </c>
    </row>
    <row r="39" spans="1:13" x14ac:dyDescent="0.2">
      <c r="B39" s="398"/>
      <c r="E39" s="854" t="s">
        <v>688</v>
      </c>
      <c r="F39" s="855">
        <f>+K27*0.1412</f>
        <v>12688500.279999999</v>
      </c>
      <c r="G39" s="714"/>
      <c r="H39" s="714"/>
      <c r="I39" s="714"/>
      <c r="J39" s="575" t="s">
        <v>223</v>
      </c>
      <c r="K39" s="950">
        <v>2465500</v>
      </c>
      <c r="L39" s="575"/>
      <c r="M39" s="147">
        <v>2876290</v>
      </c>
    </row>
    <row r="40" spans="1:13" ht="16" thickBot="1" x14ac:dyDescent="0.25">
      <c r="A40" s="174"/>
      <c r="B40" s="398"/>
      <c r="E40" s="714" t="s">
        <v>689</v>
      </c>
      <c r="F40" s="856">
        <f>+F38+F39</f>
        <v>89861900</v>
      </c>
      <c r="G40" s="714"/>
      <c r="H40" s="714"/>
      <c r="I40" s="714"/>
      <c r="J40" s="575" t="s">
        <v>224</v>
      </c>
      <c r="K40" s="950">
        <v>124000</v>
      </c>
      <c r="L40" s="575"/>
      <c r="M40" s="147">
        <v>119322</v>
      </c>
    </row>
    <row r="41" spans="1:13" ht="16" thickTop="1" x14ac:dyDescent="0.2">
      <c r="E41" s="714"/>
      <c r="F41" s="714"/>
      <c r="G41" s="855"/>
      <c r="H41" s="714"/>
      <c r="I41" s="714"/>
      <c r="J41" s="575" t="s">
        <v>230</v>
      </c>
      <c r="K41" s="950">
        <v>9450000</v>
      </c>
      <c r="L41" s="575"/>
      <c r="M41" s="147">
        <v>10506503</v>
      </c>
    </row>
    <row r="42" spans="1:13" x14ac:dyDescent="0.2">
      <c r="E42" s="857" t="s">
        <v>690</v>
      </c>
      <c r="F42" s="858">
        <f>+K35</f>
        <v>158403155</v>
      </c>
      <c r="G42" s="855"/>
      <c r="H42" s="714"/>
      <c r="I42" s="714"/>
      <c r="J42" s="574" t="s">
        <v>231</v>
      </c>
      <c r="K42" s="951">
        <v>9000</v>
      </c>
      <c r="L42" s="574"/>
      <c r="M42" s="627">
        <v>92259</v>
      </c>
    </row>
    <row r="43" spans="1:13" s="968" customFormat="1" x14ac:dyDescent="0.2">
      <c r="E43" s="859" t="s">
        <v>691</v>
      </c>
      <c r="F43" s="860">
        <f>+K34</f>
        <v>38837900</v>
      </c>
      <c r="G43" s="714"/>
      <c r="H43" s="714"/>
      <c r="I43" s="714"/>
      <c r="J43" s="576"/>
      <c r="K43" s="576">
        <f>SUM(K39:K42)</f>
        <v>12048500</v>
      </c>
      <c r="L43" s="576"/>
      <c r="M43" s="576">
        <f>SUM(M39:M42)</f>
        <v>13594374</v>
      </c>
    </row>
    <row r="44" spans="1:13" x14ac:dyDescent="0.2">
      <c r="E44" s="859" t="s">
        <v>704</v>
      </c>
      <c r="F44" s="860">
        <f>-K30</f>
        <v>-5745192</v>
      </c>
      <c r="G44" s="714"/>
      <c r="H44" s="714"/>
      <c r="I44" s="714"/>
      <c r="J44" s="576"/>
      <c r="K44" s="576"/>
      <c r="L44" s="576"/>
      <c r="M44" s="576"/>
    </row>
    <row r="45" spans="1:13" x14ac:dyDescent="0.2">
      <c r="E45" s="861" t="s">
        <v>692</v>
      </c>
      <c r="F45" s="862">
        <f>+(F39+(F39*0.111111111))</f>
        <v>14098333.643034611</v>
      </c>
      <c r="G45" s="714"/>
      <c r="H45" s="863"/>
      <c r="I45" s="714"/>
      <c r="J45" s="130"/>
      <c r="K45" s="130"/>
      <c r="L45" s="130"/>
    </row>
    <row r="46" spans="1:13" x14ac:dyDescent="0.2">
      <c r="E46" s="714"/>
      <c r="F46" s="863">
        <f>+F42-F43-F45-F44</f>
        <v>111212113.35696539</v>
      </c>
      <c r="G46" s="714"/>
      <c r="H46" s="714"/>
      <c r="I46" s="714"/>
    </row>
    <row r="47" spans="1:13" x14ac:dyDescent="0.2">
      <c r="E47" s="714"/>
      <c r="F47" s="714"/>
      <c r="G47" s="714"/>
      <c r="H47" s="714" t="s">
        <v>693</v>
      </c>
      <c r="I47" s="855">
        <f>+F45</f>
        <v>14098333.643034611</v>
      </c>
    </row>
    <row r="48" spans="1:13" x14ac:dyDescent="0.2">
      <c r="E48" s="854" t="s">
        <v>694</v>
      </c>
      <c r="F48" s="864">
        <f>+(F46*0.1)</f>
        <v>11121211.335696541</v>
      </c>
      <c r="G48" s="714"/>
      <c r="H48" s="714" t="s">
        <v>695</v>
      </c>
      <c r="I48" s="864">
        <f>+F45*0.1</f>
        <v>1409833.3643034613</v>
      </c>
      <c r="K48" s="230"/>
    </row>
    <row r="49" spans="5:9" x14ac:dyDescent="0.2">
      <c r="E49" s="714"/>
      <c r="F49" s="714"/>
      <c r="G49" s="714"/>
      <c r="H49" s="714"/>
      <c r="I49" s="714"/>
    </row>
    <row r="50" spans="5:9" x14ac:dyDescent="0.2">
      <c r="E50" s="714" t="s">
        <v>696</v>
      </c>
      <c r="F50" s="863">
        <f>+F46-F48</f>
        <v>100090902.02126884</v>
      </c>
      <c r="G50" s="714"/>
      <c r="H50" s="714"/>
      <c r="I50" s="714"/>
    </row>
    <row r="51" spans="5:9" x14ac:dyDescent="0.2">
      <c r="E51" s="714"/>
      <c r="F51" s="714"/>
      <c r="G51" s="714"/>
      <c r="H51" s="714"/>
      <c r="I51" s="714"/>
    </row>
    <row r="52" spans="5:9" x14ac:dyDescent="0.2">
      <c r="E52" s="714" t="s">
        <v>697</v>
      </c>
      <c r="F52" s="864">
        <f>+F50*0.8</f>
        <v>80072721.617015079</v>
      </c>
      <c r="G52" s="855"/>
      <c r="H52" s="855" t="s">
        <v>698</v>
      </c>
      <c r="I52" s="863">
        <f>+I47-I48</f>
        <v>12688500.278731149</v>
      </c>
    </row>
    <row r="53" spans="5:9" x14ac:dyDescent="0.2">
      <c r="E53" s="714" t="s">
        <v>699</v>
      </c>
      <c r="F53" s="864">
        <f>+F50*0.2</f>
        <v>20018180.40425377</v>
      </c>
      <c r="G53" s="714"/>
      <c r="H53" s="714"/>
      <c r="I53" s="714"/>
    </row>
    <row r="54" spans="5:9" ht="16" thickBot="1" x14ac:dyDescent="0.25">
      <c r="E54" s="714"/>
      <c r="F54" s="864"/>
      <c r="G54" s="714"/>
      <c r="H54" s="714"/>
      <c r="I54" s="714"/>
    </row>
    <row r="55" spans="5:9" x14ac:dyDescent="0.2">
      <c r="E55" s="865" t="s">
        <v>690</v>
      </c>
      <c r="F55" s="866">
        <f>+F42</f>
        <v>158403155</v>
      </c>
      <c r="G55" s="867"/>
      <c r="H55" s="867"/>
      <c r="I55" s="868"/>
    </row>
    <row r="56" spans="5:9" x14ac:dyDescent="0.2">
      <c r="E56" s="869" t="s">
        <v>691</v>
      </c>
      <c r="F56" s="870">
        <f>6+F43</f>
        <v>38837906</v>
      </c>
      <c r="G56" s="871"/>
      <c r="H56" s="871"/>
      <c r="I56" s="872"/>
    </row>
    <row r="57" spans="5:9" x14ac:dyDescent="0.2">
      <c r="E57" s="869" t="s">
        <v>700</v>
      </c>
      <c r="F57" s="870">
        <f>ROUND(+F48+I48,0)</f>
        <v>12531045</v>
      </c>
      <c r="G57" s="871"/>
      <c r="H57" s="871"/>
      <c r="I57" s="872"/>
    </row>
    <row r="58" spans="5:9" x14ac:dyDescent="0.2">
      <c r="E58" s="869" t="s">
        <v>701</v>
      </c>
      <c r="F58" s="873">
        <f>+ROUND(F52+I52,0)</f>
        <v>92761222</v>
      </c>
      <c r="G58" s="871" t="s">
        <v>702</v>
      </c>
      <c r="H58" s="874">
        <f>+F58-F40</f>
        <v>2899322</v>
      </c>
      <c r="I58" s="872"/>
    </row>
    <row r="59" spans="5:9" x14ac:dyDescent="0.2">
      <c r="E59" s="869" t="s">
        <v>703</v>
      </c>
      <c r="F59" s="873">
        <f>ROUND(+F53,0)</f>
        <v>20018180</v>
      </c>
      <c r="G59" s="871"/>
      <c r="H59" s="871"/>
      <c r="I59" s="872"/>
    </row>
    <row r="60" spans="5:9" ht="16" thickBot="1" x14ac:dyDescent="0.25">
      <c r="E60" s="875"/>
      <c r="F60" s="876">
        <f>+F55-F56-F57-F58-F59+K30</f>
        <v>-6</v>
      </c>
      <c r="G60" s="876"/>
      <c r="H60" s="877"/>
      <c r="I60" s="878"/>
    </row>
  </sheetData>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O54"/>
  <sheetViews>
    <sheetView workbookViewId="0">
      <selection activeCell="B8" sqref="B8"/>
    </sheetView>
  </sheetViews>
  <sheetFormatPr baseColWidth="10" defaultColWidth="12.5" defaultRowHeight="15" x14ac:dyDescent="0.2"/>
  <cols>
    <col min="1" max="1" width="28.5" customWidth="1"/>
    <col min="2" max="2" width="13.1640625" customWidth="1"/>
    <col min="3" max="3" width="19.1640625" customWidth="1"/>
    <col min="4" max="4" width="26.1640625" customWidth="1"/>
    <col min="5" max="5" width="16.6640625" customWidth="1"/>
    <col min="6" max="6" width="13.33203125" customWidth="1"/>
    <col min="7" max="7" width="12.5" customWidth="1"/>
    <col min="8" max="8" width="10.5" bestFit="1" customWidth="1"/>
    <col min="9" max="9" width="15.5" bestFit="1" customWidth="1"/>
    <col min="10" max="10" width="17" customWidth="1"/>
    <col min="11" max="11" width="26.33203125" customWidth="1"/>
  </cols>
  <sheetData>
    <row r="1" spans="1:15" ht="16" x14ac:dyDescent="0.2">
      <c r="A1" s="272" t="s">
        <v>421</v>
      </c>
    </row>
    <row r="2" spans="1:15" x14ac:dyDescent="0.2">
      <c r="A2" t="s">
        <v>399</v>
      </c>
    </row>
    <row r="3" spans="1:15" x14ac:dyDescent="0.2">
      <c r="A3" t="s">
        <v>400</v>
      </c>
      <c r="K3" s="703"/>
      <c r="L3" s="703"/>
      <c r="M3" s="703"/>
      <c r="N3" s="703"/>
      <c r="O3" s="703"/>
    </row>
    <row r="4" spans="1:15" x14ac:dyDescent="0.2">
      <c r="E4" s="83"/>
      <c r="F4" s="83"/>
      <c r="G4" s="83"/>
      <c r="H4" s="83"/>
      <c r="I4" s="83"/>
      <c r="J4" s="83"/>
      <c r="K4" s="703"/>
      <c r="L4" s="703"/>
      <c r="M4" s="703"/>
      <c r="N4" s="703"/>
      <c r="O4" s="703"/>
    </row>
    <row r="5" spans="1:15" x14ac:dyDescent="0.2">
      <c r="D5" s="83" t="s">
        <v>422</v>
      </c>
      <c r="I5" s="554"/>
      <c r="K5" s="703"/>
      <c r="L5" s="703"/>
      <c r="M5" s="703"/>
      <c r="N5" s="703"/>
      <c r="O5" s="703"/>
    </row>
    <row r="6" spans="1:15" ht="48" x14ac:dyDescent="0.2">
      <c r="A6" s="713" t="s">
        <v>423</v>
      </c>
      <c r="B6" s="714"/>
      <c r="D6" s="396" t="s">
        <v>403</v>
      </c>
      <c r="E6" s="709" t="s">
        <v>3</v>
      </c>
      <c r="F6" s="709" t="s">
        <v>597</v>
      </c>
      <c r="G6" s="709" t="s">
        <v>598</v>
      </c>
      <c r="H6" s="709" t="s">
        <v>603</v>
      </c>
      <c r="I6" s="709" t="s">
        <v>683</v>
      </c>
      <c r="J6" s="711" t="s">
        <v>711</v>
      </c>
      <c r="K6" s="711" t="s">
        <v>684</v>
      </c>
      <c r="L6" s="711" t="s">
        <v>712</v>
      </c>
      <c r="M6" s="703"/>
      <c r="N6" s="703"/>
      <c r="O6" s="703"/>
    </row>
    <row r="7" spans="1:15" ht="30" x14ac:dyDescent="0.2">
      <c r="A7" s="394"/>
      <c r="B7" s="395" t="s">
        <v>650</v>
      </c>
      <c r="D7" s="400" t="s">
        <v>602</v>
      </c>
      <c r="E7" s="712">
        <v>1</v>
      </c>
      <c r="F7" s="712">
        <v>2</v>
      </c>
      <c r="G7" s="712">
        <v>3</v>
      </c>
      <c r="H7" s="708">
        <v>4</v>
      </c>
      <c r="I7" s="708">
        <v>5</v>
      </c>
      <c r="J7" s="708">
        <v>6</v>
      </c>
    </row>
    <row r="8" spans="1:15" x14ac:dyDescent="0.2">
      <c r="A8" s="397" t="s">
        <v>222</v>
      </c>
      <c r="B8" s="398">
        <f>J8</f>
        <v>400000</v>
      </c>
      <c r="D8" s="401" t="s">
        <v>222</v>
      </c>
      <c r="E8" s="557">
        <v>559794</v>
      </c>
      <c r="F8" s="557">
        <v>428684</v>
      </c>
      <c r="G8" s="557">
        <v>463229</v>
      </c>
      <c r="H8" s="557">
        <v>489827.28</v>
      </c>
      <c r="I8" s="557">
        <v>396326.52</v>
      </c>
      <c r="J8" s="424">
        <v>400000</v>
      </c>
      <c r="K8" s="557">
        <f>IF(TREND(E8:I8,$E$7:$I$7,$J$7)&lt;0,0,ROUNDUP((TREND(E8:I8,$E$7:$I$7,$J$7)*0.98175)*0.95,-3))</f>
        <v>362000</v>
      </c>
      <c r="L8" s="556">
        <f>+J8-K8</f>
        <v>38000</v>
      </c>
    </row>
    <row r="9" spans="1:15" x14ac:dyDescent="0.2">
      <c r="A9" s="397" t="s">
        <v>223</v>
      </c>
      <c r="B9" s="398">
        <f>J9</f>
        <v>470000</v>
      </c>
      <c r="D9" s="401" t="s">
        <v>223</v>
      </c>
      <c r="E9" s="557">
        <v>589485</v>
      </c>
      <c r="F9" s="557">
        <v>680703</v>
      </c>
      <c r="G9" s="557">
        <v>613075</v>
      </c>
      <c r="H9" s="557">
        <v>494420.88</v>
      </c>
      <c r="I9" s="557">
        <v>484143.52</v>
      </c>
      <c r="J9" s="557">
        <v>470000</v>
      </c>
      <c r="K9" s="557">
        <f t="shared" ref="K9:K26" si="0">IF(TREND(E9:I9,$E$7:$I$7,$J$7)&lt;0,0,ROUNDUP((TREND(E9:I9,$E$7:$I$7,$J$7)*0.98175)*0.95,-3))</f>
        <v>423000</v>
      </c>
      <c r="L9" s="556">
        <f t="shared" ref="L9:L26" si="1">+J9-K9</f>
        <v>47000</v>
      </c>
    </row>
    <row r="10" spans="1:15" x14ac:dyDescent="0.2">
      <c r="A10" s="397" t="s">
        <v>224</v>
      </c>
      <c r="B10" s="398">
        <f>J11</f>
        <v>61000</v>
      </c>
      <c r="D10" s="401" t="s">
        <v>405</v>
      </c>
      <c r="E10" s="557">
        <v>208710</v>
      </c>
      <c r="F10" s="557">
        <v>167154</v>
      </c>
      <c r="G10" s="557">
        <v>147418</v>
      </c>
      <c r="H10" s="555">
        <v>149917.68</v>
      </c>
      <c r="I10" s="557">
        <v>104574.24</v>
      </c>
      <c r="J10" s="557">
        <v>100000</v>
      </c>
      <c r="K10" s="557">
        <f t="shared" si="0"/>
        <v>82000</v>
      </c>
      <c r="L10" s="556">
        <f t="shared" si="1"/>
        <v>18000</v>
      </c>
    </row>
    <row r="11" spans="1:15" x14ac:dyDescent="0.2">
      <c r="A11" s="405" t="s">
        <v>225</v>
      </c>
      <c r="B11" s="398">
        <f>J13</f>
        <v>12000</v>
      </c>
      <c r="D11" s="401" t="s">
        <v>224</v>
      </c>
      <c r="E11" s="558">
        <v>99984</v>
      </c>
      <c r="F11" s="558">
        <v>106134</v>
      </c>
      <c r="G11" s="558">
        <v>63804</v>
      </c>
      <c r="H11" s="555">
        <v>81920.34</v>
      </c>
      <c r="I11" s="557">
        <v>43574.239999999998</v>
      </c>
      <c r="J11" s="557">
        <v>61000</v>
      </c>
      <c r="K11" s="557">
        <f t="shared" si="0"/>
        <v>36000</v>
      </c>
      <c r="L11" s="556">
        <f t="shared" si="1"/>
        <v>25000</v>
      </c>
    </row>
    <row r="12" spans="1:15" x14ac:dyDescent="0.2">
      <c r="A12" s="397" t="s">
        <v>226</v>
      </c>
      <c r="B12" s="398">
        <f>J15</f>
        <v>70000</v>
      </c>
      <c r="D12" s="401" t="s">
        <v>230</v>
      </c>
      <c r="E12" s="557">
        <v>1617970</v>
      </c>
      <c r="F12" s="557">
        <v>1671408</v>
      </c>
      <c r="G12" s="557">
        <v>1878727</v>
      </c>
      <c r="H12" s="555">
        <v>1330496.72</v>
      </c>
      <c r="I12" s="557">
        <v>1776980.8</v>
      </c>
      <c r="J12" s="557">
        <v>1500000</v>
      </c>
      <c r="K12" s="557">
        <f t="shared" si="0"/>
        <v>1538000</v>
      </c>
      <c r="L12" s="556">
        <f t="shared" si="1"/>
        <v>-38000</v>
      </c>
    </row>
    <row r="13" spans="1:15" x14ac:dyDescent="0.2">
      <c r="A13" s="397" t="s">
        <v>227</v>
      </c>
      <c r="B13" s="398">
        <f>J17</f>
        <v>1900000</v>
      </c>
      <c r="D13" s="401" t="s">
        <v>406</v>
      </c>
      <c r="E13" s="559">
        <v>95695</v>
      </c>
      <c r="F13" s="555">
        <v>73450</v>
      </c>
      <c r="G13" s="555">
        <v>42892</v>
      </c>
      <c r="H13" s="555">
        <v>40096.080000000002</v>
      </c>
      <c r="I13" s="557">
        <v>45898.8</v>
      </c>
      <c r="J13" s="557">
        <v>12000</v>
      </c>
      <c r="K13" s="557">
        <f t="shared" si="0"/>
        <v>19000</v>
      </c>
      <c r="L13" s="556">
        <f t="shared" si="1"/>
        <v>-7000</v>
      </c>
    </row>
    <row r="14" spans="1:15" x14ac:dyDescent="0.2">
      <c r="A14" s="397" t="s">
        <v>140</v>
      </c>
      <c r="B14" s="398">
        <f>J19</f>
        <v>74000</v>
      </c>
      <c r="D14" s="401" t="s">
        <v>228</v>
      </c>
      <c r="E14" s="557">
        <v>1059231</v>
      </c>
      <c r="F14" s="557">
        <v>899770</v>
      </c>
      <c r="G14" s="557">
        <v>842299</v>
      </c>
      <c r="H14" s="555">
        <v>749488.79</v>
      </c>
      <c r="I14" s="557">
        <v>515258.24</v>
      </c>
      <c r="J14" s="557">
        <v>495000</v>
      </c>
      <c r="K14" s="557">
        <f t="shared" si="0"/>
        <v>412000</v>
      </c>
      <c r="L14" s="556">
        <f t="shared" si="1"/>
        <v>83000</v>
      </c>
    </row>
    <row r="15" spans="1:15" x14ac:dyDescent="0.2">
      <c r="A15" s="405" t="s">
        <v>228</v>
      </c>
      <c r="B15" s="398">
        <f>J14</f>
        <v>495000</v>
      </c>
      <c r="D15" s="401" t="s">
        <v>226</v>
      </c>
      <c r="E15" s="558">
        <v>90516</v>
      </c>
      <c r="F15" s="558">
        <v>43829</v>
      </c>
      <c r="G15" s="558">
        <v>58720</v>
      </c>
      <c r="H15" s="555">
        <v>79373.600000000006</v>
      </c>
      <c r="I15" s="557">
        <v>73988.08</v>
      </c>
      <c r="J15" s="557">
        <v>70000</v>
      </c>
      <c r="K15" s="557">
        <f t="shared" si="0"/>
        <v>66000</v>
      </c>
      <c r="L15" s="556">
        <f t="shared" si="1"/>
        <v>4000</v>
      </c>
    </row>
    <row r="16" spans="1:15" x14ac:dyDescent="0.2">
      <c r="A16" s="397" t="s">
        <v>229</v>
      </c>
      <c r="B16" s="398">
        <f>J18</f>
        <v>0</v>
      </c>
      <c r="D16" s="401" t="s">
        <v>407</v>
      </c>
      <c r="E16" s="557">
        <v>667750</v>
      </c>
      <c r="F16" s="557">
        <v>575668</v>
      </c>
      <c r="G16" s="557">
        <v>485395</v>
      </c>
      <c r="H16" s="555">
        <v>378356</v>
      </c>
      <c r="I16" s="557">
        <v>237298.32</v>
      </c>
      <c r="J16" s="557">
        <v>195000</v>
      </c>
      <c r="K16" s="557">
        <f t="shared" si="0"/>
        <v>142000</v>
      </c>
      <c r="L16" s="556">
        <f t="shared" si="1"/>
        <v>53000</v>
      </c>
    </row>
    <row r="17" spans="1:12" x14ac:dyDescent="0.2">
      <c r="A17" s="397" t="s">
        <v>230</v>
      </c>
      <c r="B17" s="398">
        <f>J12</f>
        <v>1500000</v>
      </c>
      <c r="D17" s="401" t="s">
        <v>227</v>
      </c>
      <c r="E17" s="557">
        <v>2302578</v>
      </c>
      <c r="F17" s="557">
        <v>1947732</v>
      </c>
      <c r="G17" s="557">
        <v>1809130</v>
      </c>
      <c r="H17" s="555">
        <v>1784836.44</v>
      </c>
      <c r="I17" s="557">
        <v>1886831.52</v>
      </c>
      <c r="J17" s="555">
        <v>1900000</v>
      </c>
      <c r="K17" s="557">
        <f t="shared" si="0"/>
        <v>1537000</v>
      </c>
      <c r="L17" s="556">
        <f t="shared" si="1"/>
        <v>363000</v>
      </c>
    </row>
    <row r="18" spans="1:12" x14ac:dyDescent="0.2">
      <c r="A18" s="397" t="s">
        <v>231</v>
      </c>
      <c r="B18" s="398">
        <f>J16</f>
        <v>195000</v>
      </c>
      <c r="D18" s="401" t="s">
        <v>229</v>
      </c>
      <c r="E18" s="557">
        <v>0</v>
      </c>
      <c r="F18" s="557">
        <v>0</v>
      </c>
      <c r="G18" s="557">
        <v>0</v>
      </c>
      <c r="H18" s="555">
        <v>0</v>
      </c>
      <c r="I18" s="557">
        <f t="shared" ref="I18" si="2">+H18*(1+0.03)*(1+-0.08)</f>
        <v>0</v>
      </c>
      <c r="J18" s="573">
        <f t="shared" ref="J18:J23" si="3">IF(TREND(E18:I18,$E$7:$I$7,$J$7)&lt;0,0,ROUNDUP((TREND(E18:I18,$E$7:$I$7,$J$7)*0.98175)*0.95,-3))</f>
        <v>0</v>
      </c>
      <c r="K18" s="557">
        <f t="shared" si="0"/>
        <v>0</v>
      </c>
      <c r="L18" s="556">
        <f t="shared" si="1"/>
        <v>0</v>
      </c>
    </row>
    <row r="19" spans="1:12" ht="16" x14ac:dyDescent="0.2">
      <c r="A19" s="405" t="s">
        <v>232</v>
      </c>
      <c r="B19" s="398">
        <f>J10</f>
        <v>100000</v>
      </c>
      <c r="D19" s="406" t="s">
        <v>408</v>
      </c>
      <c r="E19" s="557">
        <v>116559</v>
      </c>
      <c r="F19" s="557">
        <v>84406</v>
      </c>
      <c r="G19" s="557">
        <v>96594</v>
      </c>
      <c r="H19" s="555">
        <v>154659.84</v>
      </c>
      <c r="I19" s="557">
        <v>91515</v>
      </c>
      <c r="J19" s="557">
        <v>74000</v>
      </c>
      <c r="K19" s="557">
        <f t="shared" si="0"/>
        <v>108000</v>
      </c>
      <c r="L19" s="556">
        <f t="shared" si="1"/>
        <v>-34000</v>
      </c>
    </row>
    <row r="20" spans="1:12" ht="16" x14ac:dyDescent="0.2">
      <c r="A20" s="397" t="s">
        <v>233</v>
      </c>
      <c r="B20" s="398">
        <f>J21</f>
        <v>0</v>
      </c>
      <c r="D20" s="406" t="s">
        <v>409</v>
      </c>
      <c r="E20" s="558">
        <v>69373</v>
      </c>
      <c r="F20" s="558">
        <v>47490</v>
      </c>
      <c r="G20" s="558">
        <v>57310</v>
      </c>
      <c r="H20" s="555">
        <v>0</v>
      </c>
      <c r="I20" s="557">
        <f>+H20*(1+0.03)*(1+-0.08)</f>
        <v>0</v>
      </c>
      <c r="J20" s="557">
        <f t="shared" si="3"/>
        <v>0</v>
      </c>
      <c r="K20" s="557">
        <f t="shared" si="0"/>
        <v>0</v>
      </c>
      <c r="L20" s="556">
        <f t="shared" si="1"/>
        <v>0</v>
      </c>
    </row>
    <row r="21" spans="1:12" ht="16" x14ac:dyDescent="0.2">
      <c r="A21" s="397" t="s">
        <v>234</v>
      </c>
      <c r="B21" s="398">
        <f>J20</f>
        <v>0</v>
      </c>
      <c r="D21" s="406" t="s">
        <v>611</v>
      </c>
      <c r="E21" s="557">
        <v>968</v>
      </c>
      <c r="F21" s="557">
        <v>0</v>
      </c>
      <c r="G21" s="557">
        <v>0</v>
      </c>
      <c r="H21" s="555">
        <v>0</v>
      </c>
      <c r="I21" s="557">
        <f>+H21*(1+0.03)*(1+-0.08)</f>
        <v>0</v>
      </c>
      <c r="J21" s="557">
        <f t="shared" si="3"/>
        <v>0</v>
      </c>
      <c r="K21" s="557">
        <f t="shared" si="0"/>
        <v>0</v>
      </c>
      <c r="L21" s="556">
        <f t="shared" si="1"/>
        <v>0</v>
      </c>
    </row>
    <row r="22" spans="1:12" x14ac:dyDescent="0.2">
      <c r="A22" s="405" t="s">
        <v>235</v>
      </c>
      <c r="B22" s="398">
        <f>J25</f>
        <v>5000</v>
      </c>
      <c r="D22" s="401" t="s">
        <v>358</v>
      </c>
      <c r="E22" s="557">
        <v>0</v>
      </c>
      <c r="F22" s="557">
        <v>2519</v>
      </c>
      <c r="G22" s="557">
        <v>0</v>
      </c>
      <c r="H22" s="555">
        <v>0</v>
      </c>
      <c r="I22" s="557">
        <f>+H22*(1+0.03)*(1+-0.08)</f>
        <v>0</v>
      </c>
      <c r="J22" s="557">
        <f t="shared" si="3"/>
        <v>0</v>
      </c>
      <c r="K22" s="557">
        <f t="shared" si="0"/>
        <v>0</v>
      </c>
      <c r="L22" s="556">
        <f t="shared" si="1"/>
        <v>0</v>
      </c>
    </row>
    <row r="23" spans="1:12" x14ac:dyDescent="0.2">
      <c r="A23" s="397" t="s">
        <v>236</v>
      </c>
      <c r="B23" s="398">
        <f>J24+J23</f>
        <v>0</v>
      </c>
      <c r="D23" s="401" t="s">
        <v>236</v>
      </c>
      <c r="E23" s="560">
        <v>0</v>
      </c>
      <c r="F23" s="557">
        <v>0</v>
      </c>
      <c r="G23" s="715">
        <v>0</v>
      </c>
      <c r="H23" s="555">
        <v>0</v>
      </c>
      <c r="I23" s="557">
        <f>+H23*(1+0.03)*(1+-0.08)</f>
        <v>0</v>
      </c>
      <c r="J23" s="557">
        <f t="shared" si="3"/>
        <v>0</v>
      </c>
      <c r="K23" s="557">
        <f t="shared" si="0"/>
        <v>0</v>
      </c>
      <c r="L23" s="556">
        <f t="shared" si="1"/>
        <v>0</v>
      </c>
    </row>
    <row r="24" spans="1:12" x14ac:dyDescent="0.2">
      <c r="A24" s="408" t="s">
        <v>237</v>
      </c>
      <c r="B24" s="398">
        <f>J26</f>
        <v>0</v>
      </c>
      <c r="D24" s="401" t="s">
        <v>612</v>
      </c>
      <c r="E24" s="556">
        <v>48239</v>
      </c>
      <c r="F24" s="556">
        <v>49090</v>
      </c>
      <c r="G24" s="556">
        <v>67224</v>
      </c>
      <c r="H24" s="555">
        <v>85478.399999999994</v>
      </c>
      <c r="I24" s="557">
        <v>28391</v>
      </c>
      <c r="J24" s="573">
        <v>0</v>
      </c>
      <c r="K24" s="557">
        <f t="shared" si="0"/>
        <v>52000</v>
      </c>
      <c r="L24" s="556">
        <f t="shared" si="1"/>
        <v>-52000</v>
      </c>
    </row>
    <row r="25" spans="1:12" x14ac:dyDescent="0.2">
      <c r="A25" s="409"/>
      <c r="B25" s="410">
        <f>SUM(B8:B24)</f>
        <v>5282000</v>
      </c>
      <c r="D25" s="401" t="s">
        <v>412</v>
      </c>
      <c r="E25" s="556">
        <v>1193</v>
      </c>
      <c r="F25" s="556">
        <v>638</v>
      </c>
      <c r="G25" s="556">
        <v>3984</v>
      </c>
      <c r="H25" s="555">
        <v>4173.4399999999996</v>
      </c>
      <c r="I25" s="557">
        <v>9871</v>
      </c>
      <c r="J25" s="557">
        <v>5000</v>
      </c>
      <c r="K25" s="557">
        <f t="shared" si="0"/>
        <v>10000</v>
      </c>
      <c r="L25" s="556">
        <f t="shared" si="1"/>
        <v>-5000</v>
      </c>
    </row>
    <row r="26" spans="1:12" x14ac:dyDescent="0.2">
      <c r="D26" s="401" t="s">
        <v>424</v>
      </c>
      <c r="E26" s="556">
        <v>104234</v>
      </c>
      <c r="F26" s="556">
        <v>141793</v>
      </c>
      <c r="G26" s="556">
        <v>191961</v>
      </c>
      <c r="H26" s="573">
        <v>170778.56</v>
      </c>
      <c r="I26" s="557">
        <v>0</v>
      </c>
      <c r="J26" s="573">
        <v>0</v>
      </c>
      <c r="K26" s="557">
        <f t="shared" si="0"/>
        <v>64000</v>
      </c>
      <c r="L26" s="556">
        <f t="shared" si="1"/>
        <v>-64000</v>
      </c>
    </row>
    <row r="27" spans="1:12" ht="16" thickBot="1" x14ac:dyDescent="0.25">
      <c r="D27" s="425" t="s">
        <v>44</v>
      </c>
      <c r="E27" s="426">
        <f>SUM(E8:E26)</f>
        <v>7632279</v>
      </c>
      <c r="F27" s="561">
        <f t="shared" ref="F27:K27" si="4">SUM(F8:F26)</f>
        <v>6920468</v>
      </c>
      <c r="G27" s="561">
        <f t="shared" si="4"/>
        <v>6821762</v>
      </c>
      <c r="H27" s="561">
        <f t="shared" si="4"/>
        <v>5993824.0500000007</v>
      </c>
      <c r="I27" s="561">
        <f t="shared" si="4"/>
        <v>5694651.2800000003</v>
      </c>
      <c r="J27" s="561">
        <f t="shared" si="4"/>
        <v>5282000</v>
      </c>
      <c r="K27" s="561">
        <f t="shared" si="4"/>
        <v>4851000</v>
      </c>
    </row>
    <row r="28" spans="1:12" ht="16" thickTop="1" x14ac:dyDescent="0.2">
      <c r="A28" s="416" t="s">
        <v>425</v>
      </c>
      <c r="B28" s="416">
        <f>J29</f>
        <v>1296638</v>
      </c>
      <c r="H28" s="554"/>
      <c r="I28" s="554"/>
    </row>
    <row r="29" spans="1:12" x14ac:dyDescent="0.2">
      <c r="A29" s="398" t="s">
        <v>488</v>
      </c>
      <c r="B29" s="399">
        <f>J30</f>
        <v>913700</v>
      </c>
      <c r="D29" s="401" t="s">
        <v>425</v>
      </c>
      <c r="I29" s="131"/>
      <c r="J29" s="147">
        <f>J33-J31-J30-J27</f>
        <v>1296638</v>
      </c>
    </row>
    <row r="30" spans="1:12" x14ac:dyDescent="0.2">
      <c r="A30" s="398" t="s">
        <v>489</v>
      </c>
      <c r="B30" s="399">
        <f>J31</f>
        <v>1644600</v>
      </c>
      <c r="D30" s="50" t="s">
        <v>604</v>
      </c>
      <c r="H30" s="424"/>
      <c r="I30" s="131"/>
      <c r="J30" s="147">
        <f>ROUND(0.1*J33,-2)</f>
        <v>913700</v>
      </c>
    </row>
    <row r="31" spans="1:12" x14ac:dyDescent="0.2">
      <c r="A31" s="398"/>
      <c r="B31" s="398"/>
      <c r="D31" s="50" t="s">
        <v>605</v>
      </c>
      <c r="H31" s="424"/>
      <c r="I31" s="131"/>
      <c r="J31" s="147">
        <f>ROUND(0.18*J33,-2)</f>
        <v>1644600</v>
      </c>
    </row>
    <row r="32" spans="1:12" x14ac:dyDescent="0.2">
      <c r="A32" s="422" t="s">
        <v>419</v>
      </c>
      <c r="B32" s="422">
        <f>SUM(B25:B31)</f>
        <v>9136938</v>
      </c>
      <c r="D32" s="50" t="s">
        <v>418</v>
      </c>
      <c r="H32" s="131"/>
      <c r="I32" s="131"/>
      <c r="J32" s="147"/>
    </row>
    <row r="33" spans="1:10" x14ac:dyDescent="0.2">
      <c r="A33" s="398"/>
      <c r="B33" s="398"/>
      <c r="D33" s="50" t="s">
        <v>419</v>
      </c>
      <c r="H33" s="131"/>
      <c r="I33" s="131" t="s">
        <v>596</v>
      </c>
      <c r="J33" s="147">
        <f>+'Step 0 Revenue Detail'!F39</f>
        <v>9136938</v>
      </c>
    </row>
    <row r="34" spans="1:10" x14ac:dyDescent="0.2">
      <c r="A34" s="398"/>
      <c r="B34" s="398"/>
      <c r="I34" t="s">
        <v>592</v>
      </c>
      <c r="J34" s="147">
        <f>SUM(J29:J31)+J27</f>
        <v>9136938</v>
      </c>
    </row>
    <row r="35" spans="1:10" x14ac:dyDescent="0.2">
      <c r="A35" s="398"/>
      <c r="B35" s="1249"/>
      <c r="C35" s="1249"/>
      <c r="D35" s="1249"/>
      <c r="E35" s="1249"/>
      <c r="I35" t="s">
        <v>593</v>
      </c>
      <c r="J35" s="563">
        <f>+J34-B32</f>
        <v>0</v>
      </c>
    </row>
    <row r="36" spans="1:10" x14ac:dyDescent="0.2">
      <c r="A36" s="398"/>
      <c r="B36" s="554"/>
      <c r="C36" s="554"/>
      <c r="D36" s="554"/>
      <c r="E36" s="301"/>
      <c r="G36" s="50"/>
      <c r="H36" s="50"/>
      <c r="I36" s="50"/>
      <c r="J36" s="604"/>
    </row>
    <row r="37" spans="1:10" x14ac:dyDescent="0.2">
      <c r="A37" s="398"/>
      <c r="B37" s="554"/>
      <c r="C37" s="554"/>
      <c r="D37" s="554"/>
      <c r="E37" s="301"/>
      <c r="G37" s="50" t="s">
        <v>706</v>
      </c>
      <c r="H37" s="50"/>
      <c r="I37" s="50"/>
      <c r="J37" s="604"/>
    </row>
    <row r="38" spans="1:10" x14ac:dyDescent="0.2">
      <c r="B38" s="554"/>
      <c r="C38" s="554"/>
      <c r="D38" s="554"/>
      <c r="E38" s="301"/>
      <c r="G38" s="50" t="s">
        <v>597</v>
      </c>
      <c r="H38" s="50" t="s">
        <v>707</v>
      </c>
      <c r="I38" s="50"/>
      <c r="J38" s="604"/>
    </row>
    <row r="39" spans="1:10" x14ac:dyDescent="0.2">
      <c r="B39" s="554"/>
      <c r="C39" s="554"/>
      <c r="D39" s="554"/>
      <c r="E39" s="301"/>
      <c r="G39" s="50" t="s">
        <v>598</v>
      </c>
      <c r="H39" s="50" t="s">
        <v>708</v>
      </c>
      <c r="I39" s="50"/>
      <c r="J39" s="604"/>
    </row>
    <row r="40" spans="1:10" x14ac:dyDescent="0.2">
      <c r="B40" s="554"/>
      <c r="C40" s="554"/>
      <c r="D40" s="554"/>
      <c r="E40" s="301"/>
      <c r="G40" s="130" t="s">
        <v>603</v>
      </c>
      <c r="H40" s="50" t="s">
        <v>709</v>
      </c>
      <c r="I40" s="50"/>
      <c r="J40" s="604"/>
    </row>
    <row r="41" spans="1:10" x14ac:dyDescent="0.2">
      <c r="B41" s="554"/>
      <c r="C41" s="554"/>
      <c r="D41" s="554"/>
      <c r="E41" s="301"/>
      <c r="G41" s="130" t="s">
        <v>683</v>
      </c>
      <c r="H41" s="130" t="s">
        <v>710</v>
      </c>
      <c r="I41" s="50"/>
      <c r="J41" s="604"/>
    </row>
    <row r="42" spans="1:10" x14ac:dyDescent="0.2">
      <c r="B42" s="554"/>
      <c r="C42" s="554"/>
      <c r="D42" s="554"/>
      <c r="E42" s="301"/>
      <c r="G42" s="50"/>
      <c r="H42" s="50"/>
      <c r="I42" s="50"/>
      <c r="J42" s="604"/>
    </row>
    <row r="43" spans="1:10" x14ac:dyDescent="0.2">
      <c r="B43" s="554"/>
      <c r="C43" s="554"/>
      <c r="D43" s="554"/>
      <c r="E43" s="301"/>
      <c r="G43" s="50"/>
      <c r="H43" s="50"/>
      <c r="I43" s="50"/>
      <c r="J43" s="604"/>
    </row>
    <row r="44" spans="1:10" x14ac:dyDescent="0.2">
      <c r="B44" s="554"/>
      <c r="C44" s="554"/>
      <c r="D44" s="554"/>
      <c r="E44" s="301"/>
      <c r="G44" s="50"/>
      <c r="H44" s="50"/>
      <c r="I44" s="50"/>
      <c r="J44" s="604"/>
    </row>
    <row r="45" spans="1:10" x14ac:dyDescent="0.2">
      <c r="B45" s="554"/>
      <c r="C45" s="554"/>
      <c r="D45" s="554"/>
      <c r="E45" s="604"/>
      <c r="G45" s="50"/>
      <c r="H45" s="50"/>
      <c r="I45" s="50"/>
      <c r="J45" s="604"/>
    </row>
    <row r="46" spans="1:10" x14ac:dyDescent="0.2">
      <c r="E46" s="301"/>
      <c r="G46" s="50"/>
      <c r="H46" s="50"/>
      <c r="I46" s="50"/>
      <c r="J46" s="604"/>
    </row>
    <row r="47" spans="1:10" x14ac:dyDescent="0.2">
      <c r="G47" s="50"/>
      <c r="H47" s="50"/>
      <c r="I47" s="50"/>
      <c r="J47" s="604"/>
    </row>
    <row r="48" spans="1:10" x14ac:dyDescent="0.2">
      <c r="G48" s="50"/>
      <c r="H48" s="50"/>
      <c r="I48" s="50"/>
      <c r="J48" s="604"/>
    </row>
    <row r="49" spans="6:6" x14ac:dyDescent="0.2">
      <c r="F49" s="230"/>
    </row>
    <row r="51" spans="6:6" x14ac:dyDescent="0.2">
      <c r="F51" s="301"/>
    </row>
    <row r="54" spans="6:6" x14ac:dyDescent="0.2">
      <c r="F54" s="230"/>
    </row>
  </sheetData>
  <mergeCells count="1">
    <mergeCell ref="B35:E35"/>
  </mergeCells>
  <pageMargins left="0.7" right="0.7" top="0.75" bottom="0.75" header="0.3" footer="0.3"/>
  <pageSetup orientation="portrait" horizontalDpi="1200" verticalDpi="120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M75"/>
  <sheetViews>
    <sheetView workbookViewId="0"/>
  </sheetViews>
  <sheetFormatPr baseColWidth="10" defaultColWidth="12.5" defaultRowHeight="15" x14ac:dyDescent="0.2"/>
  <cols>
    <col min="1" max="1" width="43.1640625" bestFit="1" customWidth="1"/>
    <col min="2" max="2" width="14.33203125" bestFit="1" customWidth="1"/>
    <col min="4" max="4" width="20.5" bestFit="1" customWidth="1"/>
    <col min="5" max="5" width="19.83203125" bestFit="1" customWidth="1"/>
    <col min="6" max="6" width="17.5" style="696" bestFit="1" customWidth="1"/>
    <col min="7" max="7" width="12.6640625" customWidth="1"/>
    <col min="8" max="8" width="9.1640625" bestFit="1" customWidth="1"/>
    <col min="9" max="9" width="10.6640625" customWidth="1"/>
    <col min="10" max="10" width="14.33203125" bestFit="1" customWidth="1"/>
    <col min="11" max="12" width="13.33203125" bestFit="1" customWidth="1"/>
    <col min="13" max="15" width="13.6640625" customWidth="1"/>
    <col min="16" max="16" width="13.1640625" customWidth="1"/>
    <col min="18" max="18" width="13.33203125" customWidth="1"/>
  </cols>
  <sheetData>
    <row r="1" spans="1:13" ht="21" x14ac:dyDescent="0.25">
      <c r="A1" s="436" t="s">
        <v>460</v>
      </c>
      <c r="B1" s="436"/>
      <c r="C1" s="437"/>
      <c r="F1" s="694" t="s">
        <v>854</v>
      </c>
    </row>
    <row r="2" spans="1:13" ht="16" x14ac:dyDescent="0.2">
      <c r="A2" s="272" t="s">
        <v>461</v>
      </c>
      <c r="F2" s="694"/>
    </row>
    <row r="3" spans="1:13" ht="33" thickBot="1" x14ac:dyDescent="0.25">
      <c r="A3" s="438"/>
      <c r="B3" s="439" t="s">
        <v>647</v>
      </c>
      <c r="C3" s="441" t="s">
        <v>648</v>
      </c>
      <c r="D3" s="511" t="s">
        <v>581</v>
      </c>
      <c r="E3" s="695" t="s">
        <v>643</v>
      </c>
      <c r="F3" s="695" t="s">
        <v>855</v>
      </c>
      <c r="G3" s="440" t="s">
        <v>462</v>
      </c>
    </row>
    <row r="4" spans="1:13" ht="16" thickTop="1" x14ac:dyDescent="0.2">
      <c r="A4" s="192" t="s">
        <v>141</v>
      </c>
      <c r="C4" s="256"/>
    </row>
    <row r="5" spans="1:13" x14ac:dyDescent="0.2">
      <c r="A5" s="197" t="s">
        <v>145</v>
      </c>
      <c r="B5" s="520">
        <f>ROUND(Dashboard!$D$42*(C5),-2)</f>
        <v>1489200</v>
      </c>
      <c r="C5" s="455">
        <f t="shared" ref="C5:C23" si="0">G5/G$45</f>
        <v>0.18852099256413501</v>
      </c>
      <c r="D5" s="179">
        <v>7439399.7999999998</v>
      </c>
      <c r="E5" s="520">
        <v>7869219.0199999996</v>
      </c>
      <c r="F5" s="520">
        <v>7988857.5199999996</v>
      </c>
      <c r="G5" s="520">
        <f t="shared" ref="G5:G23" si="1">AVERAGE(D5,E5,F5)</f>
        <v>7765825.4466666663</v>
      </c>
      <c r="I5" s="147"/>
      <c r="J5" s="147"/>
      <c r="M5" s="556"/>
    </row>
    <row r="6" spans="1:13" x14ac:dyDescent="0.2">
      <c r="A6" s="200" t="s">
        <v>147</v>
      </c>
      <c r="B6" s="280">
        <f>ROUND(Dashboard!$D$42*(C6),-2)</f>
        <v>2900</v>
      </c>
      <c r="C6" s="456">
        <f t="shared" si="0"/>
        <v>3.6167316788952397E-4</v>
      </c>
      <c r="D6" s="280">
        <v>19876.53</v>
      </c>
      <c r="E6" s="280">
        <v>9184.0499999999993</v>
      </c>
      <c r="F6" s="280">
        <v>15635.09</v>
      </c>
      <c r="G6" s="520">
        <f t="shared" si="1"/>
        <v>14898.556666666665</v>
      </c>
      <c r="I6" s="147"/>
      <c r="J6" s="147"/>
      <c r="M6" s="556"/>
    </row>
    <row r="7" spans="1:13" x14ac:dyDescent="0.2">
      <c r="A7" s="190" t="s">
        <v>149</v>
      </c>
      <c r="B7" s="280">
        <f>ROUND(Dashboard!$D$42*(C7),-2)</f>
        <v>1859000</v>
      </c>
      <c r="C7" s="456">
        <f t="shared" si="0"/>
        <v>0.2353372238881041</v>
      </c>
      <c r="D7" s="280">
        <v>9261737.1699999999</v>
      </c>
      <c r="E7" s="280">
        <v>9689248.0299999993</v>
      </c>
      <c r="F7" s="280">
        <v>10132053.939999999</v>
      </c>
      <c r="G7" s="520">
        <f t="shared" si="1"/>
        <v>9694346.3800000008</v>
      </c>
      <c r="I7" s="147"/>
      <c r="J7" s="147"/>
      <c r="M7" s="556"/>
    </row>
    <row r="8" spans="1:13" x14ac:dyDescent="0.2">
      <c r="A8" s="197" t="s">
        <v>150</v>
      </c>
      <c r="B8" s="520">
        <f>ROUND(Dashboard!$D$42*(C8),-2)</f>
        <v>312200</v>
      </c>
      <c r="C8" s="455">
        <f t="shared" si="0"/>
        <v>3.9527290990337145E-2</v>
      </c>
      <c r="D8" s="179">
        <v>1630759.33</v>
      </c>
      <c r="E8" s="520">
        <v>1608466.85</v>
      </c>
      <c r="F8" s="520">
        <v>1645567.36</v>
      </c>
      <c r="G8" s="520">
        <f t="shared" si="1"/>
        <v>1628264.5133333334</v>
      </c>
      <c r="I8" s="147"/>
      <c r="J8" s="147"/>
      <c r="M8" s="556"/>
    </row>
    <row r="9" spans="1:13" x14ac:dyDescent="0.2">
      <c r="A9" s="200" t="s">
        <v>151</v>
      </c>
      <c r="B9" s="280">
        <f>ROUND(Dashboard!$D$42*(C9),-2)</f>
        <v>647100</v>
      </c>
      <c r="C9" s="456">
        <f t="shared" si="0"/>
        <v>8.1915993046665497E-2</v>
      </c>
      <c r="D9" s="280">
        <v>3114232.65</v>
      </c>
      <c r="E9" s="280">
        <v>3264855.06</v>
      </c>
      <c r="F9" s="280">
        <v>3744113.34</v>
      </c>
      <c r="G9" s="520">
        <f t="shared" si="1"/>
        <v>3374400.35</v>
      </c>
      <c r="I9" s="147"/>
      <c r="J9" s="147"/>
      <c r="M9" s="556"/>
    </row>
    <row r="10" spans="1:13" x14ac:dyDescent="0.2">
      <c r="A10" s="190" t="s">
        <v>152</v>
      </c>
      <c r="B10" s="280">
        <f>ROUND(Dashboard!$D$42*(C10),-2)</f>
        <v>19000</v>
      </c>
      <c r="C10" s="456">
        <f t="shared" si="0"/>
        <v>2.4110069910933708E-3</v>
      </c>
      <c r="D10" s="280">
        <v>69060.56</v>
      </c>
      <c r="E10" s="280">
        <v>63397.15</v>
      </c>
      <c r="F10" s="280">
        <v>165495.20000000001</v>
      </c>
      <c r="G10" s="520">
        <f t="shared" si="1"/>
        <v>99317.636666666673</v>
      </c>
      <c r="I10" s="147"/>
      <c r="J10" s="147"/>
      <c r="M10" s="556"/>
    </row>
    <row r="11" spans="1:13" x14ac:dyDescent="0.2">
      <c r="A11" s="197" t="s">
        <v>153</v>
      </c>
      <c r="B11" s="520">
        <f>ROUND(Dashboard!$D$42*(C11),-2)</f>
        <v>61600</v>
      </c>
      <c r="C11" s="455">
        <f t="shared" si="0"/>
        <v>7.7979835394646965E-3</v>
      </c>
      <c r="D11" s="179">
        <v>332375.08</v>
      </c>
      <c r="E11" s="520">
        <v>362691.39</v>
      </c>
      <c r="F11" s="520">
        <v>268610.49</v>
      </c>
      <c r="G11" s="520">
        <f t="shared" si="1"/>
        <v>321225.65333333332</v>
      </c>
      <c r="I11" s="147"/>
      <c r="J11" s="147"/>
      <c r="M11" s="556"/>
    </row>
    <row r="12" spans="1:13" x14ac:dyDescent="0.2">
      <c r="A12" s="190" t="s">
        <v>154</v>
      </c>
      <c r="B12" s="280">
        <f>ROUND(Dashboard!$D$42*(C12),-2)</f>
        <v>2071900</v>
      </c>
      <c r="C12" s="456">
        <f t="shared" si="0"/>
        <v>0.26229095429781418</v>
      </c>
      <c r="D12" s="280">
        <v>10888664.720000001</v>
      </c>
      <c r="E12" s="280">
        <v>11131648.779999999</v>
      </c>
      <c r="F12" s="280">
        <v>10393675.09</v>
      </c>
      <c r="G12" s="520">
        <f t="shared" si="1"/>
        <v>10804662.863333333</v>
      </c>
      <c r="I12" s="147"/>
      <c r="J12" s="147"/>
      <c r="M12" s="556"/>
    </row>
    <row r="13" spans="1:13" x14ac:dyDescent="0.2">
      <c r="A13" s="190" t="s">
        <v>155</v>
      </c>
      <c r="B13" s="532">
        <f>ROUND(Dashboard!$D$42*(C13),-2)</f>
        <v>0</v>
      </c>
      <c r="C13" s="457">
        <f t="shared" si="0"/>
        <v>0</v>
      </c>
      <c r="D13" s="1045"/>
      <c r="E13" s="1045"/>
      <c r="F13" s="1045"/>
      <c r="G13" s="1046"/>
      <c r="I13" s="147"/>
      <c r="J13" s="147"/>
      <c r="M13" s="556"/>
    </row>
    <row r="14" spans="1:13" x14ac:dyDescent="0.2">
      <c r="A14" s="197" t="s">
        <v>156</v>
      </c>
      <c r="B14" s="520">
        <f>ROUND(Dashboard!$D$42*(C14),-2)</f>
        <v>629800</v>
      </c>
      <c r="C14" s="455">
        <f t="shared" si="0"/>
        <v>7.9728131858743931E-2</v>
      </c>
      <c r="D14" s="179">
        <v>3380410.8</v>
      </c>
      <c r="E14" s="520">
        <v>3439434.08</v>
      </c>
      <c r="F14" s="520">
        <v>3032979.68</v>
      </c>
      <c r="G14" s="520">
        <f t="shared" si="1"/>
        <v>3284274.8533333335</v>
      </c>
      <c r="I14" s="147"/>
      <c r="J14" s="147"/>
      <c r="M14" s="556"/>
    </row>
    <row r="15" spans="1:13" x14ac:dyDescent="0.2">
      <c r="A15" s="190" t="s">
        <v>157</v>
      </c>
      <c r="B15" s="532">
        <f>ROUND(Dashboard!$D$42*(C15),-2)</f>
        <v>0</v>
      </c>
      <c r="C15" s="457">
        <f t="shared" si="0"/>
        <v>0</v>
      </c>
      <c r="D15" s="1045"/>
      <c r="E15" s="1045"/>
      <c r="F15" s="1045"/>
      <c r="G15" s="1046"/>
      <c r="I15" s="147"/>
      <c r="J15" s="147"/>
      <c r="M15" s="556"/>
    </row>
    <row r="16" spans="1:13" x14ac:dyDescent="0.2">
      <c r="A16" s="190" t="s">
        <v>158</v>
      </c>
      <c r="B16" s="280">
        <f>ROUND(Dashboard!$D$42*(C16),-2)</f>
        <v>0</v>
      </c>
      <c r="C16" s="457">
        <f t="shared" si="0"/>
        <v>0</v>
      </c>
      <c r="D16" s="280">
        <v>0</v>
      </c>
      <c r="E16" s="280">
        <v>0</v>
      </c>
      <c r="F16" s="280">
        <v>0</v>
      </c>
      <c r="G16" s="520">
        <f t="shared" si="1"/>
        <v>0</v>
      </c>
      <c r="I16" s="147"/>
      <c r="J16" s="147"/>
      <c r="M16" s="556"/>
    </row>
    <row r="17" spans="1:13" x14ac:dyDescent="0.2">
      <c r="A17" s="197" t="s">
        <v>159</v>
      </c>
      <c r="B17" s="520">
        <f>ROUND(Dashboard!$D$42*(C17),-2)</f>
        <v>0</v>
      </c>
      <c r="C17" s="706">
        <f t="shared" si="0"/>
        <v>0</v>
      </c>
      <c r="D17" s="179">
        <v>0</v>
      </c>
      <c r="E17" s="520">
        <v>0</v>
      </c>
      <c r="F17" s="520">
        <v>0</v>
      </c>
      <c r="G17" s="520">
        <f t="shared" si="1"/>
        <v>0</v>
      </c>
      <c r="I17" s="147"/>
      <c r="J17" s="147"/>
      <c r="M17" s="556"/>
    </row>
    <row r="18" spans="1:13" x14ac:dyDescent="0.2">
      <c r="A18" s="200" t="s">
        <v>160</v>
      </c>
      <c r="B18" s="528">
        <f>ROUND(Dashboard!$D$42*(C18),-2)</f>
        <v>0</v>
      </c>
      <c r="C18" s="457">
        <f t="shared" si="0"/>
        <v>0</v>
      </c>
      <c r="D18" s="1047"/>
      <c r="E18" s="1047"/>
      <c r="F18" s="1047"/>
      <c r="G18" s="1046"/>
      <c r="I18" s="147"/>
      <c r="J18" s="147"/>
      <c r="M18" s="556"/>
    </row>
    <row r="19" spans="1:13" x14ac:dyDescent="0.2">
      <c r="A19" s="190" t="s">
        <v>186</v>
      </c>
      <c r="B19" s="523">
        <f>ROUND(Dashboard!$D$42*(C19),-2)</f>
        <v>0</v>
      </c>
      <c r="C19" s="457">
        <f t="shared" si="0"/>
        <v>0</v>
      </c>
      <c r="D19" s="189">
        <v>0</v>
      </c>
      <c r="E19" s="523">
        <v>0</v>
      </c>
      <c r="F19" s="523">
        <v>0</v>
      </c>
      <c r="G19" s="520">
        <f t="shared" si="1"/>
        <v>0</v>
      </c>
      <c r="I19" s="147"/>
      <c r="J19" s="147"/>
      <c r="M19" s="556"/>
    </row>
    <row r="20" spans="1:13" x14ac:dyDescent="0.2">
      <c r="A20" s="207" t="s">
        <v>161</v>
      </c>
      <c r="B20" s="521">
        <f>ROUND(Dashboard!$D$42*(C20),-2)</f>
        <v>0</v>
      </c>
      <c r="C20" s="706">
        <f t="shared" si="0"/>
        <v>0</v>
      </c>
      <c r="D20" s="180">
        <v>0</v>
      </c>
      <c r="E20" s="521">
        <v>0</v>
      </c>
      <c r="F20" s="521">
        <v>0</v>
      </c>
      <c r="G20" s="520">
        <f t="shared" si="1"/>
        <v>0</v>
      </c>
      <c r="I20" s="147"/>
      <c r="J20" s="147"/>
      <c r="M20" s="556"/>
    </row>
    <row r="21" spans="1:13" x14ac:dyDescent="0.2">
      <c r="A21" s="679" t="s">
        <v>162</v>
      </c>
      <c r="B21" s="528">
        <f>ROUND(Dashboard!$D$42*(C21),-2)</f>
        <v>0</v>
      </c>
      <c r="C21" s="457">
        <f t="shared" si="0"/>
        <v>0</v>
      </c>
      <c r="D21" s="201">
        <v>0</v>
      </c>
      <c r="E21" s="528">
        <v>0</v>
      </c>
      <c r="F21" s="528">
        <v>0</v>
      </c>
      <c r="G21" s="520">
        <f t="shared" si="1"/>
        <v>0</v>
      </c>
      <c r="I21" s="147"/>
      <c r="J21" s="147"/>
      <c r="M21" s="556"/>
    </row>
    <row r="22" spans="1:13" x14ac:dyDescent="0.2">
      <c r="A22" s="190" t="s">
        <v>163</v>
      </c>
      <c r="B22" s="523">
        <f>ROUND(Dashboard!$D$42*(C22),-2)</f>
        <v>0</v>
      </c>
      <c r="C22" s="456">
        <f t="shared" si="0"/>
        <v>0</v>
      </c>
      <c r="D22" s="1048"/>
      <c r="E22" s="1048"/>
      <c r="F22" s="1048"/>
      <c r="G22" s="1046"/>
      <c r="I22" s="147"/>
      <c r="J22" s="147"/>
      <c r="M22" s="556"/>
    </row>
    <row r="23" spans="1:13" x14ac:dyDescent="0.2">
      <c r="A23" s="207" t="s">
        <v>164</v>
      </c>
      <c r="B23" s="281">
        <f>ROUND(Dashboard!$D$42*(C23),-2)</f>
        <v>806600</v>
      </c>
      <c r="C23" s="458">
        <f t="shared" si="0"/>
        <v>0.10210874965575262</v>
      </c>
      <c r="D23" s="281">
        <v>4374650.4800000004</v>
      </c>
      <c r="E23" s="281">
        <v>3767297.36</v>
      </c>
      <c r="F23" s="281">
        <v>4476679.6500000004</v>
      </c>
      <c r="G23" s="520">
        <f t="shared" si="1"/>
        <v>4206209.1633333331</v>
      </c>
      <c r="I23" s="147"/>
      <c r="J23" s="147"/>
      <c r="M23" s="556"/>
    </row>
    <row r="24" spans="1:13" x14ac:dyDescent="0.2">
      <c r="A24" s="212"/>
      <c r="B24" s="212"/>
      <c r="C24" s="212"/>
      <c r="D24" s="212"/>
      <c r="E24" s="443"/>
      <c r="F24" s="443"/>
      <c r="G24" s="212"/>
      <c r="I24" s="147"/>
      <c r="J24" s="147"/>
      <c r="M24" s="556"/>
    </row>
    <row r="25" spans="1:13" ht="16" x14ac:dyDescent="0.2">
      <c r="A25" s="190"/>
      <c r="B25" s="83"/>
      <c r="C25" s="446"/>
      <c r="D25" s="83"/>
      <c r="E25" s="444"/>
      <c r="F25" s="444"/>
      <c r="G25" s="83"/>
      <c r="I25" s="147"/>
      <c r="J25" s="147"/>
      <c r="M25" s="556"/>
    </row>
    <row r="26" spans="1:13" ht="16" x14ac:dyDescent="0.2">
      <c r="A26" s="188"/>
      <c r="C26" s="446"/>
      <c r="E26" s="445"/>
      <c r="F26" s="445"/>
      <c r="I26" s="147"/>
      <c r="J26" s="147"/>
      <c r="M26" s="556"/>
    </row>
    <row r="27" spans="1:13" x14ac:dyDescent="0.2">
      <c r="A27" s="200" t="s">
        <v>166</v>
      </c>
      <c r="B27" s="201"/>
      <c r="C27" s="457"/>
      <c r="D27" s="201"/>
      <c r="E27" s="442"/>
      <c r="F27" s="442"/>
      <c r="G27" s="201"/>
      <c r="I27" s="147"/>
      <c r="J27" s="147"/>
      <c r="M27" s="556"/>
    </row>
    <row r="28" spans="1:13" x14ac:dyDescent="0.2">
      <c r="A28" s="197" t="s">
        <v>167</v>
      </c>
      <c r="B28" s="520">
        <f>ROUND(Dashboard!$D$42*(C28),-2)</f>
        <v>0</v>
      </c>
      <c r="C28" s="455">
        <f t="shared" ref="C28:C43" si="2">G28/G$45</f>
        <v>0</v>
      </c>
      <c r="D28" s="1046"/>
      <c r="E28" s="1046"/>
      <c r="F28" s="1046"/>
      <c r="G28" s="1046"/>
      <c r="I28" s="147"/>
      <c r="J28" s="147"/>
      <c r="M28" s="556"/>
    </row>
    <row r="29" spans="1:13" x14ac:dyDescent="0.2">
      <c r="A29" s="678" t="s">
        <v>168</v>
      </c>
      <c r="B29" s="280">
        <f>ROUND(Dashboard!$D$42*(C29),-2)</f>
        <v>0</v>
      </c>
      <c r="C29" s="456">
        <f t="shared" si="2"/>
        <v>0</v>
      </c>
      <c r="D29" s="1046"/>
      <c r="E29" s="1046"/>
      <c r="F29" s="1046"/>
      <c r="G29" s="1046"/>
      <c r="I29" s="147"/>
      <c r="J29" s="147"/>
      <c r="M29" s="556"/>
    </row>
    <row r="30" spans="1:13" x14ac:dyDescent="0.2">
      <c r="A30" s="524" t="s">
        <v>169</v>
      </c>
      <c r="B30" s="280">
        <f>ROUND(Dashboard!$D$42*(C30),-2)</f>
        <v>0</v>
      </c>
      <c r="C30" s="456">
        <f t="shared" si="2"/>
        <v>0</v>
      </c>
      <c r="D30" s="1046"/>
      <c r="E30" s="1046"/>
      <c r="F30" s="1046"/>
      <c r="G30" s="1046"/>
      <c r="I30" s="147"/>
      <c r="J30" s="147"/>
      <c r="M30" s="556"/>
    </row>
    <row r="31" spans="1:13" x14ac:dyDescent="0.2">
      <c r="A31" s="197" t="s">
        <v>170</v>
      </c>
      <c r="B31" s="520">
        <f>ROUND(Dashboard!$D$42*(C31),-2)</f>
        <v>0</v>
      </c>
      <c r="C31" s="707">
        <f t="shared" si="2"/>
        <v>0</v>
      </c>
      <c r="D31" s="1046"/>
      <c r="E31" s="1046"/>
      <c r="F31" s="1046"/>
      <c r="G31" s="1046"/>
      <c r="I31" s="147"/>
      <c r="J31" s="147"/>
      <c r="M31" s="556"/>
    </row>
    <row r="32" spans="1:13" x14ac:dyDescent="0.2">
      <c r="A32" s="200" t="s">
        <v>171</v>
      </c>
      <c r="B32" s="280">
        <f>ROUND(Dashboard!$D$42*(C32),-2)</f>
        <v>0</v>
      </c>
      <c r="C32" s="456">
        <f t="shared" si="2"/>
        <v>0</v>
      </c>
      <c r="D32" s="1046"/>
      <c r="E32" s="1046"/>
      <c r="F32" s="1046"/>
      <c r="G32" s="1046"/>
      <c r="I32" s="147"/>
      <c r="J32" s="147"/>
      <c r="M32" s="556"/>
    </row>
    <row r="33" spans="1:13" s="973" customFormat="1" x14ac:dyDescent="0.2">
      <c r="A33" s="200" t="s">
        <v>682</v>
      </c>
      <c r="B33" s="280">
        <f>ROUND(Dashboard!$D$42*(C33),-2)</f>
        <v>0</v>
      </c>
      <c r="C33" s="456">
        <f t="shared" si="2"/>
        <v>0</v>
      </c>
      <c r="D33" s="1046"/>
      <c r="E33" s="1046"/>
      <c r="F33" s="1046"/>
      <c r="G33" s="1046"/>
      <c r="I33" s="147"/>
      <c r="J33" s="147"/>
      <c r="M33" s="556"/>
    </row>
    <row r="34" spans="1:13" x14ac:dyDescent="0.2">
      <c r="A34" s="524" t="s">
        <v>172</v>
      </c>
      <c r="B34" s="280">
        <f>ROUND(Dashboard!$D$42*(C34),-2)</f>
        <v>0</v>
      </c>
      <c r="C34" s="456">
        <f t="shared" si="2"/>
        <v>0</v>
      </c>
      <c r="D34" s="1046"/>
      <c r="E34" s="1046"/>
      <c r="F34" s="1046"/>
      <c r="G34" s="1046"/>
      <c r="I34" s="147"/>
      <c r="J34" s="147"/>
      <c r="M34" s="556"/>
    </row>
    <row r="35" spans="1:13" x14ac:dyDescent="0.2">
      <c r="A35" s="677" t="s">
        <v>893</v>
      </c>
      <c r="B35" s="520">
        <f>ROUND(Dashboard!$D$42*(C35),-2)</f>
        <v>0</v>
      </c>
      <c r="C35" s="455">
        <f t="shared" si="2"/>
        <v>0</v>
      </c>
      <c r="D35" s="1046"/>
      <c r="E35" s="1046"/>
      <c r="F35" s="1046"/>
      <c r="G35" s="1046"/>
      <c r="I35" s="147"/>
      <c r="J35" s="147"/>
      <c r="M35" s="556"/>
    </row>
    <row r="36" spans="1:13" x14ac:dyDescent="0.2">
      <c r="A36" s="524" t="s">
        <v>173</v>
      </c>
      <c r="B36" s="280">
        <f>ROUND(Dashboard!$D$42*(C36),-2)</f>
        <v>0</v>
      </c>
      <c r="C36" s="456">
        <f t="shared" si="2"/>
        <v>0</v>
      </c>
      <c r="D36" s="1046"/>
      <c r="E36" s="1046"/>
      <c r="F36" s="1046"/>
      <c r="G36" s="1046"/>
      <c r="I36" s="147"/>
      <c r="J36" s="147"/>
      <c r="M36" s="556"/>
    </row>
    <row r="37" spans="1:13" x14ac:dyDescent="0.2">
      <c r="A37" s="679" t="s">
        <v>894</v>
      </c>
      <c r="B37" s="532">
        <f>ROUND(Dashboard!$D$42*(C37),-2)</f>
        <v>0</v>
      </c>
      <c r="C37" s="457">
        <f t="shared" si="2"/>
        <v>0</v>
      </c>
      <c r="D37" s="1045"/>
      <c r="E37" s="1045"/>
      <c r="F37" s="1045"/>
      <c r="G37" s="1045"/>
      <c r="I37" s="147"/>
      <c r="J37" s="147"/>
      <c r="M37" s="556"/>
    </row>
    <row r="38" spans="1:13" x14ac:dyDescent="0.2">
      <c r="A38" s="197" t="s">
        <v>174</v>
      </c>
      <c r="B38" s="520">
        <f>ROUND(Dashboard!$D$42*(C38),-2)</f>
        <v>0</v>
      </c>
      <c r="C38" s="706">
        <f t="shared" si="2"/>
        <v>0</v>
      </c>
      <c r="D38" s="1046"/>
      <c r="E38" s="1046"/>
      <c r="F38" s="1046"/>
      <c r="G38" s="1046"/>
      <c r="I38" s="147"/>
      <c r="J38" s="147"/>
      <c r="M38" s="556"/>
    </row>
    <row r="39" spans="1:13" x14ac:dyDescent="0.2">
      <c r="A39" s="524" t="s">
        <v>895</v>
      </c>
      <c r="B39" s="532">
        <f>ROUND(Dashboard!$D$42*(C39),-2)</f>
        <v>0</v>
      </c>
      <c r="C39" s="457">
        <f t="shared" si="2"/>
        <v>0</v>
      </c>
      <c r="D39" s="1045"/>
      <c r="E39" s="1045"/>
      <c r="F39" s="1045"/>
      <c r="G39" s="1045"/>
      <c r="I39" s="147"/>
      <c r="J39" s="147"/>
      <c r="M39" s="556"/>
    </row>
    <row r="40" spans="1:13" x14ac:dyDescent="0.2">
      <c r="A40" s="524" t="s">
        <v>175</v>
      </c>
      <c r="B40" s="280">
        <f>ROUND(Dashboard!$D$42*(C40),-2)</f>
        <v>0</v>
      </c>
      <c r="C40" s="457">
        <f t="shared" si="2"/>
        <v>0</v>
      </c>
      <c r="D40" s="1046"/>
      <c r="E40" s="1046"/>
      <c r="F40" s="1046"/>
      <c r="G40" s="1046"/>
      <c r="I40" s="147"/>
      <c r="J40" s="147"/>
      <c r="M40" s="556"/>
    </row>
    <row r="41" spans="1:13" x14ac:dyDescent="0.2">
      <c r="A41" s="197" t="s">
        <v>176</v>
      </c>
      <c r="B41" s="520">
        <f>ROUND(Dashboard!$D$42*(C41),-2)</f>
        <v>0</v>
      </c>
      <c r="C41" s="706">
        <f t="shared" si="2"/>
        <v>0</v>
      </c>
      <c r="D41" s="1046"/>
      <c r="E41" s="1046"/>
      <c r="F41" s="1046"/>
      <c r="G41" s="1046"/>
      <c r="I41" s="147"/>
      <c r="J41" s="147"/>
      <c r="M41" s="556"/>
    </row>
    <row r="42" spans="1:13" x14ac:dyDescent="0.2">
      <c r="A42" s="524" t="s">
        <v>178</v>
      </c>
      <c r="B42" s="523">
        <f>ROUND(Dashboard!$D$42*(C42),-2)</f>
        <v>0</v>
      </c>
      <c r="C42" s="457">
        <f t="shared" si="2"/>
        <v>0</v>
      </c>
      <c r="D42" s="1048"/>
      <c r="E42" s="1048"/>
      <c r="F42" s="1048"/>
      <c r="G42" s="1048"/>
      <c r="I42" s="147"/>
      <c r="J42" s="147"/>
      <c r="M42" s="556"/>
    </row>
    <row r="43" spans="1:13" x14ac:dyDescent="0.2">
      <c r="A43" s="677" t="s">
        <v>797</v>
      </c>
      <c r="B43" s="521">
        <f>ROUND(Dashboard!$D$42*(C43),-2)</f>
        <v>0</v>
      </c>
      <c r="C43" s="706">
        <f t="shared" si="2"/>
        <v>0</v>
      </c>
      <c r="D43" s="1048"/>
      <c r="E43" s="1048"/>
      <c r="F43" s="1048"/>
      <c r="G43" s="1048"/>
      <c r="I43" s="147"/>
      <c r="J43" s="147"/>
      <c r="M43" s="556"/>
    </row>
    <row r="44" spans="1:13" x14ac:dyDescent="0.2">
      <c r="A44" s="223"/>
      <c r="B44" s="223"/>
      <c r="C44" s="459"/>
      <c r="D44" s="223"/>
      <c r="E44" s="223"/>
      <c r="F44" s="223"/>
      <c r="G44" s="223"/>
    </row>
    <row r="45" spans="1:13" ht="16" thickBot="1" x14ac:dyDescent="0.25">
      <c r="A45" s="225" t="s">
        <v>458</v>
      </c>
      <c r="B45" s="226">
        <f>SUM(B5:B44)</f>
        <v>7899300</v>
      </c>
      <c r="C45" s="460">
        <f t="shared" ref="C45:G45" si="3">SUM(C5:C44)</f>
        <v>1.0000000000000002</v>
      </c>
      <c r="D45" s="226">
        <f t="shared" si="3"/>
        <v>40511167.11999999</v>
      </c>
      <c r="E45" s="226">
        <f t="shared" si="3"/>
        <v>41205441.769999996</v>
      </c>
      <c r="F45" s="226">
        <f t="shared" si="3"/>
        <v>41863667.359999992</v>
      </c>
      <c r="G45" s="226">
        <f t="shared" si="3"/>
        <v>41193425.416666664</v>
      </c>
    </row>
    <row r="46" spans="1:13" ht="16" thickTop="1" x14ac:dyDescent="0.2">
      <c r="B46" s="229"/>
      <c r="C46" s="229"/>
      <c r="D46" s="229"/>
      <c r="E46" s="229"/>
      <c r="F46" s="229"/>
    </row>
    <row r="47" spans="1:13" s="1006" customFormat="1" x14ac:dyDescent="0.2">
      <c r="A47" s="1006" t="s">
        <v>226</v>
      </c>
      <c r="B47" s="229"/>
      <c r="C47" s="229"/>
      <c r="D47" s="229">
        <v>1328461.54</v>
      </c>
      <c r="E47" s="229">
        <v>1586604.32</v>
      </c>
      <c r="F47" s="229">
        <v>1574265.87</v>
      </c>
    </row>
    <row r="48" spans="1:13" s="1006" customFormat="1" x14ac:dyDescent="0.2">
      <c r="A48" s="1006" t="s">
        <v>904</v>
      </c>
      <c r="B48" s="229"/>
      <c r="C48" s="229"/>
      <c r="D48" s="229">
        <v>576756.32999999996</v>
      </c>
      <c r="E48" s="229">
        <v>624397.81999999995</v>
      </c>
      <c r="F48" s="229">
        <v>698567.91</v>
      </c>
    </row>
    <row r="49" spans="1:10" s="1006" customFormat="1" x14ac:dyDescent="0.2">
      <c r="A49" s="1006" t="s">
        <v>903</v>
      </c>
      <c r="B49" s="229"/>
      <c r="C49" s="229"/>
      <c r="D49" s="1039">
        <v>381674.07999999996</v>
      </c>
      <c r="E49" s="1039">
        <v>419907.07</v>
      </c>
      <c r="F49" s="1039">
        <v>463005.22</v>
      </c>
    </row>
    <row r="50" spans="1:10" x14ac:dyDescent="0.2">
      <c r="A50" t="s">
        <v>459</v>
      </c>
      <c r="B50" s="447"/>
      <c r="C50" s="447"/>
      <c r="D50" s="447">
        <v>363515.61</v>
      </c>
      <c r="E50" s="447">
        <v>400405.19</v>
      </c>
      <c r="F50" s="447">
        <v>427095.9</v>
      </c>
    </row>
    <row r="51" spans="1:10" ht="16" thickBot="1" x14ac:dyDescent="0.25">
      <c r="D51" s="226">
        <f>SUM(D45:D50)</f>
        <v>43161574.679999985</v>
      </c>
      <c r="E51" s="226">
        <f>SUM(E45:E50)</f>
        <v>44236756.169999994</v>
      </c>
      <c r="F51" s="226">
        <f>SUM(F45:F50)</f>
        <v>45026602.259999983</v>
      </c>
    </row>
    <row r="52" spans="1:10" ht="16" thickTop="1" x14ac:dyDescent="0.2">
      <c r="D52" s="448"/>
      <c r="E52" s="448"/>
      <c r="G52" s="301"/>
      <c r="H52" s="301"/>
      <c r="I52" s="449"/>
      <c r="J52" s="449"/>
    </row>
    <row r="53" spans="1:10" x14ac:dyDescent="0.2">
      <c r="D53" s="448"/>
      <c r="E53" s="448"/>
      <c r="G53" s="301"/>
      <c r="H53" s="301"/>
    </row>
    <row r="54" spans="1:10" x14ac:dyDescent="0.2">
      <c r="D54" s="448"/>
      <c r="E54" s="448"/>
      <c r="F54" s="448"/>
      <c r="G54" s="301"/>
      <c r="H54" s="301"/>
      <c r="I54" s="229"/>
      <c r="J54" s="229"/>
    </row>
    <row r="55" spans="1:10" x14ac:dyDescent="0.2">
      <c r="D55" s="448"/>
      <c r="E55" s="448"/>
      <c r="G55" s="301"/>
      <c r="H55" s="301"/>
    </row>
    <row r="56" spans="1:10" x14ac:dyDescent="0.2">
      <c r="E56" s="450"/>
    </row>
    <row r="57" spans="1:10" x14ac:dyDescent="0.2">
      <c r="E57" s="451"/>
      <c r="F57" s="697"/>
    </row>
    <row r="58" spans="1:10" x14ac:dyDescent="0.2">
      <c r="E58" s="452"/>
      <c r="F58" s="698"/>
    </row>
    <row r="59" spans="1:10" x14ac:dyDescent="0.2">
      <c r="E59" s="431"/>
    </row>
    <row r="60" spans="1:10" x14ac:dyDescent="0.2">
      <c r="E60" s="431"/>
    </row>
    <row r="61" spans="1:10" x14ac:dyDescent="0.2">
      <c r="E61" s="431"/>
    </row>
    <row r="62" spans="1:10" x14ac:dyDescent="0.2">
      <c r="E62" s="452"/>
      <c r="F62" s="698"/>
    </row>
    <row r="63" spans="1:10" x14ac:dyDescent="0.2">
      <c r="E63" s="452"/>
      <c r="F63" s="698"/>
    </row>
    <row r="64" spans="1:10" x14ac:dyDescent="0.2">
      <c r="E64" s="431"/>
    </row>
    <row r="65" spans="5:7" x14ac:dyDescent="0.2">
      <c r="E65" s="431"/>
    </row>
    <row r="66" spans="5:7" x14ac:dyDescent="0.2">
      <c r="E66" s="452"/>
      <c r="F66" s="698"/>
    </row>
    <row r="67" spans="5:7" x14ac:dyDescent="0.2">
      <c r="E67" s="431"/>
    </row>
    <row r="68" spans="5:7" x14ac:dyDescent="0.2">
      <c r="E68" s="453"/>
      <c r="F68" s="699"/>
    </row>
    <row r="69" spans="5:7" x14ac:dyDescent="0.2">
      <c r="E69" s="427"/>
    </row>
    <row r="70" spans="5:7" x14ac:dyDescent="0.2">
      <c r="E70" s="431"/>
    </row>
    <row r="71" spans="5:7" x14ac:dyDescent="0.2">
      <c r="E71" s="431"/>
    </row>
    <row r="72" spans="5:7" x14ac:dyDescent="0.2">
      <c r="E72" s="431"/>
    </row>
    <row r="73" spans="5:7" x14ac:dyDescent="0.2">
      <c r="E73" s="427"/>
    </row>
    <row r="74" spans="5:7" x14ac:dyDescent="0.2">
      <c r="G74" s="427"/>
    </row>
    <row r="75" spans="5:7" x14ac:dyDescent="0.2">
      <c r="G75" s="454"/>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BB93"/>
  <sheetViews>
    <sheetView topLeftCell="A4" workbookViewId="0">
      <selection activeCell="B46" sqref="B46:AK46"/>
    </sheetView>
  </sheetViews>
  <sheetFormatPr baseColWidth="10" defaultColWidth="8.83203125" defaultRowHeight="15" x14ac:dyDescent="0.2"/>
  <cols>
    <col min="1" max="1" width="26.1640625" bestFit="1" customWidth="1"/>
    <col min="2" max="10" width="9" bestFit="1" customWidth="1"/>
    <col min="11" max="11" width="10.6640625" customWidth="1"/>
    <col min="12" max="12" width="8.83203125" customWidth="1"/>
    <col min="13" max="13" width="10" customWidth="1"/>
    <col min="14" max="14" width="10.1640625" customWidth="1"/>
    <col min="15" max="15" width="10.83203125" customWidth="1"/>
    <col min="16" max="16" width="10.5" customWidth="1"/>
    <col min="17" max="18" width="8" bestFit="1" customWidth="1"/>
    <col min="19" max="19" width="8.5" bestFit="1" customWidth="1"/>
    <col min="20" max="28" width="9" bestFit="1" customWidth="1"/>
    <col min="29" max="31" width="8" bestFit="1" customWidth="1"/>
    <col min="32" max="34" width="9" bestFit="1" customWidth="1"/>
    <col min="35" max="37" width="8" bestFit="1" customWidth="1"/>
    <col min="38" max="38" width="7.6640625" bestFit="1" customWidth="1"/>
    <col min="39" max="46" width="8" customWidth="1"/>
    <col min="47" max="48" width="8" bestFit="1" customWidth="1"/>
    <col min="49" max="49" width="8.5" bestFit="1" customWidth="1"/>
    <col min="50" max="52" width="8" bestFit="1" customWidth="1"/>
    <col min="53" max="55" width="5.5" bestFit="1" customWidth="1"/>
  </cols>
  <sheetData>
    <row r="1" spans="1:54" x14ac:dyDescent="0.2">
      <c r="B1" s="1269" t="s">
        <v>634</v>
      </c>
      <c r="C1" s="1269"/>
      <c r="D1" s="1269"/>
      <c r="E1" s="1269"/>
      <c r="F1" s="1269"/>
      <c r="G1" s="1269"/>
      <c r="H1" s="1269"/>
      <c r="I1" s="1269"/>
      <c r="J1" s="1269"/>
      <c r="K1" s="1269"/>
      <c r="L1" s="1269"/>
      <c r="M1" s="1269"/>
      <c r="N1" s="1269"/>
      <c r="O1" s="1269"/>
      <c r="P1" s="1269"/>
      <c r="Q1" s="1269"/>
      <c r="R1" s="1269"/>
      <c r="S1" s="1269"/>
      <c r="T1" s="1269"/>
      <c r="U1" s="1269"/>
      <c r="V1" s="1269"/>
      <c r="W1" s="1269"/>
      <c r="X1" s="1269"/>
      <c r="Y1" s="1269"/>
      <c r="Z1" s="1269"/>
      <c r="AA1" s="1269"/>
      <c r="AB1" s="1269"/>
      <c r="AC1" s="1269"/>
      <c r="AD1" s="1269"/>
      <c r="AE1" s="1269"/>
      <c r="AF1" s="1269"/>
      <c r="AG1" s="1269"/>
      <c r="AH1" s="1269"/>
      <c r="AI1" s="1269"/>
      <c r="AJ1" s="1269"/>
      <c r="AK1" s="1269"/>
      <c r="AL1" s="1269"/>
      <c r="AM1" s="1269"/>
      <c r="AN1" s="1269"/>
      <c r="AO1" s="1269"/>
      <c r="AP1" s="1269"/>
      <c r="AQ1" s="1269"/>
      <c r="AR1" s="1269"/>
      <c r="AS1" s="1269"/>
      <c r="AT1" s="1269"/>
      <c r="AU1" s="1269"/>
      <c r="AV1" s="1269"/>
      <c r="AW1" s="1269"/>
      <c r="AX1" s="1269" t="s">
        <v>239</v>
      </c>
      <c r="AY1" s="1269"/>
      <c r="AZ1" s="1269"/>
    </row>
    <row r="2" spans="1:54" x14ac:dyDescent="0.2">
      <c r="A2" s="285" t="s">
        <v>635</v>
      </c>
      <c r="B2" s="1263" t="s">
        <v>561</v>
      </c>
      <c r="C2" s="1264"/>
      <c r="D2" s="1264"/>
      <c r="E2" s="1264"/>
      <c r="F2" s="1264"/>
      <c r="G2" s="1264"/>
      <c r="H2" s="1264"/>
      <c r="I2" s="1264"/>
      <c r="J2" s="1264"/>
      <c r="K2" s="1264"/>
      <c r="L2" s="1264"/>
      <c r="M2" s="1264"/>
      <c r="N2" s="1264"/>
      <c r="O2" s="1264"/>
      <c r="P2" s="1264"/>
      <c r="Q2" s="1264"/>
      <c r="R2" s="1264"/>
      <c r="S2" s="1265"/>
      <c r="T2" s="1231" t="s">
        <v>633</v>
      </c>
      <c r="U2" s="1232"/>
      <c r="V2" s="1232"/>
      <c r="W2" s="1232"/>
      <c r="X2" s="1232"/>
      <c r="Y2" s="1232"/>
      <c r="Z2" s="1232"/>
      <c r="AA2" s="1232"/>
      <c r="AB2" s="1232"/>
      <c r="AC2" s="1232"/>
      <c r="AD2" s="1232"/>
      <c r="AE2" s="1232"/>
      <c r="AF2" s="1232"/>
      <c r="AG2" s="1232"/>
      <c r="AH2" s="1232"/>
      <c r="AI2" s="1232"/>
      <c r="AJ2" s="1232"/>
      <c r="AK2" s="1233"/>
      <c r="AL2" s="1231" t="s">
        <v>562</v>
      </c>
      <c r="AM2" s="1232"/>
      <c r="AN2" s="1232"/>
      <c r="AO2" s="1232"/>
      <c r="AP2" s="1232"/>
      <c r="AQ2" s="1232"/>
      <c r="AR2" s="1232"/>
      <c r="AS2" s="1232"/>
      <c r="AT2" s="1233"/>
      <c r="AU2" s="1231" t="s">
        <v>559</v>
      </c>
      <c r="AV2" s="1232"/>
      <c r="AW2" s="1232"/>
      <c r="AX2" s="1232"/>
      <c r="AY2" s="1232"/>
      <c r="AZ2" s="1233"/>
    </row>
    <row r="3" spans="1:54" x14ac:dyDescent="0.2">
      <c r="A3" t="s">
        <v>822</v>
      </c>
      <c r="B3" s="1228" t="s">
        <v>217</v>
      </c>
      <c r="C3" s="1229"/>
      <c r="D3" s="1229"/>
      <c r="E3" s="1229"/>
      <c r="F3" s="1229"/>
      <c r="G3" s="1230"/>
      <c r="H3" s="1239" t="s">
        <v>218</v>
      </c>
      <c r="I3" s="1240"/>
      <c r="J3" s="1240"/>
      <c r="K3" s="1240"/>
      <c r="L3" s="1240"/>
      <c r="M3" s="1241"/>
      <c r="N3" s="1234" t="s">
        <v>219</v>
      </c>
      <c r="O3" s="1256"/>
      <c r="P3" s="1256"/>
      <c r="Q3" s="1256"/>
      <c r="R3" s="1256"/>
      <c r="S3" s="1235"/>
      <c r="T3" s="1228" t="s">
        <v>217</v>
      </c>
      <c r="U3" s="1229"/>
      <c r="V3" s="1229"/>
      <c r="W3" s="1229"/>
      <c r="X3" s="1229"/>
      <c r="Y3" s="1230"/>
      <c r="Z3" s="1239" t="s">
        <v>218</v>
      </c>
      <c r="AA3" s="1240"/>
      <c r="AB3" s="1240"/>
      <c r="AC3" s="1240"/>
      <c r="AD3" s="1240"/>
      <c r="AE3" s="1241"/>
      <c r="AF3" s="1234" t="s">
        <v>219</v>
      </c>
      <c r="AG3" s="1256"/>
      <c r="AH3" s="1256"/>
      <c r="AI3" s="1256"/>
      <c r="AJ3" s="1256"/>
      <c r="AK3" s="1235"/>
      <c r="AL3" s="1270" t="s">
        <v>563</v>
      </c>
      <c r="AM3" s="1271"/>
      <c r="AN3" s="1271"/>
      <c r="AO3" s="1271"/>
      <c r="AP3" s="1271"/>
      <c r="AQ3" s="1271"/>
      <c r="AR3" s="1271"/>
      <c r="AS3" s="1271"/>
      <c r="AT3" s="1272"/>
      <c r="AU3" s="1236" t="s">
        <v>235</v>
      </c>
      <c r="AV3" s="1237"/>
      <c r="AW3" s="1238"/>
      <c r="AX3" s="1276" t="s">
        <v>252</v>
      </c>
      <c r="AY3" s="1277"/>
      <c r="AZ3" s="1278"/>
    </row>
    <row r="4" spans="1:54" x14ac:dyDescent="0.2">
      <c r="B4" s="1266" t="s">
        <v>220</v>
      </c>
      <c r="C4" s="1267"/>
      <c r="D4" s="1268"/>
      <c r="E4" s="1263" t="s">
        <v>221</v>
      </c>
      <c r="F4" s="1264"/>
      <c r="G4" s="1265"/>
      <c r="H4" s="1266" t="s">
        <v>220</v>
      </c>
      <c r="I4" s="1267"/>
      <c r="J4" s="1268"/>
      <c r="K4" s="1263" t="s">
        <v>221</v>
      </c>
      <c r="L4" s="1264"/>
      <c r="M4" s="1265"/>
      <c r="N4" s="1266" t="s">
        <v>220</v>
      </c>
      <c r="O4" s="1267"/>
      <c r="P4" s="1268"/>
      <c r="Q4" s="1263" t="s">
        <v>221</v>
      </c>
      <c r="R4" s="1264"/>
      <c r="S4" s="1265"/>
      <c r="T4" s="1266" t="s">
        <v>220</v>
      </c>
      <c r="U4" s="1267"/>
      <c r="V4" s="1268"/>
      <c r="W4" s="1263" t="s">
        <v>221</v>
      </c>
      <c r="X4" s="1264"/>
      <c r="Y4" s="1265"/>
      <c r="Z4" s="1266" t="s">
        <v>220</v>
      </c>
      <c r="AA4" s="1267"/>
      <c r="AB4" s="1268"/>
      <c r="AC4" s="1263" t="s">
        <v>221</v>
      </c>
      <c r="AD4" s="1264"/>
      <c r="AE4" s="1265"/>
      <c r="AF4" s="1266" t="s">
        <v>220</v>
      </c>
      <c r="AG4" s="1267"/>
      <c r="AH4" s="1268"/>
      <c r="AI4" s="1263" t="s">
        <v>221</v>
      </c>
      <c r="AJ4" s="1264"/>
      <c r="AK4" s="1265"/>
      <c r="AL4" s="1263" t="s">
        <v>435</v>
      </c>
      <c r="AM4" s="1264"/>
      <c r="AN4" s="1265"/>
      <c r="AO4" s="1263" t="s">
        <v>218</v>
      </c>
      <c r="AP4" s="1264"/>
      <c r="AQ4" s="1265"/>
      <c r="AR4" s="1263" t="s">
        <v>560</v>
      </c>
      <c r="AS4" s="1264"/>
      <c r="AT4" s="1265"/>
      <c r="AU4" s="1273" t="s">
        <v>44</v>
      </c>
      <c r="AV4" s="1274"/>
      <c r="AW4" s="1275"/>
      <c r="AX4" s="1253" t="s">
        <v>44</v>
      </c>
      <c r="AY4" s="1254"/>
      <c r="AZ4" s="1255"/>
    </row>
    <row r="5" spans="1:54" x14ac:dyDescent="0.2">
      <c r="A5" s="286"/>
      <c r="B5" s="608">
        <v>2019</v>
      </c>
      <c r="C5" s="50">
        <v>2020</v>
      </c>
      <c r="D5" s="101">
        <v>2021</v>
      </c>
      <c r="E5" s="608">
        <v>2019</v>
      </c>
      <c r="F5" s="50">
        <v>2020</v>
      </c>
      <c r="G5" s="101">
        <v>2021</v>
      </c>
      <c r="H5" s="608">
        <v>2019</v>
      </c>
      <c r="I5" s="50">
        <v>2020</v>
      </c>
      <c r="J5" s="101">
        <v>2021</v>
      </c>
      <c r="K5" s="608">
        <v>2019</v>
      </c>
      <c r="L5" s="50">
        <v>2020</v>
      </c>
      <c r="M5" s="101">
        <v>2021</v>
      </c>
      <c r="N5" s="608">
        <v>2019</v>
      </c>
      <c r="O5" s="50">
        <v>2020</v>
      </c>
      <c r="P5" s="101">
        <v>2021</v>
      </c>
      <c r="Q5" s="608">
        <v>2019</v>
      </c>
      <c r="R5" s="50">
        <v>2020</v>
      </c>
      <c r="S5" s="101">
        <v>2021</v>
      </c>
      <c r="T5" s="608">
        <v>2019</v>
      </c>
      <c r="U5" s="50">
        <v>2020</v>
      </c>
      <c r="V5" s="101">
        <v>2021</v>
      </c>
      <c r="W5" s="608">
        <v>2019</v>
      </c>
      <c r="X5" s="50">
        <v>2020</v>
      </c>
      <c r="Y5" s="101">
        <v>2021</v>
      </c>
      <c r="Z5" s="608">
        <v>2019</v>
      </c>
      <c r="AA5" s="50">
        <v>2020</v>
      </c>
      <c r="AB5" s="101">
        <v>2021</v>
      </c>
      <c r="AC5" s="608">
        <v>2019</v>
      </c>
      <c r="AD5" s="50">
        <v>2020</v>
      </c>
      <c r="AE5" s="101">
        <v>2021</v>
      </c>
      <c r="AF5" s="608">
        <v>2019</v>
      </c>
      <c r="AG5" s="50">
        <v>2020</v>
      </c>
      <c r="AH5" s="101">
        <v>2021</v>
      </c>
      <c r="AI5" s="608">
        <v>2019</v>
      </c>
      <c r="AJ5" s="50">
        <v>2020</v>
      </c>
      <c r="AK5" s="101">
        <v>2021</v>
      </c>
      <c r="AL5" s="608">
        <v>2019</v>
      </c>
      <c r="AM5" s="50">
        <v>2020</v>
      </c>
      <c r="AN5" s="101">
        <v>2021</v>
      </c>
      <c r="AO5" s="608">
        <v>2019</v>
      </c>
      <c r="AP5" s="50">
        <v>2020</v>
      </c>
      <c r="AQ5" s="101">
        <v>2021</v>
      </c>
      <c r="AR5" s="608">
        <v>2019</v>
      </c>
      <c r="AS5" s="50">
        <v>2020</v>
      </c>
      <c r="AT5" s="101">
        <v>2021</v>
      </c>
      <c r="AU5" s="608">
        <v>2019</v>
      </c>
      <c r="AV5" s="50">
        <v>2020</v>
      </c>
      <c r="AW5" s="101">
        <v>2021</v>
      </c>
      <c r="AX5" s="608">
        <v>2019</v>
      </c>
      <c r="AY5" s="50">
        <v>2020</v>
      </c>
      <c r="AZ5" s="101">
        <v>2021</v>
      </c>
      <c r="BB5" t="s">
        <v>470</v>
      </c>
    </row>
    <row r="6" spans="1:54" x14ac:dyDescent="0.2">
      <c r="A6" t="s">
        <v>222</v>
      </c>
      <c r="B6" s="609">
        <f>+T6</f>
        <v>4250</v>
      </c>
      <c r="C6" s="610">
        <f t="shared" ref="C6:D6" si="0">+U6</f>
        <v>4513</v>
      </c>
      <c r="D6" s="614">
        <f t="shared" si="0"/>
        <v>4245</v>
      </c>
      <c r="E6" s="609">
        <f>+W6+AL6</f>
        <v>13262</v>
      </c>
      <c r="F6" s="610">
        <f t="shared" ref="F6" si="1">+X6+AM6</f>
        <v>12677.5</v>
      </c>
      <c r="G6" s="614">
        <f>+Y6+AN6</f>
        <v>10807</v>
      </c>
      <c r="H6" s="618">
        <f>+Z6</f>
        <v>15323</v>
      </c>
      <c r="I6" s="611">
        <f t="shared" ref="I6:J6" si="2">+AA6</f>
        <v>14244</v>
      </c>
      <c r="J6" s="619">
        <f t="shared" si="2"/>
        <v>13543</v>
      </c>
      <c r="K6" s="618">
        <f>+AC6+AO6</f>
        <v>7909</v>
      </c>
      <c r="L6" s="611">
        <f t="shared" ref="L6:M6" si="3">+AD6+AP6</f>
        <v>7917</v>
      </c>
      <c r="M6" s="619">
        <f t="shared" si="3"/>
        <v>7369</v>
      </c>
      <c r="N6" s="620">
        <f>+AF6</f>
        <v>10294</v>
      </c>
      <c r="O6" s="612">
        <f t="shared" ref="O6:P6" si="4">+AG6</f>
        <v>10575</v>
      </c>
      <c r="P6" s="613">
        <f t="shared" si="4"/>
        <v>11237</v>
      </c>
      <c r="Q6" s="620">
        <f>+AI6+AR6</f>
        <v>789</v>
      </c>
      <c r="R6" s="612">
        <f t="shared" ref="R6:S6" si="5">+AJ6+AS6</f>
        <v>978</v>
      </c>
      <c r="S6" s="613">
        <f t="shared" si="5"/>
        <v>1029</v>
      </c>
      <c r="T6" s="609">
        <v>4250</v>
      </c>
      <c r="U6" s="610">
        <v>4513</v>
      </c>
      <c r="V6" s="614">
        <v>4245</v>
      </c>
      <c r="W6" s="609">
        <v>8861</v>
      </c>
      <c r="X6" s="610">
        <v>8792</v>
      </c>
      <c r="Y6" s="614">
        <v>7286</v>
      </c>
      <c r="Z6" s="618">
        <v>15323</v>
      </c>
      <c r="AA6" s="611">
        <v>14244</v>
      </c>
      <c r="AB6" s="619">
        <v>13543</v>
      </c>
      <c r="AC6" s="618">
        <v>6079</v>
      </c>
      <c r="AD6" s="611">
        <v>6121</v>
      </c>
      <c r="AE6" s="619">
        <v>5656</v>
      </c>
      <c r="AF6" s="620">
        <v>10294</v>
      </c>
      <c r="AG6" s="612">
        <v>10575</v>
      </c>
      <c r="AH6" s="613">
        <v>11237</v>
      </c>
      <c r="AI6" s="620">
        <v>777</v>
      </c>
      <c r="AJ6" s="612">
        <v>972</v>
      </c>
      <c r="AK6" s="613">
        <v>1023</v>
      </c>
      <c r="AL6" s="618">
        <v>4401</v>
      </c>
      <c r="AM6" s="611">
        <v>3885.5</v>
      </c>
      <c r="AN6" s="619">
        <v>3521</v>
      </c>
      <c r="AO6" s="618">
        <v>1830</v>
      </c>
      <c r="AP6" s="611">
        <v>1796</v>
      </c>
      <c r="AQ6" s="619">
        <v>1713</v>
      </c>
      <c r="AR6" s="618">
        <v>12</v>
      </c>
      <c r="AS6" s="611">
        <v>6</v>
      </c>
      <c r="AT6" s="619">
        <v>6</v>
      </c>
      <c r="AU6" s="625">
        <v>81</v>
      </c>
      <c r="AV6" s="571">
        <v>91</v>
      </c>
      <c r="AW6" s="628">
        <v>94</v>
      </c>
      <c r="AX6" s="609">
        <v>1512</v>
      </c>
      <c r="AY6" s="610">
        <v>1426</v>
      </c>
      <c r="AZ6" s="614">
        <v>1278</v>
      </c>
      <c r="BB6" t="s">
        <v>541</v>
      </c>
    </row>
    <row r="7" spans="1:54" x14ac:dyDescent="0.2">
      <c r="A7" t="s">
        <v>223</v>
      </c>
      <c r="B7" s="609">
        <f t="shared" ref="B7:B20" si="6">+T7</f>
        <v>34071</v>
      </c>
      <c r="C7" s="610">
        <f t="shared" ref="C7:C20" si="7">+U7</f>
        <v>31716</v>
      </c>
      <c r="D7" s="614">
        <f t="shared" ref="D7:D20" si="8">+V7</f>
        <v>29478</v>
      </c>
      <c r="E7" s="609">
        <f t="shared" ref="E7:E20" si="9">+W7+AL7</f>
        <v>2493</v>
      </c>
      <c r="F7" s="610">
        <f t="shared" ref="F7:F20" si="10">+X7+AM7</f>
        <v>2441</v>
      </c>
      <c r="G7" s="614">
        <f t="shared" ref="G7:G20" si="11">+Y7+AN7</f>
        <v>2397</v>
      </c>
      <c r="H7" s="618">
        <f t="shared" ref="H7:H20" si="12">+Z7</f>
        <v>46072</v>
      </c>
      <c r="I7" s="611">
        <f t="shared" ref="I7:I20" si="13">+AA7</f>
        <v>46878</v>
      </c>
      <c r="J7" s="619">
        <f t="shared" ref="J7:J20" si="14">+AB7</f>
        <v>41683</v>
      </c>
      <c r="K7" s="618">
        <f t="shared" ref="K7:K20" si="15">+AC7+AO7</f>
        <v>6177</v>
      </c>
      <c r="L7" s="611">
        <f t="shared" ref="L7:L20" si="16">+AD7+AP7</f>
        <v>5271</v>
      </c>
      <c r="M7" s="619">
        <f t="shared" ref="M7:M20" si="17">+AE7+AQ7</f>
        <v>4629</v>
      </c>
      <c r="N7" s="620">
        <f t="shared" ref="N7:N20" si="18">+AF7</f>
        <v>3034</v>
      </c>
      <c r="O7" s="612">
        <f t="shared" ref="O7:O20" si="19">+AG7</f>
        <v>3513</v>
      </c>
      <c r="P7" s="613">
        <f t="shared" ref="P7:P20" si="20">+AH7</f>
        <v>2882</v>
      </c>
      <c r="Q7" s="620">
        <f t="shared" ref="Q7:Q20" si="21">+AI7+AR7</f>
        <v>669</v>
      </c>
      <c r="R7" s="612">
        <f t="shared" ref="R7:R20" si="22">+AJ7+AS7</f>
        <v>536</v>
      </c>
      <c r="S7" s="613">
        <f t="shared" ref="S7:S20" si="23">+AK7+AT7</f>
        <v>457</v>
      </c>
      <c r="T7" s="609">
        <v>34071</v>
      </c>
      <c r="U7" s="610">
        <v>31716</v>
      </c>
      <c r="V7" s="614">
        <v>29478</v>
      </c>
      <c r="W7" s="609">
        <v>2493</v>
      </c>
      <c r="X7" s="610">
        <v>2441</v>
      </c>
      <c r="Y7" s="614">
        <v>2397</v>
      </c>
      <c r="Z7" s="618">
        <v>46072</v>
      </c>
      <c r="AA7" s="611">
        <v>46878</v>
      </c>
      <c r="AB7" s="619">
        <v>41683</v>
      </c>
      <c r="AC7" s="618">
        <v>6177</v>
      </c>
      <c r="AD7" s="611">
        <v>5271</v>
      </c>
      <c r="AE7" s="619">
        <v>4629</v>
      </c>
      <c r="AF7" s="620">
        <v>3034</v>
      </c>
      <c r="AG7" s="612">
        <v>3513</v>
      </c>
      <c r="AH7" s="613">
        <v>2882</v>
      </c>
      <c r="AI7" s="620">
        <v>669</v>
      </c>
      <c r="AJ7" s="612">
        <v>536</v>
      </c>
      <c r="AK7" s="613">
        <v>457</v>
      </c>
      <c r="AL7" s="618">
        <v>0</v>
      </c>
      <c r="AM7" s="611">
        <v>0</v>
      </c>
      <c r="AN7" s="619"/>
      <c r="AO7" s="618">
        <v>0</v>
      </c>
      <c r="AP7" s="611">
        <v>0</v>
      </c>
      <c r="AQ7" s="619"/>
      <c r="AR7" s="618">
        <v>0</v>
      </c>
      <c r="AS7" s="611">
        <v>0</v>
      </c>
      <c r="AT7" s="619"/>
      <c r="AU7" s="625">
        <v>2025</v>
      </c>
      <c r="AV7" s="571">
        <v>1616</v>
      </c>
      <c r="AW7" s="628">
        <v>1719</v>
      </c>
      <c r="AX7" s="609">
        <v>3676</v>
      </c>
      <c r="AY7" s="610">
        <v>3028</v>
      </c>
      <c r="AZ7" s="614">
        <v>2891</v>
      </c>
    </row>
    <row r="8" spans="1:54" x14ac:dyDescent="0.2">
      <c r="A8" t="s">
        <v>224</v>
      </c>
      <c r="B8" s="609">
        <f t="shared" si="6"/>
        <v>63</v>
      </c>
      <c r="C8" s="610">
        <f t="shared" si="7"/>
        <v>9</v>
      </c>
      <c r="D8" s="614">
        <f t="shared" si="8"/>
        <v>30</v>
      </c>
      <c r="E8" s="609">
        <f t="shared" si="9"/>
        <v>2706</v>
      </c>
      <c r="F8" s="610">
        <f t="shared" si="10"/>
        <v>2286</v>
      </c>
      <c r="G8" s="614">
        <f t="shared" si="11"/>
        <v>2511</v>
      </c>
      <c r="H8" s="618">
        <f t="shared" si="12"/>
        <v>214</v>
      </c>
      <c r="I8" s="611">
        <f t="shared" si="13"/>
        <v>299</v>
      </c>
      <c r="J8" s="619">
        <f t="shared" si="14"/>
        <v>226</v>
      </c>
      <c r="K8" s="618">
        <f t="shared" si="15"/>
        <v>3744</v>
      </c>
      <c r="L8" s="611">
        <f t="shared" si="16"/>
        <v>3211</v>
      </c>
      <c r="M8" s="619">
        <f t="shared" si="17"/>
        <v>2745</v>
      </c>
      <c r="N8" s="620">
        <f t="shared" si="18"/>
        <v>907</v>
      </c>
      <c r="O8" s="612">
        <f t="shared" si="19"/>
        <v>1283</v>
      </c>
      <c r="P8" s="613">
        <f t="shared" si="20"/>
        <v>1208</v>
      </c>
      <c r="Q8" s="620">
        <f t="shared" si="21"/>
        <v>156</v>
      </c>
      <c r="R8" s="612">
        <f t="shared" si="22"/>
        <v>189</v>
      </c>
      <c r="S8" s="613">
        <f t="shared" si="23"/>
        <v>123</v>
      </c>
      <c r="T8" s="609">
        <v>63</v>
      </c>
      <c r="U8" s="610">
        <v>9</v>
      </c>
      <c r="V8" s="614">
        <v>30</v>
      </c>
      <c r="W8" s="609">
        <v>2706</v>
      </c>
      <c r="X8" s="610">
        <v>2286</v>
      </c>
      <c r="Y8" s="614">
        <v>2511</v>
      </c>
      <c r="Z8" s="618">
        <v>214</v>
      </c>
      <c r="AA8" s="611">
        <v>299</v>
      </c>
      <c r="AB8" s="619">
        <v>226</v>
      </c>
      <c r="AC8" s="618">
        <v>3744</v>
      </c>
      <c r="AD8" s="611">
        <v>3211</v>
      </c>
      <c r="AE8" s="619">
        <v>2745</v>
      </c>
      <c r="AF8" s="620">
        <v>907</v>
      </c>
      <c r="AG8" s="612">
        <v>1283</v>
      </c>
      <c r="AH8" s="613">
        <v>1208</v>
      </c>
      <c r="AI8" s="620">
        <v>156</v>
      </c>
      <c r="AJ8" s="612">
        <v>189</v>
      </c>
      <c r="AK8" s="613">
        <v>123</v>
      </c>
      <c r="AL8" s="618">
        <v>0</v>
      </c>
      <c r="AM8" s="611">
        <v>0</v>
      </c>
      <c r="AN8" s="619"/>
      <c r="AO8" s="618">
        <v>0</v>
      </c>
      <c r="AP8" s="611">
        <v>0</v>
      </c>
      <c r="AQ8" s="619"/>
      <c r="AR8" s="618">
        <v>0</v>
      </c>
      <c r="AS8" s="611">
        <v>0</v>
      </c>
      <c r="AT8" s="619"/>
      <c r="AU8" s="625">
        <v>67</v>
      </c>
      <c r="AV8" s="571">
        <v>117</v>
      </c>
      <c r="AW8" s="628">
        <v>120</v>
      </c>
      <c r="AX8" s="609">
        <v>4905</v>
      </c>
      <c r="AY8" s="610">
        <v>4740</v>
      </c>
      <c r="AZ8" s="614">
        <v>4835</v>
      </c>
    </row>
    <row r="9" spans="1:54" x14ac:dyDescent="0.2">
      <c r="A9" t="s">
        <v>225</v>
      </c>
      <c r="B9" s="609">
        <f t="shared" si="6"/>
        <v>2466</v>
      </c>
      <c r="C9" s="610">
        <f t="shared" si="7"/>
        <v>2336</v>
      </c>
      <c r="D9" s="614">
        <f t="shared" si="8"/>
        <v>2143</v>
      </c>
      <c r="E9" s="609">
        <f t="shared" si="9"/>
        <v>818</v>
      </c>
      <c r="F9" s="610">
        <f t="shared" si="10"/>
        <v>847</v>
      </c>
      <c r="G9" s="614">
        <f t="shared" si="11"/>
        <v>696</v>
      </c>
      <c r="H9" s="618">
        <f t="shared" si="12"/>
        <v>5585</v>
      </c>
      <c r="I9" s="611">
        <f t="shared" si="13"/>
        <v>5755</v>
      </c>
      <c r="J9" s="619">
        <f t="shared" si="14"/>
        <v>5413</v>
      </c>
      <c r="K9" s="618">
        <f t="shared" si="15"/>
        <v>974</v>
      </c>
      <c r="L9" s="611">
        <f t="shared" si="16"/>
        <v>1045</v>
      </c>
      <c r="M9" s="619">
        <f t="shared" si="17"/>
        <v>1018</v>
      </c>
      <c r="N9" s="620">
        <f t="shared" si="18"/>
        <v>2813</v>
      </c>
      <c r="O9" s="612">
        <f t="shared" si="19"/>
        <v>2638</v>
      </c>
      <c r="P9" s="613">
        <f t="shared" si="20"/>
        <v>2578</v>
      </c>
      <c r="Q9" s="620">
        <f t="shared" si="21"/>
        <v>465</v>
      </c>
      <c r="R9" s="612">
        <f t="shared" si="22"/>
        <v>474</v>
      </c>
      <c r="S9" s="613">
        <f t="shared" si="23"/>
        <v>401</v>
      </c>
      <c r="T9" s="609">
        <v>2466</v>
      </c>
      <c r="U9" s="610">
        <v>2336</v>
      </c>
      <c r="V9" s="614">
        <v>2143</v>
      </c>
      <c r="W9" s="609">
        <v>818</v>
      </c>
      <c r="X9" s="610">
        <v>847</v>
      </c>
      <c r="Y9" s="614">
        <v>696</v>
      </c>
      <c r="Z9" s="618">
        <v>5585</v>
      </c>
      <c r="AA9" s="611">
        <v>5755</v>
      </c>
      <c r="AB9" s="619">
        <v>5413</v>
      </c>
      <c r="AC9" s="618">
        <v>974</v>
      </c>
      <c r="AD9" s="611">
        <v>1045</v>
      </c>
      <c r="AE9" s="619">
        <v>1018</v>
      </c>
      <c r="AF9" s="620">
        <v>2813</v>
      </c>
      <c r="AG9" s="612">
        <v>2638</v>
      </c>
      <c r="AH9" s="613">
        <v>2578</v>
      </c>
      <c r="AI9" s="620">
        <v>465</v>
      </c>
      <c r="AJ9" s="612">
        <v>474</v>
      </c>
      <c r="AK9" s="613">
        <v>401</v>
      </c>
      <c r="AL9" s="618"/>
      <c r="AM9" s="611">
        <v>0</v>
      </c>
      <c r="AN9" s="619"/>
      <c r="AO9" s="618">
        <v>0</v>
      </c>
      <c r="AP9" s="611">
        <v>0</v>
      </c>
      <c r="AQ9" s="619"/>
      <c r="AR9" s="618">
        <v>0</v>
      </c>
      <c r="AS9" s="611">
        <v>0</v>
      </c>
      <c r="AT9" s="619"/>
      <c r="AU9" s="625">
        <v>0</v>
      </c>
      <c r="AV9" s="571">
        <v>0</v>
      </c>
      <c r="AW9" s="628">
        <v>0</v>
      </c>
      <c r="AX9" s="609">
        <v>1397</v>
      </c>
      <c r="AY9" s="610">
        <v>1274</v>
      </c>
      <c r="AZ9" s="614">
        <v>1593</v>
      </c>
      <c r="BB9" t="s">
        <v>443</v>
      </c>
    </row>
    <row r="10" spans="1:54" x14ac:dyDescent="0.2">
      <c r="A10" t="s">
        <v>226</v>
      </c>
      <c r="B10" s="1021"/>
      <c r="C10" s="1022"/>
      <c r="D10" s="1023"/>
      <c r="E10" s="1021"/>
      <c r="F10" s="1022"/>
      <c r="G10" s="1023"/>
      <c r="H10" s="1024"/>
      <c r="I10" s="1025"/>
      <c r="J10" s="1026"/>
      <c r="K10" s="1024"/>
      <c r="L10" s="1025"/>
      <c r="M10" s="1026"/>
      <c r="N10" s="1027"/>
      <c r="O10" s="1028"/>
      <c r="P10" s="1029"/>
      <c r="Q10" s="1027"/>
      <c r="R10" s="1028"/>
      <c r="S10" s="1029"/>
      <c r="T10" s="1021"/>
      <c r="U10" s="1022"/>
      <c r="V10" s="1023"/>
      <c r="W10" s="1021"/>
      <c r="X10" s="1022"/>
      <c r="Y10" s="1023"/>
      <c r="Z10" s="1024"/>
      <c r="AA10" s="1025"/>
      <c r="AB10" s="1026"/>
      <c r="AC10" s="1024"/>
      <c r="AD10" s="1025"/>
      <c r="AE10" s="1026"/>
      <c r="AF10" s="1027"/>
      <c r="AG10" s="1028"/>
      <c r="AH10" s="1029"/>
      <c r="AI10" s="1027"/>
      <c r="AJ10" s="1028"/>
      <c r="AK10" s="1029"/>
      <c r="AL10" s="1024"/>
      <c r="AM10" s="1025"/>
      <c r="AN10" s="1026"/>
      <c r="AO10" s="1024"/>
      <c r="AP10" s="1025"/>
      <c r="AQ10" s="1026"/>
      <c r="AR10" s="1024"/>
      <c r="AS10" s="1025"/>
      <c r="AT10" s="1026"/>
      <c r="AU10" s="1033"/>
      <c r="AV10" s="1034"/>
      <c r="AW10" s="1035"/>
      <c r="AX10" s="1021"/>
      <c r="AY10" s="1022"/>
      <c r="AZ10" s="1023"/>
      <c r="BB10" t="s">
        <v>444</v>
      </c>
    </row>
    <row r="11" spans="1:54" x14ac:dyDescent="0.2">
      <c r="A11" t="s">
        <v>227</v>
      </c>
      <c r="B11" s="609">
        <f t="shared" si="6"/>
        <v>35245</v>
      </c>
      <c r="C11" s="610">
        <f t="shared" si="7"/>
        <v>33366</v>
      </c>
      <c r="D11" s="614">
        <f t="shared" si="8"/>
        <v>30344</v>
      </c>
      <c r="E11" s="609">
        <f t="shared" si="9"/>
        <v>89202</v>
      </c>
      <c r="F11" s="610">
        <f t="shared" si="10"/>
        <v>82485.5</v>
      </c>
      <c r="G11" s="614">
        <f t="shared" si="11"/>
        <v>76233</v>
      </c>
      <c r="H11" s="618">
        <f t="shared" si="12"/>
        <v>38222</v>
      </c>
      <c r="I11" s="611">
        <f t="shared" si="13"/>
        <v>39395</v>
      </c>
      <c r="J11" s="619">
        <f t="shared" si="14"/>
        <v>39658</v>
      </c>
      <c r="K11" s="618">
        <f t="shared" si="15"/>
        <v>19929</v>
      </c>
      <c r="L11" s="611">
        <f t="shared" si="16"/>
        <v>17802</v>
      </c>
      <c r="M11" s="619">
        <f t="shared" si="17"/>
        <v>16848</v>
      </c>
      <c r="N11" s="620">
        <f t="shared" si="18"/>
        <v>14947</v>
      </c>
      <c r="O11" s="612">
        <f t="shared" si="19"/>
        <v>14392</v>
      </c>
      <c r="P11" s="613">
        <f t="shared" si="20"/>
        <v>14831</v>
      </c>
      <c r="Q11" s="620">
        <f t="shared" si="21"/>
        <v>3097</v>
      </c>
      <c r="R11" s="612">
        <f t="shared" si="22"/>
        <v>3163</v>
      </c>
      <c r="S11" s="613">
        <f t="shared" si="23"/>
        <v>2984</v>
      </c>
      <c r="T11" s="609">
        <v>35245</v>
      </c>
      <c r="U11" s="610">
        <v>33366</v>
      </c>
      <c r="V11" s="614">
        <v>30344</v>
      </c>
      <c r="W11" s="609">
        <v>93603</v>
      </c>
      <c r="X11" s="610">
        <v>86371</v>
      </c>
      <c r="Y11" s="614">
        <v>79754</v>
      </c>
      <c r="Z11" s="618">
        <v>38222</v>
      </c>
      <c r="AA11" s="611">
        <v>39395</v>
      </c>
      <c r="AB11" s="619">
        <v>39658</v>
      </c>
      <c r="AC11" s="618">
        <v>21759</v>
      </c>
      <c r="AD11" s="611">
        <v>19598</v>
      </c>
      <c r="AE11" s="619">
        <v>18561</v>
      </c>
      <c r="AF11" s="620">
        <v>14947</v>
      </c>
      <c r="AG11" s="612">
        <v>14392</v>
      </c>
      <c r="AH11" s="613">
        <v>14831</v>
      </c>
      <c r="AI11" s="620">
        <v>3109</v>
      </c>
      <c r="AJ11" s="612">
        <v>3169</v>
      </c>
      <c r="AK11" s="613">
        <v>2990</v>
      </c>
      <c r="AL11" s="618">
        <v>-4401</v>
      </c>
      <c r="AM11" s="611">
        <v>-3885.5</v>
      </c>
      <c r="AN11" s="619">
        <v>-3521</v>
      </c>
      <c r="AO11" s="618">
        <v>-1830</v>
      </c>
      <c r="AP11" s="611">
        <v>-1796</v>
      </c>
      <c r="AQ11" s="619">
        <v>-1713</v>
      </c>
      <c r="AR11" s="618">
        <v>-12</v>
      </c>
      <c r="AS11" s="611">
        <v>-6</v>
      </c>
      <c r="AT11" s="619">
        <v>-6</v>
      </c>
      <c r="AU11" s="625">
        <v>3484</v>
      </c>
      <c r="AV11" s="571">
        <v>3385</v>
      </c>
      <c r="AW11" s="628">
        <v>3645</v>
      </c>
      <c r="AX11" s="609">
        <v>5544</v>
      </c>
      <c r="AY11" s="610">
        <v>6447</v>
      </c>
      <c r="AZ11" s="614">
        <v>6644</v>
      </c>
      <c r="BB11" t="s">
        <v>445</v>
      </c>
    </row>
    <row r="12" spans="1:54" x14ac:dyDescent="0.2">
      <c r="A12" t="s">
        <v>140</v>
      </c>
      <c r="B12" s="609">
        <f t="shared" si="6"/>
        <v>0</v>
      </c>
      <c r="C12" s="610">
        <f t="shared" si="7"/>
        <v>0</v>
      </c>
      <c r="D12" s="614">
        <f t="shared" si="8"/>
        <v>0</v>
      </c>
      <c r="E12" s="609">
        <f t="shared" si="9"/>
        <v>0</v>
      </c>
      <c r="F12" s="610">
        <f t="shared" si="10"/>
        <v>0</v>
      </c>
      <c r="G12" s="614">
        <f t="shared" si="11"/>
        <v>0</v>
      </c>
      <c r="H12" s="618">
        <f t="shared" si="12"/>
        <v>0</v>
      </c>
      <c r="I12" s="611">
        <f t="shared" si="13"/>
        <v>0</v>
      </c>
      <c r="J12" s="619">
        <f t="shared" si="14"/>
        <v>4</v>
      </c>
      <c r="K12" s="618">
        <f t="shared" si="15"/>
        <v>16</v>
      </c>
      <c r="L12" s="611">
        <f t="shared" si="16"/>
        <v>16</v>
      </c>
      <c r="M12" s="619">
        <f t="shared" si="17"/>
        <v>12</v>
      </c>
      <c r="N12" s="620">
        <f t="shared" si="18"/>
        <v>2362</v>
      </c>
      <c r="O12" s="612">
        <f t="shared" si="19"/>
        <v>1839</v>
      </c>
      <c r="P12" s="613">
        <f t="shared" si="20"/>
        <v>1447</v>
      </c>
      <c r="Q12" s="620">
        <f t="shared" si="21"/>
        <v>819</v>
      </c>
      <c r="R12" s="612">
        <f t="shared" si="22"/>
        <v>436</v>
      </c>
      <c r="S12" s="613">
        <f t="shared" si="23"/>
        <v>410</v>
      </c>
      <c r="T12" s="609">
        <v>0</v>
      </c>
      <c r="U12" s="610">
        <v>0</v>
      </c>
      <c r="V12" s="614">
        <v>0</v>
      </c>
      <c r="W12" s="609">
        <v>0</v>
      </c>
      <c r="X12" s="610">
        <v>0</v>
      </c>
      <c r="Y12" s="614">
        <v>0</v>
      </c>
      <c r="Z12" s="618">
        <v>0</v>
      </c>
      <c r="AA12" s="611">
        <v>0</v>
      </c>
      <c r="AB12" s="619">
        <v>4</v>
      </c>
      <c r="AC12" s="618">
        <v>16</v>
      </c>
      <c r="AD12" s="611">
        <v>16</v>
      </c>
      <c r="AE12" s="619">
        <v>12</v>
      </c>
      <c r="AF12" s="620">
        <v>2362</v>
      </c>
      <c r="AG12" s="612">
        <v>1839</v>
      </c>
      <c r="AH12" s="613">
        <v>1447</v>
      </c>
      <c r="AI12" s="620">
        <v>819</v>
      </c>
      <c r="AJ12" s="612">
        <v>436</v>
      </c>
      <c r="AK12" s="613">
        <v>410</v>
      </c>
      <c r="AL12" s="618"/>
      <c r="AM12" s="611"/>
      <c r="AN12" s="619"/>
      <c r="AO12" s="618"/>
      <c r="AP12" s="611">
        <v>0</v>
      </c>
      <c r="AQ12" s="619"/>
      <c r="AR12" s="618"/>
      <c r="AS12" s="611"/>
      <c r="AT12" s="619"/>
      <c r="AU12" s="625">
        <v>0</v>
      </c>
      <c r="AV12" s="571">
        <v>0</v>
      </c>
      <c r="AW12" s="628">
        <v>0</v>
      </c>
      <c r="AX12" s="609">
        <v>0</v>
      </c>
      <c r="AY12" s="610">
        <v>0</v>
      </c>
      <c r="AZ12" s="614">
        <v>0</v>
      </c>
    </row>
    <row r="13" spans="1:54" x14ac:dyDescent="0.2">
      <c r="A13" t="s">
        <v>228</v>
      </c>
      <c r="B13" s="609">
        <f t="shared" si="6"/>
        <v>28073</v>
      </c>
      <c r="C13" s="610">
        <f t="shared" si="7"/>
        <v>28563</v>
      </c>
      <c r="D13" s="614">
        <f t="shared" si="8"/>
        <v>24338</v>
      </c>
      <c r="E13" s="609">
        <f t="shared" si="9"/>
        <v>70146</v>
      </c>
      <c r="F13" s="610">
        <f t="shared" si="10"/>
        <v>66870</v>
      </c>
      <c r="G13" s="614">
        <f t="shared" si="11"/>
        <v>59779</v>
      </c>
      <c r="H13" s="618">
        <f t="shared" si="12"/>
        <v>38925</v>
      </c>
      <c r="I13" s="611">
        <f t="shared" si="13"/>
        <v>35799</v>
      </c>
      <c r="J13" s="619">
        <f t="shared" si="14"/>
        <v>32237</v>
      </c>
      <c r="K13" s="618">
        <f t="shared" si="15"/>
        <v>20375</v>
      </c>
      <c r="L13" s="611">
        <f t="shared" si="16"/>
        <v>19838</v>
      </c>
      <c r="M13" s="619">
        <f t="shared" si="17"/>
        <v>20979</v>
      </c>
      <c r="N13" s="620">
        <f t="shared" si="18"/>
        <v>8595</v>
      </c>
      <c r="O13" s="612">
        <f t="shared" si="19"/>
        <v>7620</v>
      </c>
      <c r="P13" s="613">
        <f t="shared" si="20"/>
        <v>6864</v>
      </c>
      <c r="Q13" s="620">
        <f t="shared" si="21"/>
        <v>1756</v>
      </c>
      <c r="R13" s="612">
        <f t="shared" si="22"/>
        <v>2257</v>
      </c>
      <c r="S13" s="613">
        <f t="shared" si="23"/>
        <v>2170</v>
      </c>
      <c r="T13" s="609">
        <v>28073</v>
      </c>
      <c r="U13" s="610">
        <v>28563</v>
      </c>
      <c r="V13" s="614">
        <v>24338</v>
      </c>
      <c r="W13" s="609">
        <v>70146</v>
      </c>
      <c r="X13" s="610">
        <v>66870</v>
      </c>
      <c r="Y13" s="614">
        <v>59779</v>
      </c>
      <c r="Z13" s="618">
        <v>38925</v>
      </c>
      <c r="AA13" s="611">
        <v>35799</v>
      </c>
      <c r="AB13" s="619">
        <v>32237</v>
      </c>
      <c r="AC13" s="618">
        <v>20375</v>
      </c>
      <c r="AD13" s="611">
        <v>19838</v>
      </c>
      <c r="AE13" s="619">
        <v>20979</v>
      </c>
      <c r="AF13" s="620">
        <v>8595</v>
      </c>
      <c r="AG13" s="612">
        <v>7620</v>
      </c>
      <c r="AH13" s="613">
        <v>6864</v>
      </c>
      <c r="AI13" s="620">
        <v>1756</v>
      </c>
      <c r="AJ13" s="612">
        <v>2257</v>
      </c>
      <c r="AK13" s="613">
        <v>2170</v>
      </c>
      <c r="AL13" s="618"/>
      <c r="AM13" s="611"/>
      <c r="AN13" s="619"/>
      <c r="AO13" s="618"/>
      <c r="AP13" s="611"/>
      <c r="AQ13" s="619"/>
      <c r="AR13" s="618"/>
      <c r="AS13" s="611"/>
      <c r="AT13" s="619"/>
      <c r="AU13" s="625">
        <v>1368</v>
      </c>
      <c r="AV13" s="571">
        <v>1799</v>
      </c>
      <c r="AW13" s="628">
        <v>2110</v>
      </c>
      <c r="AX13" s="609">
        <v>6792</v>
      </c>
      <c r="AY13" s="610">
        <v>7446</v>
      </c>
      <c r="AZ13" s="614">
        <v>7778</v>
      </c>
    </row>
    <row r="14" spans="1:54" x14ac:dyDescent="0.2">
      <c r="A14" t="s">
        <v>229</v>
      </c>
      <c r="B14" s="1021"/>
      <c r="C14" s="1022"/>
      <c r="D14" s="1023"/>
      <c r="E14" s="1021"/>
      <c r="F14" s="1022"/>
      <c r="G14" s="1023"/>
      <c r="H14" s="1024"/>
      <c r="I14" s="1025"/>
      <c r="J14" s="1026"/>
      <c r="K14" s="1024"/>
      <c r="L14" s="1025"/>
      <c r="M14" s="1026"/>
      <c r="N14" s="1027"/>
      <c r="O14" s="1028"/>
      <c r="P14" s="1029"/>
      <c r="Q14" s="1027"/>
      <c r="R14" s="1028"/>
      <c r="S14" s="1029"/>
      <c r="T14" s="1021"/>
      <c r="U14" s="1022"/>
      <c r="V14" s="1023"/>
      <c r="W14" s="1021"/>
      <c r="X14" s="1022"/>
      <c r="Y14" s="1023"/>
      <c r="Z14" s="1024"/>
      <c r="AA14" s="1025"/>
      <c r="AB14" s="1026"/>
      <c r="AC14" s="1024"/>
      <c r="AD14" s="1025"/>
      <c r="AE14" s="1026"/>
      <c r="AF14" s="1027"/>
      <c r="AG14" s="1028"/>
      <c r="AH14" s="1029"/>
      <c r="AI14" s="1027"/>
      <c r="AJ14" s="1028"/>
      <c r="AK14" s="1029"/>
      <c r="AL14" s="1024"/>
      <c r="AM14" s="1025"/>
      <c r="AN14" s="1026"/>
      <c r="AO14" s="1024"/>
      <c r="AP14" s="1025"/>
      <c r="AQ14" s="1026"/>
      <c r="AR14" s="1024"/>
      <c r="AS14" s="1025"/>
      <c r="AT14" s="1026"/>
      <c r="AU14" s="1033"/>
      <c r="AV14" s="1034"/>
      <c r="AW14" s="1035"/>
      <c r="AX14" s="1021"/>
      <c r="AY14" s="1022"/>
      <c r="AZ14" s="1023"/>
      <c r="BB14" t="s">
        <v>542</v>
      </c>
    </row>
    <row r="15" spans="1:54" x14ac:dyDescent="0.2">
      <c r="A15" t="s">
        <v>230</v>
      </c>
      <c r="B15" s="609">
        <f t="shared" si="6"/>
        <v>33495</v>
      </c>
      <c r="C15" s="610">
        <f t="shared" si="7"/>
        <v>31667</v>
      </c>
      <c r="D15" s="614">
        <f t="shared" si="8"/>
        <v>30457</v>
      </c>
      <c r="E15" s="609">
        <f t="shared" si="9"/>
        <v>3249</v>
      </c>
      <c r="F15" s="610">
        <f t="shared" si="10"/>
        <v>2492</v>
      </c>
      <c r="G15" s="614">
        <f t="shared" si="11"/>
        <v>2419</v>
      </c>
      <c r="H15" s="618">
        <f t="shared" si="12"/>
        <v>83185</v>
      </c>
      <c r="I15" s="611">
        <f t="shared" si="13"/>
        <v>87853</v>
      </c>
      <c r="J15" s="619">
        <f t="shared" si="14"/>
        <v>87553</v>
      </c>
      <c r="K15" s="618">
        <f t="shared" si="15"/>
        <v>1510</v>
      </c>
      <c r="L15" s="611">
        <f t="shared" si="16"/>
        <v>1283</v>
      </c>
      <c r="M15" s="619">
        <f t="shared" si="17"/>
        <v>1558</v>
      </c>
      <c r="N15" s="620">
        <f t="shared" si="18"/>
        <v>32820</v>
      </c>
      <c r="O15" s="612">
        <f t="shared" si="19"/>
        <v>33945</v>
      </c>
      <c r="P15" s="613">
        <f t="shared" si="20"/>
        <v>33305</v>
      </c>
      <c r="Q15" s="620">
        <f t="shared" si="21"/>
        <v>853</v>
      </c>
      <c r="R15" s="612">
        <f t="shared" si="22"/>
        <v>794</v>
      </c>
      <c r="S15" s="613">
        <f t="shared" si="23"/>
        <v>858</v>
      </c>
      <c r="T15" s="609">
        <v>33495</v>
      </c>
      <c r="U15" s="610">
        <v>31667</v>
      </c>
      <c r="V15" s="614">
        <v>30457</v>
      </c>
      <c r="W15" s="609">
        <v>3249</v>
      </c>
      <c r="X15" s="610">
        <v>2492</v>
      </c>
      <c r="Y15" s="614">
        <v>2419</v>
      </c>
      <c r="Z15" s="618">
        <v>83185</v>
      </c>
      <c r="AA15" s="611">
        <v>87853</v>
      </c>
      <c r="AB15" s="619">
        <v>87553</v>
      </c>
      <c r="AC15" s="618">
        <v>1510</v>
      </c>
      <c r="AD15" s="611">
        <v>1283</v>
      </c>
      <c r="AE15" s="619">
        <v>1558</v>
      </c>
      <c r="AF15" s="620">
        <v>32820</v>
      </c>
      <c r="AG15" s="612">
        <v>33945</v>
      </c>
      <c r="AH15" s="613">
        <v>33305</v>
      </c>
      <c r="AI15" s="620">
        <v>853</v>
      </c>
      <c r="AJ15" s="612">
        <v>794</v>
      </c>
      <c r="AK15" s="613">
        <v>858</v>
      </c>
      <c r="AL15" s="618"/>
      <c r="AM15" s="611"/>
      <c r="AN15" s="619"/>
      <c r="AO15" s="618"/>
      <c r="AP15" s="611"/>
      <c r="AQ15" s="619"/>
      <c r="AR15" s="618"/>
      <c r="AS15" s="611"/>
      <c r="AT15" s="619"/>
      <c r="AU15" s="625">
        <v>1176</v>
      </c>
      <c r="AV15" s="571">
        <v>1086</v>
      </c>
      <c r="AW15" s="628">
        <v>1179</v>
      </c>
      <c r="AX15" s="609">
        <v>3591</v>
      </c>
      <c r="AY15" s="610">
        <v>4245</v>
      </c>
      <c r="AZ15" s="614">
        <v>4369</v>
      </c>
      <c r="BB15" t="s">
        <v>446</v>
      </c>
    </row>
    <row r="16" spans="1:54" x14ac:dyDescent="0.2">
      <c r="A16" t="s">
        <v>231</v>
      </c>
      <c r="B16" s="609">
        <f t="shared" si="6"/>
        <v>6789</v>
      </c>
      <c r="C16" s="610">
        <f t="shared" si="7"/>
        <v>6892</v>
      </c>
      <c r="D16" s="614">
        <f t="shared" si="8"/>
        <v>6067</v>
      </c>
      <c r="E16" s="609">
        <f t="shared" si="9"/>
        <v>13446</v>
      </c>
      <c r="F16" s="610">
        <f t="shared" si="10"/>
        <v>12865</v>
      </c>
      <c r="G16" s="614">
        <f t="shared" si="11"/>
        <v>10874</v>
      </c>
      <c r="H16" s="618">
        <f t="shared" si="12"/>
        <v>21118</v>
      </c>
      <c r="I16" s="611">
        <f t="shared" si="13"/>
        <v>20327</v>
      </c>
      <c r="J16" s="619">
        <f t="shared" si="14"/>
        <v>18618</v>
      </c>
      <c r="K16" s="618">
        <f t="shared" si="15"/>
        <v>3116</v>
      </c>
      <c r="L16" s="611">
        <f t="shared" si="16"/>
        <v>3122</v>
      </c>
      <c r="M16" s="619">
        <f t="shared" si="17"/>
        <v>2832</v>
      </c>
      <c r="N16" s="620">
        <f t="shared" si="18"/>
        <v>7892</v>
      </c>
      <c r="O16" s="612">
        <f t="shared" si="19"/>
        <v>7308</v>
      </c>
      <c r="P16" s="613">
        <f t="shared" si="20"/>
        <v>7301</v>
      </c>
      <c r="Q16" s="620">
        <f t="shared" si="21"/>
        <v>323</v>
      </c>
      <c r="R16" s="612">
        <f t="shared" si="22"/>
        <v>270</v>
      </c>
      <c r="S16" s="613">
        <f t="shared" si="23"/>
        <v>309</v>
      </c>
      <c r="T16" s="609">
        <v>6789</v>
      </c>
      <c r="U16" s="610">
        <v>6892</v>
      </c>
      <c r="V16" s="614">
        <v>6067</v>
      </c>
      <c r="W16" s="609">
        <v>13446</v>
      </c>
      <c r="X16" s="610">
        <v>12865</v>
      </c>
      <c r="Y16" s="614">
        <v>10874</v>
      </c>
      <c r="Z16" s="618">
        <v>21118</v>
      </c>
      <c r="AA16" s="611">
        <v>20327</v>
      </c>
      <c r="AB16" s="619">
        <v>18618</v>
      </c>
      <c r="AC16" s="618">
        <v>3116</v>
      </c>
      <c r="AD16" s="611">
        <v>3122</v>
      </c>
      <c r="AE16" s="619">
        <v>2832</v>
      </c>
      <c r="AF16" s="620">
        <v>7892</v>
      </c>
      <c r="AG16" s="612">
        <v>7308</v>
      </c>
      <c r="AH16" s="613">
        <v>7301</v>
      </c>
      <c r="AI16" s="620">
        <v>323</v>
      </c>
      <c r="AJ16" s="612">
        <v>270</v>
      </c>
      <c r="AK16" s="613">
        <v>309</v>
      </c>
      <c r="AL16" s="618"/>
      <c r="AM16" s="611"/>
      <c r="AN16" s="619"/>
      <c r="AO16" s="618"/>
      <c r="AP16" s="611"/>
      <c r="AQ16" s="619"/>
      <c r="AR16" s="618"/>
      <c r="AS16" s="611"/>
      <c r="AT16" s="619"/>
      <c r="AU16" s="625">
        <v>102</v>
      </c>
      <c r="AV16" s="571">
        <v>32</v>
      </c>
      <c r="AW16" s="628">
        <v>83</v>
      </c>
      <c r="AX16" s="609">
        <v>3836</v>
      </c>
      <c r="AY16" s="610">
        <v>3246</v>
      </c>
      <c r="AZ16" s="614">
        <v>3529</v>
      </c>
    </row>
    <row r="17" spans="1:54" x14ac:dyDescent="0.2">
      <c r="A17" t="s">
        <v>232</v>
      </c>
      <c r="B17" s="609">
        <f t="shared" si="6"/>
        <v>2144</v>
      </c>
      <c r="C17" s="610">
        <f t="shared" si="7"/>
        <v>2062</v>
      </c>
      <c r="D17" s="614">
        <f t="shared" si="8"/>
        <v>1845</v>
      </c>
      <c r="E17" s="609">
        <f t="shared" si="9"/>
        <v>6881</v>
      </c>
      <c r="F17" s="610">
        <f t="shared" si="10"/>
        <v>6812</v>
      </c>
      <c r="G17" s="614">
        <f t="shared" si="11"/>
        <v>5644</v>
      </c>
      <c r="H17" s="618">
        <f t="shared" si="12"/>
        <v>3960</v>
      </c>
      <c r="I17" s="611">
        <f t="shared" si="13"/>
        <v>4291</v>
      </c>
      <c r="J17" s="619">
        <f t="shared" si="14"/>
        <v>3893</v>
      </c>
      <c r="K17" s="618">
        <f t="shared" si="15"/>
        <v>3523</v>
      </c>
      <c r="L17" s="611">
        <f t="shared" si="16"/>
        <v>3712</v>
      </c>
      <c r="M17" s="619">
        <f t="shared" si="17"/>
        <v>3690</v>
      </c>
      <c r="N17" s="620">
        <f t="shared" si="18"/>
        <v>3719</v>
      </c>
      <c r="O17" s="612">
        <f t="shared" si="19"/>
        <v>3562</v>
      </c>
      <c r="P17" s="613">
        <f t="shared" si="20"/>
        <v>3883</v>
      </c>
      <c r="Q17" s="620">
        <f t="shared" si="21"/>
        <v>858</v>
      </c>
      <c r="R17" s="612">
        <f t="shared" si="22"/>
        <v>926</v>
      </c>
      <c r="S17" s="613">
        <f t="shared" si="23"/>
        <v>833</v>
      </c>
      <c r="T17" s="609">
        <v>2144</v>
      </c>
      <c r="U17" s="610">
        <v>2062</v>
      </c>
      <c r="V17" s="614">
        <v>1845</v>
      </c>
      <c r="W17" s="609">
        <v>6881</v>
      </c>
      <c r="X17" s="610">
        <v>6812</v>
      </c>
      <c r="Y17" s="614">
        <v>5644</v>
      </c>
      <c r="Z17" s="618">
        <v>3960</v>
      </c>
      <c r="AA17" s="611">
        <v>4291</v>
      </c>
      <c r="AB17" s="619">
        <v>3893</v>
      </c>
      <c r="AC17" s="618">
        <v>3523</v>
      </c>
      <c r="AD17" s="611">
        <v>3712</v>
      </c>
      <c r="AE17" s="619">
        <v>3690</v>
      </c>
      <c r="AF17" s="620">
        <v>3719</v>
      </c>
      <c r="AG17" s="612">
        <v>3562</v>
      </c>
      <c r="AH17" s="613">
        <v>3883</v>
      </c>
      <c r="AI17" s="620">
        <v>858</v>
      </c>
      <c r="AJ17" s="612">
        <v>926</v>
      </c>
      <c r="AK17" s="613">
        <v>833</v>
      </c>
      <c r="AL17" s="618"/>
      <c r="AM17" s="611"/>
      <c r="AN17" s="619"/>
      <c r="AO17" s="618"/>
      <c r="AP17" s="611"/>
      <c r="AQ17" s="619"/>
      <c r="AR17" s="618"/>
      <c r="AS17" s="611"/>
      <c r="AT17" s="619"/>
      <c r="AU17" s="625">
        <v>52</v>
      </c>
      <c r="AV17" s="571">
        <v>123</v>
      </c>
      <c r="AW17" s="628">
        <v>66</v>
      </c>
      <c r="AX17" s="609">
        <v>465</v>
      </c>
      <c r="AY17" s="610">
        <v>520</v>
      </c>
      <c r="AZ17" s="614">
        <v>657</v>
      </c>
      <c r="BB17" t="s">
        <v>543</v>
      </c>
    </row>
    <row r="18" spans="1:54" x14ac:dyDescent="0.2">
      <c r="A18" t="s">
        <v>233</v>
      </c>
      <c r="B18" s="1021"/>
      <c r="C18" s="1022"/>
      <c r="D18" s="1023"/>
      <c r="E18" s="1021"/>
      <c r="F18" s="1022"/>
      <c r="G18" s="1023"/>
      <c r="H18" s="1024"/>
      <c r="I18" s="1025"/>
      <c r="J18" s="1026"/>
      <c r="K18" s="1024"/>
      <c r="L18" s="1025"/>
      <c r="M18" s="1026"/>
      <c r="N18" s="1027"/>
      <c r="O18" s="1028"/>
      <c r="P18" s="1029"/>
      <c r="Q18" s="1027"/>
      <c r="R18" s="1028"/>
      <c r="S18" s="1029"/>
      <c r="T18" s="1021"/>
      <c r="U18" s="1022"/>
      <c r="V18" s="1023"/>
      <c r="W18" s="1021"/>
      <c r="X18" s="1022"/>
      <c r="Y18" s="1023"/>
      <c r="Z18" s="1024"/>
      <c r="AA18" s="1025"/>
      <c r="AB18" s="1026"/>
      <c r="AC18" s="1024"/>
      <c r="AD18" s="1025"/>
      <c r="AE18" s="1026"/>
      <c r="AF18" s="1027"/>
      <c r="AG18" s="1028"/>
      <c r="AH18" s="1029"/>
      <c r="AI18" s="1027"/>
      <c r="AJ18" s="1028"/>
      <c r="AK18" s="1029"/>
      <c r="AL18" s="1024"/>
      <c r="AM18" s="1025"/>
      <c r="AN18" s="1026"/>
      <c r="AO18" s="1024"/>
      <c r="AP18" s="1025"/>
      <c r="AQ18" s="1026"/>
      <c r="AR18" s="1024"/>
      <c r="AS18" s="1025"/>
      <c r="AT18" s="1026"/>
      <c r="AU18" s="1033"/>
      <c r="AV18" s="1034"/>
      <c r="AW18" s="1035"/>
      <c r="AX18" s="1021"/>
      <c r="AY18" s="1022"/>
      <c r="AZ18" s="1023"/>
      <c r="BB18" t="s">
        <v>468</v>
      </c>
    </row>
    <row r="19" spans="1:54" x14ac:dyDescent="0.2">
      <c r="A19" t="s">
        <v>234</v>
      </c>
      <c r="B19" s="609">
        <f t="shared" si="6"/>
        <v>0</v>
      </c>
      <c r="C19" s="610">
        <f t="shared" si="7"/>
        <v>0</v>
      </c>
      <c r="D19" s="614">
        <f t="shared" si="8"/>
        <v>0</v>
      </c>
      <c r="E19" s="609">
        <f t="shared" si="9"/>
        <v>125</v>
      </c>
      <c r="F19" s="610">
        <f t="shared" si="10"/>
        <v>0</v>
      </c>
      <c r="G19" s="614">
        <f t="shared" si="11"/>
        <v>0</v>
      </c>
      <c r="H19" s="618">
        <f t="shared" si="12"/>
        <v>0</v>
      </c>
      <c r="I19" s="611">
        <f t="shared" si="13"/>
        <v>0</v>
      </c>
      <c r="J19" s="619">
        <f t="shared" si="14"/>
        <v>0</v>
      </c>
      <c r="K19" s="618">
        <f t="shared" si="15"/>
        <v>49</v>
      </c>
      <c r="L19" s="611">
        <f t="shared" si="16"/>
        <v>0</v>
      </c>
      <c r="M19" s="619">
        <f t="shared" si="17"/>
        <v>0</v>
      </c>
      <c r="N19" s="620">
        <f t="shared" si="18"/>
        <v>0</v>
      </c>
      <c r="O19" s="612">
        <f t="shared" si="19"/>
        <v>0</v>
      </c>
      <c r="P19" s="613">
        <f t="shared" si="20"/>
        <v>0</v>
      </c>
      <c r="Q19" s="620">
        <f t="shared" si="21"/>
        <v>0</v>
      </c>
      <c r="R19" s="612">
        <f t="shared" si="22"/>
        <v>0</v>
      </c>
      <c r="S19" s="613">
        <f t="shared" si="23"/>
        <v>0</v>
      </c>
      <c r="T19" s="609">
        <v>0</v>
      </c>
      <c r="U19" s="610">
        <v>0</v>
      </c>
      <c r="V19" s="614">
        <v>0</v>
      </c>
      <c r="W19" s="609">
        <v>125</v>
      </c>
      <c r="X19" s="610">
        <v>0</v>
      </c>
      <c r="Y19" s="614">
        <v>0</v>
      </c>
      <c r="Z19" s="618">
        <v>0</v>
      </c>
      <c r="AA19" s="611">
        <v>0</v>
      </c>
      <c r="AB19" s="619">
        <v>0</v>
      </c>
      <c r="AC19" s="618">
        <v>49</v>
      </c>
      <c r="AD19" s="611">
        <v>0</v>
      </c>
      <c r="AE19" s="619">
        <v>0</v>
      </c>
      <c r="AF19" s="620">
        <v>0</v>
      </c>
      <c r="AG19" s="612">
        <v>0</v>
      </c>
      <c r="AH19" s="613">
        <v>0</v>
      </c>
      <c r="AI19" s="620">
        <v>0</v>
      </c>
      <c r="AJ19" s="612">
        <v>0</v>
      </c>
      <c r="AK19" s="613">
        <v>0</v>
      </c>
      <c r="AL19" s="618"/>
      <c r="AM19" s="611"/>
      <c r="AN19" s="619"/>
      <c r="AO19" s="618"/>
      <c r="AP19" s="611"/>
      <c r="AQ19" s="619"/>
      <c r="AR19" s="618"/>
      <c r="AS19" s="611"/>
      <c r="AT19" s="619"/>
      <c r="AU19" s="625">
        <v>0</v>
      </c>
      <c r="AV19" s="571">
        <v>0</v>
      </c>
      <c r="AW19" s="628">
        <v>0</v>
      </c>
      <c r="AX19" s="609">
        <v>0</v>
      </c>
      <c r="AY19" s="610">
        <v>0</v>
      </c>
      <c r="AZ19" s="614">
        <v>0</v>
      </c>
      <c r="BB19" t="s">
        <v>544</v>
      </c>
    </row>
    <row r="20" spans="1:54" x14ac:dyDescent="0.2">
      <c r="A20" t="s">
        <v>235</v>
      </c>
      <c r="B20" s="609">
        <f t="shared" si="6"/>
        <v>0</v>
      </c>
      <c r="C20" s="610">
        <f t="shared" si="7"/>
        <v>0</v>
      </c>
      <c r="D20" s="614">
        <f t="shared" si="8"/>
        <v>0</v>
      </c>
      <c r="E20" s="609">
        <f t="shared" si="9"/>
        <v>658</v>
      </c>
      <c r="F20" s="610">
        <f t="shared" si="10"/>
        <v>544</v>
      </c>
      <c r="G20" s="614">
        <f t="shared" si="11"/>
        <v>476</v>
      </c>
      <c r="H20" s="618">
        <f t="shared" si="12"/>
        <v>0</v>
      </c>
      <c r="I20" s="611">
        <f t="shared" si="13"/>
        <v>0</v>
      </c>
      <c r="J20" s="619">
        <f t="shared" si="14"/>
        <v>0</v>
      </c>
      <c r="K20" s="618">
        <f t="shared" si="15"/>
        <v>1896</v>
      </c>
      <c r="L20" s="611">
        <f t="shared" si="16"/>
        <v>1980</v>
      </c>
      <c r="M20" s="619">
        <f t="shared" si="17"/>
        <v>2109</v>
      </c>
      <c r="N20" s="620">
        <f t="shared" si="18"/>
        <v>0</v>
      </c>
      <c r="O20" s="612">
        <f t="shared" si="19"/>
        <v>0</v>
      </c>
      <c r="P20" s="613">
        <f t="shared" si="20"/>
        <v>0</v>
      </c>
      <c r="Q20" s="620">
        <f t="shared" si="21"/>
        <v>0</v>
      </c>
      <c r="R20" s="612">
        <f t="shared" si="22"/>
        <v>0</v>
      </c>
      <c r="S20" s="613">
        <f t="shared" si="23"/>
        <v>0</v>
      </c>
      <c r="T20" s="609">
        <v>0</v>
      </c>
      <c r="U20" s="610">
        <v>0</v>
      </c>
      <c r="V20" s="614">
        <v>0</v>
      </c>
      <c r="W20" s="609">
        <v>658</v>
      </c>
      <c r="X20" s="610">
        <v>544</v>
      </c>
      <c r="Y20" s="614">
        <v>476</v>
      </c>
      <c r="Z20" s="618">
        <v>0</v>
      </c>
      <c r="AA20" s="611">
        <v>0</v>
      </c>
      <c r="AB20" s="619">
        <v>0</v>
      </c>
      <c r="AC20" s="618">
        <v>1896</v>
      </c>
      <c r="AD20" s="611">
        <v>1980</v>
      </c>
      <c r="AE20" s="619">
        <v>2109</v>
      </c>
      <c r="AF20" s="620">
        <v>0</v>
      </c>
      <c r="AG20" s="612">
        <v>0</v>
      </c>
      <c r="AH20" s="613">
        <v>0</v>
      </c>
      <c r="AI20" s="620">
        <v>0</v>
      </c>
      <c r="AJ20" s="612">
        <v>0</v>
      </c>
      <c r="AK20" s="613">
        <v>0</v>
      </c>
      <c r="AL20" s="618"/>
      <c r="AM20" s="611"/>
      <c r="AN20" s="619"/>
      <c r="AO20" s="618"/>
      <c r="AP20" s="611"/>
      <c r="AQ20" s="619"/>
      <c r="AR20" s="618"/>
      <c r="AS20" s="611"/>
      <c r="AT20" s="619"/>
      <c r="AU20" s="625">
        <v>2554</v>
      </c>
      <c r="AV20" s="571">
        <v>2524</v>
      </c>
      <c r="AW20" s="628">
        <v>2585</v>
      </c>
      <c r="AX20" s="609">
        <v>24</v>
      </c>
      <c r="AY20" s="610">
        <v>22</v>
      </c>
      <c r="AZ20" s="614">
        <v>21</v>
      </c>
    </row>
    <row r="21" spans="1:54" x14ac:dyDescent="0.2">
      <c r="A21" t="s">
        <v>236</v>
      </c>
      <c r="B21" s="1021"/>
      <c r="C21" s="1022"/>
      <c r="D21" s="1023"/>
      <c r="E21" s="1021"/>
      <c r="F21" s="1022"/>
      <c r="G21" s="1023"/>
      <c r="H21" s="1024"/>
      <c r="I21" s="1025"/>
      <c r="J21" s="1026"/>
      <c r="K21" s="1024"/>
      <c r="L21" s="1025"/>
      <c r="M21" s="1026"/>
      <c r="N21" s="1027"/>
      <c r="O21" s="1028"/>
      <c r="P21" s="1029"/>
      <c r="Q21" s="1027"/>
      <c r="R21" s="1028"/>
      <c r="S21" s="1029"/>
      <c r="T21" s="1021"/>
      <c r="U21" s="1022"/>
      <c r="V21" s="1023"/>
      <c r="W21" s="1021"/>
      <c r="X21" s="1022"/>
      <c r="Y21" s="1023"/>
      <c r="Z21" s="1024"/>
      <c r="AA21" s="1025"/>
      <c r="AB21" s="1026"/>
      <c r="AC21" s="1024"/>
      <c r="AD21" s="1025"/>
      <c r="AE21" s="1026"/>
      <c r="AF21" s="1027"/>
      <c r="AG21" s="1028"/>
      <c r="AH21" s="1029"/>
      <c r="AI21" s="1027"/>
      <c r="AJ21" s="1028"/>
      <c r="AK21" s="1029"/>
      <c r="AL21" s="1024"/>
      <c r="AM21" s="1025"/>
      <c r="AN21" s="1026"/>
      <c r="AO21" s="1024"/>
      <c r="AP21" s="1025"/>
      <c r="AQ21" s="1026"/>
      <c r="AR21" s="1024"/>
      <c r="AS21" s="1025"/>
      <c r="AT21" s="1026"/>
      <c r="AU21" s="1033"/>
      <c r="AV21" s="1034"/>
      <c r="AW21" s="1035"/>
      <c r="AX21" s="1021"/>
      <c r="AY21" s="1022"/>
      <c r="AZ21" s="1023"/>
    </row>
    <row r="22" spans="1:54" x14ac:dyDescent="0.2">
      <c r="A22" t="s">
        <v>237</v>
      </c>
      <c r="B22" s="1008"/>
      <c r="C22" s="1009"/>
      <c r="D22" s="1010"/>
      <c r="E22" s="1008"/>
      <c r="F22" s="1009"/>
      <c r="G22" s="1010"/>
      <c r="H22" s="1011"/>
      <c r="I22" s="1012"/>
      <c r="J22" s="1013"/>
      <c r="K22" s="1011"/>
      <c r="L22" s="1012"/>
      <c r="M22" s="1013"/>
      <c r="N22" s="1014"/>
      <c r="O22" s="1015"/>
      <c r="P22" s="1016"/>
      <c r="Q22" s="1014"/>
      <c r="R22" s="1015"/>
      <c r="S22" s="1016"/>
      <c r="T22" s="1008"/>
      <c r="U22" s="1009"/>
      <c r="V22" s="1010"/>
      <c r="W22" s="1008"/>
      <c r="X22" s="1009"/>
      <c r="Y22" s="1010"/>
      <c r="Z22" s="1011"/>
      <c r="AA22" s="1012"/>
      <c r="AB22" s="1013"/>
      <c r="AC22" s="1011"/>
      <c r="AD22" s="1012"/>
      <c r="AE22" s="1013"/>
      <c r="AF22" s="1014"/>
      <c r="AG22" s="1015"/>
      <c r="AH22" s="1016"/>
      <c r="AI22" s="1014"/>
      <c r="AJ22" s="1015"/>
      <c r="AK22" s="1016"/>
      <c r="AL22" s="1011"/>
      <c r="AM22" s="1012"/>
      <c r="AN22" s="1013"/>
      <c r="AO22" s="1011"/>
      <c r="AP22" s="1012"/>
      <c r="AQ22" s="1013"/>
      <c r="AR22" s="1011"/>
      <c r="AS22" s="1012"/>
      <c r="AT22" s="1013"/>
      <c r="AU22" s="1036"/>
      <c r="AV22" s="1037"/>
      <c r="AW22" s="1038"/>
      <c r="AX22" s="1008"/>
      <c r="AY22" s="1009"/>
      <c r="AZ22" s="1010"/>
    </row>
    <row r="23" spans="1:54" ht="16" thickBot="1" x14ac:dyDescent="0.25">
      <c r="A23" t="s">
        <v>44</v>
      </c>
      <c r="B23" s="623">
        <f>SUM(B6:B22)</f>
        <v>146596</v>
      </c>
      <c r="C23" s="287">
        <f t="shared" ref="C23:D23" si="24">SUM(C6:C22)</f>
        <v>141124</v>
      </c>
      <c r="D23" s="287">
        <f t="shared" si="24"/>
        <v>128947</v>
      </c>
      <c r="E23" s="287">
        <f>SUM(E6:E22)</f>
        <v>202986</v>
      </c>
      <c r="F23" s="287">
        <f t="shared" ref="F23" si="25">SUM(F6:F22)</f>
        <v>190320</v>
      </c>
      <c r="G23" s="287">
        <f t="shared" ref="G23" si="26">SUM(G6:G22)</f>
        <v>171836</v>
      </c>
      <c r="H23" s="288">
        <f>SUM(H6:H22)</f>
        <v>252604</v>
      </c>
      <c r="I23" s="288">
        <f t="shared" ref="I23:AV23" si="27">SUM(I6:I22)</f>
        <v>254841</v>
      </c>
      <c r="J23" s="288">
        <f t="shared" si="27"/>
        <v>242828</v>
      </c>
      <c r="K23" s="288">
        <f t="shared" si="27"/>
        <v>69218</v>
      </c>
      <c r="L23" s="288">
        <f t="shared" si="27"/>
        <v>65197</v>
      </c>
      <c r="M23" s="288">
        <f t="shared" si="27"/>
        <v>63789</v>
      </c>
      <c r="N23" s="289">
        <f t="shared" si="27"/>
        <v>87383</v>
      </c>
      <c r="O23" s="289">
        <f t="shared" si="27"/>
        <v>86675</v>
      </c>
      <c r="P23" s="289">
        <f t="shared" si="27"/>
        <v>85536</v>
      </c>
      <c r="Q23" s="289">
        <f t="shared" si="27"/>
        <v>9785</v>
      </c>
      <c r="R23" s="289">
        <f t="shared" si="27"/>
        <v>10023</v>
      </c>
      <c r="S23" s="624">
        <f t="shared" si="27"/>
        <v>9574</v>
      </c>
      <c r="T23" s="623">
        <f t="shared" si="27"/>
        <v>146596</v>
      </c>
      <c r="U23" s="287">
        <f t="shared" si="27"/>
        <v>141124</v>
      </c>
      <c r="V23" s="287">
        <f>SUM(V6:V22)</f>
        <v>128947</v>
      </c>
      <c r="W23" s="287">
        <f t="shared" si="27"/>
        <v>202986</v>
      </c>
      <c r="X23" s="287">
        <f t="shared" si="27"/>
        <v>190320</v>
      </c>
      <c r="Y23" s="287">
        <f t="shared" si="27"/>
        <v>171836</v>
      </c>
      <c r="Z23" s="288">
        <f t="shared" si="27"/>
        <v>252604</v>
      </c>
      <c r="AA23" s="288">
        <f t="shared" si="27"/>
        <v>254841</v>
      </c>
      <c r="AB23" s="288">
        <f t="shared" si="27"/>
        <v>242828</v>
      </c>
      <c r="AC23" s="288">
        <f t="shared" si="27"/>
        <v>69218</v>
      </c>
      <c r="AD23" s="288">
        <f t="shared" si="27"/>
        <v>65197</v>
      </c>
      <c r="AE23" s="288">
        <f t="shared" si="27"/>
        <v>63789</v>
      </c>
      <c r="AF23" s="289">
        <f t="shared" si="27"/>
        <v>87383</v>
      </c>
      <c r="AG23" s="289">
        <f t="shared" si="27"/>
        <v>86675</v>
      </c>
      <c r="AH23" s="289">
        <f t="shared" si="27"/>
        <v>85536</v>
      </c>
      <c r="AI23" s="289">
        <f t="shared" si="27"/>
        <v>9785</v>
      </c>
      <c r="AJ23" s="289">
        <f t="shared" si="27"/>
        <v>10023</v>
      </c>
      <c r="AK23" s="624">
        <f t="shared" si="27"/>
        <v>9574</v>
      </c>
      <c r="AL23" s="288">
        <f t="shared" si="27"/>
        <v>0</v>
      </c>
      <c r="AM23" s="288">
        <f t="shared" si="27"/>
        <v>0</v>
      </c>
      <c r="AN23" s="288">
        <f t="shared" si="27"/>
        <v>0</v>
      </c>
      <c r="AO23" s="288">
        <f t="shared" si="27"/>
        <v>0</v>
      </c>
      <c r="AP23" s="288">
        <f t="shared" si="27"/>
        <v>0</v>
      </c>
      <c r="AQ23" s="288">
        <f t="shared" si="27"/>
        <v>0</v>
      </c>
      <c r="AR23" s="288">
        <f t="shared" si="27"/>
        <v>0</v>
      </c>
      <c r="AS23" s="288">
        <f t="shared" si="27"/>
        <v>0</v>
      </c>
      <c r="AT23" s="288">
        <f t="shared" si="27"/>
        <v>0</v>
      </c>
      <c r="AU23" s="299">
        <f t="shared" si="27"/>
        <v>10909</v>
      </c>
      <c r="AV23" s="299">
        <f t="shared" si="27"/>
        <v>10773</v>
      </c>
      <c r="AW23" s="299">
        <f t="shared" ref="AW23:AZ23" si="28">SUM(AW6:AW22)</f>
        <v>11601</v>
      </c>
      <c r="AX23" s="287">
        <f t="shared" si="28"/>
        <v>31742</v>
      </c>
      <c r="AY23" s="287">
        <f t="shared" si="28"/>
        <v>32394</v>
      </c>
      <c r="AZ23" s="287">
        <f t="shared" si="28"/>
        <v>33595</v>
      </c>
    </row>
    <row r="24" spans="1:54" ht="16" thickTop="1" x14ac:dyDescent="0.2">
      <c r="B24" s="147"/>
      <c r="C24" s="147"/>
      <c r="D24" s="147"/>
      <c r="E24" s="147"/>
      <c r="F24" s="147"/>
      <c r="G24" s="147"/>
      <c r="H24" s="147"/>
      <c r="I24" s="147"/>
      <c r="J24" s="147"/>
      <c r="K24" s="147"/>
      <c r="L24" s="147"/>
      <c r="M24" s="147"/>
      <c r="N24" s="147"/>
      <c r="O24" s="147"/>
      <c r="P24" s="147"/>
      <c r="Q24" s="147"/>
      <c r="R24" s="147"/>
      <c r="S24" s="147"/>
      <c r="T24" s="1252"/>
      <c r="U24" s="1252"/>
      <c r="V24" s="1252"/>
      <c r="W24" s="1252"/>
      <c r="X24" s="1252"/>
      <c r="Y24" s="1252"/>
      <c r="Z24" s="1252"/>
      <c r="AA24" s="1252"/>
      <c r="AB24" s="1252"/>
      <c r="AC24" s="1252"/>
      <c r="AD24" s="1252"/>
      <c r="AE24" s="1252"/>
      <c r="AF24" s="1252"/>
      <c r="AG24" s="1252"/>
      <c r="AH24" s="1252"/>
      <c r="AI24" s="1252"/>
      <c r="AJ24" s="1252"/>
      <c r="AK24" s="1252"/>
      <c r="AL24" s="1251" t="s">
        <v>442</v>
      </c>
      <c r="AM24" s="1251"/>
      <c r="AN24" s="1251"/>
      <c r="AO24" s="1251"/>
      <c r="AP24" s="1251"/>
      <c r="AQ24" s="1251"/>
      <c r="AR24" s="1251"/>
      <c r="AS24" s="1251"/>
      <c r="AT24" s="1251"/>
      <c r="AU24" s="1251"/>
      <c r="AV24" s="1251"/>
      <c r="AW24" s="1251"/>
      <c r="AX24" s="1251"/>
      <c r="AY24" s="1251"/>
      <c r="AZ24" s="1251"/>
    </row>
    <row r="25" spans="1:54" x14ac:dyDescent="0.2">
      <c r="A25" t="s">
        <v>238</v>
      </c>
      <c r="B25" s="147">
        <f>+T25</f>
        <v>12452</v>
      </c>
      <c r="C25" s="147">
        <f t="shared" ref="C25:D25" si="29">+U25</f>
        <v>8392</v>
      </c>
      <c r="D25" s="147">
        <f t="shared" si="29"/>
        <v>4775</v>
      </c>
      <c r="E25" s="147"/>
      <c r="F25" s="147"/>
      <c r="G25" s="147"/>
      <c r="H25" s="147"/>
      <c r="I25" s="147"/>
      <c r="J25" s="147"/>
      <c r="K25" s="147"/>
      <c r="L25" s="147"/>
      <c r="M25" s="147"/>
      <c r="N25" s="147"/>
      <c r="O25" s="147"/>
      <c r="P25" s="147"/>
      <c r="Q25" s="147"/>
      <c r="R25" s="147"/>
      <c r="S25" s="147"/>
      <c r="T25" s="147">
        <v>12452</v>
      </c>
      <c r="U25" s="147">
        <v>8392</v>
      </c>
      <c r="V25" s="147">
        <v>4775</v>
      </c>
      <c r="W25" s="147"/>
      <c r="X25" s="147"/>
      <c r="Y25" s="147"/>
      <c r="Z25" s="147"/>
      <c r="AA25" s="147"/>
      <c r="AB25" s="147"/>
      <c r="AC25" s="147"/>
      <c r="AD25" s="147"/>
      <c r="AE25" s="147"/>
      <c r="AF25" s="147"/>
      <c r="AG25" s="147"/>
      <c r="AH25" s="147"/>
      <c r="AI25" s="147"/>
      <c r="AJ25" s="147"/>
      <c r="AK25" s="147"/>
      <c r="AL25" s="1279"/>
      <c r="AM25" s="1279"/>
      <c r="AN25" s="1279"/>
      <c r="AO25" s="1279"/>
      <c r="AP25" s="1279"/>
      <c r="AQ25" s="1279"/>
      <c r="AR25" s="1279"/>
      <c r="AS25" s="1279"/>
      <c r="AT25" s="1279"/>
      <c r="AU25" s="543">
        <v>75</v>
      </c>
      <c r="AV25" s="543">
        <v>60</v>
      </c>
      <c r="AW25" s="543">
        <v>56</v>
      </c>
      <c r="AX25" s="544">
        <v>307</v>
      </c>
      <c r="AY25" s="544">
        <v>221</v>
      </c>
      <c r="AZ25" s="544">
        <v>151</v>
      </c>
    </row>
    <row r="26" spans="1:54" x14ac:dyDescent="0.2">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554"/>
      <c r="AM26" s="554"/>
      <c r="AN26" s="554"/>
      <c r="AO26" s="554"/>
      <c r="AP26" s="554"/>
      <c r="AQ26" s="554"/>
      <c r="AR26" s="554"/>
      <c r="AS26" s="554"/>
      <c r="AT26" s="554"/>
      <c r="AU26" s="543"/>
      <c r="AV26" s="543"/>
      <c r="AW26" s="543"/>
      <c r="AX26" s="544">
        <f>+AX23+AX25</f>
        <v>32049</v>
      </c>
      <c r="AY26" s="544">
        <f t="shared" ref="AY26:AZ26" si="30">+AY23+AY25</f>
        <v>32615</v>
      </c>
      <c r="AZ26" s="544">
        <f t="shared" si="30"/>
        <v>33746</v>
      </c>
    </row>
    <row r="27" spans="1:54" s="291" customFormat="1" x14ac:dyDescent="0.2">
      <c r="T27" s="722"/>
      <c r="U27" s="722"/>
      <c r="V27" s="722"/>
    </row>
    <row r="28" spans="1:54" s="50" customFormat="1" x14ac:dyDescent="0.2"/>
    <row r="29" spans="1:54" x14ac:dyDescent="0.2">
      <c r="A29" s="669" t="s">
        <v>823</v>
      </c>
      <c r="B29" s="1257" t="s">
        <v>240</v>
      </c>
      <c r="C29" s="1258"/>
      <c r="D29" s="1258"/>
      <c r="E29" s="1258"/>
      <c r="F29" s="1258"/>
      <c r="G29" s="1258"/>
      <c r="H29" s="1258"/>
      <c r="I29" s="1258"/>
      <c r="J29" s="1258"/>
      <c r="K29" s="1258"/>
      <c r="L29" s="1258"/>
      <c r="M29" s="1258"/>
      <c r="N29" s="1258"/>
      <c r="O29" s="1258"/>
      <c r="P29" s="1258"/>
      <c r="Q29" s="1258"/>
      <c r="R29" s="1258"/>
      <c r="S29" s="1259"/>
      <c r="T29" s="1257" t="s">
        <v>449</v>
      </c>
      <c r="U29" s="1258"/>
      <c r="V29" s="1258"/>
      <c r="W29" s="1258"/>
      <c r="X29" s="1258"/>
      <c r="Y29" s="1258"/>
      <c r="Z29" s="1258"/>
      <c r="AA29" s="1258"/>
      <c r="AB29" s="1259"/>
      <c r="AC29" s="1257" t="s">
        <v>247</v>
      </c>
      <c r="AD29" s="1258"/>
      <c r="AE29" s="1258"/>
      <c r="AF29" s="1258"/>
      <c r="AG29" s="1258"/>
      <c r="AH29" s="1258"/>
      <c r="AI29" s="1258"/>
      <c r="AJ29" s="1258"/>
      <c r="AK29" s="1259"/>
    </row>
    <row r="30" spans="1:54" x14ac:dyDescent="0.2">
      <c r="B30" s="1260" t="s">
        <v>241</v>
      </c>
      <c r="C30" s="1261"/>
      <c r="D30" s="1261"/>
      <c r="E30" s="1261"/>
      <c r="F30" s="1261"/>
      <c r="G30" s="1261"/>
      <c r="H30" s="1261"/>
      <c r="I30" s="1261"/>
      <c r="J30" s="1261"/>
      <c r="K30" s="1261"/>
      <c r="L30" s="1261"/>
      <c r="M30" s="1261"/>
      <c r="N30" s="1261"/>
      <c r="O30" s="1261"/>
      <c r="P30" s="1261"/>
      <c r="Q30" s="1261"/>
      <c r="R30" s="1261"/>
      <c r="S30" s="1262"/>
      <c r="T30" s="1260" t="s">
        <v>453</v>
      </c>
      <c r="U30" s="1261"/>
      <c r="V30" s="1261"/>
      <c r="W30" s="1261"/>
      <c r="X30" s="1261"/>
      <c r="Y30" s="1261"/>
      <c r="Z30" s="1261"/>
      <c r="AA30" s="1261"/>
      <c r="AB30" s="1262"/>
      <c r="AC30" s="1260" t="s">
        <v>241</v>
      </c>
      <c r="AD30" s="1261"/>
      <c r="AE30" s="1261"/>
      <c r="AF30" s="1261"/>
      <c r="AG30" s="1261"/>
      <c r="AH30" s="1261"/>
      <c r="AI30" s="1261"/>
      <c r="AJ30" s="1261"/>
      <c r="AK30" s="1262"/>
    </row>
    <row r="31" spans="1:54" x14ac:dyDescent="0.2">
      <c r="B31" s="1228"/>
      <c r="C31" s="1229"/>
      <c r="D31" s="1230"/>
      <c r="E31" s="1239"/>
      <c r="F31" s="1240"/>
      <c r="G31" s="1241"/>
      <c r="H31" s="1234"/>
      <c r="I31" s="1256"/>
      <c r="J31" s="1235"/>
      <c r="K31" s="1239"/>
      <c r="L31" s="1240"/>
      <c r="M31" s="1241"/>
      <c r="N31" s="1228"/>
      <c r="O31" s="1229"/>
      <c r="P31" s="1230"/>
      <c r="Q31" s="1239"/>
      <c r="R31" s="1240"/>
      <c r="S31" s="1241"/>
      <c r="T31" s="673"/>
      <c r="U31" s="674"/>
      <c r="V31" s="675"/>
      <c r="W31" s="673"/>
      <c r="X31" s="674"/>
      <c r="Y31" s="675"/>
      <c r="Z31" s="673"/>
      <c r="AA31" s="674"/>
      <c r="AB31" s="675"/>
      <c r="AC31" s="1228"/>
      <c r="AD31" s="1229"/>
      <c r="AE31" s="1230"/>
      <c r="AF31" s="1239"/>
      <c r="AG31" s="1240"/>
      <c r="AH31" s="1241"/>
      <c r="AI31" s="1234"/>
      <c r="AJ31" s="1256"/>
      <c r="AK31" s="1235"/>
    </row>
    <row r="32" spans="1:54" x14ac:dyDescent="0.2">
      <c r="B32" s="1253" t="s">
        <v>242</v>
      </c>
      <c r="C32" s="1254"/>
      <c r="D32" s="1255"/>
      <c r="E32" s="1253" t="s">
        <v>243</v>
      </c>
      <c r="F32" s="1254"/>
      <c r="G32" s="1255"/>
      <c r="H32" s="1253" t="s">
        <v>244</v>
      </c>
      <c r="I32" s="1254"/>
      <c r="J32" s="1255"/>
      <c r="K32" s="1253" t="s">
        <v>245</v>
      </c>
      <c r="L32" s="1254"/>
      <c r="M32" s="1255"/>
      <c r="N32" s="1253" t="s">
        <v>246</v>
      </c>
      <c r="O32" s="1254"/>
      <c r="P32" s="1255"/>
      <c r="Q32" s="1253" t="s">
        <v>254</v>
      </c>
      <c r="R32" s="1254"/>
      <c r="S32" s="1255"/>
      <c r="T32" s="1253" t="s">
        <v>450</v>
      </c>
      <c r="U32" s="1254"/>
      <c r="V32" s="1255"/>
      <c r="W32" s="1253" t="s">
        <v>451</v>
      </c>
      <c r="X32" s="1254"/>
      <c r="Y32" s="1255"/>
      <c r="Z32" s="1253" t="s">
        <v>452</v>
      </c>
      <c r="AA32" s="1254"/>
      <c r="AB32" s="1255"/>
      <c r="AC32" s="1253" t="s">
        <v>248</v>
      </c>
      <c r="AD32" s="1254"/>
      <c r="AE32" s="1255"/>
      <c r="AF32" s="1253" t="s">
        <v>249</v>
      </c>
      <c r="AG32" s="1254"/>
      <c r="AH32" s="1255"/>
      <c r="AI32" s="1253" t="s">
        <v>640</v>
      </c>
      <c r="AJ32" s="1254"/>
      <c r="AK32" s="1255"/>
    </row>
    <row r="33" spans="1:37" x14ac:dyDescent="0.2">
      <c r="A33" s="286"/>
      <c r="B33" s="608">
        <v>2019</v>
      </c>
      <c r="C33" s="50">
        <v>2020</v>
      </c>
      <c r="D33" s="101">
        <v>2021</v>
      </c>
      <c r="E33" s="608">
        <v>2019</v>
      </c>
      <c r="F33" s="50">
        <v>2020</v>
      </c>
      <c r="G33" s="101">
        <v>2021</v>
      </c>
      <c r="H33" s="608">
        <v>2019</v>
      </c>
      <c r="I33" s="50">
        <v>2020</v>
      </c>
      <c r="J33" s="101">
        <v>2021</v>
      </c>
      <c r="K33" s="608">
        <v>2019</v>
      </c>
      <c r="L33" s="50">
        <v>2020</v>
      </c>
      <c r="M33" s="101">
        <v>2021</v>
      </c>
      <c r="N33" s="608">
        <v>2019</v>
      </c>
      <c r="O33" s="50">
        <v>2020</v>
      </c>
      <c r="P33" s="101">
        <v>2021</v>
      </c>
      <c r="Q33" s="608">
        <v>2019</v>
      </c>
      <c r="R33" s="50">
        <v>2020</v>
      </c>
      <c r="S33" s="101">
        <v>2021</v>
      </c>
      <c r="T33" s="608">
        <v>2019</v>
      </c>
      <c r="U33" s="50">
        <v>2020</v>
      </c>
      <c r="V33" s="101">
        <v>2021</v>
      </c>
      <c r="W33" s="608">
        <v>2019</v>
      </c>
      <c r="X33" s="50">
        <v>2020</v>
      </c>
      <c r="Y33" s="101">
        <v>2021</v>
      </c>
      <c r="Z33" s="608">
        <v>2019</v>
      </c>
      <c r="AA33" s="50">
        <v>2020</v>
      </c>
      <c r="AB33" s="101">
        <v>2021</v>
      </c>
      <c r="AC33" s="608">
        <v>2019</v>
      </c>
      <c r="AD33" s="50">
        <v>2020</v>
      </c>
      <c r="AE33" s="101">
        <v>2021</v>
      </c>
      <c r="AF33" s="608">
        <v>2019</v>
      </c>
      <c r="AG33" s="50">
        <v>2020</v>
      </c>
      <c r="AH33" s="101">
        <v>2021</v>
      </c>
      <c r="AI33" s="608">
        <v>2019</v>
      </c>
      <c r="AJ33" s="50">
        <v>2020</v>
      </c>
      <c r="AK33" s="101">
        <v>2021</v>
      </c>
    </row>
    <row r="34" spans="1:37" x14ac:dyDescent="0.2">
      <c r="A34" t="s">
        <v>222</v>
      </c>
      <c r="B34" s="609">
        <v>516</v>
      </c>
      <c r="C34" s="610">
        <v>379</v>
      </c>
      <c r="D34" s="614">
        <v>434</v>
      </c>
      <c r="E34" s="618">
        <v>40</v>
      </c>
      <c r="F34" s="611">
        <v>36</v>
      </c>
      <c r="G34" s="619">
        <v>21</v>
      </c>
      <c r="H34" s="620">
        <v>60</v>
      </c>
      <c r="I34" s="612">
        <v>74</v>
      </c>
      <c r="J34" s="613">
        <v>65</v>
      </c>
      <c r="K34" s="618">
        <v>31</v>
      </c>
      <c r="L34" s="611">
        <v>50</v>
      </c>
      <c r="M34" s="619">
        <v>76</v>
      </c>
      <c r="N34" s="609">
        <v>6</v>
      </c>
      <c r="O34" s="610">
        <v>6</v>
      </c>
      <c r="P34" s="614">
        <v>7</v>
      </c>
      <c r="Q34" s="717">
        <v>93</v>
      </c>
      <c r="R34" s="717">
        <v>97</v>
      </c>
      <c r="S34" s="619">
        <v>102</v>
      </c>
      <c r="T34" s="620">
        <v>2</v>
      </c>
      <c r="U34" s="612">
        <v>4</v>
      </c>
      <c r="V34" s="613">
        <v>4</v>
      </c>
      <c r="W34" s="620">
        <v>5</v>
      </c>
      <c r="X34" s="612">
        <v>9</v>
      </c>
      <c r="Y34" s="613">
        <v>2.5</v>
      </c>
      <c r="Z34" s="672"/>
      <c r="AA34" s="670"/>
      <c r="AB34" s="671"/>
      <c r="AC34" s="609">
        <v>31</v>
      </c>
      <c r="AD34" s="610">
        <v>37</v>
      </c>
      <c r="AE34" s="614">
        <v>23</v>
      </c>
      <c r="AF34" s="618">
        <v>249</v>
      </c>
      <c r="AG34" s="611">
        <v>179</v>
      </c>
      <c r="AH34" s="619">
        <v>191</v>
      </c>
      <c r="AI34" s="620">
        <v>94</v>
      </c>
      <c r="AJ34" s="612">
        <v>72</v>
      </c>
      <c r="AK34" s="613">
        <v>70</v>
      </c>
    </row>
    <row r="35" spans="1:37" x14ac:dyDescent="0.2">
      <c r="A35" t="s">
        <v>223</v>
      </c>
      <c r="B35" s="609">
        <v>1016</v>
      </c>
      <c r="C35" s="610">
        <v>910</v>
      </c>
      <c r="D35" s="614">
        <v>1051</v>
      </c>
      <c r="E35" s="618">
        <v>5</v>
      </c>
      <c r="F35" s="611">
        <v>2</v>
      </c>
      <c r="G35" s="619">
        <v>1</v>
      </c>
      <c r="H35" s="620">
        <v>63</v>
      </c>
      <c r="I35" s="612">
        <v>123</v>
      </c>
      <c r="J35" s="613">
        <v>140</v>
      </c>
      <c r="K35" s="618">
        <v>3</v>
      </c>
      <c r="L35" s="611">
        <v>4</v>
      </c>
      <c r="M35" s="619">
        <v>10</v>
      </c>
      <c r="N35" s="609">
        <v>2</v>
      </c>
      <c r="O35" s="610">
        <v>0</v>
      </c>
      <c r="P35" s="614">
        <v>0</v>
      </c>
      <c r="Q35" s="717">
        <v>241</v>
      </c>
      <c r="R35" s="717">
        <v>213</v>
      </c>
      <c r="S35" s="619">
        <v>197</v>
      </c>
      <c r="T35" s="620">
        <v>0</v>
      </c>
      <c r="U35" s="612">
        <v>0</v>
      </c>
      <c r="V35" s="613">
        <v>0</v>
      </c>
      <c r="W35" s="620">
        <v>0</v>
      </c>
      <c r="X35" s="612">
        <v>0</v>
      </c>
      <c r="Y35" s="613">
        <v>0</v>
      </c>
      <c r="Z35" s="672"/>
      <c r="AA35" s="670"/>
      <c r="AB35" s="671"/>
      <c r="AC35" s="609">
        <v>249</v>
      </c>
      <c r="AD35" s="610">
        <v>226</v>
      </c>
      <c r="AE35" s="614">
        <v>267</v>
      </c>
      <c r="AF35" s="618">
        <v>288</v>
      </c>
      <c r="AG35" s="611">
        <v>239</v>
      </c>
      <c r="AH35" s="619">
        <v>274</v>
      </c>
      <c r="AI35" s="620">
        <v>185</v>
      </c>
      <c r="AJ35" s="612">
        <v>181</v>
      </c>
      <c r="AK35" s="613">
        <v>223</v>
      </c>
    </row>
    <row r="36" spans="1:37" x14ac:dyDescent="0.2">
      <c r="A36" t="s">
        <v>224</v>
      </c>
      <c r="B36" s="609">
        <v>75</v>
      </c>
      <c r="C36" s="610">
        <v>88</v>
      </c>
      <c r="D36" s="614">
        <v>75</v>
      </c>
      <c r="E36" s="618">
        <v>23</v>
      </c>
      <c r="F36" s="611">
        <v>28</v>
      </c>
      <c r="G36" s="619">
        <v>23</v>
      </c>
      <c r="H36" s="620">
        <v>47</v>
      </c>
      <c r="I36" s="612">
        <v>61</v>
      </c>
      <c r="J36" s="613">
        <v>75</v>
      </c>
      <c r="K36" s="618">
        <v>0</v>
      </c>
      <c r="L36" s="611">
        <v>0</v>
      </c>
      <c r="M36" s="619">
        <v>25</v>
      </c>
      <c r="N36" s="609">
        <v>0</v>
      </c>
      <c r="O36" s="610">
        <v>0</v>
      </c>
      <c r="P36" s="614">
        <v>0</v>
      </c>
      <c r="Q36" s="717">
        <v>29</v>
      </c>
      <c r="R36" s="717">
        <v>33</v>
      </c>
      <c r="S36" s="619">
        <v>39</v>
      </c>
      <c r="T36" s="620">
        <v>0</v>
      </c>
      <c r="U36" s="612">
        <v>1</v>
      </c>
      <c r="V36" s="613">
        <v>0</v>
      </c>
      <c r="W36" s="620">
        <v>3</v>
      </c>
      <c r="X36" s="612">
        <v>1</v>
      </c>
      <c r="Y36" s="613">
        <v>0</v>
      </c>
      <c r="Z36" s="672"/>
      <c r="AA36" s="670"/>
      <c r="AB36" s="671"/>
      <c r="AC36" s="609">
        <v>1</v>
      </c>
      <c r="AD36" s="610">
        <v>2</v>
      </c>
      <c r="AE36" s="614">
        <v>0</v>
      </c>
      <c r="AF36" s="618">
        <v>37</v>
      </c>
      <c r="AG36" s="611">
        <v>44</v>
      </c>
      <c r="AH36" s="619">
        <v>41</v>
      </c>
      <c r="AI36" s="620">
        <v>15</v>
      </c>
      <c r="AJ36" s="612">
        <v>33</v>
      </c>
      <c r="AK36" s="613">
        <v>31</v>
      </c>
    </row>
    <row r="37" spans="1:37" x14ac:dyDescent="0.2">
      <c r="A37" t="s">
        <v>225</v>
      </c>
      <c r="B37" s="609">
        <v>176</v>
      </c>
      <c r="C37" s="610">
        <v>201</v>
      </c>
      <c r="D37" s="614">
        <v>198</v>
      </c>
      <c r="E37" s="618">
        <v>16</v>
      </c>
      <c r="F37" s="611">
        <v>9</v>
      </c>
      <c r="G37" s="619">
        <v>10</v>
      </c>
      <c r="H37" s="620">
        <v>65</v>
      </c>
      <c r="I37" s="612">
        <v>59</v>
      </c>
      <c r="J37" s="613">
        <v>54</v>
      </c>
      <c r="K37" s="618">
        <v>21</v>
      </c>
      <c r="L37" s="611">
        <v>16</v>
      </c>
      <c r="M37" s="619">
        <v>31</v>
      </c>
      <c r="N37" s="609">
        <v>1</v>
      </c>
      <c r="O37" s="610">
        <v>1</v>
      </c>
      <c r="P37" s="614">
        <v>1</v>
      </c>
      <c r="Q37" s="717">
        <v>9</v>
      </c>
      <c r="R37" s="717">
        <v>10</v>
      </c>
      <c r="S37" s="619">
        <v>9</v>
      </c>
      <c r="T37" s="620">
        <v>1</v>
      </c>
      <c r="U37" s="612">
        <v>1</v>
      </c>
      <c r="V37" s="613">
        <v>0</v>
      </c>
      <c r="W37" s="620">
        <v>3</v>
      </c>
      <c r="X37" s="612">
        <v>3</v>
      </c>
      <c r="Y37" s="613">
        <v>2</v>
      </c>
      <c r="Z37" s="672"/>
      <c r="AA37" s="670"/>
      <c r="AB37" s="671"/>
      <c r="AC37" s="609">
        <v>10</v>
      </c>
      <c r="AD37" s="610">
        <v>9</v>
      </c>
      <c r="AE37" s="614">
        <v>14</v>
      </c>
      <c r="AF37" s="618">
        <v>101</v>
      </c>
      <c r="AG37" s="611">
        <v>107</v>
      </c>
      <c r="AH37" s="619">
        <v>111</v>
      </c>
      <c r="AI37" s="620">
        <v>24</v>
      </c>
      <c r="AJ37" s="612">
        <v>30</v>
      </c>
      <c r="AK37" s="613">
        <v>24</v>
      </c>
    </row>
    <row r="38" spans="1:37" x14ac:dyDescent="0.2">
      <c r="A38" t="s">
        <v>226</v>
      </c>
      <c r="B38" s="1021"/>
      <c r="C38" s="1022"/>
      <c r="D38" s="1023"/>
      <c r="E38" s="1024"/>
      <c r="F38" s="1025"/>
      <c r="G38" s="1026"/>
      <c r="H38" s="1027"/>
      <c r="I38" s="1028"/>
      <c r="J38" s="1029"/>
      <c r="K38" s="1024"/>
      <c r="L38" s="1025"/>
      <c r="M38" s="1026"/>
      <c r="N38" s="1021"/>
      <c r="O38" s="1022"/>
      <c r="P38" s="1023"/>
      <c r="Q38" s="1017"/>
      <c r="R38" s="1017"/>
      <c r="S38" s="1026"/>
      <c r="T38" s="1027"/>
      <c r="U38" s="1028"/>
      <c r="V38" s="1029"/>
      <c r="W38" s="1027"/>
      <c r="X38" s="1028"/>
      <c r="Y38" s="1029"/>
      <c r="Z38" s="1030"/>
      <c r="AA38" s="1031"/>
      <c r="AB38" s="1032"/>
      <c r="AC38" s="1021"/>
      <c r="AD38" s="1022"/>
      <c r="AE38" s="1023"/>
      <c r="AF38" s="1024"/>
      <c r="AG38" s="1025"/>
      <c r="AH38" s="1026"/>
      <c r="AI38" s="1027"/>
      <c r="AJ38" s="1028"/>
      <c r="AK38" s="1029"/>
    </row>
    <row r="39" spans="1:37" x14ac:dyDescent="0.2">
      <c r="A39" t="s">
        <v>227</v>
      </c>
      <c r="B39" s="609">
        <v>538</v>
      </c>
      <c r="C39" s="610">
        <v>679</v>
      </c>
      <c r="D39" s="614">
        <v>636</v>
      </c>
      <c r="E39" s="618">
        <v>55</v>
      </c>
      <c r="F39" s="611">
        <v>42</v>
      </c>
      <c r="G39" s="619">
        <v>50</v>
      </c>
      <c r="H39" s="620">
        <v>61</v>
      </c>
      <c r="I39" s="612">
        <v>65</v>
      </c>
      <c r="J39" s="613">
        <v>71</v>
      </c>
      <c r="K39" s="618">
        <v>2</v>
      </c>
      <c r="L39" s="611">
        <v>2</v>
      </c>
      <c r="M39" s="619">
        <v>8</v>
      </c>
      <c r="N39" s="609">
        <v>0</v>
      </c>
      <c r="O39" s="610">
        <v>0</v>
      </c>
      <c r="P39" s="614">
        <v>0</v>
      </c>
      <c r="Q39" s="717">
        <v>372</v>
      </c>
      <c r="R39" s="717">
        <v>500</v>
      </c>
      <c r="S39" s="619">
        <v>476</v>
      </c>
      <c r="T39" s="620">
        <v>2</v>
      </c>
      <c r="U39" s="612">
        <v>1</v>
      </c>
      <c r="V39" s="613">
        <v>2</v>
      </c>
      <c r="W39" s="620">
        <v>0</v>
      </c>
      <c r="X39" s="612">
        <v>0</v>
      </c>
      <c r="Y39" s="613">
        <v>3</v>
      </c>
      <c r="Z39" s="672"/>
      <c r="AA39" s="670"/>
      <c r="AB39" s="671"/>
      <c r="AC39" s="609">
        <v>59</v>
      </c>
      <c r="AD39" s="610">
        <v>61</v>
      </c>
      <c r="AE39" s="614">
        <v>57</v>
      </c>
      <c r="AF39" s="618">
        <v>218</v>
      </c>
      <c r="AG39" s="611">
        <v>241</v>
      </c>
      <c r="AH39" s="619">
        <v>234</v>
      </c>
      <c r="AI39" s="620">
        <v>158</v>
      </c>
      <c r="AJ39" s="612">
        <v>210</v>
      </c>
      <c r="AK39" s="613">
        <v>211</v>
      </c>
    </row>
    <row r="40" spans="1:37" x14ac:dyDescent="0.2">
      <c r="A40" t="s">
        <v>140</v>
      </c>
      <c r="B40" s="609">
        <v>0</v>
      </c>
      <c r="C40" s="610">
        <v>0</v>
      </c>
      <c r="D40" s="614">
        <v>0</v>
      </c>
      <c r="E40" s="618">
        <v>13</v>
      </c>
      <c r="F40" s="611">
        <v>11</v>
      </c>
      <c r="G40" s="619">
        <v>14</v>
      </c>
      <c r="H40" s="620">
        <v>46</v>
      </c>
      <c r="I40" s="612">
        <v>61</v>
      </c>
      <c r="J40" s="613">
        <v>51</v>
      </c>
      <c r="K40" s="618">
        <v>15</v>
      </c>
      <c r="L40" s="611">
        <v>29</v>
      </c>
      <c r="M40" s="619">
        <v>18</v>
      </c>
      <c r="N40" s="609">
        <v>0</v>
      </c>
      <c r="O40" s="610">
        <v>0</v>
      </c>
      <c r="P40" s="614">
        <v>0</v>
      </c>
      <c r="Q40" s="717">
        <v>21</v>
      </c>
      <c r="R40" s="717">
        <v>21</v>
      </c>
      <c r="S40" s="619">
        <v>13</v>
      </c>
      <c r="T40" s="620">
        <v>1</v>
      </c>
      <c r="U40" s="612">
        <v>0</v>
      </c>
      <c r="V40" s="613">
        <v>1</v>
      </c>
      <c r="W40" s="620">
        <v>3</v>
      </c>
      <c r="X40" s="612">
        <v>10</v>
      </c>
      <c r="Y40" s="613">
        <v>1</v>
      </c>
      <c r="Z40" s="672"/>
      <c r="AA40" s="670"/>
      <c r="AB40" s="671"/>
      <c r="AC40" s="609">
        <v>6</v>
      </c>
      <c r="AD40" s="610">
        <v>18</v>
      </c>
      <c r="AE40" s="614">
        <v>24</v>
      </c>
      <c r="AF40" s="618">
        <v>6</v>
      </c>
      <c r="AG40" s="611">
        <v>7</v>
      </c>
      <c r="AH40" s="619">
        <v>6</v>
      </c>
      <c r="AI40" s="620">
        <v>11</v>
      </c>
      <c r="AJ40" s="612">
        <v>9</v>
      </c>
      <c r="AK40" s="613">
        <v>7</v>
      </c>
    </row>
    <row r="41" spans="1:37" x14ac:dyDescent="0.2">
      <c r="A41" t="s">
        <v>228</v>
      </c>
      <c r="B41" s="609">
        <v>974</v>
      </c>
      <c r="C41" s="610">
        <v>1061</v>
      </c>
      <c r="D41" s="614">
        <v>1085</v>
      </c>
      <c r="E41" s="618">
        <v>12</v>
      </c>
      <c r="F41" s="611">
        <v>11</v>
      </c>
      <c r="G41" s="619">
        <v>12</v>
      </c>
      <c r="H41" s="620">
        <v>93</v>
      </c>
      <c r="I41" s="612">
        <v>84</v>
      </c>
      <c r="J41" s="613">
        <v>70</v>
      </c>
      <c r="K41" s="618">
        <v>0</v>
      </c>
      <c r="L41" s="611">
        <v>0</v>
      </c>
      <c r="M41" s="619">
        <v>1</v>
      </c>
      <c r="N41" s="609">
        <v>66</v>
      </c>
      <c r="O41" s="610">
        <v>59</v>
      </c>
      <c r="P41" s="614">
        <v>76</v>
      </c>
      <c r="Q41" s="717">
        <v>423</v>
      </c>
      <c r="R41" s="717">
        <v>523</v>
      </c>
      <c r="S41" s="619">
        <v>545</v>
      </c>
      <c r="T41" s="620">
        <v>0</v>
      </c>
      <c r="U41" s="612">
        <v>2</v>
      </c>
      <c r="V41" s="613">
        <v>1</v>
      </c>
      <c r="W41" s="620">
        <v>12</v>
      </c>
      <c r="X41" s="612">
        <v>8</v>
      </c>
      <c r="Y41" s="613">
        <v>8.5</v>
      </c>
      <c r="Z41" s="672"/>
      <c r="AA41" s="670"/>
      <c r="AB41" s="671"/>
      <c r="AC41" s="609">
        <v>72</v>
      </c>
      <c r="AD41" s="610">
        <v>64</v>
      </c>
      <c r="AE41" s="614">
        <v>74</v>
      </c>
      <c r="AF41" s="618">
        <v>455</v>
      </c>
      <c r="AG41" s="611">
        <v>452</v>
      </c>
      <c r="AH41" s="619">
        <v>501</v>
      </c>
      <c r="AI41" s="620">
        <v>230</v>
      </c>
      <c r="AJ41" s="612">
        <v>246</v>
      </c>
      <c r="AK41" s="613">
        <v>273</v>
      </c>
    </row>
    <row r="42" spans="1:37" x14ac:dyDescent="0.2">
      <c r="A42" t="s">
        <v>229</v>
      </c>
      <c r="B42" s="1021"/>
      <c r="C42" s="1022"/>
      <c r="D42" s="1023"/>
      <c r="E42" s="1024"/>
      <c r="F42" s="1025"/>
      <c r="G42" s="1026"/>
      <c r="H42" s="1027"/>
      <c r="I42" s="1028"/>
      <c r="J42" s="1029"/>
      <c r="K42" s="1024"/>
      <c r="L42" s="1025"/>
      <c r="M42" s="1026"/>
      <c r="N42" s="1021"/>
      <c r="O42" s="1022"/>
      <c r="P42" s="1023"/>
      <c r="Q42" s="1017"/>
      <c r="R42" s="1017"/>
      <c r="S42" s="1026"/>
      <c r="T42" s="1027"/>
      <c r="U42" s="1028"/>
      <c r="V42" s="1029"/>
      <c r="W42" s="1027"/>
      <c r="X42" s="1028"/>
      <c r="Y42" s="1029"/>
      <c r="Z42" s="1030"/>
      <c r="AA42" s="1031"/>
      <c r="AB42" s="1032"/>
      <c r="AC42" s="1021"/>
      <c r="AD42" s="1022"/>
      <c r="AE42" s="1023"/>
      <c r="AF42" s="1024"/>
      <c r="AG42" s="1025"/>
      <c r="AH42" s="1026"/>
      <c r="AI42" s="1027"/>
      <c r="AJ42" s="1028"/>
      <c r="AK42" s="1029"/>
    </row>
    <row r="43" spans="1:37" x14ac:dyDescent="0.2">
      <c r="A43" t="s">
        <v>230</v>
      </c>
      <c r="B43" s="609">
        <v>1562</v>
      </c>
      <c r="C43" s="610">
        <v>1565</v>
      </c>
      <c r="D43" s="614">
        <v>1635</v>
      </c>
      <c r="E43" s="618">
        <v>88</v>
      </c>
      <c r="F43" s="611">
        <v>91</v>
      </c>
      <c r="G43" s="619">
        <v>85</v>
      </c>
      <c r="H43" s="620">
        <v>318</v>
      </c>
      <c r="I43" s="612">
        <v>319</v>
      </c>
      <c r="J43" s="613">
        <v>361</v>
      </c>
      <c r="K43" s="618">
        <v>0</v>
      </c>
      <c r="L43" s="611">
        <v>0</v>
      </c>
      <c r="M43" s="619">
        <v>1</v>
      </c>
      <c r="N43" s="609">
        <v>0</v>
      </c>
      <c r="O43" s="610">
        <v>0</v>
      </c>
      <c r="P43" s="614">
        <v>4</v>
      </c>
      <c r="Q43" s="717">
        <v>115</v>
      </c>
      <c r="R43" s="717">
        <v>151</v>
      </c>
      <c r="S43" s="619">
        <v>177</v>
      </c>
      <c r="T43" s="620">
        <v>1</v>
      </c>
      <c r="U43" s="612">
        <v>0.5</v>
      </c>
      <c r="V43" s="613">
        <v>0</v>
      </c>
      <c r="W43" s="620">
        <v>1</v>
      </c>
      <c r="X43" s="612">
        <v>5</v>
      </c>
      <c r="Y43" s="613">
        <v>0</v>
      </c>
      <c r="Z43" s="672"/>
      <c r="AA43" s="670"/>
      <c r="AB43" s="671"/>
      <c r="AC43" s="609">
        <v>356</v>
      </c>
      <c r="AD43" s="610">
        <v>410</v>
      </c>
      <c r="AE43" s="614">
        <v>460</v>
      </c>
      <c r="AF43" s="618">
        <v>408</v>
      </c>
      <c r="AG43" s="611">
        <v>394</v>
      </c>
      <c r="AH43" s="619">
        <v>382</v>
      </c>
      <c r="AI43" s="620">
        <v>282</v>
      </c>
      <c r="AJ43" s="612">
        <v>320</v>
      </c>
      <c r="AK43" s="613">
        <v>345</v>
      </c>
    </row>
    <row r="44" spans="1:37" x14ac:dyDescent="0.2">
      <c r="A44" t="s">
        <v>231</v>
      </c>
      <c r="B44" s="609">
        <v>695</v>
      </c>
      <c r="C44" s="610">
        <v>639</v>
      </c>
      <c r="D44" s="614">
        <v>614</v>
      </c>
      <c r="E44" s="618">
        <v>16</v>
      </c>
      <c r="F44" s="611">
        <v>16</v>
      </c>
      <c r="G44" s="619">
        <v>17</v>
      </c>
      <c r="H44" s="620">
        <v>71</v>
      </c>
      <c r="I44" s="612">
        <v>79</v>
      </c>
      <c r="J44" s="613">
        <v>75</v>
      </c>
      <c r="K44" s="618">
        <v>5</v>
      </c>
      <c r="L44" s="611">
        <v>3</v>
      </c>
      <c r="M44" s="619">
        <v>4</v>
      </c>
      <c r="N44" s="609">
        <v>6</v>
      </c>
      <c r="O44" s="610">
        <v>4</v>
      </c>
      <c r="P44" s="614">
        <v>2</v>
      </c>
      <c r="Q44" s="717">
        <v>67</v>
      </c>
      <c r="R44" s="717">
        <v>56</v>
      </c>
      <c r="S44" s="619">
        <v>79</v>
      </c>
      <c r="T44" s="620">
        <v>0</v>
      </c>
      <c r="U44" s="612">
        <v>0</v>
      </c>
      <c r="V44" s="613">
        <v>1</v>
      </c>
      <c r="W44" s="620">
        <v>0</v>
      </c>
      <c r="X44" s="612">
        <v>0</v>
      </c>
      <c r="Y44" s="613">
        <v>0.5</v>
      </c>
      <c r="Z44" s="672"/>
      <c r="AA44" s="670"/>
      <c r="AB44" s="671"/>
      <c r="AC44" s="609">
        <v>28</v>
      </c>
      <c r="AD44" s="610">
        <v>25</v>
      </c>
      <c r="AE44" s="614">
        <v>38</v>
      </c>
      <c r="AF44" s="618">
        <v>339</v>
      </c>
      <c r="AG44" s="611">
        <v>299</v>
      </c>
      <c r="AH44" s="619">
        <v>258</v>
      </c>
      <c r="AI44" s="620">
        <v>170</v>
      </c>
      <c r="AJ44" s="612">
        <v>188</v>
      </c>
      <c r="AK44" s="613">
        <v>171</v>
      </c>
    </row>
    <row r="45" spans="1:37" x14ac:dyDescent="0.2">
      <c r="A45" t="s">
        <v>232</v>
      </c>
      <c r="B45" s="609">
        <v>108</v>
      </c>
      <c r="C45" s="610">
        <v>154</v>
      </c>
      <c r="D45" s="614">
        <v>185</v>
      </c>
      <c r="E45" s="618">
        <v>18</v>
      </c>
      <c r="F45" s="611">
        <v>8</v>
      </c>
      <c r="G45" s="619">
        <v>9</v>
      </c>
      <c r="H45" s="620">
        <v>30</v>
      </c>
      <c r="I45" s="612">
        <v>18</v>
      </c>
      <c r="J45" s="613">
        <v>24</v>
      </c>
      <c r="K45" s="618">
        <v>55</v>
      </c>
      <c r="L45" s="611">
        <v>39</v>
      </c>
      <c r="M45" s="619">
        <v>50</v>
      </c>
      <c r="N45" s="609">
        <v>51</v>
      </c>
      <c r="O45" s="610">
        <v>57</v>
      </c>
      <c r="P45" s="614">
        <v>62</v>
      </c>
      <c r="Q45" s="717">
        <v>34</v>
      </c>
      <c r="R45" s="717">
        <v>40</v>
      </c>
      <c r="S45" s="619">
        <v>47</v>
      </c>
      <c r="T45" s="620">
        <v>3</v>
      </c>
      <c r="U45" s="612">
        <v>0.5</v>
      </c>
      <c r="V45" s="613">
        <v>0</v>
      </c>
      <c r="W45" s="620">
        <v>6</v>
      </c>
      <c r="X45" s="612">
        <v>7</v>
      </c>
      <c r="Y45" s="613">
        <v>6</v>
      </c>
      <c r="Z45" s="672"/>
      <c r="AA45" s="670"/>
      <c r="AB45" s="671"/>
      <c r="AC45" s="609">
        <v>10</v>
      </c>
      <c r="AD45" s="610">
        <v>19</v>
      </c>
      <c r="AE45" s="614">
        <v>16</v>
      </c>
      <c r="AF45" s="618">
        <v>79</v>
      </c>
      <c r="AG45" s="611">
        <v>90</v>
      </c>
      <c r="AH45" s="619">
        <v>103</v>
      </c>
      <c r="AI45" s="620">
        <v>43</v>
      </c>
      <c r="AJ45" s="612">
        <v>31</v>
      </c>
      <c r="AK45" s="613">
        <v>48</v>
      </c>
    </row>
    <row r="46" spans="1:37" x14ac:dyDescent="0.2">
      <c r="A46" t="s">
        <v>233</v>
      </c>
      <c r="B46" s="1021"/>
      <c r="C46" s="1022"/>
      <c r="D46" s="1023"/>
      <c r="E46" s="1024"/>
      <c r="F46" s="1025"/>
      <c r="G46" s="1026"/>
      <c r="H46" s="1027"/>
      <c r="I46" s="1028"/>
      <c r="J46" s="1029"/>
      <c r="K46" s="1024"/>
      <c r="L46" s="1025"/>
      <c r="M46" s="1026"/>
      <c r="N46" s="1021"/>
      <c r="O46" s="1022"/>
      <c r="P46" s="1023"/>
      <c r="Q46" s="1017"/>
      <c r="R46" s="1017"/>
      <c r="S46" s="1026"/>
      <c r="T46" s="1027"/>
      <c r="U46" s="1028"/>
      <c r="V46" s="1029"/>
      <c r="W46" s="1027"/>
      <c r="X46" s="1028"/>
      <c r="Y46" s="1029"/>
      <c r="Z46" s="1030"/>
      <c r="AA46" s="1031"/>
      <c r="AB46" s="1032"/>
      <c r="AC46" s="1021"/>
      <c r="AD46" s="1022"/>
      <c r="AE46" s="1023"/>
      <c r="AF46" s="1024"/>
      <c r="AG46" s="1025"/>
      <c r="AH46" s="1026"/>
      <c r="AI46" s="1027"/>
      <c r="AJ46" s="1028"/>
      <c r="AK46" s="1029"/>
    </row>
    <row r="47" spans="1:37" x14ac:dyDescent="0.2">
      <c r="A47" t="s">
        <v>234</v>
      </c>
      <c r="B47" s="609">
        <v>0</v>
      </c>
      <c r="C47" s="610">
        <v>0</v>
      </c>
      <c r="D47" s="614">
        <v>0</v>
      </c>
      <c r="E47" s="618">
        <v>0</v>
      </c>
      <c r="F47" s="611">
        <v>0</v>
      </c>
      <c r="G47" s="619">
        <v>0</v>
      </c>
      <c r="H47" s="620">
        <v>0</v>
      </c>
      <c r="I47" s="612">
        <v>0</v>
      </c>
      <c r="J47" s="613">
        <v>0</v>
      </c>
      <c r="K47" s="618">
        <v>0</v>
      </c>
      <c r="L47" s="611">
        <v>0</v>
      </c>
      <c r="M47" s="619">
        <v>0</v>
      </c>
      <c r="N47" s="609">
        <v>0</v>
      </c>
      <c r="O47" s="610">
        <v>0</v>
      </c>
      <c r="P47" s="614">
        <v>0</v>
      </c>
      <c r="Q47" s="717">
        <v>0</v>
      </c>
      <c r="R47" s="717">
        <v>0</v>
      </c>
      <c r="S47" s="619">
        <v>0</v>
      </c>
      <c r="T47" s="620">
        <v>0</v>
      </c>
      <c r="U47" s="612">
        <v>0</v>
      </c>
      <c r="V47" s="613">
        <v>0</v>
      </c>
      <c r="W47" s="620">
        <v>5</v>
      </c>
      <c r="X47" s="612">
        <v>2</v>
      </c>
      <c r="Y47" s="613">
        <v>0</v>
      </c>
      <c r="Z47" s="672"/>
      <c r="AA47" s="670"/>
      <c r="AB47" s="671"/>
      <c r="AC47" s="609">
        <v>0</v>
      </c>
      <c r="AD47" s="610">
        <v>0</v>
      </c>
      <c r="AE47" s="614">
        <v>0</v>
      </c>
      <c r="AF47" s="618">
        <v>0</v>
      </c>
      <c r="AG47" s="611">
        <v>0</v>
      </c>
      <c r="AH47" s="619">
        <v>0</v>
      </c>
      <c r="AI47" s="620">
        <v>0</v>
      </c>
      <c r="AJ47" s="612">
        <v>0</v>
      </c>
      <c r="AK47" s="613">
        <v>0</v>
      </c>
    </row>
    <row r="48" spans="1:37" x14ac:dyDescent="0.2">
      <c r="A48" t="s">
        <v>235</v>
      </c>
      <c r="B48" s="609">
        <v>175</v>
      </c>
      <c r="C48" s="610">
        <v>191</v>
      </c>
      <c r="D48" s="614">
        <v>216</v>
      </c>
      <c r="E48" s="618">
        <v>0</v>
      </c>
      <c r="F48" s="611">
        <v>0</v>
      </c>
      <c r="G48" s="619">
        <v>0</v>
      </c>
      <c r="H48" s="620">
        <v>0</v>
      </c>
      <c r="I48" s="612">
        <v>0</v>
      </c>
      <c r="J48" s="613">
        <v>0</v>
      </c>
      <c r="K48" s="618">
        <v>0</v>
      </c>
      <c r="L48" s="611">
        <v>0</v>
      </c>
      <c r="M48" s="619">
        <v>0</v>
      </c>
      <c r="N48" s="609">
        <v>0</v>
      </c>
      <c r="O48" s="610">
        <v>0</v>
      </c>
      <c r="P48" s="614">
        <v>0</v>
      </c>
      <c r="Q48" s="717">
        <v>0</v>
      </c>
      <c r="R48" s="717">
        <v>0</v>
      </c>
      <c r="S48" s="619">
        <v>0</v>
      </c>
      <c r="T48" s="620">
        <v>0</v>
      </c>
      <c r="U48" s="612">
        <v>0</v>
      </c>
      <c r="V48" s="613">
        <v>0</v>
      </c>
      <c r="W48" s="620">
        <v>0</v>
      </c>
      <c r="X48" s="612">
        <v>0</v>
      </c>
      <c r="Y48" s="613">
        <v>0</v>
      </c>
      <c r="Z48" s="672"/>
      <c r="AA48" s="670"/>
      <c r="AB48" s="671"/>
      <c r="AC48" s="609">
        <v>1</v>
      </c>
      <c r="AD48" s="610">
        <v>4</v>
      </c>
      <c r="AE48" s="614">
        <v>8</v>
      </c>
      <c r="AF48" s="618">
        <v>34</v>
      </c>
      <c r="AG48" s="611">
        <v>34</v>
      </c>
      <c r="AH48" s="619">
        <v>45</v>
      </c>
      <c r="AI48" s="620">
        <v>39</v>
      </c>
      <c r="AJ48" s="612">
        <v>48</v>
      </c>
      <c r="AK48" s="613">
        <v>50</v>
      </c>
    </row>
    <row r="49" spans="1:38" x14ac:dyDescent="0.2">
      <c r="A49" t="s">
        <v>236</v>
      </c>
      <c r="B49" s="1021"/>
      <c r="C49" s="1022"/>
      <c r="D49" s="1023"/>
      <c r="E49" s="1024"/>
      <c r="F49" s="1025"/>
      <c r="G49" s="1026"/>
      <c r="H49" s="1027"/>
      <c r="I49" s="1028"/>
      <c r="J49" s="1029"/>
      <c r="K49" s="1024"/>
      <c r="L49" s="1025"/>
      <c r="M49" s="1026"/>
      <c r="N49" s="1021"/>
      <c r="O49" s="1022"/>
      <c r="P49" s="1023"/>
      <c r="Q49" s="1017"/>
      <c r="R49" s="1017"/>
      <c r="S49" s="1026"/>
      <c r="T49" s="1027"/>
      <c r="U49" s="1028"/>
      <c r="V49" s="1029"/>
      <c r="W49" s="1027"/>
      <c r="X49" s="1028"/>
      <c r="Y49" s="1029"/>
      <c r="Z49" s="1030"/>
      <c r="AA49" s="1031"/>
      <c r="AB49" s="1032"/>
      <c r="AC49" s="1021"/>
      <c r="AD49" s="1022"/>
      <c r="AE49" s="1023"/>
      <c r="AF49" s="1024"/>
      <c r="AG49" s="1025"/>
      <c r="AH49" s="1026"/>
      <c r="AI49" s="1027"/>
      <c r="AJ49" s="1028"/>
      <c r="AK49" s="1029"/>
    </row>
    <row r="50" spans="1:38" x14ac:dyDescent="0.2">
      <c r="A50" t="s">
        <v>237</v>
      </c>
      <c r="B50" s="1008"/>
      <c r="C50" s="1009"/>
      <c r="D50" s="1010"/>
      <c r="E50" s="1011"/>
      <c r="F50" s="1012"/>
      <c r="G50" s="1013"/>
      <c r="H50" s="1014"/>
      <c r="I50" s="1015"/>
      <c r="J50" s="1016"/>
      <c r="K50" s="1011"/>
      <c r="L50" s="1012"/>
      <c r="M50" s="1013"/>
      <c r="N50" s="1008"/>
      <c r="O50" s="1009"/>
      <c r="P50" s="1010"/>
      <c r="Q50" s="1017"/>
      <c r="R50" s="1017"/>
      <c r="S50" s="1013"/>
      <c r="T50" s="1014"/>
      <c r="U50" s="1015"/>
      <c r="V50" s="1016"/>
      <c r="W50" s="1014"/>
      <c r="X50" s="1015"/>
      <c r="Y50" s="1016"/>
      <c r="Z50" s="1018"/>
      <c r="AA50" s="1019"/>
      <c r="AB50" s="1020"/>
      <c r="AC50" s="1008"/>
      <c r="AD50" s="1009"/>
      <c r="AE50" s="1010"/>
      <c r="AF50" s="1011"/>
      <c r="AG50" s="1012"/>
      <c r="AH50" s="1013"/>
      <c r="AI50" s="1014"/>
      <c r="AJ50" s="1015"/>
      <c r="AK50" s="1016"/>
    </row>
    <row r="51" spans="1:38" ht="16" thickBot="1" x14ac:dyDescent="0.25">
      <c r="A51" t="s">
        <v>44</v>
      </c>
      <c r="B51" s="287">
        <f>SUM(B34:B50)</f>
        <v>5835</v>
      </c>
      <c r="C51" s="287">
        <f>SUM(C34:C50)</f>
        <v>5867</v>
      </c>
      <c r="D51" s="287">
        <f>SUM(D34:D50)</f>
        <v>6129</v>
      </c>
      <c r="E51" s="288">
        <f t="shared" ref="E51:AB51" si="31">SUM(E34:E50)</f>
        <v>286</v>
      </c>
      <c r="F51" s="288">
        <f t="shared" si="31"/>
        <v>254</v>
      </c>
      <c r="G51" s="288">
        <f t="shared" si="31"/>
        <v>242</v>
      </c>
      <c r="H51" s="289">
        <f>SUM(H34:H50)</f>
        <v>854</v>
      </c>
      <c r="I51" s="289">
        <f t="shared" si="31"/>
        <v>943</v>
      </c>
      <c r="J51" s="289">
        <f t="shared" si="31"/>
        <v>986</v>
      </c>
      <c r="K51" s="288">
        <f t="shared" si="31"/>
        <v>132</v>
      </c>
      <c r="L51" s="288">
        <f t="shared" si="31"/>
        <v>143</v>
      </c>
      <c r="M51" s="288">
        <f t="shared" si="31"/>
        <v>224</v>
      </c>
      <c r="N51" s="287">
        <f t="shared" si="31"/>
        <v>132</v>
      </c>
      <c r="O51" s="287">
        <f t="shared" si="31"/>
        <v>127</v>
      </c>
      <c r="P51" s="287">
        <f t="shared" si="31"/>
        <v>152</v>
      </c>
      <c r="Q51" s="288">
        <f t="shared" si="31"/>
        <v>1404</v>
      </c>
      <c r="R51" s="288">
        <f t="shared" si="31"/>
        <v>1644</v>
      </c>
      <c r="S51" s="288">
        <f t="shared" si="31"/>
        <v>1684</v>
      </c>
      <c r="T51" s="289">
        <f>SUM(T34:T50)</f>
        <v>10</v>
      </c>
      <c r="U51" s="289">
        <f t="shared" ref="U51:Y51" si="32">SUM(U34:U50)</f>
        <v>10</v>
      </c>
      <c r="V51" s="289">
        <f t="shared" si="32"/>
        <v>9</v>
      </c>
      <c r="W51" s="289">
        <f t="shared" si="32"/>
        <v>38</v>
      </c>
      <c r="X51" s="289">
        <f t="shared" si="32"/>
        <v>45</v>
      </c>
      <c r="Y51" s="289">
        <f t="shared" si="32"/>
        <v>23.5</v>
      </c>
      <c r="Z51" s="289">
        <f t="shared" si="31"/>
        <v>0</v>
      </c>
      <c r="AA51" s="289">
        <f t="shared" si="31"/>
        <v>0</v>
      </c>
      <c r="AB51" s="289">
        <f t="shared" si="31"/>
        <v>0</v>
      </c>
      <c r="AC51" s="287">
        <f>SUM(AC34:AC50)</f>
        <v>823</v>
      </c>
      <c r="AD51" s="287">
        <f t="shared" ref="AD51:AK51" si="33">SUM(AD34:AD50)</f>
        <v>875</v>
      </c>
      <c r="AE51" s="287">
        <f>SUM(AE34:AE50)</f>
        <v>981</v>
      </c>
      <c r="AF51" s="288">
        <f>SUM(AF34:AF50)</f>
        <v>2214</v>
      </c>
      <c r="AG51" s="288">
        <f t="shared" si="33"/>
        <v>2086</v>
      </c>
      <c r="AH51" s="288">
        <f>SUM(AH34:AH50)</f>
        <v>2146</v>
      </c>
      <c r="AI51" s="289">
        <f t="shared" si="33"/>
        <v>1251</v>
      </c>
      <c r="AJ51" s="289">
        <f t="shared" si="33"/>
        <v>1368</v>
      </c>
      <c r="AK51" s="289">
        <f t="shared" si="33"/>
        <v>1453</v>
      </c>
    </row>
    <row r="52" spans="1:38" ht="16" thickTop="1" x14ac:dyDescent="0.2">
      <c r="A52" t="s">
        <v>641</v>
      </c>
      <c r="B52" s="1251"/>
      <c r="C52" s="1251"/>
      <c r="D52" s="1251"/>
      <c r="E52" s="1251"/>
      <c r="F52" s="1251"/>
      <c r="G52" s="1251"/>
      <c r="H52" s="1251"/>
      <c r="I52" s="1251"/>
      <c r="J52" s="1251"/>
      <c r="K52" s="1251"/>
      <c r="L52" s="1251"/>
      <c r="M52" s="1251"/>
      <c r="N52" s="1251"/>
      <c r="O52" s="1251"/>
      <c r="P52" s="1251"/>
      <c r="Q52" s="1250"/>
      <c r="R52" s="1251"/>
      <c r="S52" s="1251"/>
      <c r="T52" s="1250"/>
      <c r="U52" s="1251"/>
      <c r="V52" s="1251"/>
      <c r="W52" s="1251"/>
      <c r="X52" s="1251"/>
      <c r="Y52" s="1251"/>
      <c r="Z52" s="1251"/>
      <c r="AA52" s="1251"/>
      <c r="AB52" s="1251"/>
      <c r="AC52" s="1250"/>
      <c r="AD52" s="1251"/>
      <c r="AE52" s="1251"/>
      <c r="AF52" s="1250"/>
      <c r="AG52" s="1251"/>
      <c r="AH52" s="1251"/>
      <c r="AI52" s="1250"/>
      <c r="AJ52" s="1251"/>
      <c r="AK52" s="1251"/>
    </row>
    <row r="53" spans="1:38" x14ac:dyDescent="0.2">
      <c r="B53" s="668"/>
      <c r="C53" s="668"/>
      <c r="D53" s="668"/>
      <c r="E53" s="668"/>
      <c r="F53" s="668"/>
      <c r="G53" s="668"/>
      <c r="H53" s="668"/>
      <c r="I53" s="668"/>
      <c r="J53" s="668"/>
      <c r="K53" s="668"/>
      <c r="L53" s="668"/>
      <c r="M53" s="668"/>
      <c r="N53" s="668"/>
      <c r="O53" s="668"/>
      <c r="P53" s="668"/>
      <c r="Q53" s="668"/>
      <c r="R53" s="668"/>
      <c r="S53" s="668"/>
      <c r="T53" s="668"/>
      <c r="U53" s="668"/>
      <c r="V53" s="668"/>
      <c r="W53" s="668"/>
      <c r="X53" s="668"/>
      <c r="Y53" s="668"/>
      <c r="Z53" s="668"/>
      <c r="AA53" s="668"/>
      <c r="AB53" s="668"/>
      <c r="AC53" s="556"/>
      <c r="AD53" s="556"/>
      <c r="AE53" s="556"/>
      <c r="AF53" s="556"/>
      <c r="AG53" s="556"/>
      <c r="AH53" s="556"/>
      <c r="AI53" s="556"/>
      <c r="AJ53" s="556"/>
      <c r="AK53" s="556"/>
      <c r="AL53" s="556"/>
    </row>
    <row r="54" spans="1:38" x14ac:dyDescent="0.2">
      <c r="B54" s="556"/>
      <c r="C54" s="556"/>
      <c r="D54" s="556"/>
      <c r="E54" s="668"/>
      <c r="F54" s="668"/>
      <c r="G54" s="668"/>
      <c r="H54" s="668"/>
      <c r="I54" s="668"/>
      <c r="J54" s="668"/>
      <c r="K54" s="668"/>
      <c r="L54" s="668"/>
      <c r="M54" s="668"/>
      <c r="N54" s="668"/>
      <c r="O54" s="668"/>
      <c r="P54" s="668"/>
      <c r="Q54" s="668"/>
      <c r="R54" s="668"/>
      <c r="S54" s="668"/>
      <c r="T54" s="668"/>
      <c r="U54" s="668"/>
      <c r="V54" s="668"/>
      <c r="W54" s="668"/>
      <c r="X54" s="668"/>
      <c r="Y54" s="668"/>
      <c r="Z54" s="668"/>
      <c r="AA54" s="668"/>
      <c r="AB54" s="668"/>
      <c r="AC54" s="668"/>
      <c r="AD54" s="668"/>
      <c r="AE54" s="668"/>
      <c r="AF54" s="668"/>
      <c r="AG54" s="668"/>
      <c r="AH54" s="668"/>
      <c r="AI54" s="668"/>
      <c r="AJ54" s="668"/>
      <c r="AK54" s="668"/>
    </row>
    <row r="55" spans="1:38" x14ac:dyDescent="0.2">
      <c r="B55" s="668"/>
      <c r="C55" s="668"/>
      <c r="D55" s="668"/>
      <c r="E55" s="668"/>
      <c r="F55" s="668"/>
      <c r="G55" s="668"/>
      <c r="H55" s="668"/>
      <c r="I55" s="668"/>
      <c r="J55" s="668"/>
      <c r="K55" s="668"/>
      <c r="L55" s="668"/>
      <c r="M55" s="668"/>
      <c r="N55" s="668"/>
      <c r="O55" s="668"/>
      <c r="P55" s="668"/>
    </row>
    <row r="56" spans="1:38" x14ac:dyDescent="0.2">
      <c r="B56" s="668"/>
      <c r="C56" s="668"/>
      <c r="D56" s="668"/>
      <c r="E56" s="668"/>
      <c r="F56" s="668"/>
      <c r="G56" s="668"/>
      <c r="H56" s="668"/>
      <c r="I56" s="668"/>
      <c r="J56" s="668"/>
      <c r="K56" s="668"/>
      <c r="L56" s="668"/>
      <c r="M56" s="668"/>
      <c r="N56" s="668"/>
      <c r="O56" s="668"/>
      <c r="P56" s="668"/>
    </row>
    <row r="71" spans="2:25" x14ac:dyDescent="0.2">
      <c r="T71" s="131"/>
      <c r="U71" s="131"/>
      <c r="V71" s="131"/>
      <c r="W71" s="131"/>
      <c r="X71" s="131"/>
      <c r="Y71" s="131"/>
    </row>
    <row r="72" spans="2:25" x14ac:dyDescent="0.2">
      <c r="T72" s="131"/>
      <c r="U72" s="131"/>
      <c r="V72" s="131"/>
      <c r="W72" s="131"/>
      <c r="X72" s="131"/>
      <c r="Y72" s="131"/>
    </row>
    <row r="73" spans="2:25" x14ac:dyDescent="0.2">
      <c r="T73" s="131"/>
      <c r="U73" s="131"/>
      <c r="V73" s="131"/>
      <c r="W73" s="131"/>
      <c r="X73" s="131"/>
      <c r="Y73" s="131"/>
    </row>
    <row r="74" spans="2:25" x14ac:dyDescent="0.2">
      <c r="T74" s="131"/>
      <c r="U74" s="131"/>
      <c r="V74" s="131"/>
      <c r="W74" s="131"/>
      <c r="X74" s="131"/>
      <c r="Y74" s="131"/>
    </row>
    <row r="75" spans="2:25" x14ac:dyDescent="0.2">
      <c r="T75" s="131"/>
      <c r="U75" s="131"/>
      <c r="V75" s="131"/>
      <c r="W75" s="131"/>
      <c r="X75" s="131"/>
      <c r="Y75" s="131"/>
    </row>
    <row r="76" spans="2:25" x14ac:dyDescent="0.2">
      <c r="T76" s="131"/>
      <c r="U76" s="131"/>
      <c r="V76" s="131"/>
      <c r="W76" s="131"/>
      <c r="X76" s="131"/>
      <c r="Y76" s="131"/>
    </row>
    <row r="77" spans="2:25" x14ac:dyDescent="0.2">
      <c r="B77" s="131"/>
      <c r="C77" s="131"/>
      <c r="D77" s="131"/>
      <c r="E77" s="131"/>
      <c r="F77" s="131"/>
      <c r="G77" s="131"/>
      <c r="H77" s="131"/>
      <c r="I77" s="131"/>
      <c r="J77" s="131"/>
      <c r="K77" s="131"/>
      <c r="L77" s="131"/>
      <c r="M77" s="131"/>
      <c r="N77" s="131"/>
      <c r="O77" s="131"/>
      <c r="P77" s="131"/>
      <c r="Q77" s="131"/>
      <c r="S77" s="131"/>
      <c r="T77" s="131"/>
      <c r="U77" s="131"/>
      <c r="V77" s="131"/>
      <c r="W77" s="131"/>
      <c r="X77" s="131"/>
      <c r="Y77" s="131"/>
    </row>
    <row r="78" spans="2:25" x14ac:dyDescent="0.2">
      <c r="B78" s="131"/>
      <c r="C78" s="131"/>
      <c r="D78" s="131"/>
      <c r="E78" s="131"/>
      <c r="F78" s="131"/>
      <c r="G78" s="131"/>
      <c r="H78" s="131"/>
      <c r="I78" s="131"/>
      <c r="J78" s="131"/>
      <c r="K78" s="131"/>
      <c r="L78" s="131"/>
      <c r="M78" s="131"/>
      <c r="N78" s="131"/>
      <c r="O78" s="131"/>
      <c r="P78" s="131"/>
      <c r="Q78" s="131"/>
      <c r="S78" s="131"/>
      <c r="T78" s="131"/>
      <c r="U78" s="131"/>
      <c r="V78" s="131"/>
      <c r="W78" s="131"/>
      <c r="X78" s="131"/>
      <c r="Y78" s="131"/>
    </row>
    <row r="79" spans="2:25" x14ac:dyDescent="0.2">
      <c r="B79" s="131"/>
      <c r="C79" s="131"/>
      <c r="D79" s="131"/>
      <c r="E79" s="131"/>
      <c r="F79" s="131"/>
      <c r="G79" s="131"/>
      <c r="H79" s="131"/>
      <c r="I79" s="131"/>
      <c r="J79" s="131"/>
      <c r="K79" s="131"/>
      <c r="L79" s="131"/>
      <c r="M79" s="131"/>
      <c r="N79" s="131"/>
      <c r="O79" s="131"/>
      <c r="P79" s="131"/>
      <c r="Q79" s="131"/>
      <c r="S79" s="131"/>
      <c r="T79" s="131"/>
      <c r="U79" s="131"/>
      <c r="V79" s="131"/>
      <c r="W79" s="131"/>
      <c r="X79" s="131"/>
      <c r="Y79" s="131"/>
    </row>
    <row r="80" spans="2:25" x14ac:dyDescent="0.2">
      <c r="B80" s="131"/>
      <c r="C80" s="131"/>
      <c r="D80" s="131"/>
      <c r="E80" s="131"/>
      <c r="F80" s="131"/>
      <c r="G80" s="131"/>
      <c r="H80" s="131"/>
      <c r="I80" s="131"/>
      <c r="J80" s="131"/>
      <c r="K80" s="131"/>
      <c r="L80" s="131"/>
      <c r="M80" s="131"/>
      <c r="N80" s="131"/>
      <c r="O80" s="131"/>
      <c r="P80" s="131"/>
      <c r="Q80" s="131"/>
      <c r="S80" s="131"/>
      <c r="T80" s="131"/>
      <c r="U80" s="131"/>
      <c r="V80" s="131"/>
      <c r="W80" s="131"/>
      <c r="X80" s="131"/>
      <c r="Y80" s="131"/>
    </row>
    <row r="81" spans="2:25" x14ac:dyDescent="0.2">
      <c r="B81" s="131"/>
      <c r="C81" s="131"/>
      <c r="D81" s="131"/>
      <c r="E81" s="131"/>
      <c r="F81" s="131"/>
      <c r="G81" s="131"/>
      <c r="H81" s="131"/>
      <c r="I81" s="131"/>
      <c r="J81" s="131"/>
      <c r="K81" s="131"/>
      <c r="L81" s="131"/>
      <c r="M81" s="131"/>
      <c r="N81" s="131"/>
      <c r="O81" s="131"/>
      <c r="P81" s="131"/>
      <c r="Q81" s="131"/>
      <c r="S81" s="131"/>
      <c r="T81" s="131"/>
      <c r="U81" s="131"/>
      <c r="V81" s="131"/>
      <c r="W81" s="131"/>
      <c r="X81" s="131"/>
      <c r="Y81" s="131"/>
    </row>
    <row r="82" spans="2:25" x14ac:dyDescent="0.2">
      <c r="B82" s="131"/>
      <c r="C82" s="131"/>
      <c r="D82" s="131"/>
      <c r="E82" s="131"/>
      <c r="F82" s="131"/>
      <c r="G82" s="131"/>
      <c r="H82" s="131"/>
      <c r="I82" s="131"/>
      <c r="J82" s="131"/>
      <c r="K82" s="131"/>
      <c r="L82" s="131"/>
      <c r="M82" s="131"/>
      <c r="N82" s="131"/>
      <c r="O82" s="131"/>
      <c r="P82" s="131"/>
      <c r="Q82" s="131"/>
      <c r="S82" s="131"/>
      <c r="T82" s="131"/>
      <c r="U82" s="131"/>
      <c r="V82" s="131"/>
      <c r="W82" s="131"/>
      <c r="X82" s="131"/>
      <c r="Y82" s="131"/>
    </row>
    <row r="83" spans="2:25" x14ac:dyDescent="0.2">
      <c r="B83" s="131"/>
      <c r="C83" s="131"/>
      <c r="D83" s="131"/>
      <c r="E83" s="131"/>
      <c r="F83" s="131"/>
      <c r="G83" s="131"/>
      <c r="H83" s="131"/>
      <c r="I83" s="131"/>
      <c r="J83" s="131"/>
      <c r="K83" s="131"/>
      <c r="L83" s="131"/>
      <c r="M83" s="131"/>
      <c r="N83" s="131"/>
      <c r="O83" s="131"/>
      <c r="P83" s="131"/>
      <c r="Q83" s="131"/>
      <c r="S83" s="131"/>
      <c r="T83" s="131"/>
      <c r="U83" s="131"/>
      <c r="V83" s="131"/>
      <c r="W83" s="131"/>
      <c r="X83" s="131"/>
      <c r="Y83" s="131"/>
    </row>
    <row r="84" spans="2:25" x14ac:dyDescent="0.2">
      <c r="B84" s="131"/>
      <c r="C84" s="131"/>
      <c r="D84" s="131"/>
      <c r="E84" s="131"/>
      <c r="F84" s="131"/>
      <c r="G84" s="131"/>
      <c r="H84" s="131"/>
      <c r="I84" s="131"/>
      <c r="J84" s="131"/>
      <c r="K84" s="131"/>
      <c r="L84" s="131"/>
      <c r="M84" s="131"/>
      <c r="N84" s="131"/>
      <c r="O84" s="131"/>
      <c r="P84" s="131"/>
      <c r="Q84" s="131"/>
      <c r="S84" s="131"/>
      <c r="T84" s="131"/>
      <c r="U84" s="131"/>
      <c r="V84" s="131"/>
      <c r="W84" s="131"/>
      <c r="X84" s="131"/>
      <c r="Y84" s="131"/>
    </row>
    <row r="85" spans="2:25" x14ac:dyDescent="0.2">
      <c r="B85" s="131"/>
      <c r="C85" s="131"/>
      <c r="D85" s="131"/>
      <c r="E85" s="131"/>
      <c r="F85" s="131"/>
      <c r="G85" s="131"/>
      <c r="H85" s="131"/>
      <c r="I85" s="131"/>
      <c r="J85" s="131"/>
      <c r="K85" s="131"/>
      <c r="L85" s="131"/>
      <c r="M85" s="131"/>
      <c r="N85" s="131"/>
      <c r="O85" s="131"/>
      <c r="P85" s="131"/>
      <c r="Q85" s="131"/>
      <c r="S85" s="131"/>
      <c r="T85" s="131"/>
      <c r="U85" s="131"/>
      <c r="V85" s="131"/>
      <c r="W85" s="131"/>
      <c r="X85" s="131"/>
      <c r="Y85" s="131"/>
    </row>
    <row r="86" spans="2:25" x14ac:dyDescent="0.2">
      <c r="B86" s="131"/>
      <c r="C86" s="131"/>
      <c r="D86" s="131"/>
      <c r="E86" s="131"/>
      <c r="F86" s="131"/>
      <c r="G86" s="131"/>
      <c r="H86" s="131"/>
      <c r="I86" s="131"/>
      <c r="J86" s="131"/>
      <c r="K86" s="131"/>
      <c r="L86" s="131"/>
      <c r="M86" s="131"/>
      <c r="N86" s="131"/>
      <c r="O86" s="131"/>
      <c r="P86" s="131"/>
      <c r="Q86" s="131"/>
      <c r="S86" s="131"/>
      <c r="T86" s="131"/>
      <c r="U86" s="131"/>
      <c r="V86" s="131"/>
      <c r="W86" s="131"/>
      <c r="X86" s="131"/>
      <c r="Y86" s="131"/>
    </row>
    <row r="87" spans="2:25" x14ac:dyDescent="0.2">
      <c r="B87" s="131"/>
      <c r="C87" s="131"/>
      <c r="D87" s="131"/>
      <c r="E87" s="131"/>
      <c r="F87" s="131"/>
      <c r="G87" s="131"/>
      <c r="H87" s="131"/>
      <c r="I87" s="131"/>
      <c r="J87" s="131"/>
      <c r="K87" s="131"/>
      <c r="L87" s="131"/>
      <c r="M87" s="131"/>
      <c r="N87" s="131"/>
      <c r="O87" s="131"/>
      <c r="P87" s="131"/>
      <c r="Q87" s="131"/>
      <c r="S87" s="131"/>
      <c r="T87" s="131"/>
      <c r="U87" s="131"/>
      <c r="V87" s="131"/>
      <c r="W87" s="131"/>
      <c r="X87" s="131"/>
      <c r="Y87" s="131"/>
    </row>
    <row r="88" spans="2:25" x14ac:dyDescent="0.2">
      <c r="B88" s="131"/>
      <c r="C88" s="131"/>
      <c r="D88" s="131"/>
      <c r="E88" s="131"/>
      <c r="F88" s="131"/>
      <c r="G88" s="131"/>
      <c r="H88" s="131"/>
      <c r="I88" s="131"/>
      <c r="J88" s="131"/>
      <c r="K88" s="131"/>
      <c r="L88" s="131"/>
      <c r="M88" s="131"/>
      <c r="N88" s="131"/>
      <c r="O88" s="131"/>
      <c r="P88" s="131"/>
      <c r="Q88" s="131"/>
      <c r="S88" s="131"/>
      <c r="T88" s="131"/>
      <c r="U88" s="131"/>
      <c r="V88" s="131"/>
      <c r="W88" s="131"/>
      <c r="X88" s="131"/>
      <c r="Y88" s="131"/>
    </row>
    <row r="89" spans="2:25" x14ac:dyDescent="0.2">
      <c r="B89" s="131"/>
      <c r="C89" s="131"/>
      <c r="D89" s="131"/>
      <c r="E89" s="131"/>
      <c r="F89" s="131"/>
      <c r="G89" s="131"/>
      <c r="H89" s="131"/>
      <c r="I89" s="131"/>
      <c r="J89" s="131"/>
      <c r="K89" s="131"/>
      <c r="L89" s="131"/>
      <c r="M89" s="131"/>
      <c r="N89" s="131"/>
      <c r="O89" s="131"/>
      <c r="P89" s="131"/>
      <c r="Q89" s="131"/>
      <c r="R89" s="131"/>
      <c r="S89" s="131"/>
    </row>
    <row r="90" spans="2:25" x14ac:dyDescent="0.2">
      <c r="B90" s="131"/>
      <c r="C90" s="131"/>
      <c r="D90" s="131"/>
      <c r="E90" s="131"/>
      <c r="F90" s="131"/>
      <c r="G90" s="131"/>
      <c r="H90" s="131"/>
      <c r="I90" s="131"/>
      <c r="J90" s="131"/>
      <c r="K90" s="131"/>
      <c r="L90" s="131"/>
      <c r="M90" s="131"/>
      <c r="N90" s="131"/>
      <c r="O90" s="131"/>
      <c r="P90" s="131"/>
      <c r="Q90" s="131"/>
      <c r="R90" s="131"/>
      <c r="S90" s="131"/>
    </row>
    <row r="91" spans="2:25" x14ac:dyDescent="0.2">
      <c r="B91" s="131"/>
      <c r="C91" s="131"/>
      <c r="D91" s="131"/>
      <c r="E91" s="131"/>
      <c r="F91" s="131"/>
      <c r="G91" s="131"/>
      <c r="H91" s="131"/>
      <c r="I91" s="131"/>
      <c r="J91" s="131"/>
      <c r="K91" s="131"/>
      <c r="L91" s="131"/>
      <c r="M91" s="131"/>
      <c r="N91" s="131"/>
      <c r="O91" s="131"/>
      <c r="P91" s="131"/>
      <c r="Q91" s="131"/>
      <c r="R91" s="131"/>
      <c r="S91" s="131"/>
    </row>
    <row r="92" spans="2:25" x14ac:dyDescent="0.2">
      <c r="B92" s="131"/>
      <c r="C92" s="131"/>
      <c r="D92" s="131"/>
      <c r="E92" s="131"/>
      <c r="F92" s="131"/>
      <c r="G92" s="131"/>
      <c r="H92" s="131"/>
      <c r="I92" s="131"/>
      <c r="J92" s="131"/>
      <c r="K92" s="131"/>
      <c r="L92" s="131"/>
      <c r="M92" s="131"/>
      <c r="N92" s="131"/>
      <c r="O92" s="131"/>
      <c r="P92" s="131"/>
      <c r="Q92" s="131"/>
      <c r="R92" s="131"/>
      <c r="S92" s="131"/>
    </row>
    <row r="93" spans="2:25" x14ac:dyDescent="0.2">
      <c r="B93" s="131"/>
      <c r="C93" s="131"/>
      <c r="D93" s="131"/>
      <c r="E93" s="131"/>
      <c r="F93" s="131"/>
      <c r="G93" s="131"/>
      <c r="H93" s="131"/>
      <c r="I93" s="131"/>
      <c r="J93" s="131"/>
      <c r="K93" s="131"/>
      <c r="L93" s="131"/>
      <c r="M93" s="131"/>
      <c r="N93" s="131"/>
      <c r="O93" s="131"/>
      <c r="P93" s="131"/>
      <c r="Q93" s="131"/>
      <c r="R93" s="131"/>
      <c r="S93" s="131"/>
    </row>
  </sheetData>
  <mergeCells count="69">
    <mergeCell ref="AU24:AZ24"/>
    <mergeCell ref="B52:P52"/>
    <mergeCell ref="T52:AB52"/>
    <mergeCell ref="AL25:AT25"/>
    <mergeCell ref="T3:Y3"/>
    <mergeCell ref="Z3:AE3"/>
    <mergeCell ref="AF3:AK3"/>
    <mergeCell ref="AI4:AK4"/>
    <mergeCell ref="N4:P4"/>
    <mergeCell ref="Q4:S4"/>
    <mergeCell ref="T4:V4"/>
    <mergeCell ref="W4:Y4"/>
    <mergeCell ref="Z4:AB4"/>
    <mergeCell ref="N3:S3"/>
    <mergeCell ref="B29:S29"/>
    <mergeCell ref="B30:S30"/>
    <mergeCell ref="Q31:S31"/>
    <mergeCell ref="AX1:AZ1"/>
    <mergeCell ref="AU2:AZ2"/>
    <mergeCell ref="AU3:AW3"/>
    <mergeCell ref="B1:AW1"/>
    <mergeCell ref="B2:S2"/>
    <mergeCell ref="T2:AK2"/>
    <mergeCell ref="AL2:AT2"/>
    <mergeCell ref="B3:G3"/>
    <mergeCell ref="H3:M3"/>
    <mergeCell ref="AL3:AT3"/>
    <mergeCell ref="AU4:AW4"/>
    <mergeCell ref="AX3:AZ3"/>
    <mergeCell ref="AX4:AZ4"/>
    <mergeCell ref="B4:D4"/>
    <mergeCell ref="E4:G4"/>
    <mergeCell ref="H4:J4"/>
    <mergeCell ref="K4:M4"/>
    <mergeCell ref="AR4:AT4"/>
    <mergeCell ref="AO4:AQ4"/>
    <mergeCell ref="AC4:AE4"/>
    <mergeCell ref="AF4:AH4"/>
    <mergeCell ref="B31:D31"/>
    <mergeCell ref="E31:G31"/>
    <mergeCell ref="H31:J31"/>
    <mergeCell ref="K31:M31"/>
    <mergeCell ref="N31:P31"/>
    <mergeCell ref="Z32:AB32"/>
    <mergeCell ref="AC32:AE32"/>
    <mergeCell ref="AC30:AK30"/>
    <mergeCell ref="AL4:AN4"/>
    <mergeCell ref="AL24:AT24"/>
    <mergeCell ref="B32:D32"/>
    <mergeCell ref="E32:G32"/>
    <mergeCell ref="H32:J32"/>
    <mergeCell ref="K32:M32"/>
    <mergeCell ref="N32:P32"/>
    <mergeCell ref="Q52:S52"/>
    <mergeCell ref="AC52:AE52"/>
    <mergeCell ref="AI52:AK52"/>
    <mergeCell ref="AF52:AH52"/>
    <mergeCell ref="T24:AK24"/>
    <mergeCell ref="AF32:AH32"/>
    <mergeCell ref="AI32:AK32"/>
    <mergeCell ref="AF31:AH31"/>
    <mergeCell ref="AI31:AK31"/>
    <mergeCell ref="AC29:AK29"/>
    <mergeCell ref="T29:AB29"/>
    <mergeCell ref="T30:AB30"/>
    <mergeCell ref="AC31:AE31"/>
    <mergeCell ref="Q32:S32"/>
    <mergeCell ref="T32:V32"/>
    <mergeCell ref="W32:Y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L51"/>
  <sheetViews>
    <sheetView workbookViewId="0">
      <selection activeCell="G12" sqref="G12"/>
    </sheetView>
  </sheetViews>
  <sheetFormatPr baseColWidth="10" defaultColWidth="8.83203125" defaultRowHeight="15" x14ac:dyDescent="0.2"/>
  <cols>
    <col min="1" max="1" width="43.83203125" bestFit="1" customWidth="1"/>
    <col min="2" max="2" width="13.33203125" bestFit="1" customWidth="1"/>
    <col min="4" max="4" width="3.5" style="1007" customWidth="1"/>
    <col min="5" max="5" width="26.5" style="1007" bestFit="1" customWidth="1"/>
    <col min="6" max="6" width="14" bestFit="1" customWidth="1"/>
    <col min="11" max="11" width="9" bestFit="1" customWidth="1"/>
    <col min="12" max="12" width="10.5" bestFit="1" customWidth="1"/>
  </cols>
  <sheetData>
    <row r="1" spans="1:12" x14ac:dyDescent="0.2">
      <c r="A1" s="286" t="s">
        <v>925</v>
      </c>
    </row>
    <row r="3" spans="1:12" x14ac:dyDescent="0.2">
      <c r="A3" t="s">
        <v>952</v>
      </c>
    </row>
    <row r="4" spans="1:12" x14ac:dyDescent="0.2">
      <c r="B4" t="s">
        <v>962</v>
      </c>
      <c r="F4" s="1007" t="s">
        <v>970</v>
      </c>
    </row>
    <row r="5" spans="1:12" x14ac:dyDescent="0.2">
      <c r="A5" s="1077"/>
      <c r="B5" s="1078" t="s">
        <v>953</v>
      </c>
      <c r="E5" s="1077"/>
      <c r="F5" s="1078" t="s">
        <v>953</v>
      </c>
    </row>
    <row r="6" spans="1:12" x14ac:dyDescent="0.2">
      <c r="A6" s="286" t="s">
        <v>954</v>
      </c>
      <c r="B6" s="450"/>
      <c r="F6" s="450"/>
    </row>
    <row r="7" spans="1:12" s="1007" customFormat="1" x14ac:dyDescent="0.2">
      <c r="A7" s="1082" t="s">
        <v>963</v>
      </c>
      <c r="B7" s="957">
        <v>-178200</v>
      </c>
      <c r="E7" s="1007" t="s">
        <v>972</v>
      </c>
      <c r="F7" s="1091">
        <f>+'FINAL-Distributed E&amp;G Budget'!F26</f>
        <v>1292000</v>
      </c>
      <c r="G7" s="1086" t="s">
        <v>994</v>
      </c>
    </row>
    <row r="8" spans="1:12" s="1007" customFormat="1" x14ac:dyDescent="0.2">
      <c r="A8" s="1079" t="s">
        <v>123</v>
      </c>
      <c r="B8" s="957">
        <v>1116137</v>
      </c>
      <c r="E8" s="1007" t="s">
        <v>594</v>
      </c>
      <c r="F8" s="1091">
        <f>+'FINAL-Distributed E&amp;G Budget'!H26</f>
        <v>375000</v>
      </c>
      <c r="G8" s="1086" t="s">
        <v>994</v>
      </c>
    </row>
    <row r="9" spans="1:12" s="1007" customFormat="1" x14ac:dyDescent="0.2">
      <c r="A9" s="1079" t="s">
        <v>955</v>
      </c>
      <c r="B9" s="957">
        <v>3766000</v>
      </c>
      <c r="E9" s="1007" t="s">
        <v>773</v>
      </c>
      <c r="F9" s="1091">
        <f>+'FINAL-Distributed E&amp;G Budget'!Y26</f>
        <v>110000</v>
      </c>
      <c r="G9" s="1086" t="s">
        <v>994</v>
      </c>
    </row>
    <row r="10" spans="1:12" s="1007" customFormat="1" x14ac:dyDescent="0.2">
      <c r="A10" s="1082" t="s">
        <v>971</v>
      </c>
      <c r="B10" s="147">
        <v>1292000</v>
      </c>
      <c r="E10" s="1085" t="s">
        <v>986</v>
      </c>
      <c r="F10" s="957">
        <v>6761406</v>
      </c>
      <c r="G10" s="1086" t="s">
        <v>988</v>
      </c>
      <c r="L10" s="556"/>
    </row>
    <row r="11" spans="1:12" s="1007" customFormat="1" x14ac:dyDescent="0.2">
      <c r="A11" s="1082" t="s">
        <v>127</v>
      </c>
      <c r="B11" s="147">
        <v>0</v>
      </c>
      <c r="E11" s="1007" t="s">
        <v>987</v>
      </c>
      <c r="F11" s="957">
        <v>2873646</v>
      </c>
      <c r="G11" s="1086" t="s">
        <v>988</v>
      </c>
    </row>
    <row r="12" spans="1:12" s="1007" customFormat="1" x14ac:dyDescent="0.2">
      <c r="A12" s="1082" t="s">
        <v>594</v>
      </c>
      <c r="B12" s="147">
        <v>375000</v>
      </c>
      <c r="E12" s="1007" t="s">
        <v>1014</v>
      </c>
      <c r="F12" s="1099">
        <v>4464396</v>
      </c>
      <c r="G12" s="1086" t="s">
        <v>1013</v>
      </c>
    </row>
    <row r="13" spans="1:12" s="1007" customFormat="1" x14ac:dyDescent="0.2">
      <c r="A13" s="1082" t="s">
        <v>964</v>
      </c>
      <c r="B13" s="147">
        <v>0</v>
      </c>
      <c r="E13" s="1079" t="s">
        <v>958</v>
      </c>
      <c r="F13" s="840">
        <f>SUM(F6:F12)</f>
        <v>15876448</v>
      </c>
      <c r="G13" s="367"/>
    </row>
    <row r="14" spans="1:12" s="1007" customFormat="1" x14ac:dyDescent="0.2">
      <c r="A14" s="1079" t="s">
        <v>957</v>
      </c>
      <c r="B14" s="147">
        <v>2660100</v>
      </c>
      <c r="E14" s="1007" t="s">
        <v>973</v>
      </c>
      <c r="F14" s="556">
        <v>-1674356</v>
      </c>
    </row>
    <row r="15" spans="1:12" x14ac:dyDescent="0.2">
      <c r="A15" s="1079" t="s">
        <v>773</v>
      </c>
      <c r="B15" s="147">
        <v>110000</v>
      </c>
      <c r="E15" s="1007" t="s">
        <v>974</v>
      </c>
      <c r="F15" s="556">
        <f>-ROUND(SUM(F13:F14)*0.1,0)</f>
        <v>-1420209</v>
      </c>
    </row>
    <row r="16" spans="1:12" ht="16" thickBot="1" x14ac:dyDescent="0.25">
      <c r="A16" s="1079" t="s">
        <v>956</v>
      </c>
      <c r="B16" s="147">
        <f>3353700-110000</f>
        <v>3243700</v>
      </c>
      <c r="E16" s="1007" t="s">
        <v>975</v>
      </c>
      <c r="F16" s="1081">
        <f>SUM(F13:F15)</f>
        <v>12781883</v>
      </c>
    </row>
    <row r="17" spans="1:12" s="1007" customFormat="1" x14ac:dyDescent="0.2">
      <c r="A17" s="1082" t="s">
        <v>965</v>
      </c>
      <c r="B17" s="147">
        <v>0</v>
      </c>
      <c r="F17" s="147"/>
    </row>
    <row r="18" spans="1:12" s="1007" customFormat="1" x14ac:dyDescent="0.2">
      <c r="A18" s="1082" t="s">
        <v>966</v>
      </c>
      <c r="B18" s="147">
        <v>0</v>
      </c>
      <c r="F18" s="1090" t="str">
        <f>IF(F16='FINAL-Distributed E&amp;G Budget'!AJ26-'FINAL-Distributed E&amp;G Budget'!AH26,"","Check")</f>
        <v/>
      </c>
    </row>
    <row r="19" spans="1:12" s="1007" customFormat="1" x14ac:dyDescent="0.2">
      <c r="A19" s="1082" t="s">
        <v>766</v>
      </c>
      <c r="B19" s="147">
        <v>-99080</v>
      </c>
      <c r="F19" s="367"/>
    </row>
    <row r="20" spans="1:12" x14ac:dyDescent="0.2">
      <c r="A20" s="1079" t="s">
        <v>958</v>
      </c>
      <c r="B20" s="840">
        <f>SUM(B7:B19)</f>
        <v>12285657</v>
      </c>
      <c r="F20" s="367"/>
    </row>
    <row r="21" spans="1:12" x14ac:dyDescent="0.2">
      <c r="A21" s="1079" t="s">
        <v>959</v>
      </c>
      <c r="B21" s="1099">
        <v>438883</v>
      </c>
      <c r="C21" s="1086" t="s">
        <v>1013</v>
      </c>
      <c r="D21" s="367"/>
    </row>
    <row r="22" spans="1:12" x14ac:dyDescent="0.2">
      <c r="A22" s="1079" t="s">
        <v>960</v>
      </c>
      <c r="B22" s="686">
        <v>0</v>
      </c>
    </row>
    <row r="23" spans="1:12" ht="16" thickBot="1" x14ac:dyDescent="0.25">
      <c r="A23" s="1080" t="s">
        <v>961</v>
      </c>
      <c r="B23" s="1081">
        <f>SUM(B20:B22)</f>
        <v>12724540</v>
      </c>
    </row>
    <row r="25" spans="1:12" x14ac:dyDescent="0.2">
      <c r="A25" s="1079" t="s">
        <v>967</v>
      </c>
    </row>
    <row r="26" spans="1:12" x14ac:dyDescent="0.2">
      <c r="A26" s="1079" t="s">
        <v>968</v>
      </c>
    </row>
    <row r="27" spans="1:12" x14ac:dyDescent="0.2">
      <c r="A27" s="1079" t="s">
        <v>969</v>
      </c>
    </row>
    <row r="30" spans="1:12" x14ac:dyDescent="0.2">
      <c r="A30" s="1076" t="s">
        <v>976</v>
      </c>
      <c r="B30" s="1076"/>
    </row>
    <row r="31" spans="1:12" x14ac:dyDescent="0.2">
      <c r="A31" s="1076"/>
      <c r="B31" s="1076" t="s">
        <v>962</v>
      </c>
      <c r="G31" s="1076"/>
      <c r="H31" s="1076"/>
      <c r="I31" s="1076"/>
      <c r="J31" s="1076"/>
      <c r="K31" s="1076"/>
      <c r="L31" s="1076"/>
    </row>
    <row r="32" spans="1:12" x14ac:dyDescent="0.2">
      <c r="A32" s="1077"/>
      <c r="B32" s="1078" t="s">
        <v>953</v>
      </c>
      <c r="E32" s="1076"/>
      <c r="F32" s="1076" t="s">
        <v>970</v>
      </c>
      <c r="G32" s="1076"/>
      <c r="H32" s="1076"/>
      <c r="I32" s="1076"/>
      <c r="J32" s="1076"/>
      <c r="K32" s="1076"/>
      <c r="L32" s="1076"/>
    </row>
    <row r="33" spans="1:12" x14ac:dyDescent="0.2">
      <c r="A33" s="286" t="s">
        <v>954</v>
      </c>
      <c r="B33" s="450"/>
      <c r="E33" s="1077"/>
      <c r="F33" s="1078" t="s">
        <v>953</v>
      </c>
      <c r="G33" s="1076"/>
      <c r="H33" s="1076"/>
      <c r="I33" s="1076"/>
      <c r="J33" s="1076"/>
      <c r="K33" s="1076"/>
      <c r="L33" s="1076"/>
    </row>
    <row r="34" spans="1:12" x14ac:dyDescent="0.2">
      <c r="A34" s="1082" t="s">
        <v>963</v>
      </c>
      <c r="B34" s="957">
        <v>-1143220</v>
      </c>
      <c r="E34" s="1076"/>
      <c r="F34" s="450"/>
      <c r="G34" s="1076"/>
      <c r="H34" s="1076"/>
      <c r="I34" s="1076"/>
      <c r="J34" s="1076"/>
      <c r="K34" s="1076"/>
      <c r="L34" s="1076"/>
    </row>
    <row r="35" spans="1:12" x14ac:dyDescent="0.2">
      <c r="A35" s="1079" t="s">
        <v>123</v>
      </c>
      <c r="B35" s="957">
        <v>5190537</v>
      </c>
      <c r="E35" s="1076" t="s">
        <v>972</v>
      </c>
      <c r="F35" s="1091">
        <f>+'FINAL-Distributed E&amp;G Budget'!F28</f>
        <v>10258350</v>
      </c>
      <c r="G35" s="1086" t="s">
        <v>994</v>
      </c>
      <c r="H35" s="1076"/>
      <c r="I35" s="1076"/>
      <c r="J35" s="1076"/>
      <c r="K35" s="1076"/>
      <c r="L35" s="1076"/>
    </row>
    <row r="36" spans="1:12" x14ac:dyDescent="0.2">
      <c r="A36" s="1079" t="s">
        <v>955</v>
      </c>
      <c r="B36" s="957">
        <v>4068000</v>
      </c>
      <c r="E36" s="1076" t="s">
        <v>594</v>
      </c>
      <c r="F36" s="1091">
        <f>+'FINAL-Distributed E&amp;G Budget'!H28</f>
        <v>130000</v>
      </c>
      <c r="G36" s="1086" t="s">
        <v>994</v>
      </c>
      <c r="H36" s="1076"/>
      <c r="I36" s="1076"/>
      <c r="J36" s="1076"/>
      <c r="K36" s="1076"/>
      <c r="L36" s="1076"/>
    </row>
    <row r="37" spans="1:12" x14ac:dyDescent="0.2">
      <c r="A37" s="1082" t="s">
        <v>971</v>
      </c>
      <c r="B37" s="147">
        <v>10258350</v>
      </c>
      <c r="E37" s="1076" t="s">
        <v>773</v>
      </c>
      <c r="F37" s="1091">
        <f>+'FINAL-Distributed E&amp;G Budget'!Y28</f>
        <v>0</v>
      </c>
      <c r="G37" s="1086" t="s">
        <v>994</v>
      </c>
      <c r="H37" s="1076"/>
      <c r="I37" s="1076"/>
      <c r="J37" s="1076"/>
      <c r="K37" s="1076"/>
      <c r="L37" s="556"/>
    </row>
    <row r="38" spans="1:12" x14ac:dyDescent="0.2">
      <c r="A38" s="1082" t="s">
        <v>127</v>
      </c>
      <c r="B38" s="147">
        <v>0</v>
      </c>
      <c r="E38" s="1085" t="s">
        <v>986</v>
      </c>
      <c r="F38" s="957">
        <v>4692131</v>
      </c>
      <c r="G38" s="1086" t="s">
        <v>988</v>
      </c>
      <c r="H38" s="1076"/>
      <c r="I38" s="1076"/>
      <c r="J38" s="1076"/>
      <c r="K38" s="1076"/>
      <c r="L38" s="1076"/>
    </row>
    <row r="39" spans="1:12" x14ac:dyDescent="0.2">
      <c r="A39" s="1082" t="s">
        <v>594</v>
      </c>
      <c r="B39" s="147">
        <v>130000</v>
      </c>
      <c r="E39" s="1085" t="s">
        <v>987</v>
      </c>
      <c r="F39" s="957">
        <v>5644395</v>
      </c>
      <c r="G39" s="1086" t="s">
        <v>988</v>
      </c>
      <c r="H39" s="1076"/>
      <c r="I39" s="1076"/>
      <c r="J39" s="1076"/>
      <c r="K39" s="367"/>
      <c r="L39" s="367"/>
    </row>
    <row r="40" spans="1:12" x14ac:dyDescent="0.2">
      <c r="A40" s="1082" t="s">
        <v>964</v>
      </c>
      <c r="B40" s="147">
        <v>0</v>
      </c>
      <c r="E40" s="1097" t="s">
        <v>1014</v>
      </c>
      <c r="F40" s="1099">
        <v>1866781</v>
      </c>
      <c r="G40" s="1086" t="s">
        <v>1013</v>
      </c>
      <c r="H40" s="1076"/>
      <c r="I40" s="1076"/>
      <c r="J40" s="1076"/>
      <c r="K40" s="367"/>
      <c r="L40" s="367"/>
    </row>
    <row r="41" spans="1:12" x14ac:dyDescent="0.2">
      <c r="A41" s="1079" t="s">
        <v>957</v>
      </c>
      <c r="B41" s="147">
        <v>6808500</v>
      </c>
      <c r="E41" s="1007" t="s">
        <v>982</v>
      </c>
      <c r="F41" s="1091">
        <f>+'Step 0 Revenue Detail'!H23</f>
        <v>1465519</v>
      </c>
      <c r="G41" s="1086" t="s">
        <v>994</v>
      </c>
      <c r="H41" s="1076"/>
      <c r="I41" s="1076"/>
      <c r="J41" s="1076"/>
      <c r="K41" s="367"/>
      <c r="L41" s="367"/>
    </row>
    <row r="42" spans="1:12" x14ac:dyDescent="0.2">
      <c r="A42" s="1079" t="s">
        <v>773</v>
      </c>
      <c r="B42" s="147">
        <v>0</v>
      </c>
      <c r="E42" s="1079" t="s">
        <v>958</v>
      </c>
      <c r="F42" s="840">
        <f>SUM(F34:F41)</f>
        <v>24057176</v>
      </c>
      <c r="G42" s="1076"/>
      <c r="H42" s="1076"/>
      <c r="I42" s="1076"/>
      <c r="J42" s="1076"/>
      <c r="K42" s="367"/>
      <c r="L42" s="367"/>
    </row>
    <row r="43" spans="1:12" x14ac:dyDescent="0.2">
      <c r="A43" s="1079" t="s">
        <v>956</v>
      </c>
      <c r="B43" s="147">
        <v>2568300</v>
      </c>
      <c r="E43" s="1076" t="s">
        <v>974</v>
      </c>
      <c r="F43" s="556">
        <f>-ROUND(SUM(F42:F42)*0.1,0)</f>
        <v>-2405718</v>
      </c>
    </row>
    <row r="44" spans="1:12" ht="16" thickBot="1" x14ac:dyDescent="0.25">
      <c r="A44" s="1082" t="s">
        <v>965</v>
      </c>
      <c r="B44" s="147">
        <v>0</v>
      </c>
      <c r="E44" s="1076" t="s">
        <v>975</v>
      </c>
      <c r="F44" s="1081">
        <f>SUM(F42:F43)</f>
        <v>21651458</v>
      </c>
    </row>
    <row r="45" spans="1:12" x14ac:dyDescent="0.2">
      <c r="A45" s="1082" t="s">
        <v>966</v>
      </c>
      <c r="B45" s="147">
        <v>0</v>
      </c>
    </row>
    <row r="46" spans="1:12" x14ac:dyDescent="0.2">
      <c r="A46" s="1082" t="s">
        <v>766</v>
      </c>
      <c r="B46" s="147">
        <v>-223040</v>
      </c>
      <c r="E46" s="1007" t="s">
        <v>983</v>
      </c>
      <c r="F46" s="957">
        <f>+'FINAL-Distributed E&amp;G Budget'!O28</f>
        <v>6750000</v>
      </c>
    </row>
    <row r="47" spans="1:12" x14ac:dyDescent="0.2">
      <c r="A47" s="1079" t="s">
        <v>958</v>
      </c>
      <c r="B47" s="840">
        <f>SUM(B34:B46)</f>
        <v>27657427</v>
      </c>
    </row>
    <row r="48" spans="1:12" x14ac:dyDescent="0.2">
      <c r="A48" s="1079" t="s">
        <v>959</v>
      </c>
      <c r="B48" s="1099">
        <v>526809</v>
      </c>
      <c r="C48" s="1086" t="s">
        <v>1013</v>
      </c>
      <c r="E48" s="1007" t="s">
        <v>984</v>
      </c>
      <c r="F48" s="556">
        <f>+F44+F46</f>
        <v>28401458</v>
      </c>
    </row>
    <row r="49" spans="1:6" x14ac:dyDescent="0.2">
      <c r="A49" s="1079" t="s">
        <v>960</v>
      </c>
      <c r="B49" s="686">
        <v>0</v>
      </c>
    </row>
    <row r="50" spans="1:6" ht="16" thickBot="1" x14ac:dyDescent="0.25">
      <c r="A50" s="1080" t="s">
        <v>961</v>
      </c>
      <c r="B50" s="1081">
        <f>SUM(B47:B49)</f>
        <v>28184236</v>
      </c>
      <c r="F50" s="543" t="str">
        <f>IF(F48='FINAL-Distributed E&amp;G Budget'!AJ28-'FINAL-Distributed E&amp;G Budget'!AH28,"","Check")</f>
        <v/>
      </c>
    </row>
    <row r="51" spans="1:6" x14ac:dyDescent="0.2">
      <c r="F51" s="108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O156"/>
  <sheetViews>
    <sheetView workbookViewId="0">
      <selection activeCell="D149" sqref="D149"/>
    </sheetView>
  </sheetViews>
  <sheetFormatPr baseColWidth="10" defaultColWidth="8.83203125" defaultRowHeight="15" outlineLevelRow="1" x14ac:dyDescent="0.2"/>
  <cols>
    <col min="1" max="1" width="14.5" customWidth="1"/>
    <col min="2" max="2" width="7.5" bestFit="1" customWidth="1"/>
    <col min="3" max="3" width="26.1640625" customWidth="1"/>
    <col min="4" max="4" width="24.5" customWidth="1"/>
    <col min="5" max="5" width="9.5" customWidth="1"/>
    <col min="6" max="6" width="9.83203125" customWidth="1"/>
    <col min="7" max="7" width="10" customWidth="1"/>
  </cols>
  <sheetData>
    <row r="1" spans="1:15" ht="15" customHeight="1" x14ac:dyDescent="0.2">
      <c r="C1" s="427"/>
      <c r="L1" s="1185" t="s">
        <v>539</v>
      </c>
      <c r="M1" s="1185"/>
      <c r="N1" s="1185"/>
      <c r="O1" s="1185"/>
    </row>
    <row r="2" spans="1:15" x14ac:dyDescent="0.2">
      <c r="L2" s="1185"/>
      <c r="M2" s="1185"/>
      <c r="N2" s="1185"/>
      <c r="O2" s="1185"/>
    </row>
    <row r="3" spans="1:15" x14ac:dyDescent="0.2">
      <c r="L3" s="1185"/>
      <c r="M3" s="1185"/>
      <c r="N3" s="1185"/>
      <c r="O3" s="1185"/>
    </row>
    <row r="4" spans="1:15" x14ac:dyDescent="0.2">
      <c r="A4" s="605" t="s">
        <v>628</v>
      </c>
      <c r="B4" s="291"/>
      <c r="C4" s="291" t="s">
        <v>629</v>
      </c>
      <c r="D4" s="291" t="s">
        <v>630</v>
      </c>
      <c r="E4" s="291"/>
      <c r="F4" s="291"/>
      <c r="L4" s="1185"/>
      <c r="M4" s="1185"/>
      <c r="N4" s="1185"/>
      <c r="O4" s="1185"/>
    </row>
    <row r="5" spans="1:15" s="1006" customFormat="1" x14ac:dyDescent="0.2">
      <c r="A5" s="1006" t="s">
        <v>778</v>
      </c>
      <c r="B5" s="50"/>
      <c r="C5" s="50"/>
      <c r="D5" s="50"/>
      <c r="E5" s="50"/>
      <c r="F5" s="50"/>
      <c r="L5" s="1005"/>
      <c r="M5" s="1005"/>
      <c r="N5" s="1005"/>
      <c r="O5" s="1005"/>
    </row>
    <row r="6" spans="1:15" hidden="1" outlineLevel="1" x14ac:dyDescent="0.2">
      <c r="A6" s="602">
        <v>44341</v>
      </c>
      <c r="B6" t="s">
        <v>652</v>
      </c>
      <c r="C6" t="s">
        <v>177</v>
      </c>
      <c r="D6" t="s">
        <v>779</v>
      </c>
      <c r="L6" s="603"/>
      <c r="M6" s="603"/>
      <c r="N6" s="603"/>
      <c r="O6" s="603"/>
    </row>
    <row r="7" spans="1:15" hidden="1" outlineLevel="1" x14ac:dyDescent="0.2">
      <c r="A7" s="602"/>
      <c r="C7" t="s">
        <v>177</v>
      </c>
      <c r="D7" t="s">
        <v>780</v>
      </c>
      <c r="L7" s="603"/>
      <c r="M7" s="603"/>
      <c r="N7" s="603"/>
      <c r="O7" s="603"/>
    </row>
    <row r="8" spans="1:15" hidden="1" outlineLevel="1" x14ac:dyDescent="0.2">
      <c r="A8" s="602">
        <v>44350</v>
      </c>
      <c r="B8" t="s">
        <v>652</v>
      </c>
      <c r="C8" s="580" t="s">
        <v>781</v>
      </c>
      <c r="D8" s="580" t="s">
        <v>784</v>
      </c>
      <c r="E8" s="580"/>
      <c r="F8" s="580"/>
      <c r="G8" s="580"/>
      <c r="H8" s="580"/>
      <c r="L8" s="603"/>
      <c r="M8" s="603"/>
      <c r="N8" s="603"/>
      <c r="O8" s="603"/>
    </row>
    <row r="9" spans="1:15" hidden="1" outlineLevel="1" x14ac:dyDescent="0.2">
      <c r="A9" s="602"/>
      <c r="C9" s="580" t="s">
        <v>782</v>
      </c>
      <c r="D9" s="580" t="s">
        <v>783</v>
      </c>
      <c r="E9" s="580"/>
      <c r="F9" s="580"/>
      <c r="G9" s="580"/>
      <c r="H9" s="580"/>
    </row>
    <row r="10" spans="1:15" s="554" customFormat="1" hidden="1" outlineLevel="1" x14ac:dyDescent="0.2">
      <c r="A10" s="602">
        <v>44363</v>
      </c>
      <c r="B10" s="554" t="s">
        <v>652</v>
      </c>
      <c r="C10" s="580" t="s">
        <v>664</v>
      </c>
      <c r="D10" s="580" t="s">
        <v>785</v>
      </c>
    </row>
    <row r="11" spans="1:15" hidden="1" outlineLevel="1" x14ac:dyDescent="0.2">
      <c r="C11" s="38" t="s">
        <v>781</v>
      </c>
      <c r="D11" s="580" t="s">
        <v>790</v>
      </c>
    </row>
    <row r="12" spans="1:15" hidden="1" outlineLevel="1" x14ac:dyDescent="0.2">
      <c r="A12" s="601">
        <v>44368</v>
      </c>
      <c r="B12" s="554" t="s">
        <v>652</v>
      </c>
      <c r="C12" s="580" t="s">
        <v>782</v>
      </c>
      <c r="D12" s="580" t="s">
        <v>791</v>
      </c>
    </row>
    <row r="13" spans="1:15" hidden="1" outlineLevel="1" x14ac:dyDescent="0.2">
      <c r="A13" s="601"/>
      <c r="B13" s="554"/>
      <c r="C13" s="580" t="s">
        <v>531</v>
      </c>
      <c r="D13" s="580" t="s">
        <v>792</v>
      </c>
    </row>
    <row r="14" spans="1:15" hidden="1" outlineLevel="1" x14ac:dyDescent="0.2">
      <c r="A14" s="601"/>
      <c r="B14" s="554"/>
      <c r="C14" s="580" t="s">
        <v>210</v>
      </c>
      <c r="D14" s="580" t="s">
        <v>794</v>
      </c>
    </row>
    <row r="15" spans="1:15" hidden="1" outlineLevel="1" x14ac:dyDescent="0.2">
      <c r="A15" s="601">
        <v>44369</v>
      </c>
      <c r="B15" s="554" t="s">
        <v>652</v>
      </c>
      <c r="C15" s="580" t="s">
        <v>781</v>
      </c>
      <c r="D15" s="580" t="s">
        <v>796</v>
      </c>
    </row>
    <row r="16" spans="1:15" hidden="1" outlineLevel="1" x14ac:dyDescent="0.2">
      <c r="A16" s="601"/>
      <c r="B16" s="554"/>
      <c r="C16" s="580" t="s">
        <v>532</v>
      </c>
      <c r="D16" s="580" t="s">
        <v>796</v>
      </c>
    </row>
    <row r="17" spans="1:12" hidden="1" outlineLevel="1" x14ac:dyDescent="0.2">
      <c r="A17" s="601"/>
      <c r="B17" s="554"/>
      <c r="C17" s="580" t="s">
        <v>795</v>
      </c>
      <c r="D17" s="580" t="s">
        <v>796</v>
      </c>
    </row>
    <row r="18" spans="1:12" hidden="1" outlineLevel="1" x14ac:dyDescent="0.2">
      <c r="A18" s="601"/>
      <c r="B18" s="554"/>
      <c r="C18" s="580" t="s">
        <v>142</v>
      </c>
      <c r="D18" s="580" t="s">
        <v>796</v>
      </c>
    </row>
    <row r="19" spans="1:12" hidden="1" outlineLevel="1" x14ac:dyDescent="0.2">
      <c r="A19" s="601">
        <v>44370</v>
      </c>
      <c r="B19" s="554" t="s">
        <v>652</v>
      </c>
      <c r="C19" s="580" t="s">
        <v>528</v>
      </c>
      <c r="D19" s="580" t="s">
        <v>798</v>
      </c>
    </row>
    <row r="20" spans="1:12" hidden="1" outlineLevel="1" x14ac:dyDescent="0.2">
      <c r="A20" s="601"/>
      <c r="B20" s="554"/>
      <c r="C20" s="580" t="s">
        <v>528</v>
      </c>
      <c r="D20" s="580" t="s">
        <v>799</v>
      </c>
    </row>
    <row r="21" spans="1:12" hidden="1" outlineLevel="1" x14ac:dyDescent="0.2">
      <c r="A21" s="601"/>
      <c r="B21" s="554"/>
      <c r="C21" s="580" t="s">
        <v>177</v>
      </c>
      <c r="D21" s="580" t="s">
        <v>800</v>
      </c>
    </row>
    <row r="22" spans="1:12" hidden="1" outlineLevel="1" x14ac:dyDescent="0.2">
      <c r="A22" s="601">
        <v>44372</v>
      </c>
      <c r="B22" s="554" t="s">
        <v>652</v>
      </c>
      <c r="C22" s="580" t="s">
        <v>528</v>
      </c>
      <c r="D22" s="580" t="s">
        <v>802</v>
      </c>
    </row>
    <row r="23" spans="1:12" hidden="1" outlineLevel="1" x14ac:dyDescent="0.2">
      <c r="A23" s="601">
        <v>44376</v>
      </c>
      <c r="B23" s="554" t="s">
        <v>652</v>
      </c>
      <c r="C23" s="580" t="s">
        <v>528</v>
      </c>
      <c r="D23" s="580" t="s">
        <v>803</v>
      </c>
    </row>
    <row r="24" spans="1:12" hidden="1" outlineLevel="1" x14ac:dyDescent="0.2">
      <c r="A24" s="601"/>
      <c r="B24" s="554"/>
      <c r="C24" s="580" t="s">
        <v>804</v>
      </c>
      <c r="D24" s="580" t="s">
        <v>805</v>
      </c>
    </row>
    <row r="25" spans="1:12" hidden="1" outlineLevel="1" x14ac:dyDescent="0.2">
      <c r="A25" s="601"/>
      <c r="B25" s="554"/>
      <c r="C25" s="580" t="s">
        <v>781</v>
      </c>
      <c r="D25" s="580" t="s">
        <v>805</v>
      </c>
    </row>
    <row r="26" spans="1:12" hidden="1" outlineLevel="1" x14ac:dyDescent="0.2">
      <c r="A26" s="601"/>
      <c r="B26" s="554"/>
      <c r="C26" s="580" t="s">
        <v>804</v>
      </c>
      <c r="D26" s="580" t="s">
        <v>806</v>
      </c>
    </row>
    <row r="27" spans="1:12" hidden="1" outlineLevel="1" x14ac:dyDescent="0.2">
      <c r="A27" s="601"/>
      <c r="B27" s="554"/>
      <c r="D27" s="547" t="s">
        <v>830</v>
      </c>
      <c r="E27" s="547"/>
      <c r="F27" s="547"/>
      <c r="G27" s="547"/>
      <c r="H27" s="547"/>
      <c r="I27" s="547"/>
      <c r="J27" s="547"/>
      <c r="K27" s="547"/>
      <c r="L27" s="547"/>
    </row>
    <row r="28" spans="1:12" hidden="1" outlineLevel="1" x14ac:dyDescent="0.2">
      <c r="A28" s="601">
        <v>44377</v>
      </c>
      <c r="B28" s="554" t="s">
        <v>652</v>
      </c>
      <c r="C28" s="580" t="s">
        <v>664</v>
      </c>
      <c r="D28" s="580" t="s">
        <v>811</v>
      </c>
    </row>
    <row r="29" spans="1:12" s="721" customFormat="1" hidden="1" outlineLevel="1" x14ac:dyDescent="0.2">
      <c r="A29" s="601"/>
      <c r="D29" s="580" t="s">
        <v>812</v>
      </c>
    </row>
    <row r="30" spans="1:12" hidden="1" outlineLevel="1" x14ac:dyDescent="0.2">
      <c r="A30" s="601"/>
      <c r="B30" s="554"/>
      <c r="D30" s="580" t="s">
        <v>813</v>
      </c>
    </row>
    <row r="31" spans="1:12" hidden="1" outlineLevel="1" x14ac:dyDescent="0.2">
      <c r="A31" s="601">
        <v>44379</v>
      </c>
      <c r="B31" s="554" t="s">
        <v>652</v>
      </c>
      <c r="C31" t="s">
        <v>781</v>
      </c>
      <c r="D31" s="898" t="s">
        <v>814</v>
      </c>
    </row>
    <row r="32" spans="1:12" hidden="1" outlineLevel="1" x14ac:dyDescent="0.2">
      <c r="A32" s="602"/>
      <c r="B32" s="554"/>
      <c r="C32" s="580" t="s">
        <v>664</v>
      </c>
      <c r="D32" s="898" t="s">
        <v>815</v>
      </c>
    </row>
    <row r="33" spans="1:14" hidden="1" outlineLevel="1" x14ac:dyDescent="0.2">
      <c r="A33" s="602">
        <v>44383</v>
      </c>
      <c r="B33" s="554" t="s">
        <v>652</v>
      </c>
      <c r="C33" s="580" t="s">
        <v>781</v>
      </c>
      <c r="D33" s="547" t="s">
        <v>819</v>
      </c>
      <c r="E33" s="547"/>
      <c r="F33" s="547"/>
      <c r="G33" s="547"/>
      <c r="H33" s="547"/>
      <c r="I33" s="547"/>
    </row>
    <row r="34" spans="1:14" hidden="1" outlineLevel="1" x14ac:dyDescent="0.2">
      <c r="A34" s="601">
        <v>44385</v>
      </c>
      <c r="B34" s="554" t="s">
        <v>652</v>
      </c>
      <c r="C34" s="580" t="s">
        <v>528</v>
      </c>
      <c r="D34" s="898" t="s">
        <v>820</v>
      </c>
    </row>
    <row r="35" spans="1:14" hidden="1" outlineLevel="1" x14ac:dyDescent="0.2">
      <c r="A35" s="601"/>
      <c r="B35" s="554"/>
      <c r="C35" s="580" t="s">
        <v>664</v>
      </c>
      <c r="D35" s="898" t="s">
        <v>821</v>
      </c>
    </row>
    <row r="36" spans="1:14" s="964" customFormat="1" hidden="1" outlineLevel="1" x14ac:dyDescent="0.2">
      <c r="A36" s="601">
        <v>44392</v>
      </c>
      <c r="B36" s="964" t="s">
        <v>652</v>
      </c>
      <c r="C36" s="580" t="s">
        <v>530</v>
      </c>
      <c r="D36" s="898" t="s">
        <v>825</v>
      </c>
    </row>
    <row r="37" spans="1:14" s="964" customFormat="1" hidden="1" outlineLevel="1" x14ac:dyDescent="0.2">
      <c r="A37" s="601">
        <v>44393</v>
      </c>
      <c r="B37" s="964" t="s">
        <v>652</v>
      </c>
      <c r="C37" s="580" t="s">
        <v>530</v>
      </c>
      <c r="D37" s="898" t="s">
        <v>824</v>
      </c>
    </row>
    <row r="38" spans="1:14" s="964" customFormat="1" hidden="1" outlineLevel="1" x14ac:dyDescent="0.2">
      <c r="A38" s="601"/>
      <c r="C38" s="580" t="s">
        <v>530</v>
      </c>
      <c r="D38" s="898" t="s">
        <v>826</v>
      </c>
    </row>
    <row r="39" spans="1:14" s="964" customFormat="1" hidden="1" outlineLevel="1" x14ac:dyDescent="0.2">
      <c r="A39" s="601"/>
      <c r="B39" s="965"/>
      <c r="C39" s="580" t="s">
        <v>530</v>
      </c>
      <c r="D39" s="898" t="s">
        <v>827</v>
      </c>
    </row>
    <row r="40" spans="1:14" s="964" customFormat="1" hidden="1" outlineLevel="1" x14ac:dyDescent="0.2">
      <c r="A40" s="601"/>
      <c r="C40" s="580" t="s">
        <v>530</v>
      </c>
      <c r="D40" s="898" t="s">
        <v>828</v>
      </c>
    </row>
    <row r="41" spans="1:14" s="964" customFormat="1" hidden="1" outlineLevel="1" x14ac:dyDescent="0.2">
      <c r="A41" s="601">
        <v>44396</v>
      </c>
      <c r="B41" s="964" t="s">
        <v>652</v>
      </c>
      <c r="C41" s="580" t="s">
        <v>530</v>
      </c>
      <c r="D41" s="898" t="s">
        <v>829</v>
      </c>
    </row>
    <row r="42" spans="1:14" s="964" customFormat="1" hidden="1" outlineLevel="1" x14ac:dyDescent="0.2">
      <c r="A42" s="601"/>
      <c r="C42" s="580" t="s">
        <v>531</v>
      </c>
      <c r="D42" s="898" t="s">
        <v>831</v>
      </c>
    </row>
    <row r="43" spans="1:14" hidden="1" outlineLevel="1" x14ac:dyDescent="0.2">
      <c r="A43" s="601"/>
      <c r="B43" s="554"/>
      <c r="C43" s="580" t="s">
        <v>664</v>
      </c>
      <c r="D43" s="898" t="s">
        <v>835</v>
      </c>
      <c r="E43" s="580"/>
      <c r="F43" s="580"/>
      <c r="G43" s="580"/>
      <c r="H43" s="580"/>
      <c r="I43" s="580"/>
      <c r="J43" s="580"/>
      <c r="K43" s="580"/>
      <c r="L43" s="580"/>
      <c r="M43" s="580"/>
      <c r="N43" s="580"/>
    </row>
    <row r="44" spans="1:14" hidden="1" outlineLevel="1" x14ac:dyDescent="0.2">
      <c r="A44" s="601"/>
      <c r="B44" s="554"/>
      <c r="C44" s="580"/>
      <c r="D44" s="898" t="s">
        <v>834</v>
      </c>
      <c r="E44" s="580"/>
      <c r="F44" s="580"/>
      <c r="G44" s="580"/>
      <c r="H44" s="580"/>
      <c r="I44" s="580"/>
      <c r="J44" s="580"/>
      <c r="K44" s="580"/>
      <c r="L44" s="580"/>
      <c r="M44" s="580"/>
      <c r="N44" s="580"/>
    </row>
    <row r="45" spans="1:14" hidden="1" outlineLevel="1" x14ac:dyDescent="0.2">
      <c r="A45" s="601"/>
      <c r="B45" s="554"/>
      <c r="D45" s="898" t="s">
        <v>833</v>
      </c>
    </row>
    <row r="46" spans="1:14" hidden="1" outlineLevel="1" x14ac:dyDescent="0.2">
      <c r="B46" s="554"/>
      <c r="C46" s="580" t="s">
        <v>177</v>
      </c>
      <c r="D46" s="898" t="s">
        <v>836</v>
      </c>
    </row>
    <row r="47" spans="1:14" hidden="1" outlineLevel="1" x14ac:dyDescent="0.2">
      <c r="A47" s="601"/>
      <c r="B47" s="554"/>
      <c r="C47" s="580" t="s">
        <v>782</v>
      </c>
      <c r="D47" s="898" t="s">
        <v>837</v>
      </c>
    </row>
    <row r="48" spans="1:14" hidden="1" outlineLevel="1" x14ac:dyDescent="0.2">
      <c r="A48" s="601"/>
      <c r="B48" s="554"/>
      <c r="C48" s="580" t="s">
        <v>177</v>
      </c>
      <c r="D48" s="898" t="s">
        <v>838</v>
      </c>
    </row>
    <row r="49" spans="1:4" hidden="1" outlineLevel="1" x14ac:dyDescent="0.2">
      <c r="A49" s="601">
        <v>44403</v>
      </c>
      <c r="B49" s="554" t="s">
        <v>844</v>
      </c>
      <c r="C49" s="580" t="s">
        <v>664</v>
      </c>
      <c r="D49" s="898" t="s">
        <v>848</v>
      </c>
    </row>
    <row r="50" spans="1:4" s="969" customFormat="1" hidden="1" outlineLevel="1" x14ac:dyDescent="0.2">
      <c r="A50" s="601"/>
      <c r="C50" s="580"/>
      <c r="D50" s="898" t="s">
        <v>847</v>
      </c>
    </row>
    <row r="51" spans="1:4" s="969" customFormat="1" hidden="1" outlineLevel="1" x14ac:dyDescent="0.2">
      <c r="A51" s="601"/>
      <c r="C51" s="580" t="s">
        <v>531</v>
      </c>
      <c r="D51" s="898" t="s">
        <v>849</v>
      </c>
    </row>
    <row r="52" spans="1:4" s="969" customFormat="1" hidden="1" outlineLevel="1" x14ac:dyDescent="0.2">
      <c r="A52" s="601"/>
      <c r="C52" s="580" t="s">
        <v>782</v>
      </c>
      <c r="D52" s="898" t="s">
        <v>850</v>
      </c>
    </row>
    <row r="53" spans="1:4" hidden="1" outlineLevel="1" x14ac:dyDescent="0.2">
      <c r="A53" s="601">
        <v>44404</v>
      </c>
      <c r="B53" s="554" t="s">
        <v>652</v>
      </c>
      <c r="C53" s="580" t="s">
        <v>530</v>
      </c>
      <c r="D53" s="898" t="s">
        <v>852</v>
      </c>
    </row>
    <row r="54" spans="1:4" hidden="1" outlineLevel="1" x14ac:dyDescent="0.2">
      <c r="A54" s="601"/>
      <c r="B54" s="554"/>
      <c r="C54" s="580" t="s">
        <v>142</v>
      </c>
      <c r="D54" s="898" t="s">
        <v>853</v>
      </c>
    </row>
    <row r="55" spans="1:4" hidden="1" outlineLevel="1" x14ac:dyDescent="0.2">
      <c r="A55" s="601"/>
      <c r="B55" s="554"/>
      <c r="C55" s="580" t="s">
        <v>782</v>
      </c>
      <c r="D55" s="898" t="s">
        <v>857</v>
      </c>
    </row>
    <row r="56" spans="1:4" s="976" customFormat="1" hidden="1" outlineLevel="1" x14ac:dyDescent="0.2">
      <c r="A56" s="601"/>
      <c r="C56" s="580" t="s">
        <v>781</v>
      </c>
      <c r="D56" s="898" t="s">
        <v>858</v>
      </c>
    </row>
    <row r="57" spans="1:4" s="976" customFormat="1" hidden="1" outlineLevel="1" x14ac:dyDescent="0.2">
      <c r="A57" s="601"/>
      <c r="C57" s="580" t="s">
        <v>530</v>
      </c>
      <c r="D57" s="898" t="s">
        <v>859</v>
      </c>
    </row>
    <row r="58" spans="1:4" s="976" customFormat="1" hidden="1" outlineLevel="1" x14ac:dyDescent="0.2">
      <c r="A58" s="601">
        <v>44405</v>
      </c>
      <c r="B58" s="976" t="s">
        <v>652</v>
      </c>
      <c r="C58" s="580" t="s">
        <v>177</v>
      </c>
      <c r="D58" s="898" t="s">
        <v>860</v>
      </c>
    </row>
    <row r="59" spans="1:4" s="976" customFormat="1" hidden="1" outlineLevel="1" x14ac:dyDescent="0.2">
      <c r="A59" s="601"/>
      <c r="C59" s="580" t="s">
        <v>531</v>
      </c>
      <c r="D59" s="898" t="s">
        <v>861</v>
      </c>
    </row>
    <row r="60" spans="1:4" s="976" customFormat="1" hidden="1" outlineLevel="1" x14ac:dyDescent="0.2">
      <c r="A60" s="601"/>
      <c r="C60" s="580"/>
      <c r="D60" s="898" t="s">
        <v>862</v>
      </c>
    </row>
    <row r="61" spans="1:4" s="976" customFormat="1" hidden="1" outlineLevel="1" x14ac:dyDescent="0.2">
      <c r="A61" s="601"/>
      <c r="C61" s="580" t="s">
        <v>782</v>
      </c>
      <c r="D61" s="898" t="s">
        <v>865</v>
      </c>
    </row>
    <row r="62" spans="1:4" s="979" customFormat="1" hidden="1" outlineLevel="1" x14ac:dyDescent="0.2">
      <c r="A62" s="601"/>
      <c r="C62" s="580" t="s">
        <v>782</v>
      </c>
      <c r="D62" s="898" t="s">
        <v>866</v>
      </c>
    </row>
    <row r="63" spans="1:4" s="979" customFormat="1" hidden="1" outlineLevel="1" x14ac:dyDescent="0.2">
      <c r="A63" s="601"/>
      <c r="C63" s="580"/>
      <c r="D63" s="980" t="s">
        <v>867</v>
      </c>
    </row>
    <row r="64" spans="1:4" s="979" customFormat="1" hidden="1" outlineLevel="1" x14ac:dyDescent="0.2">
      <c r="A64" s="601"/>
      <c r="C64" s="580" t="s">
        <v>531</v>
      </c>
      <c r="D64" s="898" t="s">
        <v>869</v>
      </c>
    </row>
    <row r="65" spans="1:4" s="979" customFormat="1" hidden="1" outlineLevel="1" x14ac:dyDescent="0.2">
      <c r="A65" s="601"/>
      <c r="C65" s="580" t="s">
        <v>177</v>
      </c>
      <c r="D65" s="898" t="s">
        <v>870</v>
      </c>
    </row>
    <row r="66" spans="1:4" s="979" customFormat="1" hidden="1" outlineLevel="1" x14ac:dyDescent="0.2">
      <c r="A66" s="601"/>
      <c r="C66" s="580" t="s">
        <v>782</v>
      </c>
      <c r="D66" s="898" t="s">
        <v>871</v>
      </c>
    </row>
    <row r="67" spans="1:4" s="979" customFormat="1" hidden="1" outlineLevel="1" x14ac:dyDescent="0.2">
      <c r="A67" s="601"/>
      <c r="C67" s="580"/>
      <c r="D67" s="898" t="s">
        <v>872</v>
      </c>
    </row>
    <row r="68" spans="1:4" s="979" customFormat="1" hidden="1" outlineLevel="1" x14ac:dyDescent="0.2">
      <c r="A68" s="601">
        <v>44406</v>
      </c>
      <c r="B68" s="979" t="s">
        <v>652</v>
      </c>
      <c r="C68" s="580" t="s">
        <v>531</v>
      </c>
      <c r="D68" s="898" t="s">
        <v>874</v>
      </c>
    </row>
    <row r="69" spans="1:4" s="979" customFormat="1" hidden="1" outlineLevel="1" x14ac:dyDescent="0.2">
      <c r="A69" s="602">
        <v>44407</v>
      </c>
      <c r="B69" s="979" t="s">
        <v>652</v>
      </c>
      <c r="C69" s="580" t="s">
        <v>782</v>
      </c>
      <c r="D69" s="898" t="s">
        <v>876</v>
      </c>
    </row>
    <row r="70" spans="1:4" hidden="1" outlineLevel="1" x14ac:dyDescent="0.2">
      <c r="A70" s="601"/>
      <c r="B70" s="554"/>
      <c r="C70" s="580" t="s">
        <v>781</v>
      </c>
      <c r="D70" s="898" t="s">
        <v>879</v>
      </c>
    </row>
    <row r="71" spans="1:4" hidden="1" outlineLevel="1" x14ac:dyDescent="0.2">
      <c r="A71" s="601">
        <v>44410</v>
      </c>
      <c r="B71" s="554" t="s">
        <v>652</v>
      </c>
      <c r="C71" s="580" t="s">
        <v>781</v>
      </c>
      <c r="D71" s="898" t="s">
        <v>784</v>
      </c>
    </row>
    <row r="72" spans="1:4" hidden="1" outlineLevel="1" x14ac:dyDescent="0.2">
      <c r="A72" s="601"/>
      <c r="C72" s="580" t="s">
        <v>782</v>
      </c>
      <c r="D72" s="898" t="s">
        <v>784</v>
      </c>
    </row>
    <row r="73" spans="1:4" hidden="1" outlineLevel="1" x14ac:dyDescent="0.2">
      <c r="A73" s="601"/>
      <c r="C73" s="580" t="s">
        <v>781</v>
      </c>
      <c r="D73" s="898" t="s">
        <v>880</v>
      </c>
    </row>
    <row r="74" spans="1:4" hidden="1" outlineLevel="1" x14ac:dyDescent="0.2">
      <c r="A74" s="601"/>
      <c r="B74" s="554"/>
      <c r="C74" s="580" t="s">
        <v>781</v>
      </c>
      <c r="D74" s="898" t="s">
        <v>881</v>
      </c>
    </row>
    <row r="75" spans="1:4" hidden="1" outlineLevel="1" x14ac:dyDescent="0.2">
      <c r="A75" s="601">
        <v>44412</v>
      </c>
      <c r="B75" s="554" t="s">
        <v>652</v>
      </c>
      <c r="C75" s="580" t="s">
        <v>890</v>
      </c>
      <c r="D75" s="898" t="s">
        <v>891</v>
      </c>
    </row>
    <row r="76" spans="1:4" hidden="1" outlineLevel="1" x14ac:dyDescent="0.2">
      <c r="A76" s="601">
        <v>44435</v>
      </c>
      <c r="B76" s="554" t="s">
        <v>844</v>
      </c>
      <c r="C76" s="580" t="s">
        <v>532</v>
      </c>
      <c r="D76" s="898" t="s">
        <v>892</v>
      </c>
    </row>
    <row r="77" spans="1:4" hidden="1" outlineLevel="1" x14ac:dyDescent="0.2">
      <c r="A77" s="601"/>
      <c r="B77" s="554"/>
      <c r="C77" s="580" t="s">
        <v>781</v>
      </c>
      <c r="D77" s="898" t="s">
        <v>896</v>
      </c>
    </row>
    <row r="78" spans="1:4" hidden="1" outlineLevel="1" x14ac:dyDescent="0.2">
      <c r="A78" s="601"/>
      <c r="B78" s="554" t="s">
        <v>844</v>
      </c>
      <c r="C78" s="580" t="s">
        <v>781</v>
      </c>
      <c r="D78" s="898" t="s">
        <v>897</v>
      </c>
    </row>
    <row r="79" spans="1:4" hidden="1" outlineLevel="1" x14ac:dyDescent="0.2">
      <c r="A79" s="601"/>
      <c r="B79" s="554"/>
      <c r="C79" s="580" t="s">
        <v>890</v>
      </c>
      <c r="D79" s="898" t="s">
        <v>897</v>
      </c>
    </row>
    <row r="80" spans="1:4" hidden="1" outlineLevel="1" x14ac:dyDescent="0.2">
      <c r="A80" s="601"/>
      <c r="B80" s="554"/>
      <c r="C80" s="580" t="s">
        <v>532</v>
      </c>
      <c r="D80" s="898" t="s">
        <v>897</v>
      </c>
    </row>
    <row r="81" spans="1:11" hidden="1" outlineLevel="1" x14ac:dyDescent="0.2">
      <c r="A81" s="601"/>
      <c r="B81" s="554"/>
      <c r="C81" s="580" t="s">
        <v>664</v>
      </c>
      <c r="D81" s="898" t="s">
        <v>897</v>
      </c>
    </row>
    <row r="82" spans="1:11" hidden="1" outlineLevel="1" x14ac:dyDescent="0.2">
      <c r="A82" s="601"/>
      <c r="B82" s="554"/>
      <c r="C82" s="580" t="s">
        <v>142</v>
      </c>
      <c r="D82" s="898" t="s">
        <v>897</v>
      </c>
    </row>
    <row r="83" spans="1:11" hidden="1" outlineLevel="1" x14ac:dyDescent="0.2">
      <c r="A83" s="601"/>
      <c r="B83" s="554"/>
    </row>
    <row r="84" spans="1:11" collapsed="1" x14ac:dyDescent="0.2">
      <c r="A84" s="601"/>
      <c r="B84" s="554"/>
    </row>
    <row r="85" spans="1:11" x14ac:dyDescent="0.2">
      <c r="A85" s="601" t="s">
        <v>898</v>
      </c>
      <c r="B85" s="554"/>
    </row>
    <row r="86" spans="1:11" x14ac:dyDescent="0.2">
      <c r="A86" s="601">
        <v>44655</v>
      </c>
      <c r="B86" s="554" t="s">
        <v>652</v>
      </c>
      <c r="C86" t="s">
        <v>521</v>
      </c>
      <c r="D86" t="s">
        <v>899</v>
      </c>
    </row>
    <row r="87" spans="1:11" x14ac:dyDescent="0.2">
      <c r="A87" s="601"/>
      <c r="C87" t="s">
        <v>900</v>
      </c>
      <c r="D87" s="846" t="s">
        <v>901</v>
      </c>
      <c r="K87" s="427"/>
    </row>
    <row r="88" spans="1:11" x14ac:dyDescent="0.2">
      <c r="A88" s="601"/>
      <c r="D88" s="846" t="s">
        <v>902</v>
      </c>
    </row>
    <row r="89" spans="1:11" x14ac:dyDescent="0.2">
      <c r="A89" s="601"/>
      <c r="C89" t="s">
        <v>142</v>
      </c>
      <c r="D89" s="846" t="s">
        <v>905</v>
      </c>
    </row>
    <row r="90" spans="1:11" x14ac:dyDescent="0.2">
      <c r="A90" s="601"/>
      <c r="D90" s="846" t="s">
        <v>906</v>
      </c>
    </row>
    <row r="91" spans="1:11" x14ac:dyDescent="0.2">
      <c r="A91" s="601"/>
      <c r="D91" s="846" t="s">
        <v>907</v>
      </c>
    </row>
    <row r="92" spans="1:11" x14ac:dyDescent="0.2">
      <c r="A92" s="601"/>
      <c r="C92" s="669" t="s">
        <v>177</v>
      </c>
      <c r="D92" s="846" t="s">
        <v>908</v>
      </c>
    </row>
    <row r="93" spans="1:11" x14ac:dyDescent="0.2">
      <c r="A93" s="601"/>
      <c r="C93" s="669"/>
      <c r="D93" t="s">
        <v>909</v>
      </c>
    </row>
    <row r="94" spans="1:11" x14ac:dyDescent="0.2">
      <c r="A94" s="601"/>
      <c r="C94" t="s">
        <v>781</v>
      </c>
      <c r="D94" t="s">
        <v>911</v>
      </c>
    </row>
    <row r="95" spans="1:11" s="850" customFormat="1" x14ac:dyDescent="0.2">
      <c r="A95" s="601"/>
      <c r="D95" s="580" t="s">
        <v>996</v>
      </c>
      <c r="K95" s="427"/>
    </row>
    <row r="96" spans="1:11" s="850" customFormat="1" x14ac:dyDescent="0.2">
      <c r="A96" s="601"/>
      <c r="D96" s="230" t="s">
        <v>912</v>
      </c>
      <c r="K96" s="427"/>
    </row>
    <row r="97" spans="1:7" x14ac:dyDescent="0.2">
      <c r="A97" s="601"/>
      <c r="C97" t="s">
        <v>521</v>
      </c>
    </row>
    <row r="98" spans="1:7" x14ac:dyDescent="0.2">
      <c r="A98" s="601"/>
      <c r="C98" s="680"/>
      <c r="D98" t="s">
        <v>913</v>
      </c>
    </row>
    <row r="99" spans="1:7" x14ac:dyDescent="0.2">
      <c r="A99" s="601"/>
      <c r="D99" t="s">
        <v>914</v>
      </c>
      <c r="E99" t="s">
        <v>915</v>
      </c>
      <c r="F99" t="s">
        <v>916</v>
      </c>
      <c r="G99" t="s">
        <v>920</v>
      </c>
    </row>
    <row r="100" spans="1:7" x14ac:dyDescent="0.2">
      <c r="A100" s="601"/>
      <c r="D100" t="s">
        <v>12</v>
      </c>
      <c r="E100" s="1057">
        <v>0.44</v>
      </c>
      <c r="F100" s="256">
        <v>0.45</v>
      </c>
      <c r="G100" s="1058">
        <f>+E100-F100</f>
        <v>-1.0000000000000009E-2</v>
      </c>
    </row>
    <row r="101" spans="1:7" x14ac:dyDescent="0.2">
      <c r="A101" s="601"/>
      <c r="D101" s="850" t="s">
        <v>917</v>
      </c>
      <c r="E101" s="1057">
        <v>0.11</v>
      </c>
      <c r="F101" s="256">
        <v>0.12</v>
      </c>
      <c r="G101" s="1058">
        <f t="shared" ref="G101:G104" si="0">+E101-F101</f>
        <v>-9.999999999999995E-3</v>
      </c>
    </row>
    <row r="102" spans="1:7" x14ac:dyDescent="0.2">
      <c r="A102" s="601"/>
      <c r="D102" s="850" t="s">
        <v>919</v>
      </c>
      <c r="E102" s="1057">
        <v>0.12</v>
      </c>
      <c r="F102" s="256">
        <v>0.105</v>
      </c>
      <c r="G102" s="1058">
        <f t="shared" si="0"/>
        <v>1.4999999999999999E-2</v>
      </c>
    </row>
    <row r="103" spans="1:7" x14ac:dyDescent="0.2">
      <c r="A103" s="601"/>
      <c r="D103" s="1006" t="s">
        <v>918</v>
      </c>
      <c r="E103" s="1057">
        <v>0.08</v>
      </c>
      <c r="F103" s="256">
        <v>6.5000000000000002E-2</v>
      </c>
      <c r="G103" s="1058">
        <f t="shared" si="0"/>
        <v>1.4999999999999999E-2</v>
      </c>
    </row>
    <row r="104" spans="1:7" x14ac:dyDescent="0.2">
      <c r="A104" s="601"/>
      <c r="D104" t="s">
        <v>142</v>
      </c>
      <c r="E104" s="1057">
        <v>0.05</v>
      </c>
      <c r="F104" s="256">
        <v>0.06</v>
      </c>
      <c r="G104" s="1058">
        <f t="shared" si="0"/>
        <v>-9.999999999999995E-3</v>
      </c>
    </row>
    <row r="105" spans="1:7" x14ac:dyDescent="0.2">
      <c r="A105" s="601"/>
      <c r="B105" s="83"/>
      <c r="C105" s="83" t="s">
        <v>781</v>
      </c>
      <c r="D105" s="83" t="s">
        <v>923</v>
      </c>
    </row>
    <row r="106" spans="1:7" x14ac:dyDescent="0.2">
      <c r="A106" s="601"/>
      <c r="B106" s="83"/>
      <c r="C106" s="83"/>
      <c r="D106" s="83" t="s">
        <v>924</v>
      </c>
    </row>
    <row r="107" spans="1:7" x14ac:dyDescent="0.2">
      <c r="A107" s="601"/>
      <c r="C107" t="s">
        <v>531</v>
      </c>
      <c r="D107" s="83" t="s">
        <v>926</v>
      </c>
    </row>
    <row r="108" spans="1:7" x14ac:dyDescent="0.2">
      <c r="A108" s="601"/>
      <c r="D108" s="83" t="s">
        <v>927</v>
      </c>
    </row>
    <row r="109" spans="1:7" x14ac:dyDescent="0.2">
      <c r="A109" s="601"/>
      <c r="D109" s="83" t="s">
        <v>928</v>
      </c>
    </row>
    <row r="110" spans="1:7" x14ac:dyDescent="0.2">
      <c r="A110" s="601"/>
      <c r="D110" s="83" t="s">
        <v>929</v>
      </c>
    </row>
    <row r="111" spans="1:7" x14ac:dyDescent="0.2">
      <c r="A111" s="601"/>
      <c r="D111" s="1059" t="s">
        <v>930</v>
      </c>
    </row>
    <row r="112" spans="1:7" x14ac:dyDescent="0.2">
      <c r="A112" s="601"/>
      <c r="C112" t="s">
        <v>781</v>
      </c>
      <c r="D112" s="83" t="s">
        <v>932</v>
      </c>
    </row>
    <row r="113" spans="1:14" x14ac:dyDescent="0.2">
      <c r="A113" s="601"/>
      <c r="D113" s="83" t="s">
        <v>933</v>
      </c>
    </row>
    <row r="114" spans="1:14" x14ac:dyDescent="0.2">
      <c r="A114" s="601"/>
      <c r="C114" t="s">
        <v>781</v>
      </c>
      <c r="D114" s="83" t="s">
        <v>934</v>
      </c>
    </row>
    <row r="115" spans="1:14" x14ac:dyDescent="0.2">
      <c r="A115" s="601"/>
      <c r="D115" s="83" t="s">
        <v>940</v>
      </c>
      <c r="E115" s="83"/>
      <c r="F115" s="83"/>
      <c r="G115" s="83"/>
      <c r="H115" s="83"/>
      <c r="I115" s="83"/>
      <c r="J115" s="83"/>
      <c r="K115" s="83"/>
      <c r="L115" s="83"/>
      <c r="M115" s="83"/>
    </row>
    <row r="116" spans="1:14" x14ac:dyDescent="0.2">
      <c r="A116" s="601"/>
      <c r="C116" t="s">
        <v>532</v>
      </c>
      <c r="D116" s="83" t="s">
        <v>936</v>
      </c>
      <c r="E116" s="83"/>
      <c r="F116" s="83"/>
      <c r="G116" s="83"/>
      <c r="H116" s="83"/>
      <c r="I116" s="83"/>
      <c r="J116" s="83"/>
      <c r="K116" s="83"/>
      <c r="L116" s="83"/>
      <c r="M116" s="83"/>
      <c r="N116" s="83"/>
    </row>
    <row r="117" spans="1:14" x14ac:dyDescent="0.2">
      <c r="C117" t="s">
        <v>664</v>
      </c>
      <c r="D117" s="83" t="s">
        <v>936</v>
      </c>
    </row>
    <row r="118" spans="1:14" x14ac:dyDescent="0.2">
      <c r="D118" s="83" t="s">
        <v>937</v>
      </c>
      <c r="K118" s="427"/>
    </row>
    <row r="119" spans="1:14" x14ac:dyDescent="0.2">
      <c r="C119" t="s">
        <v>521</v>
      </c>
      <c r="D119" s="83" t="s">
        <v>939</v>
      </c>
    </row>
    <row r="120" spans="1:14" x14ac:dyDescent="0.2">
      <c r="C120" t="s">
        <v>210</v>
      </c>
      <c r="D120" s="83" t="s">
        <v>945</v>
      </c>
      <c r="K120" s="427"/>
    </row>
    <row r="121" spans="1:14" x14ac:dyDescent="0.2">
      <c r="A121" s="601"/>
      <c r="C121" s="38" t="s">
        <v>900</v>
      </c>
      <c r="D121" s="83" t="s">
        <v>941</v>
      </c>
    </row>
    <row r="122" spans="1:14" x14ac:dyDescent="0.2">
      <c r="A122" s="601"/>
      <c r="D122" s="83" t="s">
        <v>942</v>
      </c>
    </row>
    <row r="123" spans="1:14" x14ac:dyDescent="0.2">
      <c r="C123" s="894" t="s">
        <v>781</v>
      </c>
      <c r="D123" s="83" t="s">
        <v>943</v>
      </c>
    </row>
    <row r="124" spans="1:14" x14ac:dyDescent="0.2">
      <c r="C124" t="s">
        <v>210</v>
      </c>
      <c r="D124" s="83" t="s">
        <v>944</v>
      </c>
    </row>
    <row r="125" spans="1:14" x14ac:dyDescent="0.2">
      <c r="A125" s="601"/>
      <c r="C125" t="s">
        <v>664</v>
      </c>
      <c r="D125" s="83" t="s">
        <v>947</v>
      </c>
    </row>
    <row r="126" spans="1:14" x14ac:dyDescent="0.2">
      <c r="C126" t="s">
        <v>781</v>
      </c>
      <c r="D126" s="83" t="s">
        <v>948</v>
      </c>
    </row>
    <row r="127" spans="1:14" x14ac:dyDescent="0.2">
      <c r="D127" s="83" t="s">
        <v>949</v>
      </c>
    </row>
    <row r="128" spans="1:14" x14ac:dyDescent="0.2">
      <c r="D128" s="83" t="s">
        <v>950</v>
      </c>
    </row>
    <row r="129" spans="1:8" x14ac:dyDescent="0.2">
      <c r="D129" s="83" t="s">
        <v>951</v>
      </c>
    </row>
    <row r="130" spans="1:8" x14ac:dyDescent="0.2">
      <c r="C130" s="896" t="s">
        <v>977</v>
      </c>
      <c r="D130" s="83" t="s">
        <v>978</v>
      </c>
    </row>
    <row r="131" spans="1:8" x14ac:dyDescent="0.2">
      <c r="C131" s="83"/>
      <c r="D131" s="83" t="s">
        <v>979</v>
      </c>
      <c r="E131" s="83"/>
      <c r="F131" s="83"/>
      <c r="G131" s="83"/>
      <c r="H131" s="83"/>
    </row>
    <row r="132" spans="1:8" x14ac:dyDescent="0.2">
      <c r="C132" s="83"/>
      <c r="D132" s="83" t="s">
        <v>980</v>
      </c>
      <c r="E132" s="83"/>
      <c r="F132" s="83"/>
      <c r="G132" s="83"/>
      <c r="H132" s="83"/>
    </row>
    <row r="133" spans="1:8" x14ac:dyDescent="0.2">
      <c r="C133" s="83"/>
      <c r="D133" s="83" t="s">
        <v>981</v>
      </c>
      <c r="E133" s="83"/>
      <c r="F133" s="83"/>
      <c r="G133" s="83"/>
      <c r="H133" s="83"/>
    </row>
    <row r="134" spans="1:8" x14ac:dyDescent="0.2">
      <c r="C134" t="s">
        <v>804</v>
      </c>
      <c r="D134" s="83" t="s">
        <v>990</v>
      </c>
    </row>
    <row r="135" spans="1:8" x14ac:dyDescent="0.2">
      <c r="A135" s="601"/>
      <c r="D135" s="83" t="s">
        <v>991</v>
      </c>
    </row>
    <row r="136" spans="1:8" ht="16" x14ac:dyDescent="0.2">
      <c r="C136" s="896" t="s">
        <v>781</v>
      </c>
      <c r="D136" s="83" t="s">
        <v>992</v>
      </c>
      <c r="E136" s="65"/>
      <c r="F136" s="920"/>
      <c r="G136" s="920"/>
    </row>
    <row r="137" spans="1:8" ht="16" x14ac:dyDescent="0.2">
      <c r="C137" s="896"/>
      <c r="D137" s="83" t="s">
        <v>993</v>
      </c>
      <c r="E137" s="65"/>
      <c r="F137" s="920"/>
      <c r="G137" s="920"/>
    </row>
    <row r="138" spans="1:8" ht="16" x14ac:dyDescent="0.2">
      <c r="C138" s="896"/>
      <c r="D138" s="83" t="s">
        <v>995</v>
      </c>
      <c r="E138" s="65"/>
      <c r="F138" s="920"/>
      <c r="G138" s="920"/>
    </row>
    <row r="139" spans="1:8" ht="16" x14ac:dyDescent="0.2">
      <c r="C139" s="38" t="s">
        <v>900</v>
      </c>
      <c r="D139" s="83" t="s">
        <v>1000</v>
      </c>
      <c r="E139" s="65"/>
      <c r="F139" s="920"/>
      <c r="G139" s="920"/>
    </row>
    <row r="140" spans="1:8" ht="16" x14ac:dyDescent="0.2">
      <c r="C140" s="896" t="s">
        <v>781</v>
      </c>
      <c r="D140" s="83" t="s">
        <v>1001</v>
      </c>
      <c r="E140" s="67"/>
      <c r="F140" s="920"/>
      <c r="G140" s="920"/>
    </row>
    <row r="141" spans="1:8" ht="16" x14ac:dyDescent="0.2">
      <c r="D141" s="83" t="s">
        <v>1002</v>
      </c>
      <c r="E141" s="67"/>
      <c r="F141" s="920"/>
      <c r="G141" s="920"/>
    </row>
    <row r="142" spans="1:8" ht="16" x14ac:dyDescent="0.2">
      <c r="D142" s="83" t="s">
        <v>1003</v>
      </c>
      <c r="E142" s="67"/>
      <c r="F142" s="920"/>
      <c r="G142" s="920"/>
    </row>
    <row r="143" spans="1:8" ht="16" x14ac:dyDescent="0.2">
      <c r="D143" s="427"/>
      <c r="E143" s="67"/>
      <c r="F143" s="920"/>
      <c r="G143" s="920"/>
    </row>
    <row r="144" spans="1:8" ht="16" x14ac:dyDescent="0.2">
      <c r="C144" t="s">
        <v>531</v>
      </c>
      <c r="D144" s="83" t="s">
        <v>1005</v>
      </c>
      <c r="E144" s="67"/>
      <c r="F144" s="920"/>
      <c r="G144" s="920"/>
    </row>
    <row r="145" spans="1:4" x14ac:dyDescent="0.2">
      <c r="C145" t="s">
        <v>1039</v>
      </c>
      <c r="D145" s="83" t="s">
        <v>1040</v>
      </c>
    </row>
    <row r="146" spans="1:4" x14ac:dyDescent="0.2">
      <c r="D146" s="83" t="s">
        <v>1041</v>
      </c>
    </row>
    <row r="147" spans="1:4" x14ac:dyDescent="0.2">
      <c r="C147" t="s">
        <v>1042</v>
      </c>
      <c r="D147" s="83" t="s">
        <v>1043</v>
      </c>
    </row>
    <row r="148" spans="1:4" x14ac:dyDescent="0.2">
      <c r="A148" s="601"/>
      <c r="D148" s="83" t="s">
        <v>1044</v>
      </c>
    </row>
    <row r="149" spans="1:4" x14ac:dyDescent="0.2">
      <c r="A149" s="601"/>
      <c r="D149" s="83"/>
    </row>
    <row r="150" spans="1:4" x14ac:dyDescent="0.2">
      <c r="D150" s="83"/>
    </row>
    <row r="151" spans="1:4" x14ac:dyDescent="0.2">
      <c r="D151" s="83"/>
    </row>
    <row r="152" spans="1:4" x14ac:dyDescent="0.2">
      <c r="D152" s="83"/>
    </row>
    <row r="153" spans="1:4" x14ac:dyDescent="0.2">
      <c r="A153" s="601"/>
      <c r="D153" s="83"/>
    </row>
    <row r="154" spans="1:4" x14ac:dyDescent="0.2">
      <c r="D154" s="83"/>
    </row>
    <row r="155" spans="1:4" x14ac:dyDescent="0.2">
      <c r="A155" s="601"/>
      <c r="D155" s="83"/>
    </row>
    <row r="156" spans="1:4" x14ac:dyDescent="0.2">
      <c r="D156" s="83"/>
    </row>
  </sheetData>
  <mergeCells count="1">
    <mergeCell ref="L1:O4"/>
  </mergeCell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J24"/>
  <sheetViews>
    <sheetView workbookViewId="0"/>
  </sheetViews>
  <sheetFormatPr baseColWidth="10" defaultColWidth="8.83203125" defaultRowHeight="15" x14ac:dyDescent="0.2"/>
  <cols>
    <col min="1" max="1" width="27.5" customWidth="1"/>
    <col min="2" max="3" width="14.1640625" bestFit="1" customWidth="1"/>
    <col min="4" max="5" width="12" bestFit="1" customWidth="1"/>
    <col min="6" max="6" width="12.6640625" bestFit="1" customWidth="1"/>
    <col min="10" max="10" width="27.83203125" customWidth="1"/>
    <col min="11" max="11" width="19.1640625" customWidth="1"/>
  </cols>
  <sheetData>
    <row r="1" spans="1:10" x14ac:dyDescent="0.2">
      <c r="A1" s="286" t="s">
        <v>434</v>
      </c>
    </row>
    <row r="2" spans="1:10" x14ac:dyDescent="0.2">
      <c r="A2" t="s">
        <v>441</v>
      </c>
    </row>
    <row r="4" spans="1:10" x14ac:dyDescent="0.2">
      <c r="B4" t="s">
        <v>435</v>
      </c>
      <c r="C4" t="s">
        <v>218</v>
      </c>
      <c r="D4" t="s">
        <v>436</v>
      </c>
      <c r="E4" t="s">
        <v>437</v>
      </c>
      <c r="F4" t="s">
        <v>438</v>
      </c>
    </row>
    <row r="5" spans="1:10" x14ac:dyDescent="0.2">
      <c r="A5" t="s">
        <v>222</v>
      </c>
      <c r="B5" s="300">
        <v>0.73998173037856396</v>
      </c>
      <c r="C5" s="300">
        <v>1.4284719010994193</v>
      </c>
      <c r="D5" s="300">
        <v>2.9940236651900212</v>
      </c>
      <c r="E5" s="300">
        <v>3.0615572354211658</v>
      </c>
      <c r="F5" s="300">
        <v>0</v>
      </c>
      <c r="J5" s="300"/>
    </row>
    <row r="6" spans="1:10" x14ac:dyDescent="0.2">
      <c r="A6" t="s">
        <v>223</v>
      </c>
      <c r="B6" s="300">
        <v>0.6243257014939112</v>
      </c>
      <c r="C6" s="300">
        <v>1.0336138423339543</v>
      </c>
      <c r="D6" s="300">
        <v>1.6370418041804178</v>
      </c>
      <c r="E6" s="300">
        <v>4.7633933333333323</v>
      </c>
      <c r="F6" s="300">
        <v>0</v>
      </c>
      <c r="J6" s="300"/>
    </row>
    <row r="7" spans="1:10" x14ac:dyDescent="0.2">
      <c r="A7" t="s">
        <v>224</v>
      </c>
      <c r="B7" s="300">
        <v>0.78234378161025708</v>
      </c>
      <c r="C7" s="300">
        <v>0.93500000000000005</v>
      </c>
      <c r="D7" s="300">
        <v>1.46</v>
      </c>
      <c r="E7" s="300">
        <v>2.5490000000000004</v>
      </c>
      <c r="F7" s="300">
        <v>0</v>
      </c>
      <c r="J7" s="300"/>
    </row>
    <row r="8" spans="1:10" x14ac:dyDescent="0.2">
      <c r="A8" t="s">
        <v>225</v>
      </c>
      <c r="B8" s="300">
        <v>0.72755601656757785</v>
      </c>
      <c r="C8" s="300">
        <v>1.4279999999999999</v>
      </c>
      <c r="D8" s="300">
        <v>2.7650000000000006</v>
      </c>
      <c r="E8" s="300">
        <v>2.5489999999999999</v>
      </c>
      <c r="F8" s="300">
        <v>0</v>
      </c>
      <c r="J8" s="300"/>
    </row>
    <row r="9" spans="1:10" x14ac:dyDescent="0.2">
      <c r="A9" t="s">
        <v>226</v>
      </c>
      <c r="B9" s="300">
        <v>0</v>
      </c>
      <c r="C9" s="300">
        <v>0</v>
      </c>
      <c r="D9" s="300">
        <v>2.2839999999999998</v>
      </c>
      <c r="E9" s="300">
        <v>2.976</v>
      </c>
      <c r="F9" s="300">
        <v>9.4342542433612468</v>
      </c>
      <c r="G9" t="s">
        <v>442</v>
      </c>
      <c r="J9" s="300"/>
    </row>
    <row r="10" spans="1:10" x14ac:dyDescent="0.2">
      <c r="A10" t="s">
        <v>227</v>
      </c>
      <c r="B10" s="300">
        <v>0.78002646834903766</v>
      </c>
      <c r="C10" s="300">
        <v>1.1521434672740865</v>
      </c>
      <c r="D10" s="300">
        <v>2.6349949799196795</v>
      </c>
      <c r="E10" s="300">
        <v>2.976</v>
      </c>
      <c r="F10" s="300">
        <v>0</v>
      </c>
      <c r="J10" s="300"/>
    </row>
    <row r="11" spans="1:10" x14ac:dyDescent="0.2">
      <c r="A11" t="s">
        <v>140</v>
      </c>
      <c r="B11" s="300">
        <v>0</v>
      </c>
      <c r="C11" s="300">
        <v>0</v>
      </c>
      <c r="D11" s="300">
        <v>2.6911358936484491</v>
      </c>
      <c r="E11" s="300">
        <v>2.8712987164527424</v>
      </c>
      <c r="F11" s="300">
        <v>0</v>
      </c>
      <c r="J11" s="300"/>
    </row>
    <row r="12" spans="1:10" x14ac:dyDescent="0.2">
      <c r="A12" t="s">
        <v>228</v>
      </c>
      <c r="B12" s="300">
        <v>0.62171653344405653</v>
      </c>
      <c r="C12" s="300">
        <v>0.95550908246379429</v>
      </c>
      <c r="D12" s="300">
        <v>2.0860803827751191</v>
      </c>
      <c r="E12" s="300">
        <v>3.2494553686934022</v>
      </c>
      <c r="F12" s="300">
        <v>0</v>
      </c>
      <c r="J12" s="300"/>
    </row>
    <row r="13" spans="1:10" x14ac:dyDescent="0.2">
      <c r="A13" t="s">
        <v>229</v>
      </c>
      <c r="B13" s="300">
        <v>0</v>
      </c>
      <c r="C13" s="300">
        <v>0</v>
      </c>
      <c r="D13" s="300">
        <v>2.2839999999999998</v>
      </c>
      <c r="E13" s="300">
        <v>0</v>
      </c>
      <c r="F13" s="300">
        <v>14.151</v>
      </c>
      <c r="G13" t="s">
        <v>442</v>
      </c>
      <c r="J13" s="300"/>
    </row>
    <row r="14" spans="1:10" x14ac:dyDescent="0.2">
      <c r="A14" t="s">
        <v>230</v>
      </c>
      <c r="B14" s="300">
        <v>0.89997653137823164</v>
      </c>
      <c r="C14" s="300">
        <v>1.3870545339251739</v>
      </c>
      <c r="D14" s="300">
        <v>2.5786363770904241</v>
      </c>
      <c r="E14" s="300">
        <v>2.9760000000000009</v>
      </c>
      <c r="F14" s="300">
        <v>0</v>
      </c>
      <c r="J14" s="300"/>
    </row>
    <row r="15" spans="1:10" x14ac:dyDescent="0.2">
      <c r="A15" t="s">
        <v>231</v>
      </c>
      <c r="B15" s="300">
        <v>0.65339697659263052</v>
      </c>
      <c r="C15" s="300">
        <v>0.95123990151385873</v>
      </c>
      <c r="D15" s="300">
        <v>2.3896966800804829</v>
      </c>
      <c r="E15" s="300">
        <v>2.9686188418323249</v>
      </c>
      <c r="F15" s="300">
        <v>0</v>
      </c>
      <c r="J15" s="300"/>
    </row>
    <row r="16" spans="1:10" x14ac:dyDescent="0.2">
      <c r="A16" t="s">
        <v>232</v>
      </c>
      <c r="B16" s="300">
        <v>0.65821180776420729</v>
      </c>
      <c r="C16" s="300">
        <v>1.4161844073190133</v>
      </c>
      <c r="D16" s="300">
        <v>2.907463203463204</v>
      </c>
      <c r="E16" s="300">
        <v>2.9704545454545457</v>
      </c>
      <c r="F16" s="300">
        <v>0</v>
      </c>
      <c r="J16" s="300"/>
    </row>
    <row r="17" spans="1:10" x14ac:dyDescent="0.2">
      <c r="A17" t="s">
        <v>233</v>
      </c>
      <c r="B17" s="300">
        <v>0</v>
      </c>
      <c r="C17" s="300">
        <v>0</v>
      </c>
      <c r="D17" s="300">
        <v>0</v>
      </c>
      <c r="E17" s="300">
        <v>0</v>
      </c>
      <c r="F17" s="300">
        <v>0</v>
      </c>
      <c r="J17" s="300"/>
    </row>
    <row r="18" spans="1:10" x14ac:dyDescent="0.2">
      <c r="A18" t="s">
        <v>234</v>
      </c>
      <c r="B18" s="300">
        <v>0.84799999999999998</v>
      </c>
      <c r="C18" s="300">
        <v>1.232</v>
      </c>
      <c r="D18" s="300">
        <v>0</v>
      </c>
      <c r="E18" s="300">
        <v>0</v>
      </c>
      <c r="F18" s="300">
        <v>0</v>
      </c>
    </row>
    <row r="19" spans="1:10" x14ac:dyDescent="0.2">
      <c r="A19" t="s">
        <v>235</v>
      </c>
      <c r="B19" s="300">
        <v>0.85596360051752129</v>
      </c>
      <c r="C19" s="300">
        <v>1.0820000000000001</v>
      </c>
      <c r="D19" s="300">
        <v>0</v>
      </c>
      <c r="E19" s="300">
        <v>0</v>
      </c>
      <c r="F19" s="300">
        <v>0</v>
      </c>
    </row>
    <row r="20" spans="1:10" x14ac:dyDescent="0.2">
      <c r="A20" t="s">
        <v>236</v>
      </c>
      <c r="B20" s="300">
        <v>0</v>
      </c>
      <c r="C20" s="300">
        <v>0</v>
      </c>
      <c r="D20" s="300">
        <v>0</v>
      </c>
      <c r="E20" s="300">
        <v>0</v>
      </c>
      <c r="F20" s="300">
        <v>0</v>
      </c>
    </row>
    <row r="21" spans="1:10" x14ac:dyDescent="0.2">
      <c r="A21" t="s">
        <v>237</v>
      </c>
      <c r="B21" s="300">
        <v>0</v>
      </c>
      <c r="C21" s="300">
        <v>0</v>
      </c>
      <c r="D21" s="300">
        <v>0</v>
      </c>
      <c r="E21" s="300">
        <v>0</v>
      </c>
      <c r="F21" s="300">
        <v>0</v>
      </c>
    </row>
    <row r="22" spans="1:10" x14ac:dyDescent="0.2">
      <c r="B22" s="300"/>
      <c r="C22" s="300"/>
      <c r="D22" s="300"/>
      <c r="E22" s="300"/>
      <c r="F22" s="300"/>
    </row>
    <row r="23" spans="1:10" x14ac:dyDescent="0.2">
      <c r="A23" t="s">
        <v>439</v>
      </c>
      <c r="B23" s="300">
        <v>0.7381797105503255</v>
      </c>
      <c r="C23" s="300">
        <v>1.1957946207353713</v>
      </c>
      <c r="D23" s="300">
        <v>2.3442554687248678</v>
      </c>
      <c r="E23" s="300">
        <v>2.9947226405694698</v>
      </c>
      <c r="F23" s="300">
        <v>11.336090750303258</v>
      </c>
    </row>
    <row r="24" spans="1:10" x14ac:dyDescent="0.2">
      <c r="A24" t="s">
        <v>440</v>
      </c>
      <c r="B24" s="300">
        <v>0.66696616420281341</v>
      </c>
      <c r="C24" s="300">
        <v>1.0679631607717921</v>
      </c>
      <c r="D24" s="300">
        <v>2.2419354814151804</v>
      </c>
      <c r="E24" s="300">
        <v>2.944059209665129</v>
      </c>
      <c r="F24" s="300">
        <v>11.336090750303258</v>
      </c>
    </row>
  </sheetData>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sheetPr>
  <dimension ref="A1:Q45"/>
  <sheetViews>
    <sheetView workbookViewId="0"/>
  </sheetViews>
  <sheetFormatPr baseColWidth="10" defaultColWidth="13.5" defaultRowHeight="15" x14ac:dyDescent="0.2"/>
  <cols>
    <col min="1" max="1" width="39.83203125" customWidth="1"/>
    <col min="2" max="2" width="4.6640625" style="83" customWidth="1"/>
    <col min="3" max="5" width="15.83203125" customWidth="1"/>
    <col min="6" max="6" width="5.33203125" customWidth="1"/>
    <col min="7" max="7" width="14.1640625" customWidth="1"/>
    <col min="8" max="8" width="13.1640625" customWidth="1"/>
    <col min="9" max="9" width="14.1640625" customWidth="1"/>
    <col min="10" max="10" width="6.6640625" customWidth="1"/>
    <col min="11" max="11" width="15.83203125" customWidth="1"/>
    <col min="12" max="12" width="16.1640625" customWidth="1"/>
    <col min="13" max="13" width="19.33203125" customWidth="1"/>
    <col min="15" max="15" width="14.33203125" bestFit="1" customWidth="1"/>
    <col min="18" max="18" width="3.33203125" customWidth="1"/>
    <col min="19" max="19" width="15.5" customWidth="1"/>
  </cols>
  <sheetData>
    <row r="1" spans="1:17" ht="16" x14ac:dyDescent="0.2">
      <c r="A1" s="160" t="s">
        <v>107</v>
      </c>
    </row>
    <row r="2" spans="1:17" ht="16" x14ac:dyDescent="0.2">
      <c r="A2" s="469" t="s">
        <v>487</v>
      </c>
    </row>
    <row r="4" spans="1:17" ht="16" customHeight="1" x14ac:dyDescent="0.2">
      <c r="B4" s="463"/>
      <c r="C4" s="1280" t="s">
        <v>474</v>
      </c>
      <c r="D4" s="1280"/>
      <c r="E4" s="1280"/>
      <c r="G4" s="1280" t="s">
        <v>475</v>
      </c>
      <c r="H4" s="1280"/>
      <c r="I4" s="1280"/>
      <c r="K4" s="1281" t="s">
        <v>476</v>
      </c>
      <c r="L4" s="1281"/>
      <c r="M4" s="1281"/>
    </row>
    <row r="5" spans="1:17" ht="57" x14ac:dyDescent="0.2">
      <c r="A5" s="171" t="s">
        <v>115</v>
      </c>
      <c r="B5" s="465"/>
      <c r="C5" s="466" t="s">
        <v>477</v>
      </c>
      <c r="D5" s="466" t="s">
        <v>478</v>
      </c>
      <c r="E5" s="466" t="s">
        <v>479</v>
      </c>
      <c r="G5" s="466" t="s">
        <v>480</v>
      </c>
      <c r="H5" s="466" t="s">
        <v>478</v>
      </c>
      <c r="I5" s="466" t="s">
        <v>481</v>
      </c>
      <c r="K5" s="464" t="s">
        <v>584</v>
      </c>
      <c r="L5" s="467" t="s">
        <v>482</v>
      </c>
      <c r="M5" s="467" t="s">
        <v>483</v>
      </c>
      <c r="N5" s="465"/>
      <c r="O5" s="467" t="s">
        <v>910</v>
      </c>
    </row>
    <row r="6" spans="1:17" s="83" customFormat="1" x14ac:dyDescent="0.2">
      <c r="A6" s="192" t="s">
        <v>141</v>
      </c>
      <c r="B6" s="468"/>
      <c r="C6" s="192"/>
      <c r="D6" s="192"/>
      <c r="E6" s="192"/>
      <c r="F6"/>
      <c r="G6" s="192"/>
      <c r="H6" s="192"/>
      <c r="I6" s="192"/>
      <c r="J6"/>
      <c r="K6" s="192"/>
      <c r="L6" s="192"/>
      <c r="M6" s="192"/>
    </row>
    <row r="7" spans="1:17" s="83" customFormat="1" x14ac:dyDescent="0.2">
      <c r="A7" s="197" t="s">
        <v>145</v>
      </c>
      <c r="B7" s="389"/>
      <c r="C7" s="390">
        <v>22240293</v>
      </c>
      <c r="D7" s="176">
        <v>3736215.6660000002</v>
      </c>
      <c r="E7" s="390">
        <f>C7-D7</f>
        <v>18504077.333999999</v>
      </c>
      <c r="F7"/>
      <c r="G7" s="390">
        <v>22952677</v>
      </c>
      <c r="H7" s="176">
        <v>3472868.858</v>
      </c>
      <c r="I7" s="390">
        <f>G7-H7</f>
        <v>19479808.142000001</v>
      </c>
      <c r="J7"/>
      <c r="K7" s="390">
        <f>SUM('FINAL-Distributed E&amp;G Budget'!B18,'FINAL-Distributed E&amp;G Budget'!J18)</f>
        <v>4348994</v>
      </c>
      <c r="L7" s="390">
        <f>IF(Dashboard!$B$8="FY17",I7+K7,E7+K7)</f>
        <v>23828802.142000001</v>
      </c>
      <c r="M7" s="390">
        <f>IF(Dashboard!$B$7="yes",L7,0)</f>
        <v>23828802.142000001</v>
      </c>
      <c r="O7" s="388">
        <f>ROUND(IF(Dashboard!$B$7="yes",IF(SUM('FINAL-Distributed E&amp;G Budget'!L18,'FINAL-Distributed E&amp;G Budget'!M18,'FINAL-Distributed E&amp;G Budget'!N18,'FINAL-Distributed E&amp;G Budget'!O18,'FINAL-Distributed E&amp;G Budget'!U18,'FINAL-Distributed E&amp;G Budget'!AC18,'FINAL-Distributed E&amp;G Budget'!B18,'FINAL-Distributed E&amp;G Budget'!J18)&lt;'Floor Calc'!L7,'Floor Calc'!M7-SUM('FINAL-Distributed E&amp;G Budget'!L18,'FINAL-Distributed E&amp;G Budget'!M18,'FINAL-Distributed E&amp;G Budget'!N18,'FINAL-Distributed E&amp;G Budget'!O18,'FINAL-Distributed E&amp;G Budget'!U18,'FINAL-Distributed E&amp;G Budget'!AC18,'FINAL-Distributed E&amp;G Budget'!B18,'FINAL-Distributed E&amp;G Budget'!J18),0),0),-3)</f>
        <v>0</v>
      </c>
      <c r="P7" s="214"/>
      <c r="Q7" s="214"/>
    </row>
    <row r="8" spans="1:17" s="83" customFormat="1" x14ac:dyDescent="0.2">
      <c r="A8" s="200" t="s">
        <v>147</v>
      </c>
      <c r="B8" s="201"/>
      <c r="C8" s="201">
        <v>19693889</v>
      </c>
      <c r="D8" s="189">
        <v>4272219.1280000005</v>
      </c>
      <c r="E8" s="201">
        <f t="shared" ref="E8:E25" si="0">C8-D8</f>
        <v>15421669.872</v>
      </c>
      <c r="F8"/>
      <c r="G8" s="201">
        <v>20340741</v>
      </c>
      <c r="H8" s="189">
        <v>3540623.8960000002</v>
      </c>
      <c r="I8" s="201">
        <f t="shared" ref="I8:I25" si="1">G8-H8</f>
        <v>16800117.103999998</v>
      </c>
      <c r="J8"/>
      <c r="K8" s="201">
        <f>SUM('FINAL-Distributed E&amp;G Budget'!B19,'FINAL-Distributed E&amp;G Budget'!J19)</f>
        <v>3339597</v>
      </c>
      <c r="L8" s="201">
        <f>IF(Dashboard!$B$8="FY17",I8+K8,E8+K8)</f>
        <v>20139714.103999998</v>
      </c>
      <c r="M8" s="201">
        <f>IF(Dashboard!$B$7="yes",L8,0)</f>
        <v>20139714.103999998</v>
      </c>
      <c r="O8" s="388">
        <f>ROUND(IF(Dashboard!$B$7="yes",IF(SUM('FINAL-Distributed E&amp;G Budget'!L19,'FINAL-Distributed E&amp;G Budget'!M19,'FINAL-Distributed E&amp;G Budget'!N19,'FINAL-Distributed E&amp;G Budget'!O19,'FINAL-Distributed E&amp;G Budget'!U19,'FINAL-Distributed E&amp;G Budget'!AC19,'FINAL-Distributed E&amp;G Budget'!B19,'FINAL-Distributed E&amp;G Budget'!J19)&lt;'Floor Calc'!L8,'Floor Calc'!M8-SUM('FINAL-Distributed E&amp;G Budget'!L19,'FINAL-Distributed E&amp;G Budget'!M19,'FINAL-Distributed E&amp;G Budget'!N19,'FINAL-Distributed E&amp;G Budget'!O19,'FINAL-Distributed E&amp;G Budget'!U19,'FINAL-Distributed E&amp;G Budget'!AC19,'FINAL-Distributed E&amp;G Budget'!B19,'FINAL-Distributed E&amp;G Budget'!J19),0),0),-3)</f>
        <v>0</v>
      </c>
      <c r="P8" s="214"/>
      <c r="Q8" s="214"/>
    </row>
    <row r="9" spans="1:17" s="83" customFormat="1" x14ac:dyDescent="0.2">
      <c r="A9" s="190" t="s">
        <v>149</v>
      </c>
      <c r="B9" s="389"/>
      <c r="C9" s="389">
        <v>51433285</v>
      </c>
      <c r="D9" s="189">
        <v>20343351.707599998</v>
      </c>
      <c r="E9" s="389">
        <f t="shared" si="0"/>
        <v>31089933.292400002</v>
      </c>
      <c r="F9"/>
      <c r="G9" s="389">
        <v>57240954</v>
      </c>
      <c r="H9" s="189">
        <v>19750426.096000001</v>
      </c>
      <c r="I9" s="389">
        <f t="shared" si="1"/>
        <v>37490527.903999999</v>
      </c>
      <c r="J9"/>
      <c r="K9" s="389">
        <f>SUM('FINAL-Distributed E&amp;G Budget'!B20,'FINAL-Distributed E&amp;G Budget'!J20)</f>
        <v>21271556</v>
      </c>
      <c r="L9" s="389">
        <f>IF(Dashboard!$B$8="FY17",I9+K9,E9+K9)</f>
        <v>58762083.903999999</v>
      </c>
      <c r="M9" s="389">
        <f>IF(Dashboard!$B$7="yes",L9,0)</f>
        <v>58762083.903999999</v>
      </c>
      <c r="O9" s="388">
        <f>ROUND(IF(Dashboard!$B$7="yes",IF(SUM('FINAL-Distributed E&amp;G Budget'!L20,'FINAL-Distributed E&amp;G Budget'!M20,'FINAL-Distributed E&amp;G Budget'!N20,'FINAL-Distributed E&amp;G Budget'!O20,'FINAL-Distributed E&amp;G Budget'!U20,'FINAL-Distributed E&amp;G Budget'!AC20,'FINAL-Distributed E&amp;G Budget'!B20,'FINAL-Distributed E&amp;G Budget'!J20)&lt;'Floor Calc'!L9,'Floor Calc'!M9-SUM('FINAL-Distributed E&amp;G Budget'!L20,'FINAL-Distributed E&amp;G Budget'!M20,'FINAL-Distributed E&amp;G Budget'!N20,'FINAL-Distributed E&amp;G Budget'!O20,'FINAL-Distributed E&amp;G Budget'!U20,'FINAL-Distributed E&amp;G Budget'!AC20,'FINAL-Distributed E&amp;G Budget'!B20,'FINAL-Distributed E&amp;G Budget'!J20),0),0),-3)</f>
        <v>0</v>
      </c>
      <c r="P9" s="214"/>
      <c r="Q9" s="214"/>
    </row>
    <row r="10" spans="1:17" s="83" customFormat="1" x14ac:dyDescent="0.2">
      <c r="A10" s="197" t="s">
        <v>150</v>
      </c>
      <c r="B10" s="389"/>
      <c r="C10" s="390">
        <v>8726165</v>
      </c>
      <c r="D10" s="176">
        <v>3394437.9750000001</v>
      </c>
      <c r="E10" s="390">
        <f t="shared" si="0"/>
        <v>5331727.0250000004</v>
      </c>
      <c r="F10"/>
      <c r="G10" s="390">
        <v>8833735</v>
      </c>
      <c r="H10" s="176">
        <v>3396906.5559999999</v>
      </c>
      <c r="I10" s="390">
        <f t="shared" si="1"/>
        <v>5436828.4440000001</v>
      </c>
      <c r="J10"/>
      <c r="K10" s="390">
        <f>SUM('FINAL-Distributed E&amp;G Budget'!B21,'FINAL-Distributed E&amp;G Budget'!J21)</f>
        <v>3699324</v>
      </c>
      <c r="L10" s="390">
        <f>IF(Dashboard!$B$8="FY17",I10+K10,E10+K10)</f>
        <v>9136152.4440000001</v>
      </c>
      <c r="M10" s="390">
        <f>IF(Dashboard!$B$7="yes",L10,0)</f>
        <v>9136152.4440000001</v>
      </c>
      <c r="O10" s="388">
        <f>ROUND(IF(Dashboard!$B$7="yes",IF(SUM('FINAL-Distributed E&amp;G Budget'!L21,'FINAL-Distributed E&amp;G Budget'!M21,'FINAL-Distributed E&amp;G Budget'!N21,'FINAL-Distributed E&amp;G Budget'!O21,'FINAL-Distributed E&amp;G Budget'!U21,'FINAL-Distributed E&amp;G Budget'!AC21,'FINAL-Distributed E&amp;G Budget'!B21,'FINAL-Distributed E&amp;G Budget'!J21)&lt;'Floor Calc'!L10,'Floor Calc'!M10-SUM('FINAL-Distributed E&amp;G Budget'!L21,'FINAL-Distributed E&amp;G Budget'!M21,'FINAL-Distributed E&amp;G Budget'!N21,'FINAL-Distributed E&amp;G Budget'!O21,'FINAL-Distributed E&amp;G Budget'!U21,'FINAL-Distributed E&amp;G Budget'!AC21,'FINAL-Distributed E&amp;G Budget'!B21,'FINAL-Distributed E&amp;G Budget'!J21),0),0),-3)</f>
        <v>0</v>
      </c>
      <c r="P10" s="214"/>
      <c r="Q10" s="214"/>
    </row>
    <row r="11" spans="1:17" s="83" customFormat="1" x14ac:dyDescent="0.2">
      <c r="A11" s="200" t="s">
        <v>151</v>
      </c>
      <c r="B11" s="201"/>
      <c r="C11" s="201">
        <v>18501042</v>
      </c>
      <c r="D11" s="189">
        <v>2587348.736</v>
      </c>
      <c r="E11" s="201">
        <f t="shared" si="0"/>
        <v>15913693.264</v>
      </c>
      <c r="F11"/>
      <c r="G11" s="201">
        <v>19991639</v>
      </c>
      <c r="H11" s="189">
        <v>2453103.1540000001</v>
      </c>
      <c r="I11" s="201">
        <f t="shared" si="1"/>
        <v>17538535.846000001</v>
      </c>
      <c r="J11"/>
      <c r="K11" s="201">
        <f>SUM('FINAL-Distributed E&amp;G Budget'!B22,'FINAL-Distributed E&amp;G Budget'!J22)</f>
        <v>1741454</v>
      </c>
      <c r="L11" s="201">
        <f>IF(Dashboard!$B$8="FY17",I11+K11,E11+K11)</f>
        <v>19279989.846000001</v>
      </c>
      <c r="M11" s="201">
        <f>IF(Dashboard!$B$7="yes",L11,0)</f>
        <v>19279989.846000001</v>
      </c>
      <c r="O11" s="388">
        <f>ROUND(IF(Dashboard!$B$7="yes",IF(SUM('FINAL-Distributed E&amp;G Budget'!L22,'FINAL-Distributed E&amp;G Budget'!M22,'FINAL-Distributed E&amp;G Budget'!N22,'FINAL-Distributed E&amp;G Budget'!O22,'FINAL-Distributed E&amp;G Budget'!U22,'FINAL-Distributed E&amp;G Budget'!AC22,'FINAL-Distributed E&amp;G Budget'!B22,'FINAL-Distributed E&amp;G Budget'!J22)&lt;'Floor Calc'!L11,'Floor Calc'!M11-SUM('FINAL-Distributed E&amp;G Budget'!L22,'FINAL-Distributed E&amp;G Budget'!M22,'FINAL-Distributed E&amp;G Budget'!N22,'FINAL-Distributed E&amp;G Budget'!O22,'FINAL-Distributed E&amp;G Budget'!U22,'FINAL-Distributed E&amp;G Budget'!AC22,'FINAL-Distributed E&amp;G Budget'!B22,'FINAL-Distributed E&amp;G Budget'!J22),0),0),-3)</f>
        <v>1297000</v>
      </c>
      <c r="P11" s="214"/>
      <c r="Q11" s="214"/>
    </row>
    <row r="12" spans="1:17" s="83" customFormat="1" x14ac:dyDescent="0.2">
      <c r="A12" s="190" t="s">
        <v>152</v>
      </c>
      <c r="B12" s="389"/>
      <c r="C12" s="389">
        <v>4719068</v>
      </c>
      <c r="D12" s="189">
        <v>326501.2</v>
      </c>
      <c r="E12" s="389">
        <f t="shared" si="0"/>
        <v>4392566.8</v>
      </c>
      <c r="F12"/>
      <c r="G12" s="389">
        <v>4791672</v>
      </c>
      <c r="H12" s="189">
        <v>316991.58999999997</v>
      </c>
      <c r="I12" s="389">
        <f t="shared" si="1"/>
        <v>4474680.41</v>
      </c>
      <c r="J12"/>
      <c r="K12" s="389">
        <f>SUM('FINAL-Distributed E&amp;G Budget'!B23,'FINAL-Distributed E&amp;G Budget'!J23)</f>
        <v>162000</v>
      </c>
      <c r="L12" s="389">
        <f>IF(Dashboard!$B$8="FY17",I12+K12,E12+K12)</f>
        <v>4636680.41</v>
      </c>
      <c r="M12" s="389">
        <f>IF(Dashboard!$B$7="yes",L12,0)</f>
        <v>4636680.41</v>
      </c>
      <c r="O12" s="388">
        <f>ROUND(IF(Dashboard!$B$7="yes",IF(SUM('FINAL-Distributed E&amp;G Budget'!L23,'FINAL-Distributed E&amp;G Budget'!M23,'FINAL-Distributed E&amp;G Budget'!N23,'FINAL-Distributed E&amp;G Budget'!O23,'FINAL-Distributed E&amp;G Budget'!U23,'FINAL-Distributed E&amp;G Budget'!AC23,'FINAL-Distributed E&amp;G Budget'!B23,'FINAL-Distributed E&amp;G Budget'!J23)&lt;'Floor Calc'!L12,'Floor Calc'!M12-SUM('FINAL-Distributed E&amp;G Budget'!L23,'FINAL-Distributed E&amp;G Budget'!M23,'FINAL-Distributed E&amp;G Budget'!N23,'FINAL-Distributed E&amp;G Budget'!O23,'FINAL-Distributed E&amp;G Budget'!U23,'FINAL-Distributed E&amp;G Budget'!AC23,'FINAL-Distributed E&amp;G Budget'!B23,'FINAL-Distributed E&amp;G Budget'!J23),0),0),-3)</f>
        <v>0</v>
      </c>
      <c r="P12" s="214"/>
      <c r="Q12" s="214"/>
    </row>
    <row r="13" spans="1:17" s="83" customFormat="1" x14ac:dyDescent="0.2">
      <c r="A13" s="197" t="s">
        <v>153</v>
      </c>
      <c r="B13" s="389"/>
      <c r="C13" s="390">
        <v>40776917</v>
      </c>
      <c r="D13" s="176">
        <v>1688511.5619999999</v>
      </c>
      <c r="E13" s="390">
        <f t="shared" si="0"/>
        <v>39088405.438000001</v>
      </c>
      <c r="F13"/>
      <c r="G13" s="390">
        <v>43369613</v>
      </c>
      <c r="H13" s="176">
        <v>1730526.0120000001</v>
      </c>
      <c r="I13" s="390">
        <f t="shared" si="1"/>
        <v>41639086.987999998</v>
      </c>
      <c r="J13"/>
      <c r="K13" s="390">
        <f>SUM('FINAL-Distributed E&amp;G Budget'!B24,'FINAL-Distributed E&amp;G Budget'!J24)</f>
        <v>1373709</v>
      </c>
      <c r="L13" s="390">
        <f>IF(Dashboard!$B$8="FY17",I13+K13,E13+K13)</f>
        <v>43012795.987999998</v>
      </c>
      <c r="M13" s="390">
        <f>IF(Dashboard!$B$7="yes",L13,0)</f>
        <v>43012795.987999998</v>
      </c>
      <c r="O13" s="388">
        <f>ROUND(IF(Dashboard!$B$7="yes",IF(SUM('FINAL-Distributed E&amp;G Budget'!L24,'FINAL-Distributed E&amp;G Budget'!M24,'FINAL-Distributed E&amp;G Budget'!N24,'FINAL-Distributed E&amp;G Budget'!O24,'FINAL-Distributed E&amp;G Budget'!U24,'FINAL-Distributed E&amp;G Budget'!AC24,'FINAL-Distributed E&amp;G Budget'!B24,'FINAL-Distributed E&amp;G Budget'!J24)&lt;'Floor Calc'!L13,'Floor Calc'!M13-SUM('FINAL-Distributed E&amp;G Budget'!L24,'FINAL-Distributed E&amp;G Budget'!M24,'FINAL-Distributed E&amp;G Budget'!N24,'FINAL-Distributed E&amp;G Budget'!O24,'FINAL-Distributed E&amp;G Budget'!U24,'FINAL-Distributed E&amp;G Budget'!AC24,'FINAL-Distributed E&amp;G Budget'!B24,'FINAL-Distributed E&amp;G Budget'!J24),0),0),-3)</f>
        <v>0</v>
      </c>
      <c r="P13" s="214"/>
      <c r="Q13" s="214"/>
    </row>
    <row r="14" spans="1:17" s="83" customFormat="1" x14ac:dyDescent="0.2">
      <c r="A14" s="190" t="s">
        <v>154</v>
      </c>
      <c r="B14" s="389"/>
      <c r="C14" s="389">
        <v>13735346</v>
      </c>
      <c r="D14" s="189">
        <v>6070463.8739999998</v>
      </c>
      <c r="E14" s="389">
        <f t="shared" si="0"/>
        <v>7664882.1260000002</v>
      </c>
      <c r="F14"/>
      <c r="G14" s="389">
        <v>14434039</v>
      </c>
      <c r="H14" s="189">
        <v>6225425.6780000003</v>
      </c>
      <c r="I14" s="389">
        <f t="shared" si="1"/>
        <v>8208613.3219999997</v>
      </c>
      <c r="J14"/>
      <c r="K14" s="389">
        <f>SUM('FINAL-Distributed E&amp;G Budget'!B25,'FINAL-Distributed E&amp;G Budget'!J25)</f>
        <v>4478031</v>
      </c>
      <c r="L14" s="389">
        <f>IF(Dashboard!$B$8="FY17",I14+K14,E14+K14)</f>
        <v>12686644.322000001</v>
      </c>
      <c r="M14" s="389">
        <f>IF(Dashboard!$B$7="yes",L14,0)</f>
        <v>12686644.322000001</v>
      </c>
      <c r="O14" s="388">
        <f>ROUND(IF(Dashboard!$B$7="yes",IF(SUM('FINAL-Distributed E&amp;G Budget'!L25,'FINAL-Distributed E&amp;G Budget'!M25,'FINAL-Distributed E&amp;G Budget'!N25,'FINAL-Distributed E&amp;G Budget'!O25,'FINAL-Distributed E&amp;G Budget'!U25,'FINAL-Distributed E&amp;G Budget'!AC25,'FINAL-Distributed E&amp;G Budget'!B25,'FINAL-Distributed E&amp;G Budget'!J25)&lt;'Floor Calc'!L14,'Floor Calc'!M14-SUM('FINAL-Distributed E&amp;G Budget'!L25,'FINAL-Distributed E&amp;G Budget'!M25,'FINAL-Distributed E&amp;G Budget'!N25,'FINAL-Distributed E&amp;G Budget'!O25,'FINAL-Distributed E&amp;G Budget'!U25,'FINAL-Distributed E&amp;G Budget'!AC25,'FINAL-Distributed E&amp;G Budget'!B25,'FINAL-Distributed E&amp;G Budget'!J25),0),0),-3)</f>
        <v>0</v>
      </c>
      <c r="P14" s="214"/>
      <c r="Q14" s="214"/>
    </row>
    <row r="15" spans="1:17" s="83" customFormat="1" x14ac:dyDescent="0.2">
      <c r="A15" s="190" t="s">
        <v>155</v>
      </c>
      <c r="B15" s="389"/>
      <c r="C15" s="389">
        <v>11646038</v>
      </c>
      <c r="D15" s="201">
        <v>8079443.216</v>
      </c>
      <c r="E15" s="389">
        <f t="shared" si="0"/>
        <v>3566594.784</v>
      </c>
      <c r="F15"/>
      <c r="G15" s="389">
        <v>12573591</v>
      </c>
      <c r="H15" s="201">
        <v>8679210.9079999998</v>
      </c>
      <c r="I15" s="389">
        <f t="shared" si="1"/>
        <v>3894380.0920000002</v>
      </c>
      <c r="J15"/>
      <c r="K15" s="389">
        <f>SUM('FINAL-Distributed E&amp;G Budget'!B26,'FINAL-Distributed E&amp;G Budget'!J26)</f>
        <v>12671883</v>
      </c>
      <c r="L15" s="389">
        <f>IF(Dashboard!$B$8="FY17",I15+K15,E15+K15)</f>
        <v>16566263.092</v>
      </c>
      <c r="M15" s="389">
        <f>IF(Dashboard!$B$7="yes",L15,0)</f>
        <v>16566263.092</v>
      </c>
      <c r="O15" s="388">
        <f>ROUND(IF(Dashboard!$B$7="yes",IF(SUM('FINAL-Distributed E&amp;G Budget'!L26,'FINAL-Distributed E&amp;G Budget'!M26,'FINAL-Distributed E&amp;G Budget'!N26,'FINAL-Distributed E&amp;G Budget'!O26,'FINAL-Distributed E&amp;G Budget'!U26,'FINAL-Distributed E&amp;G Budget'!AC26,'FINAL-Distributed E&amp;G Budget'!B26,'FINAL-Distributed E&amp;G Budget'!J26)&lt;'Floor Calc'!L15,'Floor Calc'!M15-SUM('FINAL-Distributed E&amp;G Budget'!L26,'FINAL-Distributed E&amp;G Budget'!M26,'FINAL-Distributed E&amp;G Budget'!N26,'FINAL-Distributed E&amp;G Budget'!O26,'FINAL-Distributed E&amp;G Budget'!U26,'FINAL-Distributed E&amp;G Budget'!AC26,'FINAL-Distributed E&amp;G Budget'!B26,'FINAL-Distributed E&amp;G Budget'!J26),0),0),-3)</f>
        <v>3784000</v>
      </c>
      <c r="P15" s="214"/>
      <c r="Q15" s="214"/>
    </row>
    <row r="16" spans="1:17" s="83" customFormat="1" x14ac:dyDescent="0.2">
      <c r="A16" s="197" t="s">
        <v>156</v>
      </c>
      <c r="B16" s="389"/>
      <c r="C16" s="390">
        <v>39904942</v>
      </c>
      <c r="D16" s="176">
        <v>2295300.4220000003</v>
      </c>
      <c r="E16" s="390">
        <f t="shared" si="0"/>
        <v>37609641.578000002</v>
      </c>
      <c r="F16"/>
      <c r="G16" s="390">
        <v>40678621</v>
      </c>
      <c r="H16" s="176">
        <v>2154738.4220000003</v>
      </c>
      <c r="I16" s="390">
        <f t="shared" si="1"/>
        <v>38523882.578000002</v>
      </c>
      <c r="J16"/>
      <c r="K16" s="390">
        <f>SUM('FINAL-Distributed E&amp;G Budget'!B27,'FINAL-Distributed E&amp;G Budget'!J27)</f>
        <v>2166197</v>
      </c>
      <c r="L16" s="390">
        <f>IF(Dashboard!$B$8="FY17",I16+K16,E16+K16)</f>
        <v>40690079.578000002</v>
      </c>
      <c r="M16" s="390">
        <f>IF(Dashboard!$B$7="yes",L16,0)</f>
        <v>40690079.578000002</v>
      </c>
      <c r="O16" s="388">
        <f>ROUND(IF(Dashboard!$B$7="yes",IF(SUM('FINAL-Distributed E&amp;G Budget'!L27,'FINAL-Distributed E&amp;G Budget'!M27,'FINAL-Distributed E&amp;G Budget'!N27,'FINAL-Distributed E&amp;G Budget'!O27,'FINAL-Distributed E&amp;G Budget'!U27,'FINAL-Distributed E&amp;G Budget'!AC27,'FINAL-Distributed E&amp;G Budget'!B27,'FINAL-Distributed E&amp;G Budget'!J27)&lt;'Floor Calc'!L16,'Floor Calc'!M16-SUM('FINAL-Distributed E&amp;G Budget'!L27,'FINAL-Distributed E&amp;G Budget'!M27,'FINAL-Distributed E&amp;G Budget'!N27,'FINAL-Distributed E&amp;G Budget'!O27,'FINAL-Distributed E&amp;G Budget'!U27,'FINAL-Distributed E&amp;G Budget'!AC27,'FINAL-Distributed E&amp;G Budget'!B27,'FINAL-Distributed E&amp;G Budget'!J27),0),0),-3)</f>
        <v>0</v>
      </c>
      <c r="P16" s="214"/>
      <c r="Q16" s="214"/>
    </row>
    <row r="17" spans="1:17" s="83" customFormat="1" x14ac:dyDescent="0.2">
      <c r="A17" s="190" t="s">
        <v>157</v>
      </c>
      <c r="B17" s="389"/>
      <c r="C17" s="389">
        <v>23159598</v>
      </c>
      <c r="D17" s="201">
        <v>19938126.582000002</v>
      </c>
      <c r="E17" s="389">
        <f t="shared" si="0"/>
        <v>3221471.4179999977</v>
      </c>
      <c r="F17"/>
      <c r="G17" s="389">
        <v>24513720</v>
      </c>
      <c r="H17" s="201">
        <v>21711724.355999999</v>
      </c>
      <c r="I17" s="389">
        <f t="shared" si="1"/>
        <v>2801995.6440000013</v>
      </c>
      <c r="J17"/>
      <c r="K17" s="389">
        <f>SUM('FINAL-Distributed E&amp;G Budget'!B28,'FINAL-Distributed E&amp;G Budget'!J28)</f>
        <v>21651458</v>
      </c>
      <c r="L17" s="389">
        <f>IF(Dashboard!$B$8="FY17",I17+K17,E17+K17)</f>
        <v>24453453.644000001</v>
      </c>
      <c r="M17" s="389">
        <f>IF(Dashboard!$B$7="yes",L17,0)</f>
        <v>24453453.644000001</v>
      </c>
      <c r="O17" s="388">
        <f>ROUND(IF(Dashboard!$B$7="yes",IF(SUM('FINAL-Distributed E&amp;G Budget'!L28,'FINAL-Distributed E&amp;G Budget'!M28,'FINAL-Distributed E&amp;G Budget'!N28,'FINAL-Distributed E&amp;G Budget'!O28,'FINAL-Distributed E&amp;G Budget'!U28,'FINAL-Distributed E&amp;G Budget'!AC28,'FINAL-Distributed E&amp;G Budget'!B28,'FINAL-Distributed E&amp;G Budget'!J28)&lt;'Floor Calc'!L17,'Floor Calc'!M17-SUM('FINAL-Distributed E&amp;G Budget'!L28,'FINAL-Distributed E&amp;G Budget'!M28,'FINAL-Distributed E&amp;G Budget'!N28,'FINAL-Distributed E&amp;G Budget'!O28,'FINAL-Distributed E&amp;G Budget'!U28,'FINAL-Distributed E&amp;G Budget'!AC28,'FINAL-Distributed E&amp;G Budget'!B28,'FINAL-Distributed E&amp;G Budget'!J28),0),0),-3)</f>
        <v>0</v>
      </c>
      <c r="P17" s="214"/>
      <c r="Q17" s="214"/>
    </row>
    <row r="18" spans="1:17" s="83" customFormat="1" x14ac:dyDescent="0.2">
      <c r="A18" s="190" t="s">
        <v>158</v>
      </c>
      <c r="B18" s="389"/>
      <c r="C18" s="389"/>
      <c r="D18" s="189">
        <v>0</v>
      </c>
      <c r="E18" s="389">
        <f t="shared" si="0"/>
        <v>0</v>
      </c>
      <c r="F18"/>
      <c r="G18" s="389"/>
      <c r="H18" s="189">
        <v>0</v>
      </c>
      <c r="I18" s="389">
        <f t="shared" si="1"/>
        <v>0</v>
      </c>
      <c r="J18"/>
      <c r="K18" s="389"/>
      <c r="L18" s="389">
        <f>IF(Dashboard!$B$8="FY17",I18+K18,E18+K18)</f>
        <v>0</v>
      </c>
      <c r="M18" s="389">
        <f>IF(Dashboard!$B$7="yes",L18,0)</f>
        <v>0</v>
      </c>
      <c r="O18" s="388">
        <f>ROUND(IF(Dashboard!$B$7="yes",IF(SUM('FINAL-Distributed E&amp;G Budget'!L29,'FINAL-Distributed E&amp;G Budget'!M29,'FINAL-Distributed E&amp;G Budget'!N29,'FINAL-Distributed E&amp;G Budget'!O29,'FINAL-Distributed E&amp;G Budget'!U29,'FINAL-Distributed E&amp;G Budget'!AC29,'FINAL-Distributed E&amp;G Budget'!B29,'FINAL-Distributed E&amp;G Budget'!J29)&lt;'Floor Calc'!L18,'Floor Calc'!M18-SUM('FINAL-Distributed E&amp;G Budget'!L29,'FINAL-Distributed E&amp;G Budget'!M29,'FINAL-Distributed E&amp;G Budget'!N29,'FINAL-Distributed E&amp;G Budget'!O29,'FINAL-Distributed E&amp;G Budget'!U29,'FINAL-Distributed E&amp;G Budget'!AC29,'FINAL-Distributed E&amp;G Budget'!B29,'FINAL-Distributed E&amp;G Budget'!J29),0),0),-3)</f>
        <v>0</v>
      </c>
      <c r="P18" s="214"/>
      <c r="Q18" s="214"/>
    </row>
    <row r="19" spans="1:17" s="83" customFormat="1" x14ac:dyDescent="0.2">
      <c r="A19" s="197" t="s">
        <v>159</v>
      </c>
      <c r="B19" s="389"/>
      <c r="C19" s="390">
        <v>2156595</v>
      </c>
      <c r="D19" s="176">
        <v>829650.90380000009</v>
      </c>
      <c r="E19" s="390">
        <f t="shared" si="0"/>
        <v>1326944.0962</v>
      </c>
      <c r="F19"/>
      <c r="G19" s="390">
        <v>2438816</v>
      </c>
      <c r="H19" s="176">
        <v>1086827.54</v>
      </c>
      <c r="I19" s="390">
        <f t="shared" si="1"/>
        <v>1351988.46</v>
      </c>
      <c r="J19"/>
      <c r="K19" s="390">
        <f>SUM('FINAL-Distributed E&amp;G Budget'!B29,'FINAL-Distributed E&amp;G Budget'!J29)</f>
        <v>2042600</v>
      </c>
      <c r="L19" s="390">
        <f>IF(Dashboard!$B$8="FY17",I19+K19,E19+K19)</f>
        <v>3394588.46</v>
      </c>
      <c r="M19" s="390">
        <f>IF(Dashboard!$B$7="yes",L19,0)</f>
        <v>3394588.46</v>
      </c>
      <c r="O19" s="388">
        <f>ROUND(IF(Dashboard!$B$7="yes",IF(SUM('FINAL-Distributed E&amp;G Budget'!L30,'FINAL-Distributed E&amp;G Budget'!M30,'FINAL-Distributed E&amp;G Budget'!N30,'FINAL-Distributed E&amp;G Budget'!O30,'FINAL-Distributed E&amp;G Budget'!U30,'FINAL-Distributed E&amp;G Budget'!AC30,'FINAL-Distributed E&amp;G Budget'!B30,'FINAL-Distributed E&amp;G Budget'!J30)&lt;'Floor Calc'!L19,'Floor Calc'!M19-SUM('FINAL-Distributed E&amp;G Budget'!L30,'FINAL-Distributed E&amp;G Budget'!M30,'FINAL-Distributed E&amp;G Budget'!N30,'FINAL-Distributed E&amp;G Budget'!O30,'FINAL-Distributed E&amp;G Budget'!U30,'FINAL-Distributed E&amp;G Budget'!AC30,'FINAL-Distributed E&amp;G Budget'!B30,'FINAL-Distributed E&amp;G Budget'!J30),0),0),-3)</f>
        <v>0</v>
      </c>
      <c r="P19" s="214"/>
      <c r="Q19" s="214"/>
    </row>
    <row r="20" spans="1:17" s="83" customFormat="1" x14ac:dyDescent="0.2">
      <c r="A20" s="200" t="s">
        <v>160</v>
      </c>
      <c r="B20" s="201"/>
      <c r="C20" s="201"/>
      <c r="D20" s="201"/>
      <c r="E20" s="201">
        <f t="shared" si="0"/>
        <v>0</v>
      </c>
      <c r="F20"/>
      <c r="G20" s="201"/>
      <c r="H20" s="201"/>
      <c r="I20" s="201">
        <f t="shared" si="1"/>
        <v>0</v>
      </c>
      <c r="J20"/>
      <c r="K20" s="201"/>
      <c r="L20" s="201">
        <f>IF(Dashboard!$B$8="FY17",I20+K20,E20+K20)</f>
        <v>0</v>
      </c>
      <c r="M20" s="201">
        <f>IF(Dashboard!$B$7="yes",L20,0)</f>
        <v>0</v>
      </c>
      <c r="O20" s="388">
        <f>ROUND(IF(Dashboard!$B$7="yes",IF(SUM('FINAL-Distributed E&amp;G Budget'!L31,'FINAL-Distributed E&amp;G Budget'!M31,'FINAL-Distributed E&amp;G Budget'!N31,'FINAL-Distributed E&amp;G Budget'!O31,'FINAL-Distributed E&amp;G Budget'!U31,'FINAL-Distributed E&amp;G Budget'!AC31,'FINAL-Distributed E&amp;G Budget'!B31,'FINAL-Distributed E&amp;G Budget'!J31)&lt;'Floor Calc'!L20,'Floor Calc'!M20-SUM('FINAL-Distributed E&amp;G Budget'!L31,'FINAL-Distributed E&amp;G Budget'!M31,'FINAL-Distributed E&amp;G Budget'!N31,'FINAL-Distributed E&amp;G Budget'!O31,'FINAL-Distributed E&amp;G Budget'!U31,'FINAL-Distributed E&amp;G Budget'!AC31,'FINAL-Distributed E&amp;G Budget'!B31,'FINAL-Distributed E&amp;G Budget'!J31),0),0),-3)</f>
        <v>0</v>
      </c>
      <c r="P20" s="214"/>
      <c r="Q20" s="214"/>
    </row>
    <row r="21" spans="1:17" s="83" customFormat="1" x14ac:dyDescent="0.2">
      <c r="A21" s="190" t="s">
        <v>186</v>
      </c>
      <c r="B21" s="389"/>
      <c r="C21" s="389"/>
      <c r="D21" s="389"/>
      <c r="E21" s="389">
        <f t="shared" si="0"/>
        <v>0</v>
      </c>
      <c r="F21"/>
      <c r="G21" s="389"/>
      <c r="H21" s="389"/>
      <c r="I21" s="389">
        <f t="shared" si="1"/>
        <v>0</v>
      </c>
      <c r="J21"/>
      <c r="K21" s="389"/>
      <c r="L21" s="389">
        <f>IF(Dashboard!$B$8="FY17",I21+K21,E21+K21)</f>
        <v>0</v>
      </c>
      <c r="M21" s="389">
        <f>IF(Dashboard!$B$7="yes",L21,0)</f>
        <v>0</v>
      </c>
      <c r="O21" s="388">
        <f>ROUND(IF(Dashboard!$B$7="yes",IF(SUM('FINAL-Distributed E&amp;G Budget'!L32,'FINAL-Distributed E&amp;G Budget'!M32,'FINAL-Distributed E&amp;G Budget'!N32,'FINAL-Distributed E&amp;G Budget'!O32,'FINAL-Distributed E&amp;G Budget'!U32,'FINAL-Distributed E&amp;G Budget'!AC32,'FINAL-Distributed E&amp;G Budget'!B32,'FINAL-Distributed E&amp;G Budget'!J32)&lt;'Floor Calc'!L21,'Floor Calc'!M21-SUM('FINAL-Distributed E&amp;G Budget'!L32,'FINAL-Distributed E&amp;G Budget'!M32,'FINAL-Distributed E&amp;G Budget'!N32,'FINAL-Distributed E&amp;G Budget'!O32,'FINAL-Distributed E&amp;G Budget'!U32,'FINAL-Distributed E&amp;G Budget'!AC32,'FINAL-Distributed E&amp;G Budget'!B32,'FINAL-Distributed E&amp;G Budget'!J32),0),0),-3)</f>
        <v>0</v>
      </c>
      <c r="P21" s="214"/>
      <c r="Q21" s="214"/>
    </row>
    <row r="22" spans="1:17" s="83" customFormat="1" x14ac:dyDescent="0.2">
      <c r="A22" s="207" t="s">
        <v>161</v>
      </c>
      <c r="B22" s="389"/>
      <c r="C22" s="391"/>
      <c r="D22" s="391"/>
      <c r="E22" s="391">
        <f t="shared" si="0"/>
        <v>0</v>
      </c>
      <c r="F22"/>
      <c r="G22" s="391"/>
      <c r="H22" s="391"/>
      <c r="I22" s="391">
        <f t="shared" si="1"/>
        <v>0</v>
      </c>
      <c r="J22"/>
      <c r="K22" s="391"/>
      <c r="L22" s="391">
        <f>IF(Dashboard!$B$8="FY17",I22+K22,E22+K22)</f>
        <v>0</v>
      </c>
      <c r="M22" s="391">
        <f>IF(Dashboard!$B$7="yes",L22,0)</f>
        <v>0</v>
      </c>
      <c r="O22" s="388">
        <f>ROUND(IF(Dashboard!$B$7="yes",IF(SUM('FINAL-Distributed E&amp;G Budget'!L33,'FINAL-Distributed E&amp;G Budget'!M33,'FINAL-Distributed E&amp;G Budget'!N33,'FINAL-Distributed E&amp;G Budget'!O33,'FINAL-Distributed E&amp;G Budget'!U33,'FINAL-Distributed E&amp;G Budget'!AC33,'FINAL-Distributed E&amp;G Budget'!B33,'FINAL-Distributed E&amp;G Budget'!J33)&lt;'Floor Calc'!L22,'Floor Calc'!M22-SUM('FINAL-Distributed E&amp;G Budget'!L33,'FINAL-Distributed E&amp;G Budget'!M33,'FINAL-Distributed E&amp;G Budget'!N33,'FINAL-Distributed E&amp;G Budget'!O33,'FINAL-Distributed E&amp;G Budget'!U33,'FINAL-Distributed E&amp;G Budget'!AC33,'FINAL-Distributed E&amp;G Budget'!B33,'FINAL-Distributed E&amp;G Budget'!J33),0),0),-3)</f>
        <v>0</v>
      </c>
      <c r="P22" s="214"/>
      <c r="Q22" s="214"/>
    </row>
    <row r="23" spans="1:17" s="83" customFormat="1" x14ac:dyDescent="0.2">
      <c r="A23" s="208" t="s">
        <v>162</v>
      </c>
      <c r="B23" s="392"/>
      <c r="C23" s="392"/>
      <c r="D23" s="392"/>
      <c r="E23" s="392">
        <f t="shared" si="0"/>
        <v>0</v>
      </c>
      <c r="F23"/>
      <c r="G23" s="392"/>
      <c r="H23" s="392">
        <v>0</v>
      </c>
      <c r="I23" s="392">
        <f t="shared" si="1"/>
        <v>0</v>
      </c>
      <c r="J23"/>
      <c r="K23" s="392"/>
      <c r="L23" s="392">
        <f>IF(Dashboard!$B$8="FY17",I23+K23,E23+K23)</f>
        <v>0</v>
      </c>
      <c r="M23" s="392">
        <f>IF(Dashboard!$B$7="yes",L23,0)</f>
        <v>0</v>
      </c>
      <c r="O23" s="388">
        <f>ROUND(IF(Dashboard!$B$7="yes",IF(SUM('FINAL-Distributed E&amp;G Budget'!L34,'FINAL-Distributed E&amp;G Budget'!M34,'FINAL-Distributed E&amp;G Budget'!N34,'FINAL-Distributed E&amp;G Budget'!O34,'FINAL-Distributed E&amp;G Budget'!U34,'FINAL-Distributed E&amp;G Budget'!AC34,'FINAL-Distributed E&amp;G Budget'!B34,'FINAL-Distributed E&amp;G Budget'!J34)&lt;'Floor Calc'!L23,'Floor Calc'!M23-SUM('FINAL-Distributed E&amp;G Budget'!L34,'FINAL-Distributed E&amp;G Budget'!M34,'FINAL-Distributed E&amp;G Budget'!N34,'FINAL-Distributed E&amp;G Budget'!O34,'FINAL-Distributed E&amp;G Budget'!U34,'FINAL-Distributed E&amp;G Budget'!AC34,'FINAL-Distributed E&amp;G Budget'!B34,'FINAL-Distributed E&amp;G Budget'!J34),0),0),-3)</f>
        <v>0</v>
      </c>
      <c r="P23" s="214"/>
      <c r="Q23" s="214"/>
    </row>
    <row r="24" spans="1:17" s="83" customFormat="1" x14ac:dyDescent="0.2">
      <c r="A24" s="190" t="s">
        <v>163</v>
      </c>
      <c r="B24" s="389"/>
      <c r="C24" s="389"/>
      <c r="D24" s="389"/>
      <c r="E24" s="389">
        <f t="shared" si="0"/>
        <v>0</v>
      </c>
      <c r="F24"/>
      <c r="G24" s="389"/>
      <c r="H24" s="389"/>
      <c r="I24" s="389">
        <f t="shared" si="1"/>
        <v>0</v>
      </c>
      <c r="J24"/>
      <c r="K24" s="389"/>
      <c r="L24" s="389">
        <f>IF(Dashboard!$B$8="FY17",I24+K24,E24+K24)</f>
        <v>0</v>
      </c>
      <c r="M24" s="389">
        <f>IF(Dashboard!$B$7="yes",L24,0)</f>
        <v>0</v>
      </c>
      <c r="O24" s="388">
        <f>ROUND(IF(Dashboard!$B$7="yes",IF(SUM('FINAL-Distributed E&amp;G Budget'!L35,'FINAL-Distributed E&amp;G Budget'!M35,'FINAL-Distributed E&amp;G Budget'!N35,'FINAL-Distributed E&amp;G Budget'!O35,'FINAL-Distributed E&amp;G Budget'!U35,'FINAL-Distributed E&amp;G Budget'!AC35,'FINAL-Distributed E&amp;G Budget'!B35,'FINAL-Distributed E&amp;G Budget'!J35)&lt;'Floor Calc'!L24,'Floor Calc'!M24-SUM('FINAL-Distributed E&amp;G Budget'!L35,'FINAL-Distributed E&amp;G Budget'!M35,'FINAL-Distributed E&amp;G Budget'!N35,'FINAL-Distributed E&amp;G Budget'!O35,'FINAL-Distributed E&amp;G Budget'!U35,'FINAL-Distributed E&amp;G Budget'!AC35,'FINAL-Distributed E&amp;G Budget'!B35,'FINAL-Distributed E&amp;G Budget'!J35),0),0),-3)</f>
        <v>0</v>
      </c>
      <c r="P24" s="214"/>
      <c r="Q24" s="214"/>
    </row>
    <row r="25" spans="1:17" s="83" customFormat="1" x14ac:dyDescent="0.2">
      <c r="A25" s="207" t="s">
        <v>484</v>
      </c>
      <c r="B25" s="389"/>
      <c r="C25" s="390">
        <v>10959977</v>
      </c>
      <c r="D25" s="390">
        <f>1917153.066+8400000</f>
        <v>10317153.066</v>
      </c>
      <c r="E25" s="390">
        <f t="shared" si="0"/>
        <v>642823.93400000036</v>
      </c>
      <c r="F25"/>
      <c r="G25" s="390">
        <v>11252786</v>
      </c>
      <c r="H25" s="390">
        <f>2768936.592-685000+8400000</f>
        <v>10483936.592</v>
      </c>
      <c r="I25" s="390">
        <f t="shared" si="1"/>
        <v>768849.40799999982</v>
      </c>
      <c r="J25"/>
      <c r="K25" s="390">
        <f>SUM('FINAL-Distributed E&amp;G Budget'!B35,'FINAL-Distributed E&amp;G Budget'!J35)+685000</f>
        <v>4016247</v>
      </c>
      <c r="L25" s="390">
        <f>IF(Dashboard!$B$8="FY17",I25+K25,E25+K25)</f>
        <v>4785096.4079999998</v>
      </c>
      <c r="M25" s="390">
        <f>IF(Dashboard!$B$7="yes",L25,0)</f>
        <v>4785096.4079999998</v>
      </c>
      <c r="O25" s="388">
        <f>ROUND(IF(Dashboard!$B$7="yes",IF(SUM('FINAL-Distributed E&amp;G Budget'!L36,'FINAL-Distributed E&amp;G Budget'!M36,'FINAL-Distributed E&amp;G Budget'!N36,'FINAL-Distributed E&amp;G Budget'!O36,'FINAL-Distributed E&amp;G Budget'!U36,'FINAL-Distributed E&amp;G Budget'!AC36,'FINAL-Distributed E&amp;G Budget'!B36,'FINAL-Distributed E&amp;G Budget'!J36)&lt;'Floor Calc'!L25,'Floor Calc'!M25-SUM('FINAL-Distributed E&amp;G Budget'!L36,'FINAL-Distributed E&amp;G Budget'!M36,'FINAL-Distributed E&amp;G Budget'!N36,'FINAL-Distributed E&amp;G Budget'!O36,'FINAL-Distributed E&amp;G Budget'!U36,'FINAL-Distributed E&amp;G Budget'!AC36,'FINAL-Distributed E&amp;G Budget'!B36,'FINAL-Distributed E&amp;G Budget'!J36),0),0),-3)</f>
        <v>0</v>
      </c>
      <c r="P25" s="214"/>
      <c r="Q25" s="214"/>
    </row>
    <row r="26" spans="1:17" s="83" customFormat="1" x14ac:dyDescent="0.2">
      <c r="A26" s="211" t="s">
        <v>165</v>
      </c>
      <c r="B26" s="201"/>
      <c r="C26" s="282">
        <f>SUM(C7:C25)</f>
        <v>267653155</v>
      </c>
      <c r="D26" s="282">
        <f>SUM(D7:D25)</f>
        <v>83878724.038399994</v>
      </c>
      <c r="E26" s="282">
        <f>SUM(E7:E25)</f>
        <v>183774430.96160001</v>
      </c>
      <c r="F26"/>
      <c r="G26" s="282">
        <f>SUM(G7:G25)</f>
        <v>283412604</v>
      </c>
      <c r="H26" s="282">
        <f>SUM(H7:H25)</f>
        <v>85003309.657999992</v>
      </c>
      <c r="I26" s="282">
        <f>SUM(I7:I25)</f>
        <v>198409294.34200001</v>
      </c>
      <c r="J26"/>
      <c r="K26" s="282">
        <f>SUM(K7:K25)</f>
        <v>82963050</v>
      </c>
      <c r="L26" s="282">
        <f>SUM(L7:L25)</f>
        <v>281372344.34200001</v>
      </c>
      <c r="M26" s="282">
        <f>SUM(M7:M25)</f>
        <v>281372344.34200001</v>
      </c>
      <c r="N26" s="388"/>
      <c r="P26" s="214"/>
      <c r="Q26" s="214"/>
    </row>
    <row r="27" spans="1:17" s="83" customFormat="1" x14ac:dyDescent="0.2">
      <c r="A27" s="190"/>
      <c r="B27" s="190"/>
      <c r="C27" s="190"/>
      <c r="D27" s="190"/>
      <c r="E27" s="190"/>
      <c r="F27"/>
      <c r="G27" s="190"/>
      <c r="H27" s="190"/>
      <c r="I27" s="190"/>
      <c r="J27"/>
      <c r="K27" s="190"/>
      <c r="L27" s="190"/>
      <c r="M27" s="190"/>
    </row>
    <row r="28" spans="1:17" s="83" customFormat="1" x14ac:dyDescent="0.2">
      <c r="A28" s="188"/>
      <c r="B28" s="188"/>
      <c r="C28" s="188"/>
      <c r="D28" s="188"/>
      <c r="E28" s="188"/>
      <c r="F28"/>
      <c r="G28" s="188"/>
      <c r="H28" s="188"/>
      <c r="I28" s="188"/>
      <c r="J28"/>
      <c r="K28" s="83" t="s">
        <v>485</v>
      </c>
      <c r="L28" s="188"/>
      <c r="M28" s="378"/>
    </row>
    <row r="29" spans="1:17" s="83" customFormat="1" x14ac:dyDescent="0.2">
      <c r="K29" s="83" t="s">
        <v>486</v>
      </c>
    </row>
    <row r="30" spans="1:17" s="83" customFormat="1" x14ac:dyDescent="0.2"/>
    <row r="31" spans="1:17" s="83" customFormat="1" x14ac:dyDescent="0.2"/>
    <row r="32" spans="1:17" s="83" customFormat="1" x14ac:dyDescent="0.2"/>
    <row r="33" spans="1:16" s="83" customFormat="1" x14ac:dyDescent="0.2"/>
    <row r="34" spans="1:16" s="83" customFormat="1" x14ac:dyDescent="0.2"/>
    <row r="35" spans="1:16" s="83" customFormat="1" x14ac:dyDescent="0.2"/>
    <row r="36" spans="1:16" s="83" customFormat="1" x14ac:dyDescent="0.2"/>
    <row r="37" spans="1:16" s="83" customFormat="1" x14ac:dyDescent="0.2"/>
    <row r="38" spans="1:16" s="83" customFormat="1" x14ac:dyDescent="0.2"/>
    <row r="39" spans="1:16" s="83" customFormat="1" x14ac:dyDescent="0.2"/>
    <row r="40" spans="1:16" s="83" customFormat="1" x14ac:dyDescent="0.2"/>
    <row r="41" spans="1:16" s="83" customFormat="1" x14ac:dyDescent="0.2"/>
    <row r="42" spans="1:16" s="83" customFormat="1" x14ac:dyDescent="0.2"/>
    <row r="43" spans="1:16" s="83" customFormat="1" x14ac:dyDescent="0.2"/>
    <row r="44" spans="1:16" x14ac:dyDescent="0.2">
      <c r="A44" s="83"/>
      <c r="C44" s="83"/>
      <c r="D44" s="83"/>
      <c r="E44" s="83"/>
      <c r="F44" s="83"/>
      <c r="G44" s="83"/>
      <c r="H44" s="83"/>
      <c r="I44" s="83"/>
      <c r="J44" s="83"/>
      <c r="K44" s="83"/>
      <c r="L44" s="83"/>
      <c r="N44" s="83"/>
      <c r="O44" s="83"/>
      <c r="P44" s="83"/>
    </row>
    <row r="45" spans="1:16" x14ac:dyDescent="0.2">
      <c r="N45" s="83"/>
      <c r="O45" s="83"/>
      <c r="P45" s="83"/>
    </row>
  </sheetData>
  <mergeCells count="3">
    <mergeCell ref="C4:E4"/>
    <mergeCell ref="G4:I4"/>
    <mergeCell ref="K4:M4"/>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J57"/>
  <sheetViews>
    <sheetView tabSelected="1" workbookViewId="0"/>
  </sheetViews>
  <sheetFormatPr baseColWidth="10" defaultColWidth="8.83203125" defaultRowHeight="15" x14ac:dyDescent="0.2"/>
  <cols>
    <col min="1" max="1" width="44.33203125" customWidth="1"/>
    <col min="2" max="2" width="23.5" bestFit="1" customWidth="1"/>
    <col min="3" max="3" width="20.5" bestFit="1" customWidth="1"/>
    <col min="4" max="4" width="16.6640625" bestFit="1" customWidth="1"/>
    <col min="6" max="6" width="10.5" customWidth="1"/>
    <col min="7" max="7" width="16.5" customWidth="1"/>
    <col min="8" max="8" width="14" bestFit="1" customWidth="1"/>
    <col min="9" max="9" width="13.5" bestFit="1" customWidth="1"/>
  </cols>
  <sheetData>
    <row r="1" spans="1:10" ht="19" x14ac:dyDescent="0.2">
      <c r="A1" s="1" t="str">
        <f>"OSU Shared Responsibility Budget Model FY"&amp;RIGHT(B6,2)&amp;" Version"</f>
        <v>OSU Shared Responsibility Budget Model FY22 Version</v>
      </c>
      <c r="G1" s="1185" t="s">
        <v>575</v>
      </c>
      <c r="H1" s="1185"/>
      <c r="I1" s="1185"/>
      <c r="J1" s="1185"/>
    </row>
    <row r="2" spans="1:10" x14ac:dyDescent="0.2">
      <c r="A2" s="2" t="s">
        <v>938</v>
      </c>
      <c r="B2" s="3">
        <v>43683</v>
      </c>
      <c r="G2" s="1185"/>
      <c r="H2" s="1185"/>
      <c r="I2" s="1185"/>
      <c r="J2" s="1185"/>
    </row>
    <row r="3" spans="1:10" x14ac:dyDescent="0.2">
      <c r="G3" s="1185"/>
      <c r="H3" s="1185"/>
      <c r="I3" s="1185"/>
      <c r="J3" s="1185"/>
    </row>
    <row r="4" spans="1:10" ht="16" x14ac:dyDescent="0.2">
      <c r="A4" s="4" t="s">
        <v>0</v>
      </c>
      <c r="G4" s="1185"/>
      <c r="H4" s="1185"/>
      <c r="I4" s="1185"/>
      <c r="J4" s="1185"/>
    </row>
    <row r="5" spans="1:10" ht="16" thickBot="1" x14ac:dyDescent="0.25">
      <c r="G5" s="1185"/>
      <c r="H5" s="1185"/>
      <c r="I5" s="1185"/>
      <c r="J5" s="1185"/>
    </row>
    <row r="6" spans="1:10" ht="18" thickBot="1" x14ac:dyDescent="0.25">
      <c r="A6" s="44" t="s">
        <v>38</v>
      </c>
      <c r="B6" s="46">
        <v>2022</v>
      </c>
      <c r="G6" s="1185"/>
      <c r="H6" s="1185"/>
      <c r="I6" s="1185"/>
      <c r="J6" s="1185"/>
    </row>
    <row r="7" spans="1:10" ht="35" thickBot="1" x14ac:dyDescent="0.25">
      <c r="A7" s="44" t="s">
        <v>546</v>
      </c>
      <c r="B7" s="5" t="s">
        <v>1</v>
      </c>
      <c r="G7" s="1185"/>
      <c r="H7" s="1185"/>
      <c r="I7" s="1185"/>
      <c r="J7" s="1185"/>
    </row>
    <row r="8" spans="1:10" ht="18" thickBot="1" x14ac:dyDescent="0.25">
      <c r="A8" s="45" t="s">
        <v>2</v>
      </c>
      <c r="B8" s="5" t="s">
        <v>3</v>
      </c>
    </row>
    <row r="9" spans="1:10" ht="16" thickBot="1" x14ac:dyDescent="0.25"/>
    <row r="10" spans="1:10" x14ac:dyDescent="0.2">
      <c r="A10" s="6" t="s">
        <v>4</v>
      </c>
      <c r="B10" s="489"/>
      <c r="C10" s="490">
        <v>3.5000000000000003E-2</v>
      </c>
      <c r="D10" s="243"/>
      <c r="E10" s="244"/>
      <c r="I10" s="427"/>
    </row>
    <row r="11" spans="1:10" x14ac:dyDescent="0.2">
      <c r="A11" s="7" t="s">
        <v>5</v>
      </c>
      <c r="B11" s="487"/>
      <c r="C11" s="491">
        <v>0.02</v>
      </c>
      <c r="D11" s="50"/>
      <c r="E11" s="247"/>
      <c r="I11" s="427"/>
    </row>
    <row r="12" spans="1:10" x14ac:dyDescent="0.2">
      <c r="A12" s="7" t="s">
        <v>6</v>
      </c>
      <c r="B12" s="487"/>
      <c r="C12" s="491">
        <v>0</v>
      </c>
      <c r="D12" s="50"/>
      <c r="E12" s="247"/>
      <c r="I12" s="427"/>
    </row>
    <row r="13" spans="1:10" x14ac:dyDescent="0.2">
      <c r="A13" s="8" t="s">
        <v>547</v>
      </c>
      <c r="B13" s="488"/>
      <c r="C13" s="492" t="s">
        <v>1</v>
      </c>
      <c r="D13" s="50" t="s">
        <v>516</v>
      </c>
      <c r="E13" s="247"/>
      <c r="I13" s="427"/>
    </row>
    <row r="14" spans="1:10" x14ac:dyDescent="0.2">
      <c r="A14" s="8"/>
      <c r="B14" s="488" t="s">
        <v>433</v>
      </c>
      <c r="C14" s="493">
        <v>0.65</v>
      </c>
      <c r="D14" s="50" t="s">
        <v>516</v>
      </c>
      <c r="E14" s="247"/>
    </row>
    <row r="15" spans="1:10" ht="30" customHeight="1" x14ac:dyDescent="0.2">
      <c r="A15" s="494" t="s">
        <v>548</v>
      </c>
      <c r="B15" s="50"/>
      <c r="C15" s="492" t="s">
        <v>1</v>
      </c>
      <c r="D15" s="50" t="s">
        <v>515</v>
      </c>
      <c r="E15" s="247"/>
    </row>
    <row r="16" spans="1:10" x14ac:dyDescent="0.2">
      <c r="A16" s="8"/>
      <c r="B16" s="50" t="s">
        <v>518</v>
      </c>
      <c r="C16" s="495">
        <v>2.7690000000000001</v>
      </c>
      <c r="E16" s="247"/>
    </row>
    <row r="17" spans="1:5" ht="32" x14ac:dyDescent="0.2">
      <c r="A17" s="494" t="s">
        <v>549</v>
      </c>
      <c r="B17" s="50"/>
      <c r="C17" s="495" t="s">
        <v>1</v>
      </c>
      <c r="D17" s="130" t="s">
        <v>517</v>
      </c>
      <c r="E17" s="247"/>
    </row>
    <row r="18" spans="1:5" ht="33" thickBot="1" x14ac:dyDescent="0.25">
      <c r="A18" s="507" t="s">
        <v>550</v>
      </c>
      <c r="B18" s="269"/>
      <c r="C18" s="496" t="s">
        <v>1</v>
      </c>
      <c r="D18" s="269" t="s">
        <v>515</v>
      </c>
      <c r="E18" s="270"/>
    </row>
    <row r="21" spans="1:5" ht="17" thickBot="1" x14ac:dyDescent="0.25">
      <c r="A21" s="4" t="s">
        <v>7</v>
      </c>
    </row>
    <row r="22" spans="1:5" ht="17" thickBot="1" x14ac:dyDescent="0.25">
      <c r="A22" s="9" t="s">
        <v>8</v>
      </c>
      <c r="B22" s="10" t="s">
        <v>9</v>
      </c>
      <c r="C22" s="11" t="s">
        <v>10</v>
      </c>
      <c r="D22" s="11" t="s">
        <v>11</v>
      </c>
    </row>
    <row r="23" spans="1:5" ht="17" x14ac:dyDescent="0.2">
      <c r="A23" s="12" t="s">
        <v>12</v>
      </c>
      <c r="B23" s="275" t="s">
        <v>13</v>
      </c>
      <c r="C23" s="1196">
        <v>0.45</v>
      </c>
      <c r="D23" s="1199">
        <f>C23*('Productivity Split'!C15-D$38-D$39)</f>
        <v>59244131.700000003</v>
      </c>
    </row>
    <row r="24" spans="1:5" ht="16" x14ac:dyDescent="0.2">
      <c r="A24" s="14"/>
      <c r="B24" s="302">
        <v>0.70499999999999996</v>
      </c>
      <c r="C24" s="1197"/>
      <c r="D24" s="1200"/>
    </row>
    <row r="25" spans="1:5" ht="17" x14ac:dyDescent="0.2">
      <c r="A25" s="14"/>
      <c r="B25" s="276" t="s">
        <v>14</v>
      </c>
      <c r="C25" s="1198"/>
      <c r="D25" s="1200"/>
    </row>
    <row r="26" spans="1:5" ht="16" x14ac:dyDescent="0.2">
      <c r="A26" s="14"/>
      <c r="B26" s="302">
        <v>1.0169999999999999</v>
      </c>
      <c r="C26" s="1198"/>
      <c r="D26" s="1200"/>
    </row>
    <row r="27" spans="1:5" ht="17" x14ac:dyDescent="0.2">
      <c r="A27" s="14"/>
      <c r="B27" s="276" t="s">
        <v>15</v>
      </c>
      <c r="C27" s="1198"/>
      <c r="D27" s="1200"/>
    </row>
    <row r="28" spans="1:5" ht="16" x14ac:dyDescent="0.2">
      <c r="A28" s="14"/>
      <c r="B28" s="302">
        <v>2.0489999999999999</v>
      </c>
      <c r="C28" s="16"/>
      <c r="D28" s="17"/>
    </row>
    <row r="29" spans="1:5" ht="17" thickBot="1" x14ac:dyDescent="0.25">
      <c r="A29" s="18"/>
      <c r="B29" s="19" t="s">
        <v>16</v>
      </c>
      <c r="C29" s="20">
        <v>5.0000000000000001E-3</v>
      </c>
      <c r="D29" s="21">
        <f>C29*('Productivity Split'!C15-D$38-D$39)</f>
        <v>658268.13</v>
      </c>
    </row>
    <row r="30" spans="1:5" ht="17" x14ac:dyDescent="0.2">
      <c r="A30" s="12" t="s">
        <v>17</v>
      </c>
      <c r="B30" s="13" t="s">
        <v>18</v>
      </c>
      <c r="C30" s="22">
        <v>0.15</v>
      </c>
      <c r="D30" s="293">
        <f>C30*('Productivity Split'!C15-D$38-D$39)</f>
        <v>19748043.899999999</v>
      </c>
    </row>
    <row r="31" spans="1:5" ht="17" thickBot="1" x14ac:dyDescent="0.25">
      <c r="A31" s="18"/>
      <c r="B31" s="19" t="s">
        <v>19</v>
      </c>
      <c r="C31" s="20">
        <v>0.12</v>
      </c>
      <c r="D31" s="292">
        <f>C31*('Productivity Split'!C15-D$38-D$39)</f>
        <v>15798435.119999999</v>
      </c>
    </row>
    <row r="32" spans="1:5" ht="17" x14ac:dyDescent="0.2">
      <c r="A32" s="12" t="s">
        <v>20</v>
      </c>
      <c r="B32" s="13" t="s">
        <v>21</v>
      </c>
      <c r="C32" s="22">
        <v>0.105</v>
      </c>
      <c r="D32" s="293">
        <f>C32*('Productivity Split'!C15-D$38-D$39)</f>
        <v>13823630.729999999</v>
      </c>
    </row>
    <row r="33" spans="1:9" ht="16" x14ac:dyDescent="0.2">
      <c r="A33" s="435" t="s">
        <v>396</v>
      </c>
      <c r="B33" s="15"/>
      <c r="C33" s="433"/>
      <c r="D33" s="434"/>
      <c r="F33" s="245"/>
    </row>
    <row r="34" spans="1:9" ht="16" x14ac:dyDescent="0.2">
      <c r="A34" s="435" t="s">
        <v>397</v>
      </c>
      <c r="B34" s="302">
        <v>1.2</v>
      </c>
      <c r="C34" s="433"/>
      <c r="D34" s="434"/>
      <c r="F34" s="245"/>
    </row>
    <row r="35" spans="1:9" ht="16" x14ac:dyDescent="0.2">
      <c r="A35" s="435" t="s">
        <v>456</v>
      </c>
      <c r="B35" s="302">
        <v>0.83330000000000004</v>
      </c>
      <c r="C35" s="433"/>
      <c r="D35" s="434"/>
    </row>
    <row r="36" spans="1:9" ht="16" x14ac:dyDescent="0.2">
      <c r="A36" s="435" t="s">
        <v>457</v>
      </c>
      <c r="B36" s="302">
        <f>1-B35</f>
        <v>0.16669999999999996</v>
      </c>
      <c r="C36" s="433"/>
      <c r="D36" s="434"/>
    </row>
    <row r="37" spans="1:9" ht="18" thickBot="1" x14ac:dyDescent="0.25">
      <c r="A37" s="18"/>
      <c r="B37" s="23" t="s">
        <v>22</v>
      </c>
      <c r="C37" s="20">
        <v>6.5000000000000002E-2</v>
      </c>
      <c r="D37" s="292">
        <f>C37*('Productivity Split'!C15-D$38-D$39)</f>
        <v>8557485.6899999995</v>
      </c>
      <c r="F37" s="681"/>
      <c r="G37" s="681"/>
      <c r="H37" s="681"/>
      <c r="I37" s="681"/>
    </row>
    <row r="38" spans="1:9" ht="18" thickBot="1" x14ac:dyDescent="0.25">
      <c r="A38" s="1186" t="s">
        <v>23</v>
      </c>
      <c r="B38" s="13" t="s">
        <v>177</v>
      </c>
      <c r="C38" s="24"/>
      <c r="D38" s="499">
        <f>+Ecampus!B25</f>
        <v>89861900</v>
      </c>
      <c r="F38" s="1195"/>
      <c r="G38" s="1195"/>
      <c r="H38" s="1195"/>
      <c r="I38" s="1195"/>
    </row>
    <row r="39" spans="1:9" ht="17" x14ac:dyDescent="0.2">
      <c r="A39" s="1187"/>
      <c r="B39" s="15" t="s">
        <v>95</v>
      </c>
      <c r="C39" s="25" t="s">
        <v>24</v>
      </c>
      <c r="D39" s="499">
        <f>+Summer!B25</f>
        <v>5282000</v>
      </c>
      <c r="F39" s="273"/>
      <c r="G39" s="682"/>
      <c r="H39" s="682"/>
      <c r="I39" s="682"/>
    </row>
    <row r="40" spans="1:9" ht="34" x14ac:dyDescent="0.2">
      <c r="A40" s="1187"/>
      <c r="B40" s="15" t="s">
        <v>25</v>
      </c>
      <c r="C40" s="25"/>
      <c r="D40" s="26">
        <v>0</v>
      </c>
      <c r="F40" s="273"/>
      <c r="G40" s="130"/>
      <c r="H40" s="130"/>
      <c r="I40" s="130"/>
    </row>
    <row r="41" spans="1:9" ht="35" thickBot="1" x14ac:dyDescent="0.25">
      <c r="A41" s="1188"/>
      <c r="B41" s="23" t="s">
        <v>26</v>
      </c>
      <c r="C41" s="27">
        <v>0</v>
      </c>
      <c r="D41" s="28">
        <v>0</v>
      </c>
      <c r="F41" s="683"/>
      <c r="G41" s="684"/>
      <c r="H41" s="685"/>
      <c r="I41" s="685"/>
    </row>
    <row r="42" spans="1:9" ht="35" thickBot="1" x14ac:dyDescent="0.25">
      <c r="A42" s="29" t="s">
        <v>27</v>
      </c>
      <c r="B42" s="30" t="s">
        <v>28</v>
      </c>
      <c r="C42" s="503">
        <v>0.06</v>
      </c>
      <c r="D42" s="21">
        <f>C42*('Productivity Split'!C15-D$38-D$39)</f>
        <v>7899217.5599999996</v>
      </c>
      <c r="F42" s="683"/>
      <c r="G42" s="684"/>
      <c r="H42" s="685"/>
      <c r="I42" s="685"/>
    </row>
    <row r="43" spans="1:9" ht="34" x14ac:dyDescent="0.2">
      <c r="A43" s="31" t="s">
        <v>29</v>
      </c>
      <c r="B43" s="32" t="s">
        <v>30</v>
      </c>
      <c r="C43" s="1189">
        <v>0.04</v>
      </c>
      <c r="D43" s="1192">
        <f>C43*('Productivity Split'!C15-D38-D39)</f>
        <v>5266145.04</v>
      </c>
      <c r="F43" s="130"/>
      <c r="G43" s="684"/>
      <c r="H43" s="686"/>
      <c r="I43" s="686"/>
    </row>
    <row r="44" spans="1:9" ht="16" x14ac:dyDescent="0.2">
      <c r="A44" s="33" t="s">
        <v>636</v>
      </c>
      <c r="B44" s="303">
        <v>1.4</v>
      </c>
      <c r="C44" s="1190"/>
      <c r="D44" s="1193"/>
      <c r="F44" s="273"/>
      <c r="G44" s="684"/>
      <c r="H44" s="686"/>
      <c r="I44" s="686"/>
    </row>
    <row r="45" spans="1:9" ht="16" x14ac:dyDescent="0.2">
      <c r="A45" s="33" t="s">
        <v>31</v>
      </c>
      <c r="B45" s="303">
        <v>1.2</v>
      </c>
      <c r="C45" s="1190"/>
      <c r="D45" s="1193"/>
      <c r="F45" s="683"/>
      <c r="G45" s="686"/>
      <c r="H45" s="686"/>
      <c r="I45" s="686"/>
    </row>
    <row r="46" spans="1:9" ht="16" x14ac:dyDescent="0.2">
      <c r="A46" s="33" t="s">
        <v>32</v>
      </c>
      <c r="B46" s="303">
        <v>0.3</v>
      </c>
      <c r="C46" s="1190"/>
      <c r="D46" s="1193"/>
      <c r="F46" s="683"/>
      <c r="G46" s="686"/>
      <c r="H46" s="686"/>
      <c r="I46" s="686"/>
    </row>
    <row r="47" spans="1:9" ht="16" x14ac:dyDescent="0.2">
      <c r="A47" s="33"/>
      <c r="B47" s="34"/>
      <c r="C47" s="1190"/>
      <c r="D47" s="1193"/>
      <c r="F47" s="273"/>
      <c r="G47" s="579"/>
      <c r="H47" s="687"/>
      <c r="I47" s="687"/>
    </row>
    <row r="48" spans="1:9" ht="17" thickBot="1" x14ac:dyDescent="0.25">
      <c r="A48" s="33"/>
      <c r="B48" s="34"/>
      <c r="C48" s="1191"/>
      <c r="D48" s="1194"/>
      <c r="F48" s="130"/>
      <c r="G48" s="130"/>
      <c r="H48" s="130"/>
      <c r="I48" s="130"/>
    </row>
    <row r="49" spans="1:9" ht="17" thickBot="1" x14ac:dyDescent="0.25">
      <c r="A49" s="35" t="s">
        <v>33</v>
      </c>
      <c r="B49" s="36"/>
      <c r="C49" s="37">
        <v>5.0000000000000001E-3</v>
      </c>
      <c r="D49" s="21">
        <f>C49*('Productivity Split'!C15-D$38-D$39)</f>
        <v>658268.13</v>
      </c>
      <c r="F49" s="130"/>
      <c r="G49" s="130"/>
      <c r="H49" s="130"/>
      <c r="I49" s="130"/>
    </row>
    <row r="50" spans="1:9" x14ac:dyDescent="0.2">
      <c r="A50" s="38"/>
      <c r="B50" s="38"/>
      <c r="C50" s="38"/>
      <c r="D50" s="38"/>
      <c r="F50" s="130"/>
      <c r="G50" s="688"/>
      <c r="H50" s="130"/>
      <c r="I50" s="130"/>
    </row>
    <row r="51" spans="1:9" x14ac:dyDescent="0.2">
      <c r="A51" s="39"/>
      <c r="B51" s="39"/>
      <c r="C51" s="39"/>
      <c r="D51" s="39"/>
      <c r="F51" s="130"/>
      <c r="G51" s="688"/>
      <c r="H51" s="130"/>
      <c r="I51" s="130"/>
    </row>
    <row r="52" spans="1:9" ht="16" x14ac:dyDescent="0.2">
      <c r="A52" s="40" t="s">
        <v>34</v>
      </c>
      <c r="B52" s="40"/>
      <c r="C52" s="41">
        <f>SUM(C23:C49)</f>
        <v>1</v>
      </c>
      <c r="D52" s="42">
        <f>SUM(D23:D49)</f>
        <v>226797526</v>
      </c>
      <c r="F52" s="130"/>
      <c r="G52" s="688"/>
      <c r="H52" s="130"/>
      <c r="I52" s="130"/>
    </row>
    <row r="53" spans="1:9" x14ac:dyDescent="0.2">
      <c r="F53" s="130"/>
      <c r="G53" s="688"/>
      <c r="H53" s="130"/>
      <c r="I53" s="130"/>
    </row>
    <row r="54" spans="1:9" ht="16" x14ac:dyDescent="0.2">
      <c r="A54" s="4" t="s">
        <v>35</v>
      </c>
      <c r="B54" s="39"/>
      <c r="C54" s="39"/>
      <c r="F54" s="130"/>
      <c r="G54" s="130"/>
      <c r="H54" s="130"/>
      <c r="I54" s="130"/>
    </row>
    <row r="55" spans="1:9" x14ac:dyDescent="0.2">
      <c r="A55" s="39" t="s">
        <v>36</v>
      </c>
      <c r="B55" s="39"/>
      <c r="C55" s="39"/>
    </row>
    <row r="56" spans="1:9" x14ac:dyDescent="0.2">
      <c r="A56" s="39"/>
      <c r="B56" s="39"/>
      <c r="C56" s="39"/>
    </row>
    <row r="57" spans="1:9" ht="16" x14ac:dyDescent="0.2">
      <c r="A57" s="43" t="s">
        <v>37</v>
      </c>
      <c r="B57" s="43"/>
      <c r="C57" s="42">
        <f>+'Productivity Split'!C17</f>
        <v>176426813</v>
      </c>
    </row>
  </sheetData>
  <mergeCells count="7">
    <mergeCell ref="A38:A41"/>
    <mergeCell ref="C43:C48"/>
    <mergeCell ref="D43:D48"/>
    <mergeCell ref="G1:J7"/>
    <mergeCell ref="F38:I38"/>
    <mergeCell ref="C23:C27"/>
    <mergeCell ref="D23:D27"/>
  </mergeCells>
  <dataValidations count="5">
    <dataValidation type="decimal" allowBlank="1" showInputMessage="1" showErrorMessage="1" error="Must be 0% to 8%" prompt="Must be beween 0% and 8%" sqref="C49 C42" xr:uid="{00000000-0002-0000-0200-000000000000}">
      <formula1>0</formula1>
      <formula2>0.08</formula2>
    </dataValidation>
    <dataValidation type="decimal" allowBlank="1" showInputMessage="1" showErrorMessage="1" error="Must be 0% to 35%" prompt="Must be 0% to 35%" sqref="C30:C31" xr:uid="{00000000-0002-0000-0200-000001000000}">
      <formula1>0</formula1>
      <formula2>0.35</formula2>
    </dataValidation>
    <dataValidation type="decimal" allowBlank="1" showInputMessage="1" showErrorMessage="1" error="Must be 0% to 30%" prompt="Must be 0% to 30%" sqref="C31" xr:uid="{00000000-0002-0000-0200-000002000000}">
      <formula1>0</formula1>
      <formula2>0.35</formula2>
    </dataValidation>
    <dataValidation type="decimal" allowBlank="1" showInputMessage="1" showErrorMessage="1" error="Must be 0% to 30%" prompt="Must be 0% to 30%" sqref="C32:C37" xr:uid="{00000000-0002-0000-0200-000003000000}">
      <formula1>0</formula1>
      <formula2>0.3</formula2>
    </dataValidation>
    <dataValidation type="decimal" allowBlank="1" showInputMessage="1" showErrorMessage="1" error="Must be 0% to 5%" prompt="Between 0% and 5%" sqref="C29" xr:uid="{00000000-0002-0000-0200-000004000000}">
      <formula1>0</formula1>
      <formula2>0.05</formula2>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67"/>
  <sheetViews>
    <sheetView workbookViewId="0">
      <selection activeCell="F49" sqref="F49"/>
    </sheetView>
  </sheetViews>
  <sheetFormatPr baseColWidth="10" defaultColWidth="8.83203125" defaultRowHeight="15" x14ac:dyDescent="0.2"/>
  <cols>
    <col min="1" max="2" width="4" customWidth="1"/>
    <col min="3" max="3" width="3.83203125" customWidth="1"/>
    <col min="4" max="4" width="21.83203125" customWidth="1"/>
    <col min="5" max="5" width="17.6640625" customWidth="1"/>
    <col min="6" max="6" width="21.33203125" customWidth="1"/>
    <col min="7" max="7" width="1.6640625" customWidth="1"/>
    <col min="8" max="8" width="19.5" customWidth="1"/>
    <col min="9" max="9" width="21.1640625" customWidth="1"/>
    <col min="10" max="10" width="12.5" customWidth="1"/>
    <col min="11" max="11" width="28.83203125" customWidth="1"/>
    <col min="12" max="12" width="21" customWidth="1"/>
    <col min="13" max="13" width="17.5" customWidth="1"/>
    <col min="15" max="15" width="9.1640625" bestFit="1" customWidth="1"/>
  </cols>
  <sheetData>
    <row r="1" spans="1:13" ht="21" customHeight="1" x14ac:dyDescent="0.25">
      <c r="A1" s="1201" t="s">
        <v>39</v>
      </c>
      <c r="B1" s="1201"/>
      <c r="C1" s="1201"/>
      <c r="D1" s="1201"/>
      <c r="E1" s="47"/>
      <c r="F1" s="1202" t="str">
        <f>"FY"&amp;RIGHT(Dashboard!B6,2)</f>
        <v>FY22</v>
      </c>
      <c r="G1" s="1203"/>
      <c r="H1" s="1203"/>
      <c r="I1" s="1204"/>
      <c r="K1" s="1206" t="s">
        <v>576</v>
      </c>
      <c r="L1" s="1206"/>
      <c r="M1" s="1206"/>
    </row>
    <row r="2" spans="1:13" ht="18" x14ac:dyDescent="0.2">
      <c r="A2" s="1205" t="s">
        <v>40</v>
      </c>
      <c r="B2" s="1205"/>
      <c r="C2" s="1205"/>
      <c r="D2" s="1205"/>
      <c r="E2" s="47"/>
      <c r="F2" s="51" t="s">
        <v>41</v>
      </c>
      <c r="G2" s="52"/>
      <c r="H2" s="53" t="s">
        <v>42</v>
      </c>
      <c r="I2" s="135"/>
      <c r="K2" s="1206"/>
      <c r="L2" s="1206"/>
      <c r="M2" s="1206"/>
    </row>
    <row r="3" spans="1:13" ht="16" x14ac:dyDescent="0.2">
      <c r="A3" s="54"/>
      <c r="B3" s="55"/>
      <c r="D3" s="56"/>
      <c r="E3" s="56"/>
      <c r="F3" s="57" t="s">
        <v>43</v>
      </c>
      <c r="G3" s="58"/>
      <c r="H3" s="59" t="s">
        <v>43</v>
      </c>
      <c r="I3" s="136" t="s">
        <v>44</v>
      </c>
      <c r="K3" s="1206"/>
      <c r="L3" s="1206"/>
      <c r="M3" s="1206"/>
    </row>
    <row r="4" spans="1:13" x14ac:dyDescent="0.2">
      <c r="A4" s="56"/>
      <c r="B4" s="56"/>
      <c r="C4" s="56"/>
      <c r="D4" s="56"/>
      <c r="E4" s="56"/>
      <c r="F4" s="61"/>
      <c r="G4" s="62"/>
      <c r="H4" s="63"/>
      <c r="I4" s="48"/>
      <c r="K4" s="1206"/>
      <c r="L4" s="1206"/>
      <c r="M4" s="1206"/>
    </row>
    <row r="5" spans="1:13" ht="16" x14ac:dyDescent="0.2">
      <c r="A5" s="64" t="s">
        <v>45</v>
      </c>
      <c r="B5" s="65"/>
      <c r="C5" s="56"/>
      <c r="D5" s="56"/>
      <c r="E5" s="56"/>
      <c r="F5" s="66"/>
      <c r="G5" s="62"/>
      <c r="H5" s="63"/>
      <c r="I5" s="48"/>
      <c r="J5" s="83"/>
      <c r="K5" s="1206"/>
      <c r="L5" s="1206"/>
      <c r="M5" s="1206"/>
    </row>
    <row r="6" spans="1:13" ht="16" x14ac:dyDescent="0.2">
      <c r="A6" s="65"/>
      <c r="B6" s="65" t="s">
        <v>46</v>
      </c>
      <c r="C6" s="65"/>
      <c r="D6" s="65"/>
      <c r="E6" s="897"/>
      <c r="F6" s="68">
        <v>69632418</v>
      </c>
      <c r="G6" s="67"/>
      <c r="H6" s="71">
        <v>0</v>
      </c>
      <c r="I6" s="71">
        <f t="shared" ref="I6:I13" si="0">F6+H6</f>
        <v>69632418</v>
      </c>
      <c r="J6" s="214"/>
      <c r="K6" s="1206"/>
      <c r="L6" s="1206"/>
      <c r="M6" s="1206"/>
    </row>
    <row r="7" spans="1:13" ht="16" x14ac:dyDescent="0.2">
      <c r="A7" s="65"/>
      <c r="B7" s="65" t="s">
        <v>47</v>
      </c>
      <c r="C7" s="65"/>
      <c r="D7" s="65"/>
      <c r="E7" s="897"/>
      <c r="F7" s="68">
        <v>51302501</v>
      </c>
      <c r="G7" s="67"/>
      <c r="H7" s="71">
        <v>0</v>
      </c>
      <c r="I7" s="71">
        <f t="shared" si="0"/>
        <v>51302501</v>
      </c>
      <c r="J7" s="214"/>
      <c r="K7" s="1206"/>
      <c r="L7" s="1206"/>
      <c r="M7" s="1206"/>
    </row>
    <row r="8" spans="1:13" ht="16" x14ac:dyDescent="0.2">
      <c r="B8" s="65" t="s">
        <v>48</v>
      </c>
      <c r="C8" s="65"/>
      <c r="D8" s="65"/>
      <c r="E8" s="65"/>
      <c r="F8" s="68">
        <v>0</v>
      </c>
      <c r="G8" s="67"/>
      <c r="H8" s="71">
        <v>0</v>
      </c>
      <c r="I8" s="71">
        <f t="shared" si="0"/>
        <v>0</v>
      </c>
    </row>
    <row r="9" spans="1:13" ht="16" x14ac:dyDescent="0.2">
      <c r="B9" s="65" t="s">
        <v>49</v>
      </c>
      <c r="C9" s="65"/>
      <c r="D9" s="65"/>
      <c r="E9" s="65"/>
      <c r="F9" s="68">
        <v>0</v>
      </c>
      <c r="G9" s="67"/>
      <c r="H9" s="71">
        <v>0</v>
      </c>
      <c r="I9" s="71">
        <f t="shared" si="0"/>
        <v>0</v>
      </c>
    </row>
    <row r="10" spans="1:13" ht="16" x14ac:dyDescent="0.2">
      <c r="B10" s="65" t="s">
        <v>50</v>
      </c>
      <c r="C10" s="65"/>
      <c r="D10" s="65"/>
      <c r="E10" s="65"/>
      <c r="F10" s="68"/>
      <c r="G10" s="67"/>
      <c r="H10" s="71"/>
      <c r="I10" s="71">
        <f t="shared" si="0"/>
        <v>0</v>
      </c>
    </row>
    <row r="11" spans="1:13" s="896" customFormat="1" ht="16" x14ac:dyDescent="0.2">
      <c r="B11" s="65"/>
      <c r="C11" s="65" t="s">
        <v>658</v>
      </c>
      <c r="D11" s="65"/>
      <c r="E11" s="65"/>
      <c r="F11" s="68">
        <v>2996360</v>
      </c>
      <c r="G11" s="67"/>
      <c r="H11" s="71"/>
      <c r="I11" s="71">
        <f t="shared" si="0"/>
        <v>2996360</v>
      </c>
    </row>
    <row r="12" spans="1:13" s="896" customFormat="1" ht="16" x14ac:dyDescent="0.2">
      <c r="B12" s="65"/>
      <c r="C12" s="65" t="s">
        <v>142</v>
      </c>
      <c r="D12" s="65"/>
      <c r="E12" s="65"/>
      <c r="F12" s="68">
        <v>2583069</v>
      </c>
      <c r="G12" s="67"/>
      <c r="H12" s="71"/>
      <c r="I12" s="71">
        <f t="shared" si="0"/>
        <v>2583069</v>
      </c>
    </row>
    <row r="13" spans="1:13" s="896" customFormat="1" ht="16" x14ac:dyDescent="0.2">
      <c r="B13" s="65"/>
      <c r="C13" s="65" t="s">
        <v>716</v>
      </c>
      <c r="D13" s="65"/>
      <c r="E13" s="65"/>
      <c r="F13" s="68">
        <v>4856170</v>
      </c>
      <c r="G13" s="67"/>
      <c r="H13" s="71"/>
      <c r="I13" s="71">
        <f t="shared" si="0"/>
        <v>4856170</v>
      </c>
    </row>
    <row r="14" spans="1:13" ht="16" x14ac:dyDescent="0.2">
      <c r="A14" s="73" t="s">
        <v>54</v>
      </c>
      <c r="B14" s="72"/>
      <c r="C14" s="67"/>
      <c r="D14" s="67"/>
      <c r="E14" s="67"/>
      <c r="F14" s="74">
        <f>SUM(F6:F13)</f>
        <v>131370518</v>
      </c>
      <c r="G14" s="75">
        <f>SUM(G6:G13)</f>
        <v>0</v>
      </c>
      <c r="H14" s="76">
        <f>SUM(H6:H13)</f>
        <v>0</v>
      </c>
      <c r="I14" s="77">
        <f>SUM(I6:I13)</f>
        <v>131370518</v>
      </c>
      <c r="K14" s="556"/>
    </row>
    <row r="15" spans="1:13" ht="16" x14ac:dyDescent="0.2">
      <c r="A15" s="78" t="s">
        <v>55</v>
      </c>
      <c r="B15" s="72"/>
      <c r="C15" s="67"/>
      <c r="D15" s="67"/>
      <c r="E15" s="67"/>
      <c r="F15" s="79"/>
      <c r="G15" s="80"/>
      <c r="H15" s="81"/>
      <c r="I15" s="82"/>
      <c r="J15" s="83"/>
      <c r="K15" s="918" t="s">
        <v>720</v>
      </c>
      <c r="L15" s="919"/>
    </row>
    <row r="16" spans="1:13" ht="16" x14ac:dyDescent="0.2">
      <c r="A16" s="83"/>
      <c r="B16" s="72" t="s">
        <v>877</v>
      </c>
      <c r="C16" s="67"/>
      <c r="D16" s="67"/>
      <c r="E16" s="67"/>
      <c r="F16" s="68">
        <v>0</v>
      </c>
      <c r="G16" s="67"/>
      <c r="H16" s="71">
        <v>7762094</v>
      </c>
      <c r="I16" s="71">
        <f>H16</f>
        <v>7762094</v>
      </c>
      <c r="J16" s="214"/>
      <c r="K16" s="1087" t="s">
        <v>51</v>
      </c>
      <c r="L16" s="1088"/>
      <c r="M16" s="230"/>
    </row>
    <row r="17" spans="1:12" ht="16" x14ac:dyDescent="0.2">
      <c r="A17" s="83"/>
      <c r="B17" s="72" t="s">
        <v>56</v>
      </c>
      <c r="C17" s="67"/>
      <c r="D17" s="67"/>
      <c r="E17" s="67"/>
      <c r="F17" s="68">
        <v>0</v>
      </c>
      <c r="G17" s="67"/>
      <c r="H17" s="71">
        <v>710255</v>
      </c>
      <c r="I17" s="71">
        <f t="shared" ref="I17:I26" si="1">H17</f>
        <v>710255</v>
      </c>
      <c r="J17" s="214"/>
      <c r="K17" s="1087" t="s">
        <v>52</v>
      </c>
      <c r="L17" s="1088"/>
    </row>
    <row r="18" spans="1:12" ht="16" x14ac:dyDescent="0.2">
      <c r="A18" s="83"/>
      <c r="B18" s="72" t="s">
        <v>57</v>
      </c>
      <c r="C18" s="67"/>
      <c r="D18" s="67"/>
      <c r="E18" s="67"/>
      <c r="F18" s="68">
        <v>0</v>
      </c>
      <c r="G18" s="67"/>
      <c r="H18" s="71">
        <v>283205</v>
      </c>
      <c r="I18" s="71">
        <f t="shared" si="1"/>
        <v>283205</v>
      </c>
      <c r="J18" s="214"/>
      <c r="K18" s="608" t="s">
        <v>127</v>
      </c>
      <c r="L18" s="915">
        <v>1902363</v>
      </c>
    </row>
    <row r="19" spans="1:12" ht="16" x14ac:dyDescent="0.2">
      <c r="A19" s="83"/>
      <c r="B19" s="72" t="s">
        <v>58</v>
      </c>
      <c r="C19" s="67"/>
      <c r="D19" s="67"/>
      <c r="E19" s="67"/>
      <c r="F19" s="68">
        <v>0</v>
      </c>
      <c r="G19" s="67"/>
      <c r="H19" s="71">
        <v>355128</v>
      </c>
      <c r="I19" s="71">
        <f t="shared" si="1"/>
        <v>355128</v>
      </c>
      <c r="J19" s="214"/>
      <c r="K19" s="608" t="s">
        <v>717</v>
      </c>
      <c r="L19" s="915">
        <v>45462</v>
      </c>
    </row>
    <row r="20" spans="1:12" ht="16" x14ac:dyDescent="0.2">
      <c r="B20" s="84" t="s">
        <v>59</v>
      </c>
      <c r="C20" s="69"/>
      <c r="D20" s="69"/>
      <c r="E20" s="69"/>
      <c r="F20" s="68">
        <v>0</v>
      </c>
      <c r="G20" s="85"/>
      <c r="H20" s="71">
        <v>228674</v>
      </c>
      <c r="I20" s="71">
        <f t="shared" si="1"/>
        <v>228674</v>
      </c>
      <c r="J20" s="214"/>
      <c r="K20" s="916" t="s">
        <v>718</v>
      </c>
      <c r="L20" s="917">
        <v>67459</v>
      </c>
    </row>
    <row r="21" spans="1:12" ht="16" x14ac:dyDescent="0.2">
      <c r="A21" s="84"/>
      <c r="B21" s="84" t="s">
        <v>60</v>
      </c>
      <c r="C21" s="69"/>
      <c r="D21" s="69"/>
      <c r="E21" s="69"/>
      <c r="F21" s="68">
        <v>0</v>
      </c>
      <c r="G21" s="85"/>
      <c r="H21" s="71">
        <v>179246</v>
      </c>
      <c r="I21" s="71">
        <f t="shared" si="1"/>
        <v>179246</v>
      </c>
      <c r="J21" s="214"/>
      <c r="K21" s="918"/>
      <c r="L21" s="921">
        <f>SUM(L16:L20)</f>
        <v>2015284</v>
      </c>
    </row>
    <row r="22" spans="1:12" ht="16" x14ac:dyDescent="0.2">
      <c r="A22" s="84"/>
      <c r="B22" s="84" t="s">
        <v>61</v>
      </c>
      <c r="C22" s="69"/>
      <c r="D22" s="69"/>
      <c r="E22" s="69"/>
      <c r="F22" s="68">
        <v>0</v>
      </c>
      <c r="G22" s="85"/>
      <c r="H22" s="71">
        <v>1947743</v>
      </c>
      <c r="I22" s="71">
        <f t="shared" si="1"/>
        <v>1947743</v>
      </c>
      <c r="J22" s="214"/>
    </row>
    <row r="23" spans="1:12" s="893" customFormat="1" ht="16" x14ac:dyDescent="0.2">
      <c r="A23" s="84"/>
      <c r="B23" s="72" t="s">
        <v>53</v>
      </c>
      <c r="C23" s="67"/>
      <c r="D23" s="67"/>
      <c r="E23" s="67"/>
      <c r="F23" s="68"/>
      <c r="G23" s="85"/>
      <c r="H23" s="71">
        <v>1465519</v>
      </c>
      <c r="I23" s="71">
        <f t="shared" si="1"/>
        <v>1465519</v>
      </c>
      <c r="J23" s="214"/>
      <c r="K23" s="547"/>
    </row>
    <row r="24" spans="1:12" ht="16" x14ac:dyDescent="0.2">
      <c r="A24" s="84"/>
      <c r="B24" s="84" t="s">
        <v>62</v>
      </c>
      <c r="C24" s="69"/>
      <c r="D24" s="69"/>
      <c r="E24" s="69"/>
      <c r="F24" s="68"/>
      <c r="G24" s="85"/>
      <c r="H24" s="71">
        <v>83300</v>
      </c>
      <c r="I24" s="71">
        <f t="shared" si="1"/>
        <v>83300</v>
      </c>
      <c r="J24" s="963"/>
      <c r="K24" s="547"/>
      <c r="L24" s="301"/>
    </row>
    <row r="25" spans="1:12" ht="16" x14ac:dyDescent="0.2">
      <c r="A25" s="84"/>
      <c r="B25" s="84" t="s">
        <v>63</v>
      </c>
      <c r="C25" s="69"/>
      <c r="D25" s="69"/>
      <c r="E25" s="69"/>
      <c r="F25" s="68"/>
      <c r="G25" s="85"/>
      <c r="H25" s="71">
        <v>49000</v>
      </c>
      <c r="I25" s="71">
        <f t="shared" si="1"/>
        <v>49000</v>
      </c>
      <c r="J25" s="963"/>
      <c r="K25" s="547"/>
      <c r="L25" s="301"/>
    </row>
    <row r="26" spans="1:12" ht="16" x14ac:dyDescent="0.2">
      <c r="A26" s="84"/>
      <c r="B26" s="84" t="s">
        <v>578</v>
      </c>
      <c r="C26" s="69"/>
      <c r="D26" s="69"/>
      <c r="E26" s="69"/>
      <c r="F26" s="68">
        <v>0</v>
      </c>
      <c r="G26" s="85"/>
      <c r="H26" s="71">
        <v>0</v>
      </c>
      <c r="I26" s="71">
        <f t="shared" si="1"/>
        <v>0</v>
      </c>
      <c r="K26" s="547"/>
      <c r="L26" s="301"/>
    </row>
    <row r="27" spans="1:12" ht="16" x14ac:dyDescent="0.2">
      <c r="A27" s="84"/>
      <c r="B27" s="84" t="s">
        <v>579</v>
      </c>
      <c r="C27" s="69"/>
      <c r="D27" s="69"/>
      <c r="E27" s="69"/>
      <c r="F27" s="68">
        <v>0</v>
      </c>
      <c r="G27" s="85"/>
      <c r="H27" s="71">
        <v>114931</v>
      </c>
      <c r="I27" s="71">
        <f>H27</f>
        <v>114931</v>
      </c>
      <c r="J27" s="963"/>
      <c r="K27" s="547"/>
      <c r="L27" s="301"/>
    </row>
    <row r="28" spans="1:12" s="962" customFormat="1" ht="16" x14ac:dyDescent="0.2">
      <c r="A28" s="84"/>
      <c r="B28" s="84" t="s">
        <v>816</v>
      </c>
      <c r="C28" s="69"/>
      <c r="D28" s="69"/>
      <c r="E28" s="69"/>
      <c r="F28" s="68">
        <v>0</v>
      </c>
      <c r="G28" s="85"/>
      <c r="H28" s="71">
        <v>49000</v>
      </c>
      <c r="I28" s="71">
        <f t="shared" ref="I28:I30" si="2">H28</f>
        <v>49000</v>
      </c>
      <c r="J28" s="963"/>
      <c r="K28" s="547"/>
      <c r="L28" s="301"/>
    </row>
    <row r="29" spans="1:12" s="962" customFormat="1" ht="16" x14ac:dyDescent="0.2">
      <c r="A29" s="84"/>
      <c r="B29" s="84" t="s">
        <v>817</v>
      </c>
      <c r="C29" s="69"/>
      <c r="D29" s="69"/>
      <c r="E29" s="69"/>
      <c r="F29" s="68">
        <v>0</v>
      </c>
      <c r="G29" s="85"/>
      <c r="H29" s="71">
        <v>147000</v>
      </c>
      <c r="I29" s="71">
        <f t="shared" si="2"/>
        <v>147000</v>
      </c>
      <c r="J29" s="963"/>
      <c r="K29" s="547"/>
      <c r="L29" s="301"/>
    </row>
    <row r="30" spans="1:12" s="969" customFormat="1" ht="16" x14ac:dyDescent="0.2">
      <c r="A30" s="84"/>
      <c r="B30" s="84" t="s">
        <v>863</v>
      </c>
      <c r="C30" s="69"/>
      <c r="D30" s="69"/>
      <c r="E30" s="69"/>
      <c r="F30" s="68">
        <v>0</v>
      </c>
      <c r="G30" s="85"/>
      <c r="H30" s="71">
        <v>80850</v>
      </c>
      <c r="I30" s="71">
        <f t="shared" si="2"/>
        <v>80850</v>
      </c>
      <c r="J30" s="963"/>
      <c r="K30" s="547"/>
      <c r="L30" s="301"/>
    </row>
    <row r="31" spans="1:12" s="979" customFormat="1" ht="16" x14ac:dyDescent="0.2">
      <c r="A31" s="84"/>
      <c r="B31" s="84" t="s">
        <v>864</v>
      </c>
      <c r="C31" s="69"/>
      <c r="D31" s="69"/>
      <c r="E31" s="69"/>
      <c r="F31" s="68">
        <v>0</v>
      </c>
      <c r="G31" s="85"/>
      <c r="H31" s="71">
        <v>465500</v>
      </c>
      <c r="I31" s="71">
        <f>H31</f>
        <v>465500</v>
      </c>
      <c r="J31" s="963"/>
      <c r="K31" s="547"/>
      <c r="L31" s="301"/>
    </row>
    <row r="32" spans="1:12" s="962" customFormat="1" ht="16" x14ac:dyDescent="0.2">
      <c r="A32" s="84"/>
      <c r="B32" s="84" t="s">
        <v>818</v>
      </c>
      <c r="C32" s="69"/>
      <c r="D32" s="69"/>
      <c r="E32" s="69"/>
      <c r="F32" s="68">
        <v>0</v>
      </c>
      <c r="G32" s="85"/>
      <c r="H32" s="71">
        <v>209271</v>
      </c>
      <c r="I32" s="71">
        <f>H32</f>
        <v>209271</v>
      </c>
      <c r="J32" s="963"/>
      <c r="K32" s="547"/>
      <c r="L32" s="301"/>
    </row>
    <row r="33" spans="1:16" s="981" customFormat="1" ht="16" x14ac:dyDescent="0.2">
      <c r="A33" s="84" t="s">
        <v>719</v>
      </c>
      <c r="B33" s="84"/>
      <c r="C33" s="69"/>
      <c r="D33" s="69"/>
      <c r="E33" s="69"/>
      <c r="F33" s="86">
        <v>2133380</v>
      </c>
      <c r="G33" s="67">
        <v>2135904</v>
      </c>
      <c r="H33" s="884">
        <v>0</v>
      </c>
      <c r="I33" s="71">
        <f>+F33+H33</f>
        <v>2133380</v>
      </c>
      <c r="J33" s="963"/>
      <c r="L33" s="301"/>
    </row>
    <row r="34" spans="1:16" ht="16" x14ac:dyDescent="0.2">
      <c r="A34" s="88" t="s">
        <v>64</v>
      </c>
      <c r="B34" s="88"/>
      <c r="C34" s="69"/>
      <c r="D34" s="69"/>
      <c r="E34" s="69"/>
      <c r="F34" s="68">
        <f>SUM(F16:F33)</f>
        <v>2133380</v>
      </c>
      <c r="G34" s="89"/>
      <c r="H34" s="90">
        <f>SUM(H16:H33)</f>
        <v>14130716</v>
      </c>
      <c r="I34" s="137">
        <f>SUM(I16:I33)</f>
        <v>16264096</v>
      </c>
    </row>
    <row r="35" spans="1:16" ht="16" x14ac:dyDescent="0.2">
      <c r="A35" s="91"/>
      <c r="B35" s="92" t="s">
        <v>65</v>
      </c>
      <c r="C35" s="93"/>
      <c r="D35" s="93"/>
      <c r="E35" s="93"/>
      <c r="F35" s="95">
        <f>F14+F34</f>
        <v>133503898</v>
      </c>
      <c r="G35" s="96">
        <f>G14+G34</f>
        <v>0</v>
      </c>
      <c r="H35" s="96">
        <f>H14+H34</f>
        <v>14130716</v>
      </c>
      <c r="I35" s="138">
        <f>I14+I34</f>
        <v>147634614</v>
      </c>
      <c r="K35" s="146" t="s">
        <v>66</v>
      </c>
      <c r="L35" s="159" t="str">
        <f>"FY"&amp;RIGHT(Dashboard!B6,2)&amp;" Projections"</f>
        <v>FY22 Projections</v>
      </c>
      <c r="M35" s="159"/>
    </row>
    <row r="36" spans="1:16" ht="16" x14ac:dyDescent="0.2">
      <c r="A36" s="73" t="s">
        <v>66</v>
      </c>
      <c r="B36" s="73"/>
      <c r="C36" s="72"/>
      <c r="D36" s="72"/>
      <c r="E36" s="72"/>
      <c r="F36" s="98"/>
      <c r="G36" s="97"/>
      <c r="H36" s="99"/>
      <c r="I36" s="139"/>
      <c r="K36" s="885" t="s">
        <v>86</v>
      </c>
      <c r="L36" s="240">
        <v>109764984.44276951</v>
      </c>
      <c r="M36" s="83"/>
      <c r="P36" s="556"/>
    </row>
    <row r="37" spans="1:16" ht="16" x14ac:dyDescent="0.2">
      <c r="A37" s="84" t="s">
        <v>67</v>
      </c>
      <c r="B37" s="84"/>
      <c r="C37" s="69"/>
      <c r="D37" s="69"/>
      <c r="E37" s="69"/>
      <c r="F37" s="68">
        <f>+M42</f>
        <v>278388412.0165295</v>
      </c>
      <c r="G37" s="69"/>
      <c r="H37" s="70">
        <v>0</v>
      </c>
      <c r="I37" s="71">
        <f>F37</f>
        <v>278388412.0165295</v>
      </c>
      <c r="K37" s="885" t="s">
        <v>87</v>
      </c>
      <c r="L37" s="240">
        <v>103807684.596645</v>
      </c>
      <c r="M37" s="83"/>
      <c r="P37" s="556"/>
    </row>
    <row r="38" spans="1:16" ht="16" x14ac:dyDescent="0.2">
      <c r="A38" s="84" t="s">
        <v>68</v>
      </c>
      <c r="B38" s="84"/>
      <c r="C38" s="69"/>
      <c r="D38" s="69"/>
      <c r="E38" s="69"/>
      <c r="F38" s="68">
        <f>+M44</f>
        <v>158403155</v>
      </c>
      <c r="G38" s="69"/>
      <c r="H38" s="101"/>
      <c r="I38" s="71">
        <f>F38</f>
        <v>158403155</v>
      </c>
      <c r="K38" s="885" t="s">
        <v>88</v>
      </c>
      <c r="L38" s="240">
        <v>28972008.830975</v>
      </c>
      <c r="M38" s="886"/>
      <c r="P38" s="556"/>
    </row>
    <row r="39" spans="1:16" ht="16" x14ac:dyDescent="0.2">
      <c r="A39" s="72" t="s">
        <v>69</v>
      </c>
      <c r="B39" s="84"/>
      <c r="C39" s="69"/>
      <c r="D39" s="69"/>
      <c r="E39" s="69"/>
      <c r="F39" s="86">
        <f>+M47</f>
        <v>9136938</v>
      </c>
      <c r="G39" s="103"/>
      <c r="H39" s="104"/>
      <c r="I39" s="71">
        <f>F39</f>
        <v>9136938</v>
      </c>
      <c r="K39" s="885" t="s">
        <v>89</v>
      </c>
      <c r="L39" s="240">
        <v>14050614.158459999</v>
      </c>
      <c r="M39" s="67"/>
      <c r="P39" s="556"/>
    </row>
    <row r="40" spans="1:16" ht="16" x14ac:dyDescent="0.2">
      <c r="A40" s="105"/>
      <c r="B40" s="84"/>
      <c r="C40" s="69"/>
      <c r="D40" s="69"/>
      <c r="E40" s="69"/>
      <c r="F40" s="102"/>
      <c r="G40" s="103"/>
      <c r="H40" s="104"/>
      <c r="I40" s="71"/>
      <c r="K40" s="885" t="s">
        <v>90</v>
      </c>
      <c r="L40" s="240">
        <v>10493268.375</v>
      </c>
      <c r="M40" s="67"/>
      <c r="P40" s="556"/>
    </row>
    <row r="41" spans="1:16" ht="16" x14ac:dyDescent="0.2">
      <c r="A41" s="106"/>
      <c r="B41" s="92" t="s">
        <v>70</v>
      </c>
      <c r="C41" s="94"/>
      <c r="D41" s="94"/>
      <c r="E41" s="94"/>
      <c r="F41" s="107">
        <f>SUM(F37:F40)</f>
        <v>445928505.0165295</v>
      </c>
      <c r="G41" s="108"/>
      <c r="H41" s="109">
        <f>SUM(H37:H39)</f>
        <v>0</v>
      </c>
      <c r="I41" s="140">
        <f>SUM(I37:I40)</f>
        <v>445928505.0165295</v>
      </c>
      <c r="K41" s="885" t="s">
        <v>91</v>
      </c>
      <c r="L41" s="240">
        <v>9521905.6126799993</v>
      </c>
      <c r="M41" s="67"/>
      <c r="P41" s="556"/>
    </row>
    <row r="42" spans="1:16" ht="16" x14ac:dyDescent="0.2">
      <c r="A42" s="84"/>
      <c r="B42" s="88"/>
      <c r="C42" s="69"/>
      <c r="D42" s="69"/>
      <c r="E42" s="69"/>
      <c r="F42" s="110"/>
      <c r="G42" s="69"/>
      <c r="H42" s="111"/>
      <c r="I42" s="141"/>
      <c r="K42" s="885" t="s">
        <v>92</v>
      </c>
      <c r="L42" s="887">
        <v>1777946</v>
      </c>
      <c r="M42" s="887">
        <f>SUM(L36:L42)</f>
        <v>278388412.0165295</v>
      </c>
      <c r="P42" s="556"/>
    </row>
    <row r="43" spans="1:16" ht="16" x14ac:dyDescent="0.2">
      <c r="A43" s="91"/>
      <c r="B43" s="92" t="s">
        <v>71</v>
      </c>
      <c r="C43" s="94"/>
      <c r="D43" s="94"/>
      <c r="E43" s="94"/>
      <c r="F43" s="107">
        <f>+L49</f>
        <v>-60000000</v>
      </c>
      <c r="G43" s="94"/>
      <c r="H43" s="112">
        <v>0</v>
      </c>
      <c r="I43" s="140">
        <f>+F43+H43</f>
        <v>-60000000</v>
      </c>
      <c r="K43" s="885"/>
      <c r="L43" s="887"/>
      <c r="M43" s="887"/>
      <c r="P43" s="556"/>
    </row>
    <row r="44" spans="1:16" ht="16" x14ac:dyDescent="0.2">
      <c r="A44" s="73" t="s">
        <v>72</v>
      </c>
      <c r="B44" s="73"/>
      <c r="C44" s="67"/>
      <c r="D44" s="67"/>
      <c r="E44" s="67"/>
      <c r="F44" s="113"/>
      <c r="G44" s="80"/>
      <c r="H44" s="114"/>
      <c r="I44" s="115"/>
      <c r="K44" s="885" t="s">
        <v>93</v>
      </c>
      <c r="L44" s="887">
        <f>110694385-5745192</f>
        <v>104949193</v>
      </c>
      <c r="M44" s="888">
        <f>+L44+L45+L46</f>
        <v>158403155</v>
      </c>
      <c r="P44" s="556"/>
    </row>
    <row r="45" spans="1:16" ht="16" x14ac:dyDescent="0.2">
      <c r="A45" s="84" t="s">
        <v>73</v>
      </c>
      <c r="B45" s="84"/>
      <c r="C45" s="69"/>
      <c r="D45" s="69"/>
      <c r="E45" s="69"/>
      <c r="F45" s="68">
        <v>0</v>
      </c>
      <c r="G45" s="69"/>
      <c r="H45" s="71">
        <v>3139953</v>
      </c>
      <c r="I45" s="116">
        <f>F45+H45</f>
        <v>3139953</v>
      </c>
      <c r="J45" s="214"/>
      <c r="K45" s="885" t="s">
        <v>94</v>
      </c>
      <c r="L45" s="887">
        <v>38837907</v>
      </c>
      <c r="M45" s="887"/>
      <c r="P45" s="556"/>
    </row>
    <row r="46" spans="1:16" ht="16" x14ac:dyDescent="0.2">
      <c r="A46" s="84" t="s">
        <v>74</v>
      </c>
      <c r="B46" s="84"/>
      <c r="C46" s="69"/>
      <c r="D46" s="69"/>
      <c r="E46" s="69"/>
      <c r="F46" s="86">
        <v>0</v>
      </c>
      <c r="G46" s="69"/>
      <c r="H46" s="884">
        <v>5310729</v>
      </c>
      <c r="I46" s="117">
        <f>F46+H46</f>
        <v>5310729</v>
      </c>
      <c r="J46" s="214"/>
      <c r="K46" s="885" t="s">
        <v>713</v>
      </c>
      <c r="L46" s="887">
        <v>14616055</v>
      </c>
      <c r="M46" s="887"/>
      <c r="P46" s="556"/>
    </row>
    <row r="47" spans="1:16" ht="16" x14ac:dyDescent="0.2">
      <c r="A47" s="106"/>
      <c r="B47" s="92" t="s">
        <v>75</v>
      </c>
      <c r="C47" s="94"/>
      <c r="D47" s="94"/>
      <c r="E47" s="94"/>
      <c r="F47" s="118">
        <f>SUM(F45:F46)</f>
        <v>0</v>
      </c>
      <c r="G47" s="119">
        <f>SUM(G45:G46)</f>
        <v>0</v>
      </c>
      <c r="H47" s="120">
        <f>SUM(H45:H46)</f>
        <v>8450682</v>
      </c>
      <c r="I47" s="142">
        <f>SUM(I45:I46)</f>
        <v>8450682</v>
      </c>
      <c r="K47" s="885" t="s">
        <v>95</v>
      </c>
      <c r="L47" s="887">
        <v>9136938</v>
      </c>
      <c r="M47" s="887">
        <f>L47</f>
        <v>9136938</v>
      </c>
      <c r="P47" s="556"/>
    </row>
    <row r="48" spans="1:16" ht="16" x14ac:dyDescent="0.2">
      <c r="A48" s="73" t="s">
        <v>76</v>
      </c>
      <c r="B48" s="73"/>
      <c r="C48" s="67"/>
      <c r="D48" s="67"/>
      <c r="E48" s="67"/>
      <c r="F48" s="121"/>
      <c r="G48" s="67"/>
      <c r="H48" s="122"/>
      <c r="I48" s="143"/>
      <c r="J48" s="83"/>
      <c r="K48" s="885"/>
      <c r="L48" s="83"/>
      <c r="M48" s="887"/>
      <c r="P48" s="556"/>
    </row>
    <row r="49" spans="1:16" ht="16" x14ac:dyDescent="0.2">
      <c r="A49" s="84"/>
      <c r="B49" s="84" t="s">
        <v>77</v>
      </c>
      <c r="C49" s="69"/>
      <c r="D49" s="69"/>
      <c r="E49" s="69"/>
      <c r="F49" s="123">
        <v>200000</v>
      </c>
      <c r="G49" s="124">
        <v>11960600</v>
      </c>
      <c r="H49" s="87">
        <f>43000000</f>
        <v>43000000</v>
      </c>
      <c r="I49" s="87">
        <f>+H49+F49</f>
        <v>43200000</v>
      </c>
      <c r="J49" s="898"/>
      <c r="K49" s="889" t="s">
        <v>96</v>
      </c>
      <c r="L49" s="890">
        <v>-60000000</v>
      </c>
      <c r="M49" s="890">
        <f>L49</f>
        <v>-60000000</v>
      </c>
      <c r="P49" s="556"/>
    </row>
    <row r="50" spans="1:16" ht="17" thickBot="1" x14ac:dyDescent="0.25">
      <c r="A50" s="84"/>
      <c r="B50" s="125" t="s">
        <v>78</v>
      </c>
      <c r="C50" s="126"/>
      <c r="D50" s="126"/>
      <c r="E50" s="126"/>
      <c r="F50" s="127"/>
      <c r="G50" s="128"/>
      <c r="H50" s="128">
        <v>0</v>
      </c>
      <c r="I50" s="144"/>
      <c r="J50" s="898"/>
      <c r="K50" s="148" t="s">
        <v>97</v>
      </c>
      <c r="L50" s="149">
        <f>SUM(L36:L49)</f>
        <v>385928505.0165295</v>
      </c>
      <c r="M50" s="149">
        <f>SUM(M36:M49)</f>
        <v>385928505.0165295</v>
      </c>
    </row>
    <row r="51" spans="1:16" ht="17" thickTop="1" x14ac:dyDescent="0.2">
      <c r="B51" s="84" t="s">
        <v>79</v>
      </c>
      <c r="C51" s="69"/>
      <c r="D51" s="69"/>
      <c r="E51" s="69"/>
      <c r="F51" s="883">
        <v>0</v>
      </c>
      <c r="G51" s="124"/>
      <c r="H51" s="87">
        <f>18168104+300000+10000</f>
        <v>18478104</v>
      </c>
      <c r="I51" s="87">
        <f>SUM(F51,H51)</f>
        <v>18478104</v>
      </c>
      <c r="J51" s="960"/>
    </row>
    <row r="52" spans="1:16" ht="17" thickBot="1" x14ac:dyDescent="0.25">
      <c r="A52" s="84"/>
      <c r="B52" s="84" t="s">
        <v>80</v>
      </c>
      <c r="C52" s="69"/>
      <c r="D52" s="69"/>
      <c r="E52" s="69"/>
      <c r="F52" s="883">
        <v>650000</v>
      </c>
      <c r="G52" s="124"/>
      <c r="H52" s="87">
        <f>2851366-650000</f>
        <v>2201366</v>
      </c>
      <c r="I52" s="87">
        <f>SUM(F52,H52)</f>
        <v>2851366</v>
      </c>
      <c r="J52" s="898"/>
      <c r="K52" s="146" t="s">
        <v>106</v>
      </c>
      <c r="L52" s="150" t="s">
        <v>98</v>
      </c>
      <c r="M52" s="150" t="s">
        <v>99</v>
      </c>
    </row>
    <row r="53" spans="1:16" ht="17" thickTop="1" x14ac:dyDescent="0.2">
      <c r="A53" s="84" t="s">
        <v>81</v>
      </c>
      <c r="B53" s="84" t="s">
        <v>82</v>
      </c>
      <c r="C53" s="69"/>
      <c r="D53" s="69"/>
      <c r="E53" s="69"/>
      <c r="F53" s="68">
        <v>8772000</v>
      </c>
      <c r="G53" s="124"/>
      <c r="H53" s="87">
        <v>0</v>
      </c>
      <c r="I53" s="87">
        <f>F53+H53</f>
        <v>8772000</v>
      </c>
      <c r="J53" s="83"/>
      <c r="K53" s="151" t="s">
        <v>100</v>
      </c>
      <c r="L53" s="582">
        <f>L49/(L36+L37+L42+M44+L47)</f>
        <v>-0.15670267974699359</v>
      </c>
      <c r="M53" s="152"/>
    </row>
    <row r="54" spans="1:16" ht="16" x14ac:dyDescent="0.2">
      <c r="A54" s="84"/>
      <c r="B54" s="84" t="s">
        <v>83</v>
      </c>
      <c r="C54" s="69"/>
      <c r="D54" s="69"/>
      <c r="E54" s="69"/>
      <c r="F54" s="123">
        <v>1072584</v>
      </c>
      <c r="G54" s="124"/>
      <c r="H54" s="87">
        <v>0</v>
      </c>
      <c r="I54" s="87">
        <v>1072584</v>
      </c>
      <c r="K54" s="153" t="s">
        <v>101</v>
      </c>
      <c r="L54" s="583">
        <f>L53</f>
        <v>-0.15670267974699359</v>
      </c>
      <c r="M54" s="154">
        <f>-L54*L36</f>
        <v>17200467.204569045</v>
      </c>
    </row>
    <row r="55" spans="1:16" ht="16" x14ac:dyDescent="0.2">
      <c r="A55" s="106"/>
      <c r="B55" s="92" t="s">
        <v>84</v>
      </c>
      <c r="C55" s="94"/>
      <c r="D55" s="94"/>
      <c r="E55" s="94"/>
      <c r="F55" s="107">
        <f>SUM(F49:F54)</f>
        <v>10694584</v>
      </c>
      <c r="G55" s="94"/>
      <c r="H55" s="107">
        <f>SUM(H49:H54)</f>
        <v>63679470</v>
      </c>
      <c r="I55" s="140">
        <f>SUM(I49:I54)</f>
        <v>74374054</v>
      </c>
      <c r="K55" s="153" t="s">
        <v>102</v>
      </c>
      <c r="L55" s="583">
        <f>L54</f>
        <v>-0.15670267974699359</v>
      </c>
      <c r="M55" s="154">
        <f>-L55*L37</f>
        <v>16266942.354624981</v>
      </c>
    </row>
    <row r="56" spans="1:16" ht="16" x14ac:dyDescent="0.2">
      <c r="A56" s="84"/>
      <c r="B56" s="84"/>
      <c r="C56" s="69"/>
      <c r="D56" s="69"/>
      <c r="E56" s="69"/>
      <c r="F56" s="100"/>
      <c r="G56" s="69"/>
      <c r="H56" s="70"/>
      <c r="I56" s="145"/>
      <c r="K56" s="153" t="s">
        <v>103</v>
      </c>
      <c r="L56" s="583">
        <f>L55</f>
        <v>-0.15670267974699359</v>
      </c>
      <c r="M56" s="152">
        <f>-L56*(L42+L47+M44)</f>
        <v>26532590.440805972</v>
      </c>
    </row>
    <row r="57" spans="1:16" ht="16" x14ac:dyDescent="0.2">
      <c r="A57" s="91" t="s">
        <v>85</v>
      </c>
      <c r="B57" s="93"/>
      <c r="C57" s="94"/>
      <c r="D57" s="94"/>
      <c r="E57" s="94"/>
      <c r="F57" s="107">
        <f>+F35+F41+F43+F47+F55</f>
        <v>530126987.01652956</v>
      </c>
      <c r="G57" s="94"/>
      <c r="H57" s="109">
        <f>+H35+H41+H43+H47+H55</f>
        <v>86260868</v>
      </c>
      <c r="I57" s="109">
        <f>+I35+I41+I43+I47+I55</f>
        <v>616387855.01652956</v>
      </c>
      <c r="K57" s="153" t="s">
        <v>104</v>
      </c>
      <c r="L57" s="151"/>
      <c r="M57" s="154"/>
    </row>
    <row r="58" spans="1:16" x14ac:dyDescent="0.2">
      <c r="A58" s="49"/>
      <c r="B58" s="60"/>
      <c r="C58" s="129"/>
      <c r="D58" s="129"/>
      <c r="E58" s="129"/>
      <c r="F58" s="83"/>
      <c r="G58" s="83"/>
      <c r="H58" s="131"/>
      <c r="K58" s="155" t="s">
        <v>105</v>
      </c>
      <c r="L58" s="156"/>
      <c r="M58" s="157">
        <f>M53+M54+M55+M57+M56</f>
        <v>60000000</v>
      </c>
    </row>
    <row r="59" spans="1:16" ht="16" x14ac:dyDescent="0.2">
      <c r="F59" s="132"/>
      <c r="G59" s="132"/>
      <c r="H59" s="134"/>
      <c r="I59" s="133"/>
    </row>
    <row r="60" spans="1:16" ht="16" x14ac:dyDescent="0.2">
      <c r="F60" s="134"/>
      <c r="G60" s="132"/>
      <c r="H60" s="926"/>
      <c r="I60" s="134"/>
      <c r="K60" s="83"/>
      <c r="L60" s="83"/>
      <c r="M60" s="83"/>
      <c r="N60" s="83"/>
    </row>
    <row r="62" spans="1:16" x14ac:dyDescent="0.2">
      <c r="I62" s="301"/>
    </row>
    <row r="63" spans="1:16" x14ac:dyDescent="0.2">
      <c r="I63" s="301"/>
    </row>
    <row r="64" spans="1:16" x14ac:dyDescent="0.2">
      <c r="I64" s="301"/>
    </row>
    <row r="65" spans="9:9" x14ac:dyDescent="0.2">
      <c r="I65" s="301"/>
    </row>
    <row r="66" spans="9:9" x14ac:dyDescent="0.2">
      <c r="I66" s="301"/>
    </row>
    <row r="67" spans="9:9" x14ac:dyDescent="0.2">
      <c r="I67" s="301"/>
    </row>
  </sheetData>
  <mergeCells count="4">
    <mergeCell ref="A1:D1"/>
    <mergeCell ref="F1:I1"/>
    <mergeCell ref="A2:D2"/>
    <mergeCell ref="K1:M7"/>
  </mergeCells>
  <pageMargins left="0.7" right="0.7" top="0.75" bottom="0.75" header="0.3" footer="0.3"/>
  <pageSetup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V73"/>
  <sheetViews>
    <sheetView workbookViewId="0">
      <selection activeCell="AX20" sqref="AX20"/>
    </sheetView>
  </sheetViews>
  <sheetFormatPr baseColWidth="10" defaultColWidth="12.5" defaultRowHeight="15" outlineLevelCol="1" x14ac:dyDescent="0.2"/>
  <cols>
    <col min="1" max="1" width="41.33203125" customWidth="1"/>
    <col min="2" max="2" width="12.33203125" customWidth="1"/>
    <col min="3" max="3" width="12.33203125" hidden="1" customWidth="1" outlineLevel="1"/>
    <col min="4" max="4" width="16.1640625" hidden="1" customWidth="1" outlineLevel="1"/>
    <col min="5" max="7" width="12.33203125" hidden="1" customWidth="1" outlineLevel="1"/>
    <col min="8" max="8" width="13.83203125" hidden="1" customWidth="1" outlineLevel="1"/>
    <col min="9" max="9" width="13.83203125" style="1085" hidden="1" customWidth="1" outlineLevel="1"/>
    <col min="10" max="10" width="12.33203125" customWidth="1" collapsed="1"/>
    <col min="11" max="11" width="4.5" style="130" customWidth="1"/>
    <col min="12" max="12" width="12.6640625" customWidth="1"/>
    <col min="13" max="15" width="14" bestFit="1" customWidth="1"/>
    <col min="16" max="16" width="8.6640625" style="130" bestFit="1" customWidth="1"/>
    <col min="17" max="20" width="12.5" hidden="1" customWidth="1" outlineLevel="1"/>
    <col min="21" max="21" width="18.33203125" customWidth="1" collapsed="1"/>
    <col min="22" max="22" width="3.6640625" style="130" customWidth="1"/>
    <col min="23" max="23" width="15.33203125" hidden="1" customWidth="1" outlineLevel="1"/>
    <col min="24" max="24" width="17.5" hidden="1" customWidth="1" outlineLevel="1"/>
    <col min="25" max="25" width="11" hidden="1" customWidth="1" outlineLevel="1"/>
    <col min="26" max="26" width="12.83203125" hidden="1" customWidth="1" outlineLevel="1"/>
    <col min="27" max="28" width="14.5" hidden="1" customWidth="1" outlineLevel="1"/>
    <col min="29" max="29" width="17.5" bestFit="1" customWidth="1" collapsed="1"/>
    <col min="30" max="30" width="3.5" style="130" customWidth="1"/>
    <col min="31" max="31" width="11.33203125" customWidth="1"/>
    <col min="32" max="32" width="11.6640625" customWidth="1"/>
    <col min="33" max="33" width="13.1640625" style="1085" customWidth="1"/>
    <col min="34" max="34" width="11.83203125" customWidth="1"/>
    <col min="35" max="35" width="3.5" style="130" customWidth="1"/>
    <col min="36" max="36" width="19.5" customWidth="1"/>
    <col min="37" max="37" width="4.5" customWidth="1"/>
    <col min="38" max="38" width="12.33203125" bestFit="1" customWidth="1"/>
    <col min="39" max="39" width="14" bestFit="1" customWidth="1"/>
    <col min="40" max="40" width="3.33203125" style="515" customWidth="1"/>
    <col min="41" max="41" width="19.83203125" customWidth="1"/>
    <col min="42" max="42" width="11.5" bestFit="1" customWidth="1"/>
    <col min="43" max="43" width="14" bestFit="1" customWidth="1"/>
    <col min="44" max="44" width="2.5" customWidth="1"/>
    <col min="45" max="45" width="16.33203125" style="147" bestFit="1" customWidth="1"/>
    <col min="46" max="46" width="15" style="147" bestFit="1" customWidth="1"/>
    <col min="48" max="48" width="15.33203125" bestFit="1" customWidth="1"/>
  </cols>
  <sheetData>
    <row r="1" spans="1:46" ht="22" thickBot="1" x14ac:dyDescent="0.3">
      <c r="A1" s="506" t="s">
        <v>513</v>
      </c>
      <c r="B1" s="1208" t="s">
        <v>520</v>
      </c>
      <c r="C1" s="1208"/>
      <c r="D1" s="1208"/>
      <c r="E1" s="1208"/>
      <c r="F1" s="1208"/>
      <c r="G1" s="1208"/>
      <c r="H1" s="1208"/>
      <c r="I1" s="1208"/>
      <c r="J1" s="1208"/>
      <c r="K1" s="1208"/>
      <c r="L1" s="1208"/>
      <c r="M1" s="1208"/>
      <c r="N1" s="1208"/>
      <c r="O1" s="1208"/>
      <c r="P1" s="1208"/>
      <c r="Q1" s="1208"/>
      <c r="R1" s="1208"/>
      <c r="S1" s="1208"/>
      <c r="T1" s="1208"/>
      <c r="U1" s="1208"/>
      <c r="V1" s="1208"/>
      <c r="W1" s="1208"/>
      <c r="X1" s="1208"/>
      <c r="Y1" s="1208"/>
      <c r="Z1" s="1208"/>
      <c r="AA1" s="1208"/>
      <c r="AB1" s="1208"/>
      <c r="AC1" s="1208"/>
    </row>
    <row r="2" spans="1:46" ht="21" x14ac:dyDescent="0.25">
      <c r="A2" s="606"/>
      <c r="B2" s="1209" t="s">
        <v>510</v>
      </c>
      <c r="C2" s="1209"/>
      <c r="D2" s="1209"/>
      <c r="E2" s="1209"/>
      <c r="F2" s="1209"/>
      <c r="G2" s="1209"/>
      <c r="H2" s="1209"/>
      <c r="I2" s="1209"/>
      <c r="J2" s="1209"/>
      <c r="K2" s="483"/>
      <c r="M2" s="370"/>
      <c r="N2" s="510" t="s">
        <v>509</v>
      </c>
      <c r="O2" s="510"/>
      <c r="P2" s="510"/>
      <c r="Q2" s="510"/>
      <c r="R2" s="510"/>
      <c r="S2" s="510"/>
      <c r="T2" s="510"/>
      <c r="U2" s="510"/>
      <c r="V2" s="510"/>
      <c r="W2" s="510"/>
      <c r="X2" s="510"/>
      <c r="Y2" s="510"/>
      <c r="Z2" s="510"/>
      <c r="AA2" s="510"/>
      <c r="AB2" s="510"/>
      <c r="AC2" s="510"/>
      <c r="AD2" s="370"/>
      <c r="AE2" s="370"/>
      <c r="AF2" s="370"/>
      <c r="AG2" s="370"/>
      <c r="AH2" s="370"/>
      <c r="AI2" s="478"/>
      <c r="AJ2" s="498" t="s">
        <v>511</v>
      </c>
      <c r="AK2" s="160"/>
      <c r="AL2" s="1207" t="s">
        <v>512</v>
      </c>
      <c r="AM2" s="1207"/>
      <c r="AO2" s="162" t="s">
        <v>108</v>
      </c>
      <c r="AP2" s="163"/>
      <c r="AQ2" s="164">
        <f>+'Step 0 Revenue Detail'!I57</f>
        <v>616387855.01652956</v>
      </c>
      <c r="AR2" s="147"/>
    </row>
    <row r="3" spans="1:46" ht="16" x14ac:dyDescent="0.2">
      <c r="A3" s="160"/>
      <c r="C3" s="1213" t="s">
        <v>109</v>
      </c>
      <c r="D3" s="1213"/>
      <c r="E3" s="1213"/>
      <c r="F3" s="1213"/>
      <c r="G3" s="1213"/>
      <c r="H3" s="1213"/>
      <c r="I3" s="1084"/>
      <c r="K3" s="478"/>
      <c r="L3" s="556"/>
      <c r="AI3" s="478"/>
      <c r="AJ3" s="199"/>
      <c r="AM3" s="160"/>
      <c r="AO3" s="825" t="s">
        <v>110</v>
      </c>
      <c r="AP3" s="826"/>
      <c r="AQ3" s="827">
        <f>+AQ2-AJ57</f>
        <v>1.6529560089111328E-2</v>
      </c>
      <c r="AR3" s="147"/>
    </row>
    <row r="4" spans="1:46" ht="17" thickBot="1" x14ac:dyDescent="0.25">
      <c r="A4" s="160"/>
      <c r="C4" s="165">
        <f>+Dashboard!C12</f>
        <v>0</v>
      </c>
      <c r="D4" s="165">
        <v>0</v>
      </c>
      <c r="E4" s="165">
        <v>0</v>
      </c>
      <c r="F4" s="165">
        <f>+Dashboard!C12</f>
        <v>0</v>
      </c>
      <c r="G4" s="165">
        <f>+Dashboard!C12</f>
        <v>0</v>
      </c>
      <c r="H4" s="165">
        <v>0</v>
      </c>
      <c r="I4" s="165"/>
      <c r="J4" s="165"/>
      <c r="K4" s="478"/>
      <c r="L4" s="370"/>
      <c r="N4" s="370"/>
      <c r="O4" s="370"/>
      <c r="P4" s="370"/>
      <c r="Q4" s="370"/>
      <c r="R4" s="370"/>
      <c r="S4" s="370"/>
      <c r="T4" s="370"/>
      <c r="U4" s="370"/>
      <c r="V4" s="370"/>
      <c r="W4" s="370"/>
      <c r="X4" s="370"/>
      <c r="Y4" s="370"/>
      <c r="Z4" s="370"/>
      <c r="AA4" s="370"/>
      <c r="AB4" s="370"/>
      <c r="AC4" s="370"/>
      <c r="AD4" s="370"/>
      <c r="AE4" s="370"/>
      <c r="AF4" s="370"/>
      <c r="AG4" s="370"/>
      <c r="AH4" s="370"/>
      <c r="AI4" s="478"/>
      <c r="AJ4" s="199"/>
      <c r="AM4" s="160"/>
      <c r="AO4" s="166" t="s">
        <v>669</v>
      </c>
      <c r="AP4" s="167"/>
      <c r="AQ4" s="168">
        <f>+AJ64</f>
        <v>-9491887.5500000119</v>
      </c>
      <c r="AR4" s="147"/>
    </row>
    <row r="5" spans="1:46" ht="16" thickBot="1" x14ac:dyDescent="0.25">
      <c r="A5" s="169"/>
      <c r="B5" s="1217" t="s">
        <v>114</v>
      </c>
      <c r="C5" s="1217"/>
      <c r="D5" s="1217"/>
      <c r="E5" s="1217"/>
      <c r="F5" s="1217"/>
      <c r="G5" s="1217"/>
      <c r="H5" s="1217"/>
      <c r="I5" s="1217"/>
      <c r="J5" s="1217"/>
      <c r="K5" s="279"/>
      <c r="L5" s="1214" t="s">
        <v>111</v>
      </c>
      <c r="M5" s="1214"/>
      <c r="N5" s="1214"/>
      <c r="O5" s="1214"/>
      <c r="P5" s="170"/>
      <c r="Q5" s="1215" t="s">
        <v>112</v>
      </c>
      <c r="R5" s="1215"/>
      <c r="S5" s="1215"/>
      <c r="T5" s="1215"/>
      <c r="U5" s="297"/>
      <c r="V5" s="170"/>
      <c r="W5" s="1216" t="s">
        <v>113</v>
      </c>
      <c r="X5" s="1216"/>
      <c r="Y5" s="1216"/>
      <c r="Z5" s="1216"/>
      <c r="AA5" s="1216"/>
      <c r="AB5" s="1216"/>
      <c r="AC5" s="470"/>
      <c r="AD5" s="279"/>
      <c r="AE5" s="1212" t="s">
        <v>985</v>
      </c>
      <c r="AF5" s="1212"/>
      <c r="AG5" s="1212"/>
      <c r="AH5" s="1212"/>
      <c r="AI5" s="279"/>
      <c r="AM5" s="169"/>
      <c r="AO5" s="166" t="s">
        <v>766</v>
      </c>
      <c r="AP5" s="167"/>
      <c r="AQ5" s="931">
        <v>0.01</v>
      </c>
    </row>
    <row r="6" spans="1:46" s="174" customFormat="1" ht="85" thickBot="1" x14ac:dyDescent="0.25">
      <c r="A6" s="171" t="s">
        <v>115</v>
      </c>
      <c r="B6" s="172" t="s">
        <v>122</v>
      </c>
      <c r="C6" s="172" t="s">
        <v>123</v>
      </c>
      <c r="D6" s="172" t="s">
        <v>124</v>
      </c>
      <c r="E6" s="172" t="s">
        <v>125</v>
      </c>
      <c r="F6" s="172" t="s">
        <v>126</v>
      </c>
      <c r="G6" s="172" t="s">
        <v>127</v>
      </c>
      <c r="H6" s="172" t="s">
        <v>128</v>
      </c>
      <c r="I6" s="172" t="s">
        <v>989</v>
      </c>
      <c r="J6" s="607" t="s">
        <v>216</v>
      </c>
      <c r="K6" s="484"/>
      <c r="L6" s="172" t="s">
        <v>116</v>
      </c>
      <c r="M6" s="517" t="s">
        <v>922</v>
      </c>
      <c r="N6" s="173" t="s">
        <v>117</v>
      </c>
      <c r="O6" s="517" t="s">
        <v>921</v>
      </c>
      <c r="P6" s="472"/>
      <c r="Q6" s="173" t="s">
        <v>118</v>
      </c>
      <c r="R6" s="173" t="s">
        <v>119</v>
      </c>
      <c r="S6" s="173" t="s">
        <v>120</v>
      </c>
      <c r="T6" s="173" t="s">
        <v>121</v>
      </c>
      <c r="U6" s="386" t="s">
        <v>381</v>
      </c>
      <c r="V6" s="472"/>
      <c r="W6" s="172" t="s">
        <v>211</v>
      </c>
      <c r="X6" s="172" t="s">
        <v>212</v>
      </c>
      <c r="Y6" s="172" t="s">
        <v>213</v>
      </c>
      <c r="Z6" s="172" t="s">
        <v>142</v>
      </c>
      <c r="AA6" s="172" t="s">
        <v>214</v>
      </c>
      <c r="AB6" s="172" t="s">
        <v>215</v>
      </c>
      <c r="AC6" s="471" t="s">
        <v>382</v>
      </c>
      <c r="AD6" s="479"/>
      <c r="AE6" s="517" t="s">
        <v>383</v>
      </c>
      <c r="AF6" s="517" t="s">
        <v>384</v>
      </c>
      <c r="AG6" s="517" t="s">
        <v>997</v>
      </c>
      <c r="AH6" s="173" t="s">
        <v>385</v>
      </c>
      <c r="AI6" s="472"/>
      <c r="AJ6" s="589" t="str">
        <f>"FY"&amp;RIGHT(Dashboard!B6,2)&amp;" FINAL Budget - TECHNICAL CHANGES"</f>
        <v>FY22 FINAL Budget - TECHNICAL CHANGES</v>
      </c>
      <c r="AK6" s="590"/>
      <c r="AL6" s="173" t="str">
        <f>"FY"&amp;RIGHT(Dashboard!B6,2)-1&amp;" Initial Budget"</f>
        <v>FY21 Initial Budget</v>
      </c>
      <c r="AM6" s="517" t="s">
        <v>583</v>
      </c>
      <c r="AN6" s="515"/>
      <c r="AO6"/>
      <c r="AP6"/>
      <c r="AQ6"/>
      <c r="AS6" s="173" t="s">
        <v>882</v>
      </c>
      <c r="AT6" s="173" t="s">
        <v>565</v>
      </c>
    </row>
    <row r="7" spans="1:46" x14ac:dyDescent="0.2">
      <c r="A7" s="175" t="s">
        <v>129</v>
      </c>
      <c r="B7" s="521"/>
      <c r="C7" s="529"/>
      <c r="D7" s="529">
        <f>+IM!B8</f>
        <v>3276588</v>
      </c>
      <c r="E7" s="529"/>
      <c r="F7" s="529"/>
      <c r="G7" s="592"/>
      <c r="H7" s="593"/>
      <c r="I7" s="593"/>
      <c r="J7" s="593">
        <f>SUM(C7:I7)</f>
        <v>3276588</v>
      </c>
      <c r="K7" s="524"/>
      <c r="L7" s="595"/>
      <c r="M7" s="521"/>
      <c r="N7" s="521"/>
      <c r="O7" s="521"/>
      <c r="P7" s="201"/>
      <c r="Q7" s="521">
        <f>-IM!B8</f>
        <v>-3276588</v>
      </c>
      <c r="R7" s="521"/>
      <c r="S7" s="521"/>
      <c r="T7" s="521"/>
      <c r="U7" s="521">
        <f>+SUM(Q7:T7)</f>
        <v>-3276588</v>
      </c>
      <c r="V7" s="201"/>
      <c r="W7" s="176"/>
      <c r="X7" s="176"/>
      <c r="Y7" s="176"/>
      <c r="Z7" s="176"/>
      <c r="AA7" s="176"/>
      <c r="AB7" s="176"/>
      <c r="AC7" s="176">
        <f>SUM(W7:AB7)</f>
        <v>0</v>
      </c>
      <c r="AE7" s="521"/>
      <c r="AF7" s="521"/>
      <c r="AG7" s="521"/>
      <c r="AH7" s="521"/>
      <c r="AJ7" s="912">
        <f>SUM(L7:O7,U7,AC7,B7,J7,AE7:AH7)</f>
        <v>0</v>
      </c>
      <c r="AK7" s="462"/>
      <c r="AL7" s="176">
        <v>0</v>
      </c>
      <c r="AM7" s="518">
        <f t="shared" ref="AM7:AM14" si="0">+AJ7-AL7</f>
        <v>0</v>
      </c>
      <c r="AN7" s="556"/>
      <c r="AQ7" s="556"/>
      <c r="AR7" s="131"/>
      <c r="AS7" s="176">
        <v>0</v>
      </c>
      <c r="AT7" s="518">
        <f t="shared" ref="AT7:AT14" si="1">+AJ7-AS7</f>
        <v>0</v>
      </c>
    </row>
    <row r="8" spans="1:46" x14ac:dyDescent="0.2">
      <c r="A8" s="175" t="s">
        <v>130</v>
      </c>
      <c r="B8" s="521"/>
      <c r="C8" s="521"/>
      <c r="D8" s="529">
        <f>IM!B17</f>
        <v>4155208</v>
      </c>
      <c r="E8" s="529"/>
      <c r="F8" s="529">
        <v>3850000</v>
      </c>
      <c r="G8" s="529"/>
      <c r="H8" s="529">
        <f>ROUND('Step 0 Revenue Detail'!H49*0.05,-2)+'Step 0 Revenue Detail'!F49</f>
        <v>2350000</v>
      </c>
      <c r="I8" s="529"/>
      <c r="J8" s="593">
        <f t="shared" ref="J8:J14" si="2">SUM(C8:I8)</f>
        <v>10355208</v>
      </c>
      <c r="K8" s="891"/>
      <c r="L8" s="595"/>
      <c r="M8" s="521"/>
      <c r="N8" s="521"/>
      <c r="O8" s="521"/>
      <c r="P8" s="201"/>
      <c r="Q8" s="521">
        <f>'Service Support &amp; Mgmt'!G3-'FINAL-Distributed E&amp;G Budget'!Q7</f>
        <v>-12458883.550000012</v>
      </c>
      <c r="R8" s="521"/>
      <c r="S8" s="521"/>
      <c r="T8" s="521"/>
      <c r="U8" s="521">
        <f>+SUM(Q8:T8)</f>
        <v>-12458883.550000012</v>
      </c>
      <c r="V8" s="201"/>
      <c r="W8" s="176"/>
      <c r="X8" s="176"/>
      <c r="Y8" s="176"/>
      <c r="Z8" s="176"/>
      <c r="AA8" s="176"/>
      <c r="AB8" s="176"/>
      <c r="AC8" s="176">
        <f t="shared" ref="AC8:AC13" si="3">SUM(W8:AB8)</f>
        <v>0</v>
      </c>
      <c r="AE8" s="521">
        <f>-SUM(AE17:AE35)-SUM(AE40:AE55)</f>
        <v>-1416718</v>
      </c>
      <c r="AF8" s="521">
        <f>-SUM(AF56,AF36)</f>
        <v>-3161000</v>
      </c>
      <c r="AG8" s="521">
        <f>-SUM(AG56,AG36)</f>
        <v>2101866</v>
      </c>
      <c r="AH8" s="521">
        <f>-SUM(AH36,AH56)</f>
        <v>5550010</v>
      </c>
      <c r="AJ8" s="988">
        <f>SUM(L8:O8,U8,AC8,B8,J8,AE8:AH8)</f>
        <v>970482.44999998808</v>
      </c>
      <c r="AK8" s="462"/>
      <c r="AL8" s="176">
        <v>3478566.7165320879</v>
      </c>
      <c r="AM8" s="518">
        <f t="shared" si="0"/>
        <v>-2508084.2665320998</v>
      </c>
      <c r="AN8" s="556"/>
      <c r="AO8" s="131"/>
      <c r="AQ8" s="178"/>
      <c r="AR8" s="556"/>
      <c r="AS8" s="176">
        <v>4471174.4499999881</v>
      </c>
      <c r="AT8" s="518">
        <f t="shared" si="1"/>
        <v>-3500692</v>
      </c>
    </row>
    <row r="9" spans="1:46" x14ac:dyDescent="0.2">
      <c r="A9" s="175" t="s">
        <v>131</v>
      </c>
      <c r="B9" s="529"/>
      <c r="C9" s="529"/>
      <c r="D9" s="529"/>
      <c r="E9" s="529"/>
      <c r="F9" s="594"/>
      <c r="G9" s="592"/>
      <c r="H9" s="593"/>
      <c r="I9" s="593"/>
      <c r="J9" s="593">
        <f t="shared" si="2"/>
        <v>0</v>
      </c>
      <c r="K9" s="891"/>
      <c r="L9" s="529"/>
      <c r="M9" s="521"/>
      <c r="N9" s="521"/>
      <c r="O9" s="521">
        <f>'Productivity Split'!C14-SUM('FINAL-Distributed E&amp;G Budget'!O18:O35)-SUM(O40:O55)</f>
        <v>3170000</v>
      </c>
      <c r="P9" s="201"/>
      <c r="Q9" s="597">
        <f>'Service Support &amp; Mgmt'!G3-Q7-Q8</f>
        <v>0</v>
      </c>
      <c r="R9" s="521"/>
      <c r="S9" s="521"/>
      <c r="T9" s="521"/>
      <c r="U9" s="521">
        <f>+SUM(Q9:T9)</f>
        <v>0</v>
      </c>
      <c r="V9" s="201"/>
      <c r="W9" s="176"/>
      <c r="X9" s="176"/>
      <c r="Y9" s="176"/>
      <c r="Z9" s="176"/>
      <c r="AA9" s="176"/>
      <c r="AB9" s="176"/>
      <c r="AC9" s="176">
        <f t="shared" si="3"/>
        <v>0</v>
      </c>
      <c r="AE9" s="835">
        <f>-SUM(AE17:AE35)-SUM(AE40:AE55)-AE8</f>
        <v>0</v>
      </c>
      <c r="AF9" s="521"/>
      <c r="AG9" s="521"/>
      <c r="AH9" s="521"/>
      <c r="AJ9" s="913">
        <f t="shared" ref="AJ9:AJ12" si="4">SUM(L9:O9,U9,AC9,B9,J9,AE9:AH9)</f>
        <v>3170000</v>
      </c>
      <c r="AK9" s="462"/>
      <c r="AL9" s="176">
        <v>-0.39200000092387199</v>
      </c>
      <c r="AM9" s="518">
        <f t="shared" si="0"/>
        <v>3170000.3920000009</v>
      </c>
      <c r="AN9" s="556"/>
      <c r="AO9" s="131"/>
      <c r="AQ9" s="178"/>
      <c r="AR9" s="556"/>
      <c r="AS9" s="176">
        <v>-144500</v>
      </c>
      <c r="AT9" s="518">
        <f t="shared" si="1"/>
        <v>3314500</v>
      </c>
    </row>
    <row r="10" spans="1:46" ht="16" x14ac:dyDescent="0.2">
      <c r="A10" s="175" t="s">
        <v>132</v>
      </c>
      <c r="B10" s="529"/>
      <c r="C10" s="529"/>
      <c r="D10" s="529">
        <f>+IM!B18</f>
        <v>12000000</v>
      </c>
      <c r="E10" s="529"/>
      <c r="F10" s="594"/>
      <c r="G10" s="592"/>
      <c r="H10" s="593"/>
      <c r="I10" s="593"/>
      <c r="J10" s="593">
        <f t="shared" si="2"/>
        <v>12000000</v>
      </c>
      <c r="K10" s="891"/>
      <c r="L10" s="529"/>
      <c r="M10" s="521"/>
      <c r="N10" s="521"/>
      <c r="O10" s="521"/>
      <c r="P10" s="201"/>
      <c r="Q10" s="176"/>
      <c r="R10" s="176"/>
      <c r="S10" s="176"/>
      <c r="T10" s="176"/>
      <c r="U10" s="176">
        <f t="shared" ref="U10:U55" si="5">+SUM(Q10:T10)</f>
        <v>0</v>
      </c>
      <c r="V10" s="201"/>
      <c r="W10" s="176"/>
      <c r="X10" s="176"/>
      <c r="Y10" s="176"/>
      <c r="Z10" s="176"/>
      <c r="AA10" s="176"/>
      <c r="AB10" s="176"/>
      <c r="AC10" s="176">
        <f t="shared" si="3"/>
        <v>0</v>
      </c>
      <c r="AE10" s="521"/>
      <c r="AF10" s="521"/>
      <c r="AG10" s="521"/>
      <c r="AH10" s="521"/>
      <c r="AJ10" s="913">
        <f t="shared" si="4"/>
        <v>12000000</v>
      </c>
      <c r="AK10" s="462"/>
      <c r="AL10" s="176">
        <v>13000000</v>
      </c>
      <c r="AM10" s="518">
        <f t="shared" si="0"/>
        <v>-1000000</v>
      </c>
      <c r="AN10" s="556"/>
      <c r="AO10" s="181" t="s">
        <v>133</v>
      </c>
      <c r="AQ10" s="178"/>
      <c r="AR10" s="556"/>
      <c r="AS10" s="176">
        <v>12000000</v>
      </c>
      <c r="AT10" s="518">
        <f t="shared" si="1"/>
        <v>0</v>
      </c>
    </row>
    <row r="11" spans="1:46" ht="16" thickBot="1" x14ac:dyDescent="0.25">
      <c r="A11" s="175" t="s">
        <v>134</v>
      </c>
      <c r="B11" s="529"/>
      <c r="C11" s="529"/>
      <c r="D11" s="529"/>
      <c r="E11" s="529">
        <f>+Differential!F5</f>
        <v>822900</v>
      </c>
      <c r="F11" s="594"/>
      <c r="G11" s="592"/>
      <c r="H11" s="911">
        <f>'Step 0 Revenue Detail'!H49-H8-H36-H56+'Step 0 Revenue Detail'!F49</f>
        <v>1175500</v>
      </c>
      <c r="I11" s="911"/>
      <c r="J11" s="593">
        <f t="shared" si="2"/>
        <v>1998400</v>
      </c>
      <c r="K11" s="891"/>
      <c r="L11" s="529">
        <f>+'Productivity Split'!C13</f>
        <v>5346638</v>
      </c>
      <c r="M11" s="521"/>
      <c r="N11" s="521"/>
      <c r="O11" s="521"/>
      <c r="P11" s="201"/>
      <c r="Q11" s="176"/>
      <c r="R11" s="176"/>
      <c r="S11" s="176"/>
      <c r="T11" s="176"/>
      <c r="U11" s="176">
        <f t="shared" si="5"/>
        <v>0</v>
      </c>
      <c r="V11" s="201"/>
      <c r="W11" s="176"/>
      <c r="X11" s="176"/>
      <c r="Y11" s="176"/>
      <c r="Z11" s="176"/>
      <c r="AA11" s="176"/>
      <c r="AB11" s="176"/>
      <c r="AC11" s="176">
        <f t="shared" si="3"/>
        <v>0</v>
      </c>
      <c r="AE11" s="176"/>
      <c r="AF11" s="176"/>
      <c r="AG11" s="518"/>
      <c r="AH11" s="176"/>
      <c r="AJ11" s="913">
        <f t="shared" si="4"/>
        <v>7345038</v>
      </c>
      <c r="AK11" s="462"/>
      <c r="AL11" s="176">
        <v>11441819.242999993</v>
      </c>
      <c r="AM11" s="518">
        <f t="shared" si="0"/>
        <v>-4096781.2429999933</v>
      </c>
      <c r="AN11" s="556"/>
      <c r="AP11" s="298" t="s">
        <v>135</v>
      </c>
      <c r="AQ11" s="298" t="s">
        <v>136</v>
      </c>
      <c r="AR11" s="556"/>
      <c r="AS11" s="176">
        <v>15080231</v>
      </c>
      <c r="AT11" s="518">
        <f t="shared" si="1"/>
        <v>-7735193</v>
      </c>
    </row>
    <row r="12" spans="1:46" x14ac:dyDescent="0.2">
      <c r="A12" s="175" t="s">
        <v>137</v>
      </c>
      <c r="B12" s="521"/>
      <c r="C12" s="529"/>
      <c r="D12" s="529">
        <f>+IM!F26</f>
        <v>180000</v>
      </c>
      <c r="E12" s="529"/>
      <c r="F12" s="529"/>
      <c r="G12" s="592"/>
      <c r="H12" s="593"/>
      <c r="I12" s="593"/>
      <c r="J12" s="593">
        <f t="shared" si="2"/>
        <v>180000</v>
      </c>
      <c r="K12" s="891"/>
      <c r="L12" s="595"/>
      <c r="M12" s="521"/>
      <c r="N12" s="521"/>
      <c r="O12" s="521"/>
      <c r="P12" s="201"/>
      <c r="Q12" s="176"/>
      <c r="R12" s="176"/>
      <c r="S12" s="176"/>
      <c r="T12" s="176"/>
      <c r="U12" s="176">
        <f t="shared" si="5"/>
        <v>0</v>
      </c>
      <c r="V12" s="201"/>
      <c r="W12" s="176"/>
      <c r="X12" s="176"/>
      <c r="Y12" s="176"/>
      <c r="Z12" s="176"/>
      <c r="AA12" s="176"/>
      <c r="AB12" s="176"/>
      <c r="AC12" s="176">
        <f t="shared" si="3"/>
        <v>0</v>
      </c>
      <c r="AE12" s="176"/>
      <c r="AF12" s="176"/>
      <c r="AG12" s="518"/>
      <c r="AH12" s="176"/>
      <c r="AJ12" s="913">
        <f t="shared" si="4"/>
        <v>180000</v>
      </c>
      <c r="AK12" s="462"/>
      <c r="AL12" s="176">
        <v>2530000</v>
      </c>
      <c r="AM12" s="518">
        <f t="shared" si="0"/>
        <v>-2350000</v>
      </c>
      <c r="AN12" s="556"/>
      <c r="AO12" s="182" t="s">
        <v>514</v>
      </c>
      <c r="AP12" s="183">
        <v>1.4E-2</v>
      </c>
      <c r="AQ12" s="184">
        <v>0.1891891891891892</v>
      </c>
      <c r="AR12" s="556"/>
      <c r="AS12" s="176">
        <v>8380000</v>
      </c>
      <c r="AT12" s="518">
        <f t="shared" si="1"/>
        <v>-8200000</v>
      </c>
    </row>
    <row r="13" spans="1:46" x14ac:dyDescent="0.2">
      <c r="A13" s="175" t="s">
        <v>138</v>
      </c>
      <c r="B13" s="521"/>
      <c r="C13" s="529"/>
      <c r="D13" s="529">
        <f>IM!B14</f>
        <v>40794236</v>
      </c>
      <c r="E13" s="529"/>
      <c r="F13" s="529"/>
      <c r="G13" s="592"/>
      <c r="H13" s="593"/>
      <c r="I13" s="593"/>
      <c r="J13" s="593">
        <f t="shared" si="2"/>
        <v>40794236</v>
      </c>
      <c r="K13" s="891"/>
      <c r="L13" s="595"/>
      <c r="M13" s="521"/>
      <c r="N13" s="521"/>
      <c r="O13" s="521"/>
      <c r="P13" s="201"/>
      <c r="Q13" s="176"/>
      <c r="R13" s="176"/>
      <c r="S13" s="176"/>
      <c r="T13" s="176"/>
      <c r="U13" s="176">
        <f t="shared" si="5"/>
        <v>0</v>
      </c>
      <c r="V13" s="201"/>
      <c r="W13" s="176"/>
      <c r="X13" s="176"/>
      <c r="Y13" s="176"/>
      <c r="Z13" s="176"/>
      <c r="AA13" s="176"/>
      <c r="AB13" s="176"/>
      <c r="AC13" s="176">
        <f t="shared" si="3"/>
        <v>0</v>
      </c>
      <c r="AE13" s="176"/>
      <c r="AF13" s="176"/>
      <c r="AG13" s="518"/>
      <c r="AH13" s="176"/>
      <c r="AJ13" s="913">
        <f>SUM(L13:O13,U13,AC13,B13,J13,AE13:AH13)</f>
        <v>40794236</v>
      </c>
      <c r="AK13" s="462"/>
      <c r="AL13" s="176">
        <v>32213541.77</v>
      </c>
      <c r="AM13" s="518">
        <f t="shared" si="0"/>
        <v>8580694.2300000004</v>
      </c>
      <c r="AN13" s="556"/>
      <c r="AO13" s="185" t="s">
        <v>139</v>
      </c>
      <c r="AP13" s="186">
        <v>2.1999999999999999E-2</v>
      </c>
      <c r="AQ13" s="187">
        <v>0.29729729729729731</v>
      </c>
      <c r="AR13" s="556"/>
      <c r="AS13" s="176">
        <v>40794236</v>
      </c>
      <c r="AT13" s="518">
        <f t="shared" si="1"/>
        <v>0</v>
      </c>
    </row>
    <row r="14" spans="1:46" s="833" customFormat="1" ht="16" thickBot="1" x14ac:dyDescent="0.25">
      <c r="A14" s="175" t="s">
        <v>677</v>
      </c>
      <c r="B14" s="521"/>
      <c r="C14" s="529"/>
      <c r="D14" s="595"/>
      <c r="E14" s="529"/>
      <c r="F14" s="529"/>
      <c r="G14" s="529">
        <f>+'Step 0 Revenue Detail'!L18-G36-G56</f>
        <v>0</v>
      </c>
      <c r="H14" s="593"/>
      <c r="I14" s="593"/>
      <c r="J14" s="593">
        <f t="shared" si="2"/>
        <v>0</v>
      </c>
      <c r="K14" s="891"/>
      <c r="L14" s="595"/>
      <c r="M14" s="521"/>
      <c r="N14" s="521"/>
      <c r="O14" s="521"/>
      <c r="P14" s="528"/>
      <c r="Q14" s="518"/>
      <c r="R14" s="518"/>
      <c r="S14" s="518"/>
      <c r="T14" s="518"/>
      <c r="U14" s="518">
        <f t="shared" si="5"/>
        <v>0</v>
      </c>
      <c r="V14" s="528"/>
      <c r="W14" s="518">
        <f>+(Dashboard!D23+Dashboard!D29)-W36-W56</f>
        <v>-300.16999999433756</v>
      </c>
      <c r="X14" s="518">
        <f>+Dashboard!D30+Dashboard!D31-X36-X56</f>
        <v>-120.98000000417233</v>
      </c>
      <c r="Y14" s="518">
        <f>+Dashboard!D38+Dashboard!D39-Y36-Y56</f>
        <v>0</v>
      </c>
      <c r="Z14" s="518">
        <f>+Dashboard!D42-Z36-Z56</f>
        <v>-82.440000000409782</v>
      </c>
      <c r="AA14" s="518">
        <f>+Dashboard!D43+Dashboard!D49-AA56-AA36</f>
        <v>-86.830000000074506</v>
      </c>
      <c r="AB14" s="518">
        <f>+Dashboard!D32+Dashboard!D37-AB36-AB56</f>
        <v>16.419999998062849</v>
      </c>
      <c r="AC14" s="518">
        <f>SUM(W14:AB14)</f>
        <v>-574.00000000093132</v>
      </c>
      <c r="AD14" s="130"/>
      <c r="AE14" s="518"/>
      <c r="AF14" s="518"/>
      <c r="AG14" s="518"/>
      <c r="AH14" s="518"/>
      <c r="AI14" s="130"/>
      <c r="AJ14" s="914">
        <f>SUM(L14:O14,U14,AC14,B14,J14,AE14:AH14)</f>
        <v>-574.00000000093132</v>
      </c>
      <c r="AK14" s="462"/>
      <c r="AL14" s="518"/>
      <c r="AM14" s="518">
        <f t="shared" si="0"/>
        <v>-574.00000000093132</v>
      </c>
      <c r="AN14" s="556"/>
      <c r="AO14" s="185"/>
      <c r="AP14" s="186"/>
      <c r="AQ14" s="187"/>
      <c r="AR14" s="556"/>
      <c r="AS14" s="518">
        <v>137.00000000465661</v>
      </c>
      <c r="AT14" s="518">
        <f t="shared" si="1"/>
        <v>-711.00000000558794</v>
      </c>
    </row>
    <row r="15" spans="1:46" x14ac:dyDescent="0.2">
      <c r="A15" s="188"/>
      <c r="B15" s="189"/>
      <c r="C15" s="189"/>
      <c r="D15" s="189"/>
      <c r="E15" s="190"/>
      <c r="F15" s="189"/>
      <c r="G15" s="191"/>
      <c r="H15" s="531"/>
      <c r="I15" s="531"/>
      <c r="J15" s="188"/>
      <c r="K15" s="891"/>
      <c r="L15" s="189"/>
      <c r="M15" s="189"/>
      <c r="N15" s="189"/>
      <c r="O15" s="189"/>
      <c r="P15" s="201"/>
      <c r="Q15" s="189"/>
      <c r="R15" s="189"/>
      <c r="S15" s="189"/>
      <c r="T15" s="189"/>
      <c r="U15" s="189"/>
      <c r="V15" s="201"/>
      <c r="W15" s="189"/>
      <c r="X15" s="189"/>
      <c r="Y15" s="189"/>
      <c r="Z15" s="189"/>
      <c r="AA15" s="189"/>
      <c r="AB15" s="189"/>
      <c r="AC15" s="189"/>
      <c r="AE15" s="189"/>
      <c r="AF15" s="189"/>
      <c r="AG15" s="523"/>
      <c r="AH15" s="189"/>
      <c r="AJ15" s="531"/>
      <c r="AK15" s="600"/>
      <c r="AL15" s="189"/>
      <c r="AM15" s="523"/>
      <c r="AN15" s="556"/>
      <c r="AO15" s="185" t="s">
        <v>140</v>
      </c>
      <c r="AP15" s="186">
        <v>5.0000000000000001E-3</v>
      </c>
      <c r="AQ15" s="187">
        <v>6.7567567567567571E-2</v>
      </c>
      <c r="AR15" s="556"/>
      <c r="AS15" s="189"/>
      <c r="AT15" s="523"/>
    </row>
    <row r="16" spans="1:46" x14ac:dyDescent="0.2">
      <c r="A16" s="192" t="s">
        <v>141</v>
      </c>
      <c r="B16" s="193"/>
      <c r="C16" s="63"/>
      <c r="D16" s="63"/>
      <c r="E16" s="190"/>
      <c r="F16" s="550"/>
      <c r="G16" s="191"/>
      <c r="H16" s="194"/>
      <c r="I16" s="526"/>
      <c r="J16" s="194"/>
      <c r="K16" s="891"/>
      <c r="L16" s="193"/>
      <c r="M16" s="550"/>
      <c r="N16" s="193"/>
      <c r="O16" s="193"/>
      <c r="P16" s="200"/>
      <c r="Q16" s="193"/>
      <c r="R16" s="193"/>
      <c r="S16" s="193"/>
      <c r="T16" s="193"/>
      <c r="U16" s="196"/>
      <c r="V16" s="200"/>
      <c r="W16" s="193"/>
      <c r="X16" s="193"/>
      <c r="Y16" s="193"/>
      <c r="Z16" s="193"/>
      <c r="AA16" s="193"/>
      <c r="AB16" s="193"/>
      <c r="AC16" s="193"/>
      <c r="AE16" s="193"/>
      <c r="AF16" s="387"/>
      <c r="AG16" s="387"/>
      <c r="AH16" s="387"/>
      <c r="AJ16" s="538"/>
      <c r="AK16" s="462"/>
      <c r="AL16" s="193"/>
      <c r="AM16" s="525"/>
      <c r="AN16" s="556"/>
      <c r="AO16" s="185" t="s">
        <v>142</v>
      </c>
      <c r="AP16" s="186">
        <v>5.0000000000000001E-3</v>
      </c>
      <c r="AQ16" s="187">
        <v>6.7567567567567571E-2</v>
      </c>
      <c r="AR16" s="556"/>
      <c r="AS16" s="193"/>
      <c r="AT16" s="525"/>
    </row>
    <row r="17" spans="1:48" x14ac:dyDescent="0.2">
      <c r="A17" s="195" t="s">
        <v>143</v>
      </c>
      <c r="B17" s="193"/>
      <c r="C17" s="63"/>
      <c r="D17" s="63"/>
      <c r="E17" s="190"/>
      <c r="F17" s="191"/>
      <c r="G17" s="191"/>
      <c r="H17" s="178"/>
      <c r="I17" s="519"/>
      <c r="J17" s="178"/>
      <c r="K17" s="891"/>
      <c r="L17" s="193"/>
      <c r="M17" s="387"/>
      <c r="N17" s="193"/>
      <c r="O17" s="193"/>
      <c r="P17" s="200"/>
      <c r="Q17" s="193"/>
      <c r="R17" s="193"/>
      <c r="S17" s="193"/>
      <c r="T17" s="193"/>
      <c r="U17" s="193"/>
      <c r="V17" s="200"/>
      <c r="W17" s="193"/>
      <c r="X17" s="193"/>
      <c r="Y17" s="193"/>
      <c r="Z17" s="193"/>
      <c r="AA17" s="193"/>
      <c r="AB17" s="193"/>
      <c r="AC17" s="193"/>
      <c r="AE17" s="280"/>
      <c r="AF17" s="280"/>
      <c r="AG17" s="280"/>
      <c r="AH17" s="280"/>
      <c r="AJ17" s="538"/>
      <c r="AK17" s="462"/>
      <c r="AL17" s="196"/>
      <c r="AM17" s="527"/>
      <c r="AN17" s="556"/>
      <c r="AO17" s="185" t="s">
        <v>144</v>
      </c>
      <c r="AP17" s="186">
        <v>1.0999999999999999E-2</v>
      </c>
      <c r="AQ17" s="187">
        <v>0.14864864864864866</v>
      </c>
      <c r="AR17" s="556"/>
      <c r="AS17" s="196"/>
      <c r="AT17" s="527"/>
    </row>
    <row r="18" spans="1:48" x14ac:dyDescent="0.2">
      <c r="A18" s="197" t="s">
        <v>145</v>
      </c>
      <c r="B18" s="177">
        <f>ROUND(-C$4*C18-E$4*E18-F$4*F18-G$4*G18-H$4*H18,-1)</f>
        <v>0</v>
      </c>
      <c r="C18" s="177">
        <f>+'Step 0 Revenue Detail'!H17+'Step 0 Revenue Detail'!H27+'Step 0 Revenue Detail'!H32+'Step 0 Revenue Detail'!H29+'Step 0 Revenue Detail'!H24</f>
        <v>1264757</v>
      </c>
      <c r="D18" s="177"/>
      <c r="E18" s="177">
        <f>+Differential!F9</f>
        <v>0</v>
      </c>
      <c r="F18" s="177">
        <v>805000</v>
      </c>
      <c r="G18" s="177">
        <v>279237</v>
      </c>
      <c r="H18" s="177">
        <v>2000000</v>
      </c>
      <c r="I18" s="177"/>
      <c r="J18" s="177">
        <f>SUM(C18:I18)</f>
        <v>4348994</v>
      </c>
      <c r="K18" s="891"/>
      <c r="L18" s="176"/>
      <c r="M18" s="176"/>
      <c r="N18" s="176"/>
      <c r="O18" s="176"/>
      <c r="P18" s="201"/>
      <c r="Q18" s="176"/>
      <c r="R18" s="176"/>
      <c r="S18" s="176"/>
      <c r="T18" s="176"/>
      <c r="U18" s="176"/>
      <c r="V18" s="201"/>
      <c r="W18" s="179">
        <f>+'Productivity Calc'!B5+'Productivity Calc'!C5</f>
        <v>3955900</v>
      </c>
      <c r="X18" s="179">
        <f>+'Productivity Calc'!Q5</f>
        <v>2871000</v>
      </c>
      <c r="Y18" s="179">
        <f>SUM('Productivity Calc'!O5:P5)</f>
        <v>10900000</v>
      </c>
      <c r="Z18" s="179">
        <f>+Research!B5</f>
        <v>1489200</v>
      </c>
      <c r="AA18" s="179">
        <f>SUM('Productivity Calc'!K5:N5)</f>
        <v>331700</v>
      </c>
      <c r="AB18" s="179">
        <f>+'Productivity Calc'!U5</f>
        <v>2875500</v>
      </c>
      <c r="AC18" s="179">
        <f>SUM(W18:AB18)</f>
        <v>22423300</v>
      </c>
      <c r="AE18" s="176"/>
      <c r="AF18" s="521"/>
      <c r="AG18" s="521">
        <v>-76354</v>
      </c>
      <c r="AH18" s="521">
        <f t="shared" ref="AH18:AH35" si="6">ROUND(-SUM(L18:O18,U18,AC18,B18,J18)*$AQ$5,-1)</f>
        <v>-267720</v>
      </c>
      <c r="AJ18" s="518">
        <f>SUM(L18:O18,U18,AC18,B18,J18,AE18,AF18,AG18,AH18)</f>
        <v>26428220</v>
      </c>
      <c r="AK18" s="600"/>
      <c r="AL18" s="176">
        <v>24797414.8216535</v>
      </c>
      <c r="AM18" s="518">
        <f t="shared" ref="AM18:AM35" si="7">+AJ18-AL18</f>
        <v>1630805.1783464998</v>
      </c>
      <c r="AN18" s="556"/>
      <c r="AO18" s="185" t="s">
        <v>146</v>
      </c>
      <c r="AP18" s="186">
        <v>1.0999999999999999E-2</v>
      </c>
      <c r="AQ18" s="187">
        <v>0.14864864864864866</v>
      </c>
      <c r="AR18" s="556"/>
      <c r="AS18" s="518">
        <v>25209364</v>
      </c>
      <c r="AT18" s="518">
        <f t="shared" ref="AT18:AT35" si="8">+AJ18-AS18</f>
        <v>1218856</v>
      </c>
      <c r="AU18" s="256">
        <f t="shared" ref="AU18:AU36" si="9">+(AJ18-AS18)/AS18</f>
        <v>4.8349335588156843E-2</v>
      </c>
      <c r="AV18" s="230"/>
    </row>
    <row r="19" spans="1:48" x14ac:dyDescent="0.2">
      <c r="A19" s="200" t="s">
        <v>147</v>
      </c>
      <c r="B19" s="528">
        <f t="shared" ref="B19:B24" si="10">ROUND(-C$4*C19-E$4*E19-F$4*F19-G$4*G19-H$4*H19,-1)</f>
        <v>0</v>
      </c>
      <c r="C19" s="201"/>
      <c r="D19" s="201"/>
      <c r="E19" s="201">
        <f>+Differential!F10</f>
        <v>2589000</v>
      </c>
      <c r="F19" s="528">
        <v>595000</v>
      </c>
      <c r="G19" s="528">
        <v>152097</v>
      </c>
      <c r="H19" s="201">
        <v>3500</v>
      </c>
      <c r="I19" s="528"/>
      <c r="J19" s="528">
        <f t="shared" ref="J19:J35" si="11">SUM(C19:I19)</f>
        <v>3339597</v>
      </c>
      <c r="K19" s="891"/>
      <c r="L19" s="189"/>
      <c r="M19" s="189"/>
      <c r="N19" s="189"/>
      <c r="O19" s="189"/>
      <c r="P19" s="528"/>
      <c r="Q19" s="189"/>
      <c r="R19" s="189"/>
      <c r="S19" s="189"/>
      <c r="T19" s="189"/>
      <c r="U19" s="189"/>
      <c r="V19" s="201"/>
      <c r="W19" s="280">
        <f>+'Productivity Calc'!B6+'Productivity Calc'!C6</f>
        <v>5755400</v>
      </c>
      <c r="X19" s="280">
        <f>+'Productivity Calc'!Q6</f>
        <v>5339300</v>
      </c>
      <c r="Y19" s="280">
        <f>SUM('Productivity Calc'!O6:P6)</f>
        <v>10718900</v>
      </c>
      <c r="Z19" s="280">
        <f>+Research!B6</f>
        <v>2900</v>
      </c>
      <c r="AA19" s="280">
        <f>SUM('Productivity Calc'!K6:N6)</f>
        <v>1013200</v>
      </c>
      <c r="AB19" s="280">
        <f>+'Productivity Calc'!U6</f>
        <v>1083800</v>
      </c>
      <c r="AC19" s="280">
        <f t="shared" ref="AC19:AC35" si="12">SUM(W19:AB19)</f>
        <v>23913500</v>
      </c>
      <c r="AE19" s="189"/>
      <c r="AF19" s="523"/>
      <c r="AG19" s="523">
        <v>-594339</v>
      </c>
      <c r="AH19" s="523">
        <f t="shared" si="6"/>
        <v>-272530</v>
      </c>
      <c r="AJ19" s="523">
        <f t="shared" ref="AJ19:AJ55" si="13">SUM(L19:O19,U19,AC19,B19,J19,AE19,AF19,AG19,AH19)</f>
        <v>26386228</v>
      </c>
      <c r="AK19" s="600"/>
      <c r="AL19" s="189">
        <v>25684131.205371276</v>
      </c>
      <c r="AM19" s="523">
        <f t="shared" si="7"/>
        <v>702096.79462872446</v>
      </c>
      <c r="AN19" s="556"/>
      <c r="AO19" s="185" t="s">
        <v>148</v>
      </c>
      <c r="AP19" s="186">
        <v>6.0000000000000001E-3</v>
      </c>
      <c r="AQ19" s="187">
        <v>8.1081081081081086E-2</v>
      </c>
      <c r="AR19" s="556"/>
      <c r="AS19" s="523">
        <v>25971067</v>
      </c>
      <c r="AT19" s="523">
        <f t="shared" si="8"/>
        <v>415161</v>
      </c>
      <c r="AU19" s="256">
        <f t="shared" si="9"/>
        <v>1.598551957838313E-2</v>
      </c>
      <c r="AV19" s="230"/>
    </row>
    <row r="20" spans="1:48" ht="17" thickBot="1" x14ac:dyDescent="0.25">
      <c r="A20" s="190" t="s">
        <v>149</v>
      </c>
      <c r="B20" s="528">
        <f t="shared" si="10"/>
        <v>0</v>
      </c>
      <c r="C20" s="201">
        <f>+'Step 0 Revenue Detail'!H16</f>
        <v>7762094</v>
      </c>
      <c r="D20" s="201"/>
      <c r="E20" s="201">
        <f>+Differential!F11</f>
        <v>10079000</v>
      </c>
      <c r="F20" s="528">
        <v>853450</v>
      </c>
      <c r="G20" s="528">
        <v>77012</v>
      </c>
      <c r="H20" s="201">
        <v>2500000</v>
      </c>
      <c r="I20" s="528"/>
      <c r="J20" s="528">
        <f t="shared" si="11"/>
        <v>21271556</v>
      </c>
      <c r="K20" s="891"/>
      <c r="L20" s="189"/>
      <c r="M20" s="189"/>
      <c r="N20" s="189"/>
      <c r="O20" s="189"/>
      <c r="P20" s="528"/>
      <c r="Q20" s="189"/>
      <c r="R20" s="189"/>
      <c r="S20" s="189"/>
      <c r="T20" s="189"/>
      <c r="U20" s="189"/>
      <c r="V20" s="201"/>
      <c r="W20" s="280">
        <f>+'Productivity Calc'!B14+'Productivity Calc'!C14</f>
        <v>5143000</v>
      </c>
      <c r="X20" s="280">
        <f>+'Productivity Calc'!Q14</f>
        <v>12369900</v>
      </c>
      <c r="Y20" s="280">
        <f>SUM('Productivity Calc'!O14:P14)</f>
        <v>22500000</v>
      </c>
      <c r="Z20" s="280">
        <f>+Research!B7</f>
        <v>1859000</v>
      </c>
      <c r="AA20" s="280">
        <f>SUM('Productivity Calc'!K14:N14)</f>
        <v>1611600</v>
      </c>
      <c r="AB20" s="280">
        <f>+'Productivity Calc'!U14</f>
        <v>8509400</v>
      </c>
      <c r="AC20" s="280">
        <f t="shared" si="12"/>
        <v>51992900</v>
      </c>
      <c r="AE20" s="189"/>
      <c r="AF20" s="523"/>
      <c r="AG20" s="523">
        <v>-325520</v>
      </c>
      <c r="AH20" s="523">
        <f t="shared" si="6"/>
        <v>-732640</v>
      </c>
      <c r="AJ20" s="523">
        <f t="shared" si="13"/>
        <v>72206296</v>
      </c>
      <c r="AK20" s="600"/>
      <c r="AL20" s="189">
        <v>66445199.967298418</v>
      </c>
      <c r="AM20" s="523">
        <f t="shared" si="7"/>
        <v>5761096.0327015817</v>
      </c>
      <c r="AN20" s="556"/>
      <c r="AO20" s="202"/>
      <c r="AP20" s="203">
        <v>7.3999999999999996E-2</v>
      </c>
      <c r="AQ20" s="204">
        <v>1</v>
      </c>
      <c r="AR20" s="556"/>
      <c r="AS20" s="523">
        <v>69355186</v>
      </c>
      <c r="AT20" s="523">
        <f t="shared" si="8"/>
        <v>2851110</v>
      </c>
      <c r="AU20" s="256">
        <f t="shared" si="9"/>
        <v>4.1108822056940345E-2</v>
      </c>
      <c r="AV20" s="230"/>
    </row>
    <row r="21" spans="1:48" x14ac:dyDescent="0.2">
      <c r="A21" s="197" t="s">
        <v>150</v>
      </c>
      <c r="B21" s="529">
        <f t="shared" si="10"/>
        <v>0</v>
      </c>
      <c r="C21" s="205">
        <f>+'Step 0 Revenue Detail'!H22+'Step 0 Revenue Detail'!H31</f>
        <v>2413243</v>
      </c>
      <c r="D21" s="177"/>
      <c r="E21" s="177">
        <f>+Differential!F12</f>
        <v>100000</v>
      </c>
      <c r="F21" s="177">
        <v>331000</v>
      </c>
      <c r="G21" s="177">
        <v>435081</v>
      </c>
      <c r="H21" s="177">
        <v>420000</v>
      </c>
      <c r="I21" s="177"/>
      <c r="J21" s="177">
        <f t="shared" si="11"/>
        <v>3699324</v>
      </c>
      <c r="K21" s="891"/>
      <c r="L21" s="176"/>
      <c r="M21" s="176"/>
      <c r="N21" s="176"/>
      <c r="O21" s="176">
        <f>ROUND((1-0.077)*738000,-2)</f>
        <v>681200</v>
      </c>
      <c r="P21" s="528"/>
      <c r="Q21" s="176"/>
      <c r="R21" s="176"/>
      <c r="S21" s="176"/>
      <c r="T21" s="176"/>
      <c r="U21" s="176"/>
      <c r="V21" s="201"/>
      <c r="W21" s="179">
        <f>+'Productivity Calc'!B8+'Productivity Calc'!C8</f>
        <v>760400</v>
      </c>
      <c r="X21" s="179">
        <f>+'Productivity Calc'!Q8</f>
        <v>1167300</v>
      </c>
      <c r="Y21" s="179">
        <f>SUM('Productivity Calc'!O8:P8)</f>
        <v>1512000</v>
      </c>
      <c r="Z21" s="179">
        <f>+Research!B8</f>
        <v>312200</v>
      </c>
      <c r="AA21" s="179">
        <f>SUM('Productivity Calc'!K8:N8)</f>
        <v>147200</v>
      </c>
      <c r="AB21" s="179">
        <f>+'Productivity Calc'!U8</f>
        <v>1276600</v>
      </c>
      <c r="AC21" s="179">
        <f>SUM(W21:AB21)</f>
        <v>5175700</v>
      </c>
      <c r="AE21" s="176"/>
      <c r="AF21" s="521"/>
      <c r="AG21" s="521">
        <v>-190653</v>
      </c>
      <c r="AH21" s="521">
        <f t="shared" si="6"/>
        <v>-95560</v>
      </c>
      <c r="AJ21" s="518">
        <f t="shared" si="13"/>
        <v>9270011</v>
      </c>
      <c r="AK21" s="600"/>
      <c r="AL21" s="176">
        <v>8544810.9216334298</v>
      </c>
      <c r="AM21" s="518">
        <f t="shared" si="7"/>
        <v>725200.07836657017</v>
      </c>
      <c r="AN21" s="556"/>
      <c r="AO21" s="199"/>
      <c r="AQ21" s="178"/>
      <c r="AR21" s="556"/>
      <c r="AS21" s="518">
        <v>8934104</v>
      </c>
      <c r="AT21" s="518">
        <f t="shared" si="8"/>
        <v>335907</v>
      </c>
      <c r="AU21" s="256">
        <f t="shared" si="9"/>
        <v>3.7598286297092581E-2</v>
      </c>
      <c r="AV21" s="230"/>
    </row>
    <row r="22" spans="1:48" x14ac:dyDescent="0.2">
      <c r="A22" s="200" t="s">
        <v>151</v>
      </c>
      <c r="B22" s="528">
        <f t="shared" si="10"/>
        <v>0</v>
      </c>
      <c r="C22" s="201"/>
      <c r="D22" s="201"/>
      <c r="E22" s="201">
        <f>+Differential!F13</f>
        <v>150000</v>
      </c>
      <c r="F22" s="528">
        <v>628575</v>
      </c>
      <c r="G22" s="528">
        <v>112879</v>
      </c>
      <c r="H22" s="201">
        <v>850000</v>
      </c>
      <c r="I22" s="528"/>
      <c r="J22" s="528">
        <f t="shared" si="11"/>
        <v>1741454</v>
      </c>
      <c r="K22" s="891"/>
      <c r="L22" s="189"/>
      <c r="M22" s="189">
        <f>300000+300000+250000</f>
        <v>850000</v>
      </c>
      <c r="N22" s="189"/>
      <c r="O22" s="189"/>
      <c r="P22" s="528"/>
      <c r="Q22" s="189"/>
      <c r="R22" s="189"/>
      <c r="S22" s="189"/>
      <c r="T22" s="189"/>
      <c r="U22" s="189"/>
      <c r="V22" s="201"/>
      <c r="W22" s="280">
        <f>+'Productivity Calc'!B15+'Productivity Calc'!C15</f>
        <v>3866200</v>
      </c>
      <c r="X22" s="280">
        <f>+'Productivity Calc'!Q15</f>
        <v>2708500</v>
      </c>
      <c r="Y22" s="280">
        <f>SUM('Productivity Calc'!O15:P15)</f>
        <v>5795000</v>
      </c>
      <c r="Z22" s="280">
        <f>+Research!B9</f>
        <v>647100</v>
      </c>
      <c r="AA22" s="280">
        <f>SUM('Productivity Calc'!K15:N15)</f>
        <v>618500</v>
      </c>
      <c r="AB22" s="280">
        <f>+'Productivity Calc'!U15</f>
        <v>1756000</v>
      </c>
      <c r="AC22" s="280">
        <f t="shared" si="12"/>
        <v>15391300</v>
      </c>
      <c r="AE22" s="523">
        <v>449701</v>
      </c>
      <c r="AF22" s="189">
        <v>2161000</v>
      </c>
      <c r="AG22" s="523">
        <v>-54870</v>
      </c>
      <c r="AH22" s="523">
        <f t="shared" si="6"/>
        <v>-179830</v>
      </c>
      <c r="AJ22" s="523">
        <f t="shared" si="13"/>
        <v>20358755</v>
      </c>
      <c r="AK22" s="600"/>
      <c r="AL22" s="189">
        <v>19933096.420748495</v>
      </c>
      <c r="AM22" s="523">
        <f t="shared" si="7"/>
        <v>425658.57925150543</v>
      </c>
      <c r="AN22" s="556"/>
      <c r="AO22" s="199"/>
      <c r="AQ22" s="178"/>
      <c r="AR22" s="556"/>
      <c r="AS22" s="523">
        <v>19537975</v>
      </c>
      <c r="AT22" s="523">
        <f t="shared" si="8"/>
        <v>820780</v>
      </c>
      <c r="AU22" s="256">
        <f t="shared" si="9"/>
        <v>4.2009471298842381E-2</v>
      </c>
      <c r="AV22" s="230"/>
    </row>
    <row r="23" spans="1:48" x14ac:dyDescent="0.2">
      <c r="A23" s="190" t="s">
        <v>152</v>
      </c>
      <c r="B23" s="528">
        <f t="shared" si="10"/>
        <v>0</v>
      </c>
      <c r="C23" s="201"/>
      <c r="D23" s="201"/>
      <c r="E23" s="201">
        <f>+Differential!F14</f>
        <v>0</v>
      </c>
      <c r="F23" s="528">
        <v>154000</v>
      </c>
      <c r="G23" s="528">
        <v>0</v>
      </c>
      <c r="H23" s="201">
        <v>8000</v>
      </c>
      <c r="I23" s="528"/>
      <c r="J23" s="528">
        <f t="shared" si="11"/>
        <v>162000</v>
      </c>
      <c r="K23" s="891"/>
      <c r="L23" s="189"/>
      <c r="M23" s="189"/>
      <c r="N23" s="189"/>
      <c r="O23" s="189">
        <f>ROUND((1-0.077)*246000,-2)+40000</f>
        <v>267100</v>
      </c>
      <c r="P23" s="528"/>
      <c r="Q23" s="189"/>
      <c r="R23" s="189"/>
      <c r="S23" s="189"/>
      <c r="T23" s="189"/>
      <c r="U23" s="189"/>
      <c r="V23" s="201"/>
      <c r="W23" s="280">
        <f>+'Productivity Calc'!B7+'Productivity Calc'!C7</f>
        <v>999000</v>
      </c>
      <c r="X23" s="280">
        <f>+'Productivity Calc'!Q7</f>
        <v>229000</v>
      </c>
      <c r="Y23" s="280">
        <f>SUM('Productivity Calc'!O7:P7)</f>
        <v>3865000</v>
      </c>
      <c r="Z23" s="280">
        <f>+Research!B10</f>
        <v>19000</v>
      </c>
      <c r="AA23" s="280">
        <f>SUM('Productivity Calc'!K7:N7)</f>
        <v>170100</v>
      </c>
      <c r="AB23" s="280">
        <f>+'Productivity Calc'!U7</f>
        <v>786400</v>
      </c>
      <c r="AC23" s="280">
        <f t="shared" si="12"/>
        <v>6068500</v>
      </c>
      <c r="AE23" s="523">
        <v>0</v>
      </c>
      <c r="AF23" s="189"/>
      <c r="AG23" s="523">
        <v>-47452</v>
      </c>
      <c r="AH23" s="523">
        <f t="shared" si="6"/>
        <v>-64980</v>
      </c>
      <c r="AJ23" s="523">
        <f t="shared" si="13"/>
        <v>6385168</v>
      </c>
      <c r="AK23" s="600"/>
      <c r="AL23" s="189">
        <v>6266087.5041181855</v>
      </c>
      <c r="AM23" s="523">
        <f t="shared" si="7"/>
        <v>119080.49588181451</v>
      </c>
      <c r="AN23" s="556"/>
      <c r="AO23" s="199"/>
      <c r="AQ23" s="178"/>
      <c r="AR23" s="556"/>
      <c r="AS23" s="523">
        <v>6247020</v>
      </c>
      <c r="AT23" s="523">
        <f t="shared" si="8"/>
        <v>138148</v>
      </c>
      <c r="AU23" s="256">
        <f t="shared" si="9"/>
        <v>2.2114224062032777E-2</v>
      </c>
      <c r="AV23" s="230"/>
    </row>
    <row r="24" spans="1:48" x14ac:dyDescent="0.2">
      <c r="A24" s="197" t="s">
        <v>153</v>
      </c>
      <c r="B24" s="177">
        <f t="shared" si="10"/>
        <v>0</v>
      </c>
      <c r="C24" s="177"/>
      <c r="D24" s="177"/>
      <c r="E24" s="177">
        <f>+Differential!F15</f>
        <v>113000</v>
      </c>
      <c r="F24" s="177">
        <v>848000</v>
      </c>
      <c r="G24" s="177">
        <v>332709</v>
      </c>
      <c r="H24" s="177">
        <v>80000</v>
      </c>
      <c r="I24" s="177"/>
      <c r="J24" s="177">
        <f t="shared" si="11"/>
        <v>1373709</v>
      </c>
      <c r="K24" s="891"/>
      <c r="L24" s="176"/>
      <c r="M24" s="596">
        <f>50000</f>
        <v>50000</v>
      </c>
      <c r="N24" s="176"/>
      <c r="O24" s="176"/>
      <c r="P24" s="528"/>
      <c r="Q24" s="176"/>
      <c r="R24" s="176"/>
      <c r="S24" s="176"/>
      <c r="T24" s="176"/>
      <c r="U24" s="176"/>
      <c r="V24" s="201"/>
      <c r="W24" s="179">
        <f>+'Productivity Calc'!B12+'Productivity Calc'!C12</f>
        <v>16713300</v>
      </c>
      <c r="X24" s="179">
        <f>+'Productivity Calc'!Q12</f>
        <v>4770500</v>
      </c>
      <c r="Y24" s="179">
        <f>SUM('Productivity Calc'!O12:P12)</f>
        <v>22295000</v>
      </c>
      <c r="Z24" s="179">
        <f>+Research!B11</f>
        <v>61600</v>
      </c>
      <c r="AA24" s="179">
        <f>SUM('Productivity Calc'!K12:N12)</f>
        <v>983600</v>
      </c>
      <c r="AB24" s="179">
        <f>+'Productivity Calc'!U12</f>
        <v>1691900</v>
      </c>
      <c r="AC24" s="179">
        <f t="shared" si="12"/>
        <v>46515900</v>
      </c>
      <c r="AE24" s="521">
        <v>367017</v>
      </c>
      <c r="AF24" s="180">
        <v>500000</v>
      </c>
      <c r="AG24" s="521">
        <v>-253726</v>
      </c>
      <c r="AH24" s="521">
        <f t="shared" si="6"/>
        <v>-479400</v>
      </c>
      <c r="AJ24" s="518">
        <f t="shared" si="13"/>
        <v>48073500</v>
      </c>
      <c r="AK24" s="600"/>
      <c r="AL24" s="176">
        <v>45904176.562604375</v>
      </c>
      <c r="AM24" s="518">
        <f t="shared" si="7"/>
        <v>2169323.4373956248</v>
      </c>
      <c r="AN24" s="556"/>
      <c r="AO24" s="199"/>
      <c r="AQ24" s="178"/>
      <c r="AR24" s="556"/>
      <c r="AS24" s="518">
        <v>46375456</v>
      </c>
      <c r="AT24" s="518">
        <f t="shared" si="8"/>
        <v>1698044</v>
      </c>
      <c r="AU24" s="256">
        <f t="shared" si="9"/>
        <v>3.6615144010659434E-2</v>
      </c>
      <c r="AV24" s="230"/>
    </row>
    <row r="25" spans="1:48" x14ac:dyDescent="0.2">
      <c r="A25" s="190" t="s">
        <v>154</v>
      </c>
      <c r="B25" s="528">
        <f>ROUND(-C$4*(C25-'Step 0 Revenue Detail'!H26)-E$4*E25-F$4*F25-G$4*G25-H$4*H25,-1)</f>
        <v>0</v>
      </c>
      <c r="C25" s="201">
        <f>+'Step 0 Revenue Detail'!H19+'Step 0 Revenue Detail'!H21+'Step 0 Revenue Detail'!H26+'Step 0 Revenue Detail'!H25</f>
        <v>583374</v>
      </c>
      <c r="D25" s="201"/>
      <c r="E25" s="201">
        <f>+Differential!F16</f>
        <v>0</v>
      </c>
      <c r="F25" s="528">
        <v>75000</v>
      </c>
      <c r="G25" s="528">
        <v>19657</v>
      </c>
      <c r="H25" s="201">
        <v>3800000</v>
      </c>
      <c r="I25" s="528"/>
      <c r="J25" s="528">
        <f t="shared" si="11"/>
        <v>4478031</v>
      </c>
      <c r="K25" s="891"/>
      <c r="L25" s="189"/>
      <c r="M25" s="189">
        <v>10875</v>
      </c>
      <c r="N25" s="189"/>
      <c r="O25" s="189">
        <f>ROUND((1-0.077)*2557000,-2)</f>
        <v>2360100</v>
      </c>
      <c r="P25" s="528"/>
      <c r="Q25" s="189"/>
      <c r="R25" s="189"/>
      <c r="S25" s="189"/>
      <c r="T25" s="189"/>
      <c r="U25" s="189"/>
      <c r="V25" s="201"/>
      <c r="W25" s="280">
        <f>'Productivity Calc'!B16+'Productivity Calc'!C16+'Productivity Calc'!B18+'Productivity Calc'!C18</f>
        <v>2122000</v>
      </c>
      <c r="X25" s="280">
        <f>+'Productivity Calc'!Q16</f>
        <v>945900</v>
      </c>
      <c r="Y25" s="280">
        <f>SUM('Productivity Calc'!O16:P16)+SUM('Productivity Calc'!O18:P18)</f>
        <v>2600000</v>
      </c>
      <c r="Z25" s="280">
        <f>+Research!B12</f>
        <v>2071900</v>
      </c>
      <c r="AA25" s="280">
        <f>SUM('Productivity Calc'!K16:N16,'Productivity Calc'!K18:N18)</f>
        <v>159700</v>
      </c>
      <c r="AB25" s="280">
        <f>+'Productivity Calc'!U16</f>
        <v>1127900</v>
      </c>
      <c r="AC25" s="280">
        <f t="shared" si="12"/>
        <v>9027400</v>
      </c>
      <c r="AE25" s="189"/>
      <c r="AF25" s="189"/>
      <c r="AG25" s="523">
        <v>-8612</v>
      </c>
      <c r="AH25" s="523">
        <f t="shared" si="6"/>
        <v>-158760</v>
      </c>
      <c r="AJ25" s="523">
        <f t="shared" si="13"/>
        <v>15709034</v>
      </c>
      <c r="AK25" s="600"/>
      <c r="AL25" s="189">
        <v>15766019.588745667</v>
      </c>
      <c r="AM25" s="523">
        <f t="shared" si="7"/>
        <v>-56985.588745666668</v>
      </c>
      <c r="AN25" s="556"/>
      <c r="AO25" s="199"/>
      <c r="AQ25" s="178"/>
      <c r="AR25" s="556"/>
      <c r="AS25" s="523">
        <v>14850376</v>
      </c>
      <c r="AT25" s="523">
        <f t="shared" si="8"/>
        <v>858658</v>
      </c>
      <c r="AU25" s="256">
        <f t="shared" si="9"/>
        <v>5.7820623531687008E-2</v>
      </c>
      <c r="AV25" s="230"/>
    </row>
    <row r="26" spans="1:48" x14ac:dyDescent="0.2">
      <c r="A26" s="190" t="s">
        <v>155</v>
      </c>
      <c r="B26" s="528">
        <f>ROUND(-C$4*C26-E$4*E26-F$4*F26-G$4*G26-H$4*H26,-1)</f>
        <v>0</v>
      </c>
      <c r="C26" s="201">
        <f>+'Step 0 Revenue Detail'!L16</f>
        <v>0</v>
      </c>
      <c r="D26" s="201"/>
      <c r="E26" s="562"/>
      <c r="F26" s="528">
        <v>1292000</v>
      </c>
      <c r="G26" s="528">
        <v>0</v>
      </c>
      <c r="H26" s="201">
        <v>375000</v>
      </c>
      <c r="I26" s="528">
        <f>+'Vet Med &amp; Pharm'!F16-H26-G26-F26-E26-D26-C26-B26-O26-'Vet Med &amp; Pharm'!F9</f>
        <v>11004883</v>
      </c>
      <c r="J26" s="528">
        <f>SUM(C26:I26)</f>
        <v>12671883</v>
      </c>
      <c r="K26" s="891"/>
      <c r="L26" s="201"/>
      <c r="M26" s="201"/>
      <c r="N26" s="201"/>
      <c r="O26" s="201">
        <v>0</v>
      </c>
      <c r="P26" s="528"/>
      <c r="Q26" s="201"/>
      <c r="R26" s="201"/>
      <c r="S26" s="201"/>
      <c r="T26" s="201"/>
      <c r="U26" s="201"/>
      <c r="V26" s="201"/>
      <c r="W26" s="221">
        <f>+'Productivity Calc'!B9+'Productivity Calc'!C9</f>
        <v>0</v>
      </c>
      <c r="X26" s="221">
        <f>+'Productivity Calc'!Q9</f>
        <v>0</v>
      </c>
      <c r="Y26" s="221">
        <f>SUM('Productivity Calc'!O9:P9)</f>
        <v>110000</v>
      </c>
      <c r="Z26" s="221">
        <f>+Research!B13</f>
        <v>0</v>
      </c>
      <c r="AA26" s="221">
        <f>SUM('Productivity Calc'!K9:N9)</f>
        <v>0</v>
      </c>
      <c r="AB26" s="221">
        <f>+'Productivity Calc'!U9</f>
        <v>0</v>
      </c>
      <c r="AC26" s="221">
        <f t="shared" si="12"/>
        <v>110000</v>
      </c>
      <c r="AE26" s="201"/>
      <c r="AF26" s="201"/>
      <c r="AG26" s="528">
        <v>0</v>
      </c>
      <c r="AH26" s="528">
        <f t="shared" si="6"/>
        <v>-127820</v>
      </c>
      <c r="AJ26" s="528">
        <f t="shared" si="13"/>
        <v>12654063</v>
      </c>
      <c r="AK26" s="600"/>
      <c r="AL26" s="201">
        <v>12344563.104166593</v>
      </c>
      <c r="AM26" s="528">
        <f t="shared" si="7"/>
        <v>309499.8958334066</v>
      </c>
      <c r="AN26" s="556"/>
      <c r="AO26" s="199"/>
      <c r="AQ26" s="178"/>
      <c r="AR26" s="556"/>
      <c r="AS26" s="528">
        <v>12285657</v>
      </c>
      <c r="AT26" s="528">
        <f t="shared" si="8"/>
        <v>368406</v>
      </c>
      <c r="AU26" s="256">
        <f t="shared" si="9"/>
        <v>2.9986674705308799E-2</v>
      </c>
      <c r="AV26" s="230"/>
    </row>
    <row r="27" spans="1:48" x14ac:dyDescent="0.2">
      <c r="A27" s="197" t="s">
        <v>156</v>
      </c>
      <c r="B27" s="177">
        <f t="shared" ref="B27:B35" si="14">ROUND(-C$4*C27-E$4*E27-F$4*F27-G$4*G27-H$4*H27,-1)</f>
        <v>0</v>
      </c>
      <c r="C27" s="177"/>
      <c r="D27" s="177"/>
      <c r="E27" s="177">
        <f>+Differential!F18</f>
        <v>0</v>
      </c>
      <c r="F27" s="177">
        <v>1100000</v>
      </c>
      <c r="G27" s="177">
        <v>226197</v>
      </c>
      <c r="H27" s="177">
        <v>840000</v>
      </c>
      <c r="I27" s="177"/>
      <c r="J27" s="177">
        <f t="shared" si="11"/>
        <v>2166197</v>
      </c>
      <c r="K27" s="891"/>
      <c r="L27" s="176"/>
      <c r="M27" s="176">
        <f>750000+19226-19226</f>
        <v>750000</v>
      </c>
      <c r="N27" s="176"/>
      <c r="O27" s="176"/>
      <c r="P27" s="528"/>
      <c r="Q27" s="176"/>
      <c r="R27" s="176"/>
      <c r="S27" s="176"/>
      <c r="T27" s="176"/>
      <c r="U27" s="176"/>
      <c r="V27" s="201"/>
      <c r="W27" s="179">
        <f>+'Productivity Calc'!B10+'Productivity Calc'!C10</f>
        <v>19777900</v>
      </c>
      <c r="X27" s="179">
        <f>+'Productivity Calc'!Q10</f>
        <v>4579600</v>
      </c>
      <c r="Y27" s="179">
        <f>SUM('Productivity Calc'!O10:P10)</f>
        <v>14400000</v>
      </c>
      <c r="Z27" s="179">
        <f>+Research!B14</f>
        <v>629800</v>
      </c>
      <c r="AA27" s="179">
        <f>SUM('Productivity Calc'!K10:N10)</f>
        <v>722200</v>
      </c>
      <c r="AB27" s="179">
        <f>+'Productivity Calc'!U10</f>
        <v>3012900</v>
      </c>
      <c r="AC27" s="179">
        <f t="shared" si="12"/>
        <v>43122400</v>
      </c>
      <c r="AE27" s="176">
        <v>600000</v>
      </c>
      <c r="AF27" s="176">
        <v>500000</v>
      </c>
      <c r="AG27" s="518">
        <v>240103</v>
      </c>
      <c r="AH27" s="518">
        <f t="shared" si="6"/>
        <v>-460390</v>
      </c>
      <c r="AJ27" s="518">
        <f t="shared" si="13"/>
        <v>46918310</v>
      </c>
      <c r="AK27" s="600"/>
      <c r="AL27" s="176">
        <v>43172070.085910849</v>
      </c>
      <c r="AM27" s="518">
        <f t="shared" si="7"/>
        <v>3746239.9140891507</v>
      </c>
      <c r="AN27" s="556"/>
      <c r="AO27" s="199"/>
      <c r="AQ27" s="178"/>
      <c r="AR27" s="556"/>
      <c r="AS27" s="518">
        <v>44134407</v>
      </c>
      <c r="AT27" s="518">
        <f t="shared" si="8"/>
        <v>2783903</v>
      </c>
      <c r="AU27" s="256">
        <f t="shared" si="9"/>
        <v>6.3077838567084404E-2</v>
      </c>
      <c r="AV27" s="230"/>
    </row>
    <row r="28" spans="1:48" x14ac:dyDescent="0.2">
      <c r="A28" s="190" t="s">
        <v>157</v>
      </c>
      <c r="B28" s="528">
        <f t="shared" si="14"/>
        <v>0</v>
      </c>
      <c r="C28" s="201">
        <f>'Step 0 Revenue Detail'!L17+'Step 0 Revenue Detail'!H23</f>
        <v>1465519</v>
      </c>
      <c r="D28" s="201"/>
      <c r="E28" s="562"/>
      <c r="F28" s="528">
        <v>10258350</v>
      </c>
      <c r="G28" s="528">
        <v>0</v>
      </c>
      <c r="H28" s="201">
        <v>130000</v>
      </c>
      <c r="I28" s="528">
        <f>+'Vet Med &amp; Pharm'!F48-H28-G28-F28-E28-D28-C28-B28-O28</f>
        <v>9797589</v>
      </c>
      <c r="J28" s="528">
        <f t="shared" si="11"/>
        <v>21651458</v>
      </c>
      <c r="K28" s="891"/>
      <c r="L28" s="528"/>
      <c r="M28" s="523">
        <f>120828+79163+2138+82330-284459</f>
        <v>0</v>
      </c>
      <c r="N28" s="528"/>
      <c r="O28" s="528">
        <f>ROUND((1-0.077)*(7092000+284459),-2)-58500</f>
        <v>6750000</v>
      </c>
      <c r="P28" s="528"/>
      <c r="Q28" s="201"/>
      <c r="R28" s="201"/>
      <c r="S28" s="201"/>
      <c r="T28" s="201"/>
      <c r="U28" s="201"/>
      <c r="V28" s="201"/>
      <c r="W28" s="221">
        <f>+'Productivity Calc'!B13+'Productivity Calc'!C13</f>
        <v>0</v>
      </c>
      <c r="X28" s="221">
        <f>+'Productivity Calc'!Q13</f>
        <v>0</v>
      </c>
      <c r="Y28" s="221">
        <f>SUM('Productivity Calc'!O13:P13)</f>
        <v>0</v>
      </c>
      <c r="Z28" s="221">
        <f>+Research!B15</f>
        <v>0</v>
      </c>
      <c r="AA28" s="221">
        <f>SUM('Productivity Calc'!K13:N13)</f>
        <v>0</v>
      </c>
      <c r="AB28" s="221">
        <f>+'Productivity Calc'!U13</f>
        <v>0</v>
      </c>
      <c r="AC28" s="221">
        <f t="shared" si="12"/>
        <v>0</v>
      </c>
      <c r="AE28" s="201"/>
      <c r="AF28" s="201"/>
      <c r="AG28" s="528"/>
      <c r="AH28" s="528">
        <f t="shared" si="6"/>
        <v>-284010</v>
      </c>
      <c r="AJ28" s="528">
        <f t="shared" si="13"/>
        <v>28117448</v>
      </c>
      <c r="AK28" s="600"/>
      <c r="AL28" s="201">
        <v>25726208.307603132</v>
      </c>
      <c r="AM28" s="528">
        <f t="shared" si="7"/>
        <v>2391239.692396868</v>
      </c>
      <c r="AN28" s="556"/>
      <c r="AO28" s="587"/>
      <c r="AQ28" s="178"/>
      <c r="AR28" s="556"/>
      <c r="AS28" s="528">
        <v>27657427</v>
      </c>
      <c r="AT28" s="528">
        <f t="shared" si="8"/>
        <v>460021</v>
      </c>
      <c r="AU28" s="256">
        <f t="shared" si="9"/>
        <v>1.6632819820874879E-2</v>
      </c>
      <c r="AV28" s="230"/>
    </row>
    <row r="29" spans="1:48" x14ac:dyDescent="0.2">
      <c r="A29" s="197" t="s">
        <v>159</v>
      </c>
      <c r="B29" s="177">
        <f t="shared" si="14"/>
        <v>0</v>
      </c>
      <c r="C29" s="177">
        <v>0</v>
      </c>
      <c r="D29" s="177"/>
      <c r="E29" s="177">
        <f>+Differential!F21</f>
        <v>1890000</v>
      </c>
      <c r="F29" s="177">
        <v>152600</v>
      </c>
      <c r="G29" s="177">
        <v>0</v>
      </c>
      <c r="H29" s="177">
        <v>0</v>
      </c>
      <c r="I29" s="177"/>
      <c r="J29" s="177">
        <f t="shared" si="11"/>
        <v>2042600</v>
      </c>
      <c r="K29" s="891"/>
      <c r="L29" s="176"/>
      <c r="M29" s="521">
        <f>20445-20445</f>
        <v>0</v>
      </c>
      <c r="N29" s="521"/>
      <c r="O29" s="521">
        <f>ROUND((1-0.077)*(230000+350000+20445),-2)+80000+6315+30000</f>
        <v>670515</v>
      </c>
      <c r="P29" s="528"/>
      <c r="Q29" s="176"/>
      <c r="R29" s="176"/>
      <c r="S29" s="176"/>
      <c r="T29" s="176"/>
      <c r="U29" s="176"/>
      <c r="V29" s="201"/>
      <c r="W29" s="179">
        <f>+'Productivity Calc'!B19+'Productivity Calc'!C19</f>
        <v>597600</v>
      </c>
      <c r="X29" s="179">
        <f>+'Productivity Calc'!Q19</f>
        <v>565600</v>
      </c>
      <c r="Y29" s="179">
        <f>SUM('Productivity Calc'!O19:P19)</f>
        <v>45000</v>
      </c>
      <c r="Z29" s="179">
        <f>+Research!B17</f>
        <v>0</v>
      </c>
      <c r="AA29" s="179">
        <f>SUM('Productivity Calc'!K19:N19)</f>
        <v>117600</v>
      </c>
      <c r="AB29" s="179">
        <f>+'Productivity Calc'!U19</f>
        <v>0</v>
      </c>
      <c r="AC29" s="179">
        <f t="shared" si="12"/>
        <v>1325800</v>
      </c>
      <c r="AE29" s="176"/>
      <c r="AF29" s="176"/>
      <c r="AG29" s="518">
        <v>-60853</v>
      </c>
      <c r="AH29" s="518">
        <f t="shared" si="6"/>
        <v>-40390</v>
      </c>
      <c r="AJ29" s="518">
        <f t="shared" si="13"/>
        <v>3937672</v>
      </c>
      <c r="AK29" s="600"/>
      <c r="AL29" s="176">
        <v>3700827.0240455745</v>
      </c>
      <c r="AM29" s="518">
        <f t="shared" si="7"/>
        <v>236844.97595442552</v>
      </c>
      <c r="AN29" s="556"/>
      <c r="AO29" s="199"/>
      <c r="AQ29" s="178"/>
      <c r="AR29" s="556"/>
      <c r="AS29" s="176">
        <v>3893225</v>
      </c>
      <c r="AT29" s="518">
        <f t="shared" si="8"/>
        <v>44447</v>
      </c>
      <c r="AU29" s="256">
        <f t="shared" si="9"/>
        <v>1.1416499174848615E-2</v>
      </c>
      <c r="AV29" s="230"/>
    </row>
    <row r="30" spans="1:48" x14ac:dyDescent="0.2">
      <c r="A30" s="200" t="s">
        <v>160</v>
      </c>
      <c r="B30" s="528">
        <f t="shared" si="14"/>
        <v>0</v>
      </c>
      <c r="C30" s="201">
        <v>0</v>
      </c>
      <c r="D30" s="201"/>
      <c r="E30" s="201">
        <f>+Differential!F22</f>
        <v>0</v>
      </c>
      <c r="F30" s="528">
        <v>0</v>
      </c>
      <c r="G30" s="528">
        <v>0</v>
      </c>
      <c r="H30" s="201">
        <v>0</v>
      </c>
      <c r="I30" s="528"/>
      <c r="J30" s="528">
        <f t="shared" si="11"/>
        <v>0</v>
      </c>
      <c r="K30" s="891"/>
      <c r="L30" s="201"/>
      <c r="M30" s="201"/>
      <c r="N30" s="201"/>
      <c r="O30" s="201"/>
      <c r="P30" s="528"/>
      <c r="Q30" s="201">
        <f>+'Service Support &amp; Mgmt'!I9+'Service Support &amp; Mgmt'!J9</f>
        <v>23540832</v>
      </c>
      <c r="R30" s="201"/>
      <c r="S30" s="201"/>
      <c r="T30" s="201"/>
      <c r="U30" s="201">
        <f>SUM(Q30:T30)</f>
        <v>23540832</v>
      </c>
      <c r="V30" s="201"/>
      <c r="W30" s="201"/>
      <c r="X30" s="201"/>
      <c r="Y30" s="201"/>
      <c r="Z30" s="201">
        <f>+Research!B18</f>
        <v>0</v>
      </c>
      <c r="AA30" s="201"/>
      <c r="AB30" s="201"/>
      <c r="AC30" s="201">
        <f t="shared" si="12"/>
        <v>0</v>
      </c>
      <c r="AE30" s="201"/>
      <c r="AF30" s="201"/>
      <c r="AG30" s="528">
        <v>0</v>
      </c>
      <c r="AH30" s="528">
        <f t="shared" si="6"/>
        <v>-235410</v>
      </c>
      <c r="AJ30" s="528">
        <f t="shared" si="13"/>
        <v>23305422</v>
      </c>
      <c r="AK30" s="600"/>
      <c r="AL30" s="201">
        <v>21610993</v>
      </c>
      <c r="AM30" s="528">
        <f t="shared" si="7"/>
        <v>1694429</v>
      </c>
      <c r="AN30" s="556"/>
      <c r="AO30" s="587"/>
      <c r="AQ30" s="178"/>
      <c r="AR30" s="556"/>
      <c r="AS30" s="201">
        <v>22949137</v>
      </c>
      <c r="AT30" s="528">
        <f t="shared" si="8"/>
        <v>356285</v>
      </c>
      <c r="AU30" s="256">
        <f t="shared" si="9"/>
        <v>1.5524984665000692E-2</v>
      </c>
      <c r="AV30" s="230"/>
    </row>
    <row r="31" spans="1:48" x14ac:dyDescent="0.2">
      <c r="A31" s="190" t="s">
        <v>580</v>
      </c>
      <c r="B31" s="528">
        <f t="shared" si="14"/>
        <v>0</v>
      </c>
      <c r="C31" s="201">
        <v>0</v>
      </c>
      <c r="D31" s="201"/>
      <c r="E31" s="201">
        <f>+Differential!F23</f>
        <v>0</v>
      </c>
      <c r="F31" s="528">
        <v>0</v>
      </c>
      <c r="G31" s="528">
        <v>0</v>
      </c>
      <c r="H31" s="201">
        <f>ROUND(('Step 0 Revenue Detail'!H49*0.08)+('Step 0 Revenue Detail'!H49*0.04),-2)</f>
        <v>5160000</v>
      </c>
      <c r="I31" s="528"/>
      <c r="J31" s="528">
        <f t="shared" si="11"/>
        <v>5160000</v>
      </c>
      <c r="K31" s="891"/>
      <c r="L31" s="189"/>
      <c r="M31" s="189"/>
      <c r="N31" s="189"/>
      <c r="O31" s="189"/>
      <c r="P31" s="528"/>
      <c r="Q31" s="528"/>
      <c r="R31" s="189"/>
      <c r="S31" s="189"/>
      <c r="T31" s="189"/>
      <c r="U31" s="189"/>
      <c r="V31" s="201"/>
      <c r="W31" s="189"/>
      <c r="X31" s="189"/>
      <c r="Y31" s="189"/>
      <c r="Z31" s="189">
        <f>+Research!B19</f>
        <v>0</v>
      </c>
      <c r="AA31" s="189"/>
      <c r="AB31" s="189"/>
      <c r="AC31" s="189">
        <f t="shared" si="12"/>
        <v>0</v>
      </c>
      <c r="AE31" s="189"/>
      <c r="AF31" s="189"/>
      <c r="AG31" s="523">
        <v>0</v>
      </c>
      <c r="AH31" s="523">
        <f t="shared" si="6"/>
        <v>-51600</v>
      </c>
      <c r="AJ31" s="523">
        <f t="shared" si="13"/>
        <v>5108400</v>
      </c>
      <c r="AK31" s="600"/>
      <c r="AL31" s="189">
        <v>4999113.72</v>
      </c>
      <c r="AM31" s="523">
        <f t="shared" si="7"/>
        <v>109286.28000000026</v>
      </c>
      <c r="AN31" s="556"/>
      <c r="AO31" s="587"/>
      <c r="AQ31" s="178"/>
      <c r="AR31" s="556"/>
      <c r="AS31" s="189">
        <v>5118720</v>
      </c>
      <c r="AT31" s="523">
        <f t="shared" si="8"/>
        <v>-10320</v>
      </c>
      <c r="AU31" s="256">
        <f t="shared" si="9"/>
        <v>-2.0161290322580645E-3</v>
      </c>
      <c r="AV31" s="230"/>
    </row>
    <row r="32" spans="1:48" x14ac:dyDescent="0.2">
      <c r="A32" s="1003" t="s">
        <v>705</v>
      </c>
      <c r="B32" s="177">
        <f t="shared" si="14"/>
        <v>0</v>
      </c>
      <c r="C32" s="177">
        <v>0</v>
      </c>
      <c r="D32" s="177"/>
      <c r="E32" s="177">
        <f>+Differential!F24</f>
        <v>0</v>
      </c>
      <c r="F32" s="177">
        <v>0</v>
      </c>
      <c r="G32" s="177">
        <v>0</v>
      </c>
      <c r="H32" s="177"/>
      <c r="I32" s="177"/>
      <c r="J32" s="177">
        <f t="shared" si="11"/>
        <v>0</v>
      </c>
      <c r="K32" s="891"/>
      <c r="L32" s="180"/>
      <c r="M32" s="180"/>
      <c r="N32" s="180"/>
      <c r="O32" s="180"/>
      <c r="P32" s="528"/>
      <c r="Q32" s="180">
        <f>+'Service Support &amp; Mgmt'!I10+'Service Support &amp; Mgmt'!J10</f>
        <v>687349</v>
      </c>
      <c r="R32" s="180"/>
      <c r="S32" s="180"/>
      <c r="T32" s="180"/>
      <c r="U32" s="180">
        <f t="shared" si="5"/>
        <v>687349</v>
      </c>
      <c r="V32" s="201"/>
      <c r="W32" s="180"/>
      <c r="X32" s="180"/>
      <c r="Y32" s="180"/>
      <c r="Z32" s="180">
        <f>+Research!B20</f>
        <v>0</v>
      </c>
      <c r="AA32" s="180"/>
      <c r="AB32" s="180"/>
      <c r="AC32" s="180">
        <f t="shared" si="12"/>
        <v>0</v>
      </c>
      <c r="AE32" s="180"/>
      <c r="AF32" s="180"/>
      <c r="AG32" s="521">
        <v>0</v>
      </c>
      <c r="AH32" s="521">
        <f t="shared" si="6"/>
        <v>-6870</v>
      </c>
      <c r="AJ32" s="521">
        <f t="shared" si="13"/>
        <v>680479</v>
      </c>
      <c r="AK32" s="600"/>
      <c r="AL32" s="180">
        <v>651853.15878043056</v>
      </c>
      <c r="AM32" s="521">
        <f t="shared" si="7"/>
        <v>28625.84121956944</v>
      </c>
      <c r="AN32" s="556"/>
      <c r="AR32" s="556"/>
      <c r="AS32" s="180">
        <v>662775</v>
      </c>
      <c r="AT32" s="521">
        <f t="shared" si="8"/>
        <v>17704</v>
      </c>
      <c r="AU32" s="256">
        <f t="shared" si="9"/>
        <v>2.6711930896608956E-2</v>
      </c>
      <c r="AV32" s="230"/>
    </row>
    <row r="33" spans="1:48" x14ac:dyDescent="0.2">
      <c r="A33" s="208" t="s">
        <v>162</v>
      </c>
      <c r="B33" s="528">
        <f t="shared" si="14"/>
        <v>0</v>
      </c>
      <c r="C33" s="201"/>
      <c r="D33" s="201"/>
      <c r="E33" s="201">
        <f>+Differential!F25</f>
        <v>0</v>
      </c>
      <c r="F33" s="528">
        <v>0</v>
      </c>
      <c r="G33" s="528">
        <v>0</v>
      </c>
      <c r="H33" s="201"/>
      <c r="I33" s="528"/>
      <c r="J33" s="528">
        <f t="shared" si="11"/>
        <v>0</v>
      </c>
      <c r="K33" s="891"/>
      <c r="L33" s="201"/>
      <c r="M33" s="201"/>
      <c r="N33" s="201"/>
      <c r="O33" s="201"/>
      <c r="P33" s="528"/>
      <c r="Q33" s="201"/>
      <c r="R33" s="201"/>
      <c r="S33" s="201"/>
      <c r="T33" s="201"/>
      <c r="U33" s="528"/>
      <c r="V33" s="201"/>
      <c r="W33" s="201">
        <f>+'Productivity Calc'!B11+'Productivity Calc'!C11</f>
        <v>212000</v>
      </c>
      <c r="X33" s="201">
        <f>SUM('Productivity Calc'!Q11:S11)</f>
        <v>0</v>
      </c>
      <c r="Y33" s="201">
        <f>SUM('Productivity Calc'!O11:P11)</f>
        <v>403000</v>
      </c>
      <c r="Z33" s="201">
        <f>+Research!B21</f>
        <v>0</v>
      </c>
      <c r="AA33" s="201">
        <f>SUM('Productivity Calc'!K11:N11)</f>
        <v>49100</v>
      </c>
      <c r="AB33" s="201">
        <f>+'Productivity Calc'!U11</f>
        <v>260700</v>
      </c>
      <c r="AC33" s="201">
        <f t="shared" si="12"/>
        <v>924800</v>
      </c>
      <c r="AE33" s="201"/>
      <c r="AF33" s="201"/>
      <c r="AG33" s="528">
        <v>0</v>
      </c>
      <c r="AH33" s="528">
        <f t="shared" si="6"/>
        <v>-9250</v>
      </c>
      <c r="AJ33" s="528">
        <f t="shared" si="13"/>
        <v>915550</v>
      </c>
      <c r="AK33" s="600"/>
      <c r="AL33" s="201">
        <v>957380.18082571414</v>
      </c>
      <c r="AM33" s="528">
        <f t="shared" si="7"/>
        <v>-41830.180825714138</v>
      </c>
      <c r="AN33" s="556"/>
      <c r="AR33" s="556"/>
      <c r="AS33" s="201">
        <v>862940</v>
      </c>
      <c r="AT33" s="528">
        <f t="shared" si="8"/>
        <v>52610</v>
      </c>
      <c r="AU33" s="256">
        <f t="shared" si="9"/>
        <v>6.0965999953646835E-2</v>
      </c>
      <c r="AV33" s="230"/>
    </row>
    <row r="34" spans="1:48" x14ac:dyDescent="0.2">
      <c r="A34" s="190" t="s">
        <v>163</v>
      </c>
      <c r="B34" s="528">
        <f t="shared" si="14"/>
        <v>0</v>
      </c>
      <c r="C34" s="201">
        <f>'Step 0 Revenue Detail'!L19</f>
        <v>45462</v>
      </c>
      <c r="D34" s="201"/>
      <c r="E34" s="201">
        <f>+Differential!F26</f>
        <v>0</v>
      </c>
      <c r="F34" s="528">
        <v>22500</v>
      </c>
      <c r="G34" s="528">
        <v>110727</v>
      </c>
      <c r="H34" s="201">
        <f>ROUND('Step 0 Revenue Detail'!H49*0.06,-2)</f>
        <v>2580000</v>
      </c>
      <c r="I34" s="528"/>
      <c r="J34" s="528">
        <f t="shared" si="11"/>
        <v>2758689</v>
      </c>
      <c r="K34" s="891"/>
      <c r="L34" s="189"/>
      <c r="M34" s="189"/>
      <c r="N34" s="189"/>
      <c r="O34" s="189"/>
      <c r="P34" s="528"/>
      <c r="Q34" s="189">
        <f>+'Service Support &amp; Mgmt'!I11+'Service Support &amp; Mgmt'!J11</f>
        <v>12694792</v>
      </c>
      <c r="R34" s="189"/>
      <c r="S34" s="189"/>
      <c r="T34" s="189"/>
      <c r="U34" s="523">
        <f t="shared" si="5"/>
        <v>12694792</v>
      </c>
      <c r="V34" s="201"/>
      <c r="W34" s="1043"/>
      <c r="X34" s="1043"/>
      <c r="Y34" s="1043"/>
      <c r="Z34" s="1043">
        <f>+Research!B22</f>
        <v>0</v>
      </c>
      <c r="AA34" s="1043"/>
      <c r="AB34" s="1043"/>
      <c r="AC34" s="1043">
        <f t="shared" si="12"/>
        <v>0</v>
      </c>
      <c r="AE34" s="189"/>
      <c r="AF34" s="189"/>
      <c r="AG34" s="523">
        <v>-13220</v>
      </c>
      <c r="AH34" s="523">
        <f t="shared" si="6"/>
        <v>-154530</v>
      </c>
      <c r="AJ34" s="523">
        <f t="shared" si="13"/>
        <v>15285731</v>
      </c>
      <c r="AK34" s="600"/>
      <c r="AL34" s="189">
        <v>14813189.107231934</v>
      </c>
      <c r="AM34" s="523">
        <f t="shared" si="7"/>
        <v>472541.89276806638</v>
      </c>
      <c r="AN34" s="556"/>
      <c r="AR34" s="556"/>
      <c r="AS34" s="189">
        <v>15015416</v>
      </c>
      <c r="AT34" s="523">
        <f t="shared" si="8"/>
        <v>270315</v>
      </c>
      <c r="AU34" s="256">
        <f t="shared" si="9"/>
        <v>1.8002498232483202E-2</v>
      </c>
      <c r="AV34" s="230"/>
    </row>
    <row r="35" spans="1:48" x14ac:dyDescent="0.2">
      <c r="A35" s="207" t="s">
        <v>377</v>
      </c>
      <c r="B35" s="529">
        <f t="shared" si="14"/>
        <v>0</v>
      </c>
      <c r="C35" s="205">
        <f>+'Step 0 Revenue Detail'!H20+'Step 0 Revenue Detail'!H18+'Step 0 Revenue Detail'!H28+'Step 0 Revenue Detail'!H30</f>
        <v>641729</v>
      </c>
      <c r="D35" s="205"/>
      <c r="E35" s="205">
        <f>+Differential!F27</f>
        <v>0</v>
      </c>
      <c r="F35" s="529">
        <v>1419751</v>
      </c>
      <c r="G35" s="529">
        <v>156767</v>
      </c>
      <c r="H35" s="205">
        <v>1113000</v>
      </c>
      <c r="I35" s="529"/>
      <c r="J35" s="529">
        <f t="shared" si="11"/>
        <v>3331247</v>
      </c>
      <c r="K35" s="891"/>
      <c r="L35" s="180"/>
      <c r="M35" s="180"/>
      <c r="N35" s="180">
        <v>225000</v>
      </c>
      <c r="O35" s="180">
        <f>ROUND(((1-0.077)*8400000),-2)+46207+40000</f>
        <v>7839407</v>
      </c>
      <c r="P35" s="528"/>
      <c r="Q35" s="180"/>
      <c r="R35" s="180"/>
      <c r="S35" s="180"/>
      <c r="T35" s="180"/>
      <c r="U35" s="521"/>
      <c r="V35" s="201"/>
      <c r="W35" s="281"/>
      <c r="X35" s="281"/>
      <c r="Y35" s="281"/>
      <c r="Z35" s="281">
        <f>+Research!B23</f>
        <v>806600</v>
      </c>
      <c r="AA35" s="281"/>
      <c r="AB35" s="281"/>
      <c r="AC35" s="281">
        <f t="shared" si="12"/>
        <v>806600</v>
      </c>
      <c r="AE35" s="180"/>
      <c r="AF35" s="180"/>
      <c r="AG35" s="521">
        <v>-164150</v>
      </c>
      <c r="AH35" s="521">
        <f t="shared" si="6"/>
        <v>-122020</v>
      </c>
      <c r="AJ35" s="521">
        <f t="shared" si="13"/>
        <v>11916084</v>
      </c>
      <c r="AK35" s="600"/>
      <c r="AL35" s="180">
        <v>11461782.553358652</v>
      </c>
      <c r="AM35" s="521">
        <f t="shared" si="7"/>
        <v>454301.4466413483</v>
      </c>
      <c r="AN35" s="556"/>
      <c r="AR35" s="556"/>
      <c r="AS35" s="180">
        <v>11706004</v>
      </c>
      <c r="AT35" s="521">
        <f t="shared" si="8"/>
        <v>210080</v>
      </c>
      <c r="AU35" s="256">
        <f t="shared" si="9"/>
        <v>1.7946346165608692E-2</v>
      </c>
      <c r="AV35" s="230"/>
    </row>
    <row r="36" spans="1:48" x14ac:dyDescent="0.2">
      <c r="A36" s="211" t="s">
        <v>165</v>
      </c>
      <c r="B36" s="212">
        <f t="shared" ref="B36:I36" si="15">SUM(B18:B35)</f>
        <v>0</v>
      </c>
      <c r="C36" s="212">
        <f>SUM(C18:C35)</f>
        <v>14176178</v>
      </c>
      <c r="D36" s="212">
        <f t="shared" si="15"/>
        <v>0</v>
      </c>
      <c r="E36" s="212">
        <f t="shared" si="15"/>
        <v>14921000</v>
      </c>
      <c r="F36" s="212">
        <f t="shared" si="15"/>
        <v>18535226</v>
      </c>
      <c r="G36" s="212">
        <f t="shared" si="15"/>
        <v>1902363</v>
      </c>
      <c r="H36" s="212">
        <f t="shared" si="15"/>
        <v>19859500</v>
      </c>
      <c r="I36" s="212">
        <f t="shared" si="15"/>
        <v>20802472</v>
      </c>
      <c r="J36" s="212">
        <f>SUM(J18:J35)</f>
        <v>90196739</v>
      </c>
      <c r="K36" s="891"/>
      <c r="L36" s="212">
        <f>SUM(L18:L35)</f>
        <v>0</v>
      </c>
      <c r="M36" s="212">
        <f>SUM(M18:M35)</f>
        <v>1660875</v>
      </c>
      <c r="N36" s="212">
        <f>SUM(N18:N35)</f>
        <v>225000</v>
      </c>
      <c r="O36" s="212">
        <f>SUM(O18:O35)</f>
        <v>18568322</v>
      </c>
      <c r="P36" s="219"/>
      <c r="Q36" s="212">
        <f>SUM(Q18:Q35)</f>
        <v>36922973</v>
      </c>
      <c r="R36" s="212">
        <f>SUM(R18:R35)</f>
        <v>0</v>
      </c>
      <c r="S36" s="212">
        <f>SUM(S18:S35)</f>
        <v>0</v>
      </c>
      <c r="T36" s="212">
        <f>SUM(T18:T35)</f>
        <v>0</v>
      </c>
      <c r="U36" s="212">
        <f>SUM(U18:U35)</f>
        <v>36922973</v>
      </c>
      <c r="V36" s="219"/>
      <c r="W36" s="212">
        <f t="shared" ref="W36:AC36" si="16">SUM(W18:W35)</f>
        <v>59902700</v>
      </c>
      <c r="X36" s="212">
        <f t="shared" si="16"/>
        <v>35546600</v>
      </c>
      <c r="Y36" s="212">
        <f t="shared" si="16"/>
        <v>95143900</v>
      </c>
      <c r="Z36" s="212">
        <f t="shared" si="16"/>
        <v>7899300</v>
      </c>
      <c r="AA36" s="212">
        <f t="shared" si="16"/>
        <v>5924500</v>
      </c>
      <c r="AB36" s="212">
        <f t="shared" si="16"/>
        <v>22381100</v>
      </c>
      <c r="AC36" s="212">
        <f t="shared" si="16"/>
        <v>226798100</v>
      </c>
      <c r="AD36" s="480"/>
      <c r="AE36" s="212">
        <f>SUM(AE17:AE35)</f>
        <v>1416718</v>
      </c>
      <c r="AF36" s="212">
        <f>SUM(AF17:AF35)</f>
        <v>3161000</v>
      </c>
      <c r="AG36" s="212">
        <f>SUM(AG17:AG35)</f>
        <v>-1549646</v>
      </c>
      <c r="AH36" s="212">
        <f>SUM(AH17:AH35)</f>
        <v>-3743710</v>
      </c>
      <c r="AI36" s="219"/>
      <c r="AJ36" s="530">
        <f>SUM(AJ18:AJ35)</f>
        <v>373656371</v>
      </c>
      <c r="AK36" s="891"/>
      <c r="AL36" s="213">
        <f>SUM(AL18:AL35)</f>
        <v>352778917.23409623</v>
      </c>
      <c r="AM36" s="530">
        <f>+AJ36-AL36</f>
        <v>20877453.765903771</v>
      </c>
      <c r="AN36" s="556"/>
      <c r="AR36" s="556"/>
      <c r="AS36" s="213">
        <f>SUM(AS18:AS35)</f>
        <v>360766256</v>
      </c>
      <c r="AT36" s="530">
        <f>SUM(AT18:AT35)</f>
        <v>12890115</v>
      </c>
      <c r="AU36" s="256">
        <f t="shared" si="9"/>
        <v>3.5729824465622971E-2</v>
      </c>
      <c r="AV36" s="230"/>
    </row>
    <row r="37" spans="1:48" x14ac:dyDescent="0.2">
      <c r="A37" s="190"/>
      <c r="B37" s="83"/>
      <c r="C37" s="83"/>
      <c r="D37" s="83"/>
      <c r="E37" s="83"/>
      <c r="F37" s="83"/>
      <c r="G37" s="83"/>
      <c r="H37" s="214"/>
      <c r="I37" s="214"/>
      <c r="J37" s="83"/>
      <c r="K37" s="891"/>
      <c r="L37" s="83"/>
      <c r="M37" s="83"/>
      <c r="N37" s="83"/>
      <c r="O37" s="83"/>
      <c r="Q37" s="83"/>
      <c r="R37" s="83"/>
      <c r="S37" s="83"/>
      <c r="T37" s="83"/>
      <c r="U37" s="83"/>
      <c r="W37" s="83"/>
      <c r="X37" s="83"/>
      <c r="Y37" s="83"/>
      <c r="Z37" s="83"/>
      <c r="AA37" s="83"/>
      <c r="AB37" s="83"/>
      <c r="AC37" s="83"/>
      <c r="AE37" s="83"/>
      <c r="AF37" s="83"/>
      <c r="AG37" s="83"/>
      <c r="AH37" s="83"/>
      <c r="AJ37" s="83"/>
      <c r="AK37" s="891"/>
      <c r="AL37" s="83"/>
      <c r="AN37" s="556"/>
      <c r="AR37" s="556"/>
      <c r="AS37" s="83"/>
      <c r="AT37" s="83"/>
      <c r="AU37" s="256"/>
      <c r="AV37" s="230"/>
    </row>
    <row r="38" spans="1:48" x14ac:dyDescent="0.2">
      <c r="A38" s="188"/>
      <c r="F38" s="881"/>
      <c r="H38" s="131"/>
      <c r="I38" s="556"/>
      <c r="J38" s="131"/>
      <c r="K38" s="891"/>
      <c r="AJ38" s="588"/>
      <c r="AK38" s="891"/>
      <c r="AL38" s="588"/>
      <c r="AN38" s="556"/>
      <c r="AR38" s="556"/>
      <c r="AS38"/>
      <c r="AT38"/>
      <c r="AU38" s="256"/>
      <c r="AV38" s="230"/>
    </row>
    <row r="39" spans="1:48" x14ac:dyDescent="0.2">
      <c r="A39" s="200" t="s">
        <v>166</v>
      </c>
      <c r="B39" s="201"/>
      <c r="C39" s="201"/>
      <c r="D39" s="201"/>
      <c r="E39" s="201"/>
      <c r="F39" s="528"/>
      <c r="G39" s="201"/>
      <c r="H39" s="201"/>
      <c r="I39" s="528"/>
      <c r="J39" s="528">
        <f>SUM(C39:I39)</f>
        <v>0</v>
      </c>
      <c r="K39" s="891"/>
      <c r="L39" s="201"/>
      <c r="M39" s="201"/>
      <c r="N39" s="201"/>
      <c r="O39" s="201"/>
      <c r="P39" s="201"/>
      <c r="Q39" s="201"/>
      <c r="R39" s="201"/>
      <c r="S39" s="201"/>
      <c r="T39" s="201"/>
      <c r="U39" s="201"/>
      <c r="V39" s="201"/>
      <c r="W39" s="1044"/>
      <c r="X39" s="1044"/>
      <c r="Y39" s="1044"/>
      <c r="Z39" s="1044"/>
      <c r="AA39" s="1044"/>
      <c r="AB39" s="1044"/>
      <c r="AC39" s="1044"/>
      <c r="AE39" s="201"/>
      <c r="AF39" s="201"/>
      <c r="AG39" s="528">
        <v>0</v>
      </c>
      <c r="AH39" s="201"/>
      <c r="AJ39" s="528"/>
      <c r="AK39" s="600"/>
      <c r="AL39" s="201"/>
      <c r="AN39" s="556"/>
      <c r="AO39" s="216"/>
      <c r="AQ39" s="178"/>
      <c r="AR39" s="556"/>
      <c r="AS39" s="201"/>
      <c r="AT39" s="201"/>
      <c r="AU39" s="256"/>
      <c r="AV39" s="230"/>
    </row>
    <row r="40" spans="1:48" x14ac:dyDescent="0.2">
      <c r="A40" s="197" t="s">
        <v>631</v>
      </c>
      <c r="B40" s="177">
        <f>ROUND(-C$4*C40-E$4*E40-F$4*F40-G$4*G40-H$4*H40,-1)</f>
        <v>0</v>
      </c>
      <c r="C40" s="177">
        <v>0</v>
      </c>
      <c r="D40" s="177"/>
      <c r="E40" s="217"/>
      <c r="F40" s="217">
        <v>0</v>
      </c>
      <c r="G40" s="177">
        <v>0</v>
      </c>
      <c r="H40" s="218"/>
      <c r="I40" s="218"/>
      <c r="J40" s="218">
        <f t="shared" ref="J40:J55" si="17">SUM(C40:I40)</f>
        <v>0</v>
      </c>
      <c r="K40" s="891"/>
      <c r="L40" s="176"/>
      <c r="M40" s="521">
        <f>320000-300000-20000</f>
        <v>0</v>
      </c>
      <c r="N40" s="176">
        <f>+'Service Support &amp; Mgmt'!I15+'Service Support &amp; Mgmt'!J15</f>
        <v>9944527</v>
      </c>
      <c r="O40" s="176"/>
      <c r="P40" s="206"/>
      <c r="Q40" s="198"/>
      <c r="R40" s="198"/>
      <c r="S40" s="198"/>
      <c r="T40" s="198"/>
      <c r="U40" s="198">
        <f>+SUM(Q40:T40)</f>
        <v>0</v>
      </c>
      <c r="V40" s="206"/>
      <c r="W40" s="1050"/>
      <c r="X40" s="1050"/>
      <c r="Y40" s="1040"/>
      <c r="Z40" s="1040">
        <f>+Research!B28</f>
        <v>0</v>
      </c>
      <c r="AA40" s="1050"/>
      <c r="AB40" s="1050"/>
      <c r="AC40" s="1040">
        <f>SUM(W40:AB40)</f>
        <v>0</v>
      </c>
      <c r="AE40" s="176"/>
      <c r="AF40" s="176"/>
      <c r="AG40" s="518">
        <v>0</v>
      </c>
      <c r="AH40" s="518">
        <f t="shared" ref="AH40:AH55" si="18">ROUND(-SUM(L40:O40,U40,AC40,B40,J40)*$AQ$5,-1)</f>
        <v>-99450</v>
      </c>
      <c r="AJ40" s="518">
        <f t="shared" si="13"/>
        <v>9845077</v>
      </c>
      <c r="AK40" s="600"/>
      <c r="AL40" s="176">
        <v>9277097.0933995694</v>
      </c>
      <c r="AM40" s="518">
        <f t="shared" ref="AM40:AM55" si="19">+AJ40-AL40</f>
        <v>567979.90660043061</v>
      </c>
      <c r="AN40" s="556"/>
      <c r="AO40" s="821"/>
      <c r="AQ40" s="178"/>
      <c r="AR40" s="556"/>
      <c r="AS40" s="518">
        <v>9703838</v>
      </c>
      <c r="AT40" s="518">
        <f>+AJ40-AS40</f>
        <v>141239</v>
      </c>
      <c r="AU40" s="256">
        <f t="shared" ref="AU40:AU57" si="20">+(AJ40-AS40)/AS40</f>
        <v>1.4554962685898095E-2</v>
      </c>
      <c r="AV40" s="230"/>
    </row>
    <row r="41" spans="1:48" x14ac:dyDescent="0.2">
      <c r="A41" s="208" t="s">
        <v>168</v>
      </c>
      <c r="B41" s="528">
        <f t="shared" ref="B41:B55" si="21">ROUND(-C$4*C41-E$4*E41-F$4*F41-G$4*G41-H$4*H41,-1)</f>
        <v>0</v>
      </c>
      <c r="C41" s="201">
        <v>0</v>
      </c>
      <c r="D41" s="201"/>
      <c r="E41" s="219"/>
      <c r="F41" s="219">
        <v>0</v>
      </c>
      <c r="G41" s="189">
        <v>0</v>
      </c>
      <c r="H41" s="220">
        <v>0</v>
      </c>
      <c r="I41" s="220"/>
      <c r="J41" s="220">
        <f t="shared" si="17"/>
        <v>0</v>
      </c>
      <c r="K41" s="891"/>
      <c r="L41" s="201"/>
      <c r="M41" s="528">
        <f>7340700+659300-250000+250000-250000+250000</f>
        <v>8000000</v>
      </c>
      <c r="N41" s="201"/>
      <c r="O41" s="201"/>
      <c r="P41" s="201"/>
      <c r="Q41" s="201"/>
      <c r="R41" s="201"/>
      <c r="S41" s="201"/>
      <c r="T41" s="201"/>
      <c r="U41" s="201">
        <f t="shared" si="5"/>
        <v>0</v>
      </c>
      <c r="V41" s="201"/>
      <c r="W41" s="1051"/>
      <c r="X41" s="1052"/>
      <c r="Y41" s="1044"/>
      <c r="Z41" s="1044">
        <f>+Research!B29</f>
        <v>0</v>
      </c>
      <c r="AA41" s="1052"/>
      <c r="AB41" s="1053"/>
      <c r="AC41" s="1054">
        <f t="shared" ref="AC41:AC55" si="22">SUM(W41:AB41)</f>
        <v>0</v>
      </c>
      <c r="AE41" s="201"/>
      <c r="AF41" s="201"/>
      <c r="AG41" s="528">
        <v>0</v>
      </c>
      <c r="AH41" s="528">
        <f t="shared" si="18"/>
        <v>-80000</v>
      </c>
      <c r="AJ41" s="528">
        <f t="shared" si="13"/>
        <v>7920000</v>
      </c>
      <c r="AK41" s="600"/>
      <c r="AL41" s="201">
        <v>7750670.5568300895</v>
      </c>
      <c r="AM41" s="528">
        <f t="shared" si="19"/>
        <v>169329.44316991046</v>
      </c>
      <c r="AN41" s="556"/>
      <c r="AQ41" s="178"/>
      <c r="AR41" s="556"/>
      <c r="AS41" s="528">
        <v>7936500</v>
      </c>
      <c r="AT41" s="528">
        <f>+AJ41-AS41</f>
        <v>-16500</v>
      </c>
      <c r="AU41" s="256">
        <f t="shared" si="20"/>
        <v>-2.0790020790020791E-3</v>
      </c>
      <c r="AV41" s="230"/>
    </row>
    <row r="42" spans="1:48" x14ac:dyDescent="0.2">
      <c r="A42" s="190" t="s">
        <v>169</v>
      </c>
      <c r="B42" s="528">
        <f t="shared" si="21"/>
        <v>0</v>
      </c>
      <c r="C42" s="201">
        <v>0</v>
      </c>
      <c r="D42" s="201"/>
      <c r="E42" s="219"/>
      <c r="F42" s="219">
        <v>6900</v>
      </c>
      <c r="G42" s="189">
        <v>0</v>
      </c>
      <c r="H42" s="220">
        <v>0</v>
      </c>
      <c r="I42" s="220"/>
      <c r="J42" s="220">
        <f t="shared" si="17"/>
        <v>6900</v>
      </c>
      <c r="K42" s="891"/>
      <c r="L42" s="201"/>
      <c r="M42" s="201"/>
      <c r="N42" s="528"/>
      <c r="O42" s="201"/>
      <c r="P42" s="201"/>
      <c r="Q42" s="201"/>
      <c r="R42" s="201"/>
      <c r="S42" s="201"/>
      <c r="T42" s="201">
        <f>+'Service Support &amp; Mgmt'!I16+'Service Support &amp; Mgmt'!J16</f>
        <v>4276597</v>
      </c>
      <c r="U42" s="201">
        <f t="shared" si="5"/>
        <v>4276597</v>
      </c>
      <c r="V42" s="201"/>
      <c r="W42" s="1055"/>
      <c r="X42" s="1055"/>
      <c r="Y42" s="1042"/>
      <c r="Z42" s="1042">
        <f>+Research!B30</f>
        <v>0</v>
      </c>
      <c r="AA42" s="1055"/>
      <c r="AB42" s="1055"/>
      <c r="AC42" s="1042">
        <f t="shared" si="22"/>
        <v>0</v>
      </c>
      <c r="AE42" s="201"/>
      <c r="AF42" s="201"/>
      <c r="AG42" s="528">
        <v>-510</v>
      </c>
      <c r="AH42" s="528">
        <f t="shared" si="18"/>
        <v>-42830</v>
      </c>
      <c r="AJ42" s="528">
        <f t="shared" si="13"/>
        <v>4240157</v>
      </c>
      <c r="AK42" s="600"/>
      <c r="AL42" s="201">
        <v>4035978.3813076899</v>
      </c>
      <c r="AM42" s="528">
        <f t="shared" si="19"/>
        <v>204178.61869231006</v>
      </c>
      <c r="AN42" s="556"/>
      <c r="AO42" s="821"/>
      <c r="AQ42" s="178"/>
      <c r="AR42" s="556"/>
      <c r="AS42" s="528">
        <v>4118163</v>
      </c>
      <c r="AT42" s="528">
        <f>+AJ42-AS42</f>
        <v>121994</v>
      </c>
      <c r="AU42" s="256">
        <f t="shared" si="20"/>
        <v>2.962340247338437E-2</v>
      </c>
    </row>
    <row r="43" spans="1:48" x14ac:dyDescent="0.2">
      <c r="A43" s="200" t="s">
        <v>170</v>
      </c>
      <c r="B43" s="528">
        <f>ROUND(-C$4*C43-E$4*E43-F$4*F43-G$4*G43-H$4*H43,-1)</f>
        <v>0</v>
      </c>
      <c r="C43" s="201">
        <v>0</v>
      </c>
      <c r="D43" s="201"/>
      <c r="E43" s="201"/>
      <c r="F43" s="528">
        <v>0</v>
      </c>
      <c r="G43" s="201">
        <v>0</v>
      </c>
      <c r="H43" s="221"/>
      <c r="I43" s="532"/>
      <c r="J43" s="532">
        <f t="shared" si="17"/>
        <v>0</v>
      </c>
      <c r="K43" s="891"/>
      <c r="L43" s="201"/>
      <c r="M43" s="201"/>
      <c r="N43" s="528">
        <f>+'Service Support &amp; Mgmt'!I17+'Service Support &amp; Mgmt'!J17</f>
        <v>1223683</v>
      </c>
      <c r="O43" s="201"/>
      <c r="P43" s="206"/>
      <c r="Q43" s="206"/>
      <c r="R43" s="206"/>
      <c r="S43" s="206"/>
      <c r="T43" s="206"/>
      <c r="U43" s="206">
        <f t="shared" si="5"/>
        <v>0</v>
      </c>
      <c r="V43" s="206"/>
      <c r="W43" s="1055"/>
      <c r="X43" s="1055"/>
      <c r="Y43" s="1042"/>
      <c r="Z43" s="1042">
        <f>+Research!B31</f>
        <v>0</v>
      </c>
      <c r="AA43" s="1055"/>
      <c r="AB43" s="1055"/>
      <c r="AC43" s="1042">
        <f t="shared" si="22"/>
        <v>0</v>
      </c>
      <c r="AE43" s="201"/>
      <c r="AF43" s="201"/>
      <c r="AG43" s="528">
        <v>0</v>
      </c>
      <c r="AH43" s="528">
        <f t="shared" si="18"/>
        <v>-12240</v>
      </c>
      <c r="AJ43" s="528">
        <f t="shared" si="13"/>
        <v>1211443</v>
      </c>
      <c r="AK43" s="600"/>
      <c r="AL43" s="201">
        <v>1171072</v>
      </c>
      <c r="AM43" s="528">
        <f t="shared" si="19"/>
        <v>40371</v>
      </c>
      <c r="AN43" s="556"/>
      <c r="AO43" s="821"/>
      <c r="AQ43" s="178"/>
      <c r="AR43" s="556"/>
      <c r="AS43" s="528">
        <v>1192166</v>
      </c>
      <c r="AT43" s="528">
        <f>+AJ43-AS43</f>
        <v>19277</v>
      </c>
      <c r="AU43" s="256">
        <f t="shared" si="20"/>
        <v>1.6169728041229157E-2</v>
      </c>
    </row>
    <row r="44" spans="1:48" x14ac:dyDescent="0.2">
      <c r="A44" s="197" t="s">
        <v>171</v>
      </c>
      <c r="B44" s="177">
        <f t="shared" si="21"/>
        <v>0</v>
      </c>
      <c r="C44" s="177">
        <v>0</v>
      </c>
      <c r="D44" s="177"/>
      <c r="E44" s="217"/>
      <c r="F44" s="217">
        <v>0</v>
      </c>
      <c r="G44" s="177">
        <v>0</v>
      </c>
      <c r="H44" s="218">
        <v>0</v>
      </c>
      <c r="I44" s="218"/>
      <c r="J44" s="218">
        <f t="shared" si="17"/>
        <v>0</v>
      </c>
      <c r="K44" s="891"/>
      <c r="L44" s="176"/>
      <c r="M44" s="176"/>
      <c r="N44" s="176">
        <f>+'Service Support &amp; Mgmt'!I18+'Service Support &amp; Mgmt'!J18</f>
        <v>1787754</v>
      </c>
      <c r="O44" s="176"/>
      <c r="P44" s="206"/>
      <c r="Q44" s="198"/>
      <c r="R44" s="198"/>
      <c r="S44" s="198"/>
      <c r="T44" s="198"/>
      <c r="U44" s="198">
        <f t="shared" si="5"/>
        <v>0</v>
      </c>
      <c r="V44" s="206"/>
      <c r="W44" s="1040"/>
      <c r="X44" s="1050"/>
      <c r="Y44" s="1040"/>
      <c r="Z44" s="1040">
        <f>+Research!B32</f>
        <v>0</v>
      </c>
      <c r="AA44" s="1050"/>
      <c r="AB44" s="1050"/>
      <c r="AC44" s="1040">
        <f t="shared" si="22"/>
        <v>0</v>
      </c>
      <c r="AE44" s="176"/>
      <c r="AF44" s="176"/>
      <c r="AG44" s="518">
        <v>0</v>
      </c>
      <c r="AH44" s="518">
        <f t="shared" si="18"/>
        <v>-17880</v>
      </c>
      <c r="AJ44" s="518">
        <f t="shared" si="13"/>
        <v>1769874</v>
      </c>
      <c r="AK44" s="600"/>
      <c r="AL44" s="176">
        <v>1731253</v>
      </c>
      <c r="AM44" s="518">
        <f t="shared" si="19"/>
        <v>38621</v>
      </c>
      <c r="AN44" s="556"/>
      <c r="AO44" s="821"/>
      <c r="AQ44" s="178"/>
      <c r="AR44" s="556"/>
      <c r="AS44" s="518">
        <v>1726379</v>
      </c>
      <c r="AT44" s="518">
        <f>+AJ44-AS44</f>
        <v>43495</v>
      </c>
      <c r="AU44" s="256">
        <f t="shared" si="20"/>
        <v>2.5194351877542532E-2</v>
      </c>
    </row>
    <row r="45" spans="1:48" s="895" customFormat="1" x14ac:dyDescent="0.2">
      <c r="A45" s="200" t="s">
        <v>682</v>
      </c>
      <c r="B45" s="528">
        <f t="shared" ref="B45" si="23">ROUND(-C$4*C45-E$4*E45-F$4*F45-G$4*G45-H$4*H45,-1)</f>
        <v>0</v>
      </c>
      <c r="C45" s="528">
        <v>0</v>
      </c>
      <c r="D45" s="528"/>
      <c r="E45" s="528"/>
      <c r="F45" s="528">
        <v>1200</v>
      </c>
      <c r="G45" s="528">
        <v>0</v>
      </c>
      <c r="H45" s="532">
        <v>0</v>
      </c>
      <c r="I45" s="532"/>
      <c r="J45" s="532">
        <f t="shared" si="17"/>
        <v>1200</v>
      </c>
      <c r="K45" s="532"/>
      <c r="L45" s="523"/>
      <c r="M45" s="523"/>
      <c r="N45" s="523">
        <f>'Service Support &amp; Mgmt'!I19+'Service Support &amp; Mgmt'!J19</f>
        <v>785092</v>
      </c>
      <c r="O45" s="523"/>
      <c r="P45" s="206"/>
      <c r="Q45" s="933"/>
      <c r="R45" s="933"/>
      <c r="S45" s="933"/>
      <c r="T45" s="933"/>
      <c r="U45" s="933"/>
      <c r="V45" s="206"/>
      <c r="W45" s="1041"/>
      <c r="X45" s="1056"/>
      <c r="Y45" s="1041"/>
      <c r="Z45" s="1041">
        <f>+Research!B33</f>
        <v>0</v>
      </c>
      <c r="AA45" s="1056"/>
      <c r="AB45" s="1056"/>
      <c r="AC45" s="1042">
        <f t="shared" si="22"/>
        <v>0</v>
      </c>
      <c r="AD45" s="130"/>
      <c r="AE45" s="523"/>
      <c r="AF45" s="523"/>
      <c r="AG45" s="523">
        <v>-90</v>
      </c>
      <c r="AH45" s="523">
        <f t="shared" si="18"/>
        <v>-7860</v>
      </c>
      <c r="AI45" s="130"/>
      <c r="AJ45" s="523">
        <f t="shared" si="13"/>
        <v>778342</v>
      </c>
      <c r="AK45" s="600"/>
      <c r="AL45" s="523">
        <v>749304</v>
      </c>
      <c r="AM45" s="518">
        <f t="shared" si="19"/>
        <v>29038</v>
      </c>
      <c r="AN45" s="556"/>
      <c r="AO45" s="821"/>
      <c r="AQ45" s="519"/>
      <c r="AR45" s="556"/>
      <c r="AS45" s="518">
        <v>758532</v>
      </c>
      <c r="AT45" s="518"/>
      <c r="AU45" s="256">
        <f t="shared" si="20"/>
        <v>2.6116235043478719E-2</v>
      </c>
    </row>
    <row r="46" spans="1:48" x14ac:dyDescent="0.2">
      <c r="A46" s="190" t="s">
        <v>172</v>
      </c>
      <c r="B46" s="528">
        <f>ROUND(-C$4*C46-E$4*E46-F$4*F46-G$4*G46-H$4*H46,-1)</f>
        <v>0</v>
      </c>
      <c r="C46" s="201">
        <v>0</v>
      </c>
      <c r="D46" s="201"/>
      <c r="E46" s="219"/>
      <c r="F46" s="219">
        <v>3353126</v>
      </c>
      <c r="G46" s="189">
        <v>0</v>
      </c>
      <c r="H46" s="220">
        <v>35000</v>
      </c>
      <c r="I46" s="220"/>
      <c r="J46" s="220">
        <f t="shared" si="17"/>
        <v>3388126</v>
      </c>
      <c r="K46" s="891"/>
      <c r="L46" s="201"/>
      <c r="M46" s="201"/>
      <c r="N46" s="201"/>
      <c r="O46" s="201"/>
      <c r="P46" s="201"/>
      <c r="Q46" s="201"/>
      <c r="R46" s="201">
        <f>+'Service Support &amp; Mgmt'!I20+'Service Support &amp; Mgmt'!J20</f>
        <v>10293722</v>
      </c>
      <c r="S46" s="201"/>
      <c r="T46" s="201"/>
      <c r="U46" s="201">
        <f t="shared" si="5"/>
        <v>10293722</v>
      </c>
      <c r="V46" s="201"/>
      <c r="W46" s="1042"/>
      <c r="X46" s="1055"/>
      <c r="Y46" s="1042"/>
      <c r="Z46" s="1042">
        <f>+Research!B34</f>
        <v>0</v>
      </c>
      <c r="AA46" s="1042"/>
      <c r="AB46" s="1055"/>
      <c r="AC46" s="1042">
        <f t="shared" si="22"/>
        <v>0</v>
      </c>
      <c r="AE46" s="201"/>
      <c r="AF46" s="201"/>
      <c r="AG46" s="528">
        <v>-248130</v>
      </c>
      <c r="AH46" s="528">
        <f t="shared" si="18"/>
        <v>-136820</v>
      </c>
      <c r="AJ46" s="528">
        <f t="shared" si="13"/>
        <v>13296898</v>
      </c>
      <c r="AK46" s="600"/>
      <c r="AL46" s="201">
        <v>12340041.130562276</v>
      </c>
      <c r="AM46" s="528">
        <f t="shared" si="19"/>
        <v>956856.86943772435</v>
      </c>
      <c r="AN46" s="556"/>
      <c r="AO46" s="821"/>
      <c r="AQ46" s="178"/>
      <c r="AR46" s="556"/>
      <c r="AS46" s="528">
        <v>13104324</v>
      </c>
      <c r="AT46" s="528">
        <f t="shared" ref="AT46:AT55" si="24">+AJ46-AS46</f>
        <v>192574</v>
      </c>
      <c r="AU46" s="256">
        <f t="shared" si="20"/>
        <v>1.4695454721662865E-2</v>
      </c>
    </row>
    <row r="47" spans="1:48" x14ac:dyDescent="0.2">
      <c r="A47" s="678" t="s">
        <v>893</v>
      </c>
      <c r="B47" s="528">
        <f t="shared" si="21"/>
        <v>0</v>
      </c>
      <c r="C47" s="201">
        <v>0</v>
      </c>
      <c r="D47" s="201"/>
      <c r="E47" s="219"/>
      <c r="F47" s="219">
        <v>955000</v>
      </c>
      <c r="G47" s="189">
        <v>0</v>
      </c>
      <c r="H47" s="220">
        <v>0</v>
      </c>
      <c r="I47" s="220"/>
      <c r="J47" s="220">
        <f t="shared" si="17"/>
        <v>955000</v>
      </c>
      <c r="K47" s="891"/>
      <c r="L47" s="201"/>
      <c r="M47" s="201"/>
      <c r="N47" s="201"/>
      <c r="O47" s="201"/>
      <c r="P47" s="201"/>
      <c r="Q47" s="201"/>
      <c r="R47" s="201">
        <f>+'Service Support &amp; Mgmt'!I21+'Service Support &amp; Mgmt'!J21</f>
        <v>3934357.65</v>
      </c>
      <c r="S47" s="201"/>
      <c r="T47" s="201"/>
      <c r="U47" s="201">
        <f t="shared" si="5"/>
        <v>3934357.65</v>
      </c>
      <c r="V47" s="201"/>
      <c r="W47" s="1042">
        <f>SUM('Productivity Calc'!B17:C17,'Productivity Calc'!B21:C21)</f>
        <v>0</v>
      </c>
      <c r="X47" s="1055"/>
      <c r="Y47" s="1042">
        <f>SUM('Productivity Calc'!O21:P21)</f>
        <v>0</v>
      </c>
      <c r="Z47" s="1042">
        <f>+Research!B35</f>
        <v>0</v>
      </c>
      <c r="AA47" s="1042">
        <f>SUM('Productivity Calc'!K21:N21,'Productivity Calc'!K17:N17)</f>
        <v>0</v>
      </c>
      <c r="AB47" s="1055"/>
      <c r="AC47" s="1042">
        <f>SUM(W47:AB47)</f>
        <v>0</v>
      </c>
      <c r="AE47" s="201"/>
      <c r="AF47" s="377"/>
      <c r="AG47" s="538">
        <v>-70670</v>
      </c>
      <c r="AH47" s="538">
        <f t="shared" si="18"/>
        <v>-48890</v>
      </c>
      <c r="AJ47" s="528">
        <f t="shared" si="13"/>
        <v>4769797.6500000004</v>
      </c>
      <c r="AK47" s="600"/>
      <c r="AL47" s="201">
        <v>4420908.121183252</v>
      </c>
      <c r="AM47" s="528">
        <f t="shared" si="19"/>
        <v>348889.52881674841</v>
      </c>
      <c r="AN47" s="556"/>
      <c r="AO47" s="821"/>
      <c r="AQ47" s="178"/>
      <c r="AR47" s="556"/>
      <c r="AS47" s="528">
        <v>4726477.6500000004</v>
      </c>
      <c r="AT47" s="528">
        <f t="shared" si="24"/>
        <v>43320</v>
      </c>
      <c r="AU47" s="256">
        <f t="shared" si="20"/>
        <v>9.1653876751115072E-3</v>
      </c>
    </row>
    <row r="48" spans="1:48" x14ac:dyDescent="0.2">
      <c r="A48" s="190" t="s">
        <v>173</v>
      </c>
      <c r="B48" s="528">
        <f t="shared" si="21"/>
        <v>0</v>
      </c>
      <c r="C48" s="201">
        <v>0</v>
      </c>
      <c r="D48" s="201"/>
      <c r="E48" s="219"/>
      <c r="F48" s="219">
        <v>0</v>
      </c>
      <c r="G48" s="189">
        <v>0</v>
      </c>
      <c r="H48" s="220">
        <v>0</v>
      </c>
      <c r="I48" s="220"/>
      <c r="J48" s="220">
        <f t="shared" si="17"/>
        <v>0</v>
      </c>
      <c r="K48" s="891"/>
      <c r="L48" s="201"/>
      <c r="M48" s="201"/>
      <c r="N48" s="201"/>
      <c r="O48" s="201"/>
      <c r="P48" s="201"/>
      <c r="Q48" s="201"/>
      <c r="R48" s="201">
        <f>ROUND(-(B$57*AQ12),-1)+'Service Support &amp; Mgmt'!I22+'Service Support &amp; Mgmt'!J22</f>
        <v>1350124</v>
      </c>
      <c r="S48" s="201"/>
      <c r="T48" s="201"/>
      <c r="U48" s="201">
        <f t="shared" si="5"/>
        <v>1350124</v>
      </c>
      <c r="V48" s="201"/>
      <c r="W48" s="1042"/>
      <c r="X48" s="1055"/>
      <c r="Y48" s="1042"/>
      <c r="Z48" s="1042">
        <f>+Research!B36</f>
        <v>0</v>
      </c>
      <c r="AA48" s="1042"/>
      <c r="AB48" s="1055"/>
      <c r="AC48" s="1042">
        <f t="shared" si="22"/>
        <v>0</v>
      </c>
      <c r="AE48" s="201"/>
      <c r="AF48" s="215"/>
      <c r="AG48" s="531">
        <v>0</v>
      </c>
      <c r="AH48" s="531">
        <f t="shared" si="18"/>
        <v>-13500</v>
      </c>
      <c r="AJ48" s="528">
        <f t="shared" si="13"/>
        <v>1336624</v>
      </c>
      <c r="AK48" s="600"/>
      <c r="AL48" s="201">
        <v>1424403</v>
      </c>
      <c r="AM48" s="528">
        <f t="shared" si="19"/>
        <v>-87779</v>
      </c>
      <c r="AN48" s="556"/>
      <c r="AO48" s="821"/>
      <c r="AQ48" s="178"/>
      <c r="AR48" s="556"/>
      <c r="AS48" s="528">
        <v>1333131</v>
      </c>
      <c r="AT48" s="528">
        <f t="shared" si="24"/>
        <v>3493</v>
      </c>
      <c r="AU48" s="256">
        <f t="shared" si="20"/>
        <v>2.620147607399423E-3</v>
      </c>
    </row>
    <row r="49" spans="1:47" x14ac:dyDescent="0.2">
      <c r="A49" s="677" t="s">
        <v>894</v>
      </c>
      <c r="B49" s="177">
        <f t="shared" si="21"/>
        <v>0</v>
      </c>
      <c r="C49" s="177">
        <v>0</v>
      </c>
      <c r="D49" s="177"/>
      <c r="E49" s="217"/>
      <c r="F49" s="217">
        <v>122700</v>
      </c>
      <c r="G49" s="177">
        <v>0</v>
      </c>
      <c r="H49" s="218">
        <f>ROUND('Step 0 Revenue Detail'!H49*0.06,-2)</f>
        <v>2580000</v>
      </c>
      <c r="I49" s="218"/>
      <c r="J49" s="218">
        <f t="shared" si="17"/>
        <v>2702700</v>
      </c>
      <c r="K49" s="891"/>
      <c r="L49" s="176"/>
      <c r="M49" s="176"/>
      <c r="N49" s="176"/>
      <c r="O49" s="176"/>
      <c r="P49" s="201"/>
      <c r="Q49" s="176">
        <f>ROUND(-(B$57*AQ13),-1)+'Service Support &amp; Mgmt'!I23+'Service Support &amp; Mgmt'!J23</f>
        <v>24599560</v>
      </c>
      <c r="R49" s="176"/>
      <c r="S49" s="176"/>
      <c r="T49" s="176"/>
      <c r="U49" s="176">
        <f t="shared" si="5"/>
        <v>24599560</v>
      </c>
      <c r="V49" s="201"/>
      <c r="W49" s="1040"/>
      <c r="X49" s="1050"/>
      <c r="Y49" s="1040"/>
      <c r="Z49" s="1040">
        <f>+Research!B37</f>
        <v>0</v>
      </c>
      <c r="AA49" s="1040"/>
      <c r="AB49" s="1050"/>
      <c r="AC49" s="1040">
        <f t="shared" si="22"/>
        <v>0</v>
      </c>
      <c r="AE49" s="176"/>
      <c r="AF49" s="376"/>
      <c r="AG49" s="376">
        <v>-9080</v>
      </c>
      <c r="AH49" s="376">
        <f t="shared" si="18"/>
        <v>-273020</v>
      </c>
      <c r="AJ49" s="518">
        <f t="shared" si="13"/>
        <v>27020160</v>
      </c>
      <c r="AK49" s="600"/>
      <c r="AL49" s="176">
        <v>24673368.993907791</v>
      </c>
      <c r="AM49" s="518">
        <f t="shared" si="19"/>
        <v>2346791.0060922094</v>
      </c>
      <c r="AN49" s="556"/>
      <c r="AO49" s="821"/>
      <c r="AR49" s="556"/>
      <c r="AS49" s="518">
        <v>26505267</v>
      </c>
      <c r="AT49" s="518">
        <f t="shared" si="24"/>
        <v>514893</v>
      </c>
      <c r="AU49" s="256">
        <f t="shared" si="20"/>
        <v>1.9426063506547585E-2</v>
      </c>
    </row>
    <row r="50" spans="1:47" x14ac:dyDescent="0.2">
      <c r="A50" s="190" t="s">
        <v>378</v>
      </c>
      <c r="B50" s="528">
        <f t="shared" si="21"/>
        <v>0</v>
      </c>
      <c r="C50" s="201">
        <v>0</v>
      </c>
      <c r="D50" s="201"/>
      <c r="E50" s="219"/>
      <c r="F50" s="219">
        <v>1000000</v>
      </c>
      <c r="G50" s="189">
        <v>0</v>
      </c>
      <c r="H50" s="220">
        <f>ROUND('Step 0 Revenue Detail'!H49*0.01,-2)</f>
        <v>430000</v>
      </c>
      <c r="I50" s="220"/>
      <c r="J50" s="220">
        <f t="shared" si="17"/>
        <v>1430000</v>
      </c>
      <c r="K50" s="891"/>
      <c r="L50" s="201"/>
      <c r="M50" s="201">
        <f>ROUND(0.979*950000,0)</f>
        <v>930050</v>
      </c>
      <c r="N50" s="201"/>
      <c r="O50" s="201"/>
      <c r="P50" s="201"/>
      <c r="Q50" s="201">
        <f>ROUND(-(B$57*AQ15),-1)+'Service Support &amp; Mgmt'!I24+'Service Support &amp; Mgmt'!J24</f>
        <v>2352445.9</v>
      </c>
      <c r="R50" s="201"/>
      <c r="S50" s="201"/>
      <c r="T50" s="201"/>
      <c r="U50" s="201">
        <f t="shared" si="5"/>
        <v>2352445.9</v>
      </c>
      <c r="V50" s="201"/>
      <c r="W50" s="1042"/>
      <c r="X50" s="1055"/>
      <c r="Y50" s="1042"/>
      <c r="Z50" s="1042">
        <f>+Research!B38</f>
        <v>0</v>
      </c>
      <c r="AA50" s="1042"/>
      <c r="AB50" s="1055"/>
      <c r="AC50" s="1042">
        <f t="shared" si="22"/>
        <v>0</v>
      </c>
      <c r="AE50" s="201"/>
      <c r="AF50" s="215"/>
      <c r="AG50" s="531">
        <v>-74000</v>
      </c>
      <c r="AH50" s="531">
        <f t="shared" si="18"/>
        <v>-47120</v>
      </c>
      <c r="AJ50" s="528">
        <f t="shared" si="13"/>
        <v>4591375.9000000004</v>
      </c>
      <c r="AK50" s="600"/>
      <c r="AL50" s="201">
        <v>4488396.31237002</v>
      </c>
      <c r="AM50" s="528">
        <f t="shared" si="19"/>
        <v>102979.58762998041</v>
      </c>
      <c r="AN50" s="556"/>
      <c r="AO50" s="821"/>
      <c r="AR50" s="556"/>
      <c r="AS50" s="528">
        <v>4529766.9000000004</v>
      </c>
      <c r="AT50" s="528">
        <f t="shared" si="24"/>
        <v>61609</v>
      </c>
      <c r="AU50" s="256">
        <f t="shared" si="20"/>
        <v>1.3600920612493326E-2</v>
      </c>
    </row>
    <row r="51" spans="1:47" x14ac:dyDescent="0.2">
      <c r="A51" s="200" t="s">
        <v>895</v>
      </c>
      <c r="B51" s="528">
        <f t="shared" si="21"/>
        <v>0</v>
      </c>
      <c r="C51" s="201">
        <v>0</v>
      </c>
      <c r="D51" s="201"/>
      <c r="E51" s="219"/>
      <c r="F51" s="219">
        <v>0</v>
      </c>
      <c r="G51" s="189">
        <v>0</v>
      </c>
      <c r="H51" s="221">
        <v>0</v>
      </c>
      <c r="I51" s="532"/>
      <c r="J51" s="532">
        <f t="shared" si="17"/>
        <v>0</v>
      </c>
      <c r="K51" s="891"/>
      <c r="L51" s="201"/>
      <c r="M51" s="201"/>
      <c r="N51" s="201"/>
      <c r="O51" s="201"/>
      <c r="P51" s="201"/>
      <c r="Q51" s="201">
        <f>+'Service Support &amp; Mgmt'!I25+'Service Support &amp; Mgmt'!J25</f>
        <v>752520</v>
      </c>
      <c r="R51" s="201"/>
      <c r="S51" s="201"/>
      <c r="T51" s="201"/>
      <c r="U51" s="201">
        <f t="shared" si="5"/>
        <v>752520</v>
      </c>
      <c r="V51" s="201"/>
      <c r="W51" s="1041"/>
      <c r="X51" s="1056"/>
      <c r="Y51" s="1041"/>
      <c r="Z51" s="1041">
        <f>+Research!B39</f>
        <v>0</v>
      </c>
      <c r="AA51" s="1041"/>
      <c r="AB51" s="1056"/>
      <c r="AC51" s="1041">
        <f t="shared" si="22"/>
        <v>0</v>
      </c>
      <c r="AE51" s="201"/>
      <c r="AF51" s="215"/>
      <c r="AG51" s="531">
        <v>0</v>
      </c>
      <c r="AH51" s="531">
        <f t="shared" si="18"/>
        <v>-7530</v>
      </c>
      <c r="AJ51" s="528">
        <f t="shared" si="13"/>
        <v>744990</v>
      </c>
      <c r="AK51" s="600"/>
      <c r="AL51" s="201">
        <v>641478.74659310596</v>
      </c>
      <c r="AM51" s="528">
        <f t="shared" si="19"/>
        <v>103511.25340689404</v>
      </c>
      <c r="AN51" s="556"/>
      <c r="AO51" s="821"/>
      <c r="AR51" s="556"/>
      <c r="AS51" s="528">
        <v>746500</v>
      </c>
      <c r="AT51" s="528">
        <f t="shared" si="24"/>
        <v>-1510</v>
      </c>
      <c r="AU51" s="256">
        <f t="shared" si="20"/>
        <v>-2.0227729403884797E-3</v>
      </c>
    </row>
    <row r="52" spans="1:47" x14ac:dyDescent="0.2">
      <c r="A52" s="207" t="s">
        <v>175</v>
      </c>
      <c r="B52" s="529">
        <f t="shared" si="21"/>
        <v>0</v>
      </c>
      <c r="C52" s="205">
        <v>0</v>
      </c>
      <c r="D52" s="205"/>
      <c r="E52" s="210"/>
      <c r="F52" s="210">
        <v>0</v>
      </c>
      <c r="G52" s="180">
        <v>0</v>
      </c>
      <c r="H52" s="218">
        <f>ROUND('Step 0 Revenue Detail'!H49*0.08,-2)</f>
        <v>3440000</v>
      </c>
      <c r="I52" s="218"/>
      <c r="J52" s="218">
        <f t="shared" si="17"/>
        <v>3440000</v>
      </c>
      <c r="K52" s="891"/>
      <c r="L52" s="205"/>
      <c r="M52" s="205"/>
      <c r="N52" s="205"/>
      <c r="O52" s="205"/>
      <c r="P52" s="201"/>
      <c r="Q52" s="205">
        <f>ROUND(-(B$57*AQ16),-1)+'Service Support &amp; Mgmt'!I26+'Service Support &amp; Mgmt'!J26</f>
        <v>6196381</v>
      </c>
      <c r="R52" s="205"/>
      <c r="S52" s="205"/>
      <c r="T52" s="205"/>
      <c r="U52" s="205">
        <f t="shared" si="5"/>
        <v>6196381</v>
      </c>
      <c r="V52" s="201"/>
      <c r="W52" s="1040"/>
      <c r="X52" s="1050"/>
      <c r="Y52" s="1040"/>
      <c r="Z52" s="1040">
        <f>+Research!B40</f>
        <v>0</v>
      </c>
      <c r="AA52" s="1040"/>
      <c r="AB52" s="1050"/>
      <c r="AC52" s="1040">
        <f t="shared" si="22"/>
        <v>0</v>
      </c>
      <c r="AE52" s="205"/>
      <c r="AF52" s="376"/>
      <c r="AG52" s="376">
        <v>0</v>
      </c>
      <c r="AH52" s="376">
        <f t="shared" si="18"/>
        <v>-96360</v>
      </c>
      <c r="AJ52" s="529">
        <f t="shared" si="13"/>
        <v>9540021</v>
      </c>
      <c r="AK52" s="600"/>
      <c r="AL52" s="205">
        <v>7760729.2747670822</v>
      </c>
      <c r="AM52" s="529">
        <f t="shared" si="19"/>
        <v>1779291.7252329178</v>
      </c>
      <c r="AN52" s="556"/>
      <c r="AO52" s="821"/>
      <c r="AR52" s="556"/>
      <c r="AS52" s="529">
        <v>9273405</v>
      </c>
      <c r="AT52" s="529">
        <f t="shared" si="24"/>
        <v>266616</v>
      </c>
      <c r="AU52" s="256">
        <f t="shared" si="20"/>
        <v>2.8750604551402641E-2</v>
      </c>
    </row>
    <row r="53" spans="1:47" x14ac:dyDescent="0.2">
      <c r="A53" s="190" t="s">
        <v>176</v>
      </c>
      <c r="B53" s="528">
        <f t="shared" si="21"/>
        <v>0</v>
      </c>
      <c r="C53" s="201">
        <f>+'Step 0 Revenue Detail'!L20</f>
        <v>67459</v>
      </c>
      <c r="D53" s="201"/>
      <c r="E53" s="209"/>
      <c r="F53" s="209">
        <v>1271000</v>
      </c>
      <c r="G53" s="201">
        <v>0</v>
      </c>
      <c r="H53" s="221">
        <v>0</v>
      </c>
      <c r="I53" s="532"/>
      <c r="J53" s="532">
        <f t="shared" si="17"/>
        <v>1338459</v>
      </c>
      <c r="K53" s="891"/>
      <c r="L53" s="189"/>
      <c r="M53" s="189"/>
      <c r="N53" s="189"/>
      <c r="O53" s="189"/>
      <c r="P53" s="201"/>
      <c r="Q53" s="189"/>
      <c r="R53" s="189">
        <f>+'Service Support &amp; Mgmt'!I27+'Service Support &amp; Mgmt'!J27</f>
        <v>12276962</v>
      </c>
      <c r="S53" s="189"/>
      <c r="T53" s="189"/>
      <c r="U53" s="189">
        <f t="shared" si="5"/>
        <v>12276962</v>
      </c>
      <c r="V53" s="201"/>
      <c r="W53" s="1041">
        <f>SUM('Productivity Calc'!B20:C20)</f>
        <v>0</v>
      </c>
      <c r="X53" s="1041">
        <f>+'Productivity Calc'!Q18</f>
        <v>0</v>
      </c>
      <c r="Y53" s="1041">
        <f>SUM('Productivity Calc'!O20:P20)</f>
        <v>0</v>
      </c>
      <c r="Z53" s="1041">
        <f>+Research!B41</f>
        <v>0</v>
      </c>
      <c r="AA53" s="1041">
        <f>SUM('Productivity Calc'!K20:N20)</f>
        <v>0</v>
      </c>
      <c r="AB53" s="1056"/>
      <c r="AC53" s="1041">
        <f t="shared" si="22"/>
        <v>0</v>
      </c>
      <c r="AE53" s="189"/>
      <c r="AF53" s="215"/>
      <c r="AG53" s="531">
        <v>-99050</v>
      </c>
      <c r="AH53" s="531">
        <f t="shared" si="18"/>
        <v>-136150</v>
      </c>
      <c r="AJ53" s="523">
        <f t="shared" si="13"/>
        <v>13380221</v>
      </c>
      <c r="AK53" s="600"/>
      <c r="AL53" s="189">
        <v>12946725.200176103</v>
      </c>
      <c r="AM53" s="523">
        <f t="shared" si="19"/>
        <v>433495.79982389696</v>
      </c>
      <c r="AN53" s="556"/>
      <c r="AO53" s="821"/>
      <c r="AR53" s="556"/>
      <c r="AS53" s="523">
        <v>13149700</v>
      </c>
      <c r="AT53" s="523">
        <f t="shared" si="24"/>
        <v>230521</v>
      </c>
      <c r="AU53" s="256">
        <f t="shared" si="20"/>
        <v>1.7530514004121766E-2</v>
      </c>
    </row>
    <row r="54" spans="1:47" x14ac:dyDescent="0.2">
      <c r="A54" s="207" t="s">
        <v>178</v>
      </c>
      <c r="B54" s="529">
        <f t="shared" si="21"/>
        <v>0</v>
      </c>
      <c r="C54" s="205">
        <v>0</v>
      </c>
      <c r="D54" s="205"/>
      <c r="E54" s="210"/>
      <c r="F54" s="210">
        <v>635000</v>
      </c>
      <c r="G54" s="180">
        <v>0</v>
      </c>
      <c r="H54" s="218">
        <f>ROUND(('Step 0 Revenue Detail'!H49*0.04)+('Step 0 Revenue Detail'!H49*0.04),-2)</f>
        <v>3440000</v>
      </c>
      <c r="I54" s="218"/>
      <c r="J54" s="218">
        <f t="shared" si="17"/>
        <v>4075000</v>
      </c>
      <c r="K54" s="891"/>
      <c r="L54" s="205"/>
      <c r="M54" s="205"/>
      <c r="N54" s="205"/>
      <c r="O54" s="205"/>
      <c r="P54" s="201"/>
      <c r="Q54" s="205"/>
      <c r="R54" s="205"/>
      <c r="S54" s="205"/>
      <c r="T54" s="205">
        <f>ROUND(-(B$57*(AQ19+AQ18))+-(B$57*AQ17),-1)+('Service Support &amp; Mgmt'!I28+'Service Support &amp; Mgmt'!J28)</f>
        <v>41472090</v>
      </c>
      <c r="U54" s="205">
        <f t="shared" si="5"/>
        <v>41472090</v>
      </c>
      <c r="V54" s="201"/>
      <c r="W54" s="1050"/>
      <c r="X54" s="1050"/>
      <c r="Y54" s="1040"/>
      <c r="Z54" s="1040">
        <f>+Research!B42</f>
        <v>0</v>
      </c>
      <c r="AA54" s="1050"/>
      <c r="AB54" s="1050"/>
      <c r="AC54" s="1040">
        <f t="shared" si="22"/>
        <v>0</v>
      </c>
      <c r="AE54" s="205"/>
      <c r="AF54" s="376"/>
      <c r="AG54" s="376">
        <v>-46990</v>
      </c>
      <c r="AH54" s="376">
        <f t="shared" si="18"/>
        <v>-455470</v>
      </c>
      <c r="AJ54" s="529">
        <f t="shared" si="13"/>
        <v>45044630</v>
      </c>
      <c r="AK54" s="600"/>
      <c r="AL54" s="205">
        <v>42695819</v>
      </c>
      <c r="AM54" s="529">
        <f t="shared" si="19"/>
        <v>2348811</v>
      </c>
      <c r="AN54" s="556"/>
      <c r="AO54" s="822"/>
      <c r="AP54" s="823"/>
      <c r="AR54" s="556"/>
      <c r="AS54" s="529">
        <v>43844669</v>
      </c>
      <c r="AT54" s="529">
        <f t="shared" si="24"/>
        <v>1199961</v>
      </c>
      <c r="AU54" s="256">
        <f t="shared" si="20"/>
        <v>2.7368458409390662E-2</v>
      </c>
    </row>
    <row r="55" spans="1:47" x14ac:dyDescent="0.2">
      <c r="A55" s="190" t="s">
        <v>797</v>
      </c>
      <c r="B55" s="528">
        <f t="shared" si="21"/>
        <v>0</v>
      </c>
      <c r="C55" s="201">
        <v>0</v>
      </c>
      <c r="D55" s="201"/>
      <c r="E55" s="209"/>
      <c r="F55" s="209">
        <v>50000</v>
      </c>
      <c r="G55" s="201">
        <v>0</v>
      </c>
      <c r="H55" s="221">
        <f>ROUND('Step 0 Revenue Detail'!H49*0.11,-2)+ROUND('Step 0 Revenue Detail'!H49*0.02,-2)+ROUND('Step 0 Revenue Detail'!H49*0.1,-2)</f>
        <v>9890000</v>
      </c>
      <c r="I55" s="532"/>
      <c r="J55" s="532">
        <f t="shared" si="17"/>
        <v>9940000</v>
      </c>
      <c r="K55" s="891"/>
      <c r="L55" s="189"/>
      <c r="M55" s="189"/>
      <c r="N55" s="189"/>
      <c r="O55" s="189"/>
      <c r="P55" s="201"/>
      <c r="Q55" s="189"/>
      <c r="R55" s="189"/>
      <c r="S55" s="189">
        <f>+'Service Support &amp; Mgmt'!I29+'Service Support &amp; Mgmt'!J29</f>
        <v>23177571</v>
      </c>
      <c r="T55" s="189"/>
      <c r="U55" s="189">
        <f t="shared" si="5"/>
        <v>23177571</v>
      </c>
      <c r="V55" s="201"/>
      <c r="W55" s="1056"/>
      <c r="X55" s="1056"/>
      <c r="Y55" s="1041"/>
      <c r="Z55" s="1041">
        <f>+Research!B43</f>
        <v>0</v>
      </c>
      <c r="AA55" s="1056"/>
      <c r="AB55" s="1056"/>
      <c r="AC55" s="1041">
        <f t="shared" si="22"/>
        <v>0</v>
      </c>
      <c r="AE55" s="189"/>
      <c r="AF55" s="215"/>
      <c r="AG55" s="531">
        <v>-3700</v>
      </c>
      <c r="AH55" s="531">
        <f t="shared" si="18"/>
        <v>-331180</v>
      </c>
      <c r="AJ55" s="523">
        <f t="shared" si="13"/>
        <v>32782691</v>
      </c>
      <c r="AK55" s="600"/>
      <c r="AL55" s="189">
        <v>31129776.220578305</v>
      </c>
      <c r="AM55" s="523">
        <f t="shared" si="19"/>
        <v>1652914.7794216946</v>
      </c>
      <c r="AN55" s="556"/>
      <c r="AO55" s="821"/>
      <c r="AR55" s="556"/>
      <c r="AS55" s="523">
        <v>32391502</v>
      </c>
      <c r="AT55" s="523">
        <f t="shared" si="24"/>
        <v>391189</v>
      </c>
      <c r="AU55" s="256">
        <f t="shared" si="20"/>
        <v>1.2076902145507176E-2</v>
      </c>
    </row>
    <row r="56" spans="1:47" x14ac:dyDescent="0.2">
      <c r="A56" s="222" t="s">
        <v>180</v>
      </c>
      <c r="B56" s="223">
        <f>SUM(B40:B55)</f>
        <v>0</v>
      </c>
      <c r="C56" s="223">
        <f>SUM(C40:C55)</f>
        <v>67459</v>
      </c>
      <c r="D56" s="223"/>
      <c r="E56" s="223">
        <f t="shared" ref="E56:J56" si="25">SUM(E40:E55)</f>
        <v>0</v>
      </c>
      <c r="F56" s="223">
        <f t="shared" si="25"/>
        <v>7394926</v>
      </c>
      <c r="G56" s="223">
        <f t="shared" si="25"/>
        <v>0</v>
      </c>
      <c r="H56" s="223">
        <f t="shared" si="25"/>
        <v>19815000</v>
      </c>
      <c r="I56" s="223">
        <f t="shared" si="25"/>
        <v>0</v>
      </c>
      <c r="J56" s="223">
        <f t="shared" si="25"/>
        <v>27277385</v>
      </c>
      <c r="K56" s="891"/>
      <c r="L56" s="223">
        <f>SUM(L40:L55)</f>
        <v>0</v>
      </c>
      <c r="M56" s="223">
        <f>SUM(M40:M55)</f>
        <v>8930050</v>
      </c>
      <c r="N56" s="223">
        <f>SUM(N40:N55)</f>
        <v>13741056</v>
      </c>
      <c r="O56" s="223">
        <f>SUM(O40:O55)</f>
        <v>0</v>
      </c>
      <c r="P56" s="209"/>
      <c r="Q56" s="223">
        <f>SUM(Q40:Q55)</f>
        <v>33900906.899999999</v>
      </c>
      <c r="R56" s="223">
        <f>SUM(R40:R55)</f>
        <v>27855165.649999999</v>
      </c>
      <c r="S56" s="223">
        <f>SUM(S40:S55)</f>
        <v>23177571</v>
      </c>
      <c r="T56" s="223">
        <f>SUM(T40:T55)</f>
        <v>45748687</v>
      </c>
      <c r="U56" s="223">
        <f>SUM(U40:U55)</f>
        <v>130682330.55</v>
      </c>
      <c r="V56" s="209"/>
      <c r="W56" s="223">
        <f t="shared" ref="W56:AC56" si="26">SUM(W40:W55)</f>
        <v>0</v>
      </c>
      <c r="X56" s="223">
        <f t="shared" si="26"/>
        <v>0</v>
      </c>
      <c r="Y56" s="223">
        <f t="shared" si="26"/>
        <v>0</v>
      </c>
      <c r="Z56" s="223">
        <f t="shared" si="26"/>
        <v>0</v>
      </c>
      <c r="AA56" s="223">
        <f t="shared" si="26"/>
        <v>0</v>
      </c>
      <c r="AB56" s="223">
        <f t="shared" si="26"/>
        <v>0</v>
      </c>
      <c r="AC56" s="223">
        <f t="shared" si="26"/>
        <v>0</v>
      </c>
      <c r="AD56" s="481"/>
      <c r="AE56" s="223">
        <f>SUM(AE40:AE55)</f>
        <v>0</v>
      </c>
      <c r="AF56" s="223">
        <f>SUM(AF40:AF55)</f>
        <v>0</v>
      </c>
      <c r="AG56" s="223">
        <f>SUM(AG40:AG55)</f>
        <v>-552220</v>
      </c>
      <c r="AH56" s="223">
        <f>SUM(AH40:AH55)</f>
        <v>-1806300</v>
      </c>
      <c r="AI56" s="209"/>
      <c r="AJ56" s="533">
        <f>SUM(AJ40:AJ55)</f>
        <v>178272301.55000001</v>
      </c>
      <c r="AK56" s="952"/>
      <c r="AL56" s="224">
        <f>SUM(AL40:AL55)</f>
        <v>167237021.03167528</v>
      </c>
      <c r="AM56" s="993">
        <f>+AJ56-AL56</f>
        <v>11035280.518324733</v>
      </c>
      <c r="AN56" s="556"/>
      <c r="AO56" s="587"/>
      <c r="AR56" s="556"/>
      <c r="AS56" s="224">
        <f>SUM(AS40:AS55)</f>
        <v>175040320.55000001</v>
      </c>
      <c r="AT56" s="533">
        <f>SUM(AT40:AT55)</f>
        <v>3212171</v>
      </c>
      <c r="AU56" s="256">
        <f t="shared" si="20"/>
        <v>1.8464208645440575E-2</v>
      </c>
    </row>
    <row r="57" spans="1:47" ht="16" thickBot="1" x14ac:dyDescent="0.25">
      <c r="A57" s="225" t="s">
        <v>181</v>
      </c>
      <c r="B57" s="226">
        <f t="shared" ref="B57:I57" si="27">B7+B8+B9+B10+B11+B12+B13+B36+B56+B14</f>
        <v>0</v>
      </c>
      <c r="C57" s="226">
        <f>C7+C8+C9+C10+C11+C12+C13+C36+C56+C14</f>
        <v>14243637</v>
      </c>
      <c r="D57" s="226">
        <f>D7+D8+D9+D10+D11+D12+D13+D36+D56+D14</f>
        <v>60406032</v>
      </c>
      <c r="E57" s="226">
        <f>E7+E8+E9+E10+E11+E12+E13+E36+E56+E14</f>
        <v>15743900</v>
      </c>
      <c r="F57" s="226">
        <f>F7+F8+F9+F10+F11+F12+F13+F36+F56+F14</f>
        <v>29780152</v>
      </c>
      <c r="G57" s="226">
        <f t="shared" si="27"/>
        <v>1902363</v>
      </c>
      <c r="H57" s="226">
        <f t="shared" si="27"/>
        <v>43200000</v>
      </c>
      <c r="I57" s="226">
        <f t="shared" si="27"/>
        <v>20802472</v>
      </c>
      <c r="J57" s="226">
        <f>J7+J8+J9+J10+J11+J12+J13+J36+J56+J14</f>
        <v>186078556</v>
      </c>
      <c r="K57" s="891"/>
      <c r="L57" s="226">
        <f>L7+L8+L9+L10+L11+L12+L13+L36+L56+L14</f>
        <v>5346638</v>
      </c>
      <c r="M57" s="226">
        <f>M7+M8+M9+M10+M11+M12+M13+M36+M56+M14</f>
        <v>10590925</v>
      </c>
      <c r="N57" s="226">
        <f>N7+N8+N9+N10+N11+N12+N13+N36+N56+N14</f>
        <v>13966056</v>
      </c>
      <c r="O57" s="226">
        <f>O7+O8+O9+O10+O11+O12+O13+O36+O56+O14</f>
        <v>21738322</v>
      </c>
      <c r="P57" s="477"/>
      <c r="Q57" s="226">
        <f>Q7+Q8+Q9+Q10+Q11+Q12+Q13+Q36+Q56+Q14</f>
        <v>55088408.349999987</v>
      </c>
      <c r="R57" s="226">
        <f>R7+R8+R9+R10+R11+R12+R13+R36+R56+R14</f>
        <v>27855165.649999999</v>
      </c>
      <c r="S57" s="226">
        <f>S7+S8+S9+S10+S11+S12+S13+S36+S56+S14</f>
        <v>23177571</v>
      </c>
      <c r="T57" s="226">
        <f>T7+T8+T9+T10+T11+T12+T13+T36+T56+T14</f>
        <v>45748687</v>
      </c>
      <c r="U57" s="226">
        <f>U7+U8+U9+U10+U11+U12+U13+U36+U56+U14</f>
        <v>151869832</v>
      </c>
      <c r="V57" s="477"/>
      <c r="W57" s="226">
        <f t="shared" ref="W57:AC57" si="28">W7+W8+W9+W10+W11+W12+W13+W36+W56+W14</f>
        <v>59902399.830000006</v>
      </c>
      <c r="X57" s="226">
        <f t="shared" si="28"/>
        <v>35546479.019999996</v>
      </c>
      <c r="Y57" s="226">
        <f t="shared" si="28"/>
        <v>95143900</v>
      </c>
      <c r="Z57" s="226">
        <f t="shared" si="28"/>
        <v>7899217.5599999996</v>
      </c>
      <c r="AA57" s="226">
        <f t="shared" si="28"/>
        <v>5924413.1699999999</v>
      </c>
      <c r="AB57" s="226">
        <f t="shared" si="28"/>
        <v>22381116.419999998</v>
      </c>
      <c r="AC57" s="226">
        <f t="shared" si="28"/>
        <v>226797526</v>
      </c>
      <c r="AD57" s="477"/>
      <c r="AE57" s="226">
        <f>SUM(AE7:AE13)+AE36+AE56</f>
        <v>0</v>
      </c>
      <c r="AF57" s="226">
        <f>SUM(AF7:AF13)+AF36+AF56</f>
        <v>0</v>
      </c>
      <c r="AG57" s="226">
        <f>SUM(AG7:AG13)+AG36+AG56</f>
        <v>0</v>
      </c>
      <c r="AH57" s="226">
        <f>SUM(AH7:AH13)+AH36+AH56</f>
        <v>0</v>
      </c>
      <c r="AI57" s="477"/>
      <c r="AJ57" s="534">
        <f>SUM(AJ7:AJ14)+AJ36+AJ56</f>
        <v>616387855</v>
      </c>
      <c r="AK57" s="953">
        <v>616383710</v>
      </c>
      <c r="AL57" s="227">
        <f>SUM(AL7:AL14)+AL36+AL56</f>
        <v>582679865.60330367</v>
      </c>
      <c r="AM57" s="992">
        <f>+AJ57-AL57</f>
        <v>33707989.396696329</v>
      </c>
      <c r="AN57" s="556"/>
      <c r="AR57" s="556"/>
      <c r="AS57" s="227">
        <f>AS56+AS36+AS13+AS12+AS11+AS10+AS9+AS8+AS7+AS14</f>
        <v>616387855</v>
      </c>
      <c r="AT57" s="534">
        <f>AT56+AT36+AT13+AT12+AT11+AT10+AT9+AT8+AT7+AT14</f>
        <v>-19810.000000005588</v>
      </c>
      <c r="AU57" s="256">
        <f t="shared" si="20"/>
        <v>0</v>
      </c>
    </row>
    <row r="58" spans="1:47" ht="16" thickTop="1" x14ac:dyDescent="0.2">
      <c r="A58" s="190"/>
      <c r="B58" s="190"/>
      <c r="C58" s="190"/>
      <c r="D58" s="190"/>
      <c r="E58" s="190"/>
      <c r="F58" s="219"/>
      <c r="G58" s="190"/>
      <c r="H58" s="190"/>
      <c r="I58" s="524"/>
      <c r="J58" s="190"/>
      <c r="K58" s="190"/>
      <c r="L58" s="190"/>
      <c r="M58" s="190"/>
      <c r="N58" s="190"/>
      <c r="O58" s="190"/>
      <c r="P58" s="190"/>
      <c r="Q58" s="190"/>
      <c r="R58" s="190"/>
      <c r="S58" s="190"/>
      <c r="T58" s="190"/>
      <c r="U58" s="190"/>
      <c r="V58" s="190"/>
      <c r="W58" s="190"/>
      <c r="X58" s="190"/>
      <c r="Y58" s="190"/>
      <c r="Z58" s="190"/>
      <c r="AA58" s="190"/>
      <c r="AB58" s="190"/>
      <c r="AC58" s="209"/>
      <c r="AD58" s="389"/>
      <c r="AE58" s="215"/>
      <c r="AF58" s="215"/>
      <c r="AG58" s="531"/>
      <c r="AH58" s="215"/>
      <c r="AI58" s="389"/>
      <c r="AJ58" s="215"/>
      <c r="AK58" s="190"/>
      <c r="AM58" s="228"/>
      <c r="AN58" s="556"/>
      <c r="AO58" s="178"/>
      <c r="AP58" s="178"/>
      <c r="AQ58" s="178"/>
      <c r="AR58" s="556"/>
    </row>
    <row r="59" spans="1:47" ht="21" x14ac:dyDescent="0.25">
      <c r="A59" s="178" t="s">
        <v>507</v>
      </c>
      <c r="B59" s="1210" t="s">
        <v>495</v>
      </c>
      <c r="C59" s="1210"/>
      <c r="D59" s="1210"/>
      <c r="E59" s="1210"/>
      <c r="F59" s="1210"/>
      <c r="G59" s="1210"/>
      <c r="H59" s="1210"/>
      <c r="I59" s="1210"/>
      <c r="J59" s="1210"/>
      <c r="K59" s="190"/>
      <c r="L59" s="482" t="s">
        <v>499</v>
      </c>
      <c r="M59" s="1210" t="s">
        <v>497</v>
      </c>
      <c r="N59" s="1210"/>
      <c r="O59" s="486" t="s">
        <v>496</v>
      </c>
      <c r="P59" s="190"/>
      <c r="Q59" s="1211" t="s">
        <v>498</v>
      </c>
      <c r="R59" s="1211"/>
      <c r="S59" s="1211"/>
      <c r="T59" s="1211"/>
      <c r="U59" s="1211"/>
      <c r="W59" s="1210" t="s">
        <v>496</v>
      </c>
      <c r="X59" s="1210"/>
      <c r="Y59" s="1210"/>
      <c r="Z59" s="1210"/>
      <c r="AA59" s="1210"/>
      <c r="AB59" s="1210"/>
      <c r="AC59" s="1210"/>
      <c r="AE59" s="1210"/>
      <c r="AF59" s="1210"/>
      <c r="AG59" s="1210"/>
      <c r="AH59" s="1210"/>
      <c r="AJ59" s="194"/>
      <c r="AK59" s="178"/>
      <c r="AL59" s="588"/>
      <c r="AM59" s="228"/>
      <c r="AO59" s="178"/>
      <c r="AP59" s="178"/>
      <c r="AQ59" s="178"/>
    </row>
    <row r="60" spans="1:47" x14ac:dyDescent="0.2">
      <c r="A60" s="178"/>
      <c r="B60" s="476" t="s">
        <v>494</v>
      </c>
      <c r="C60" s="1184" t="s">
        <v>493</v>
      </c>
      <c r="D60" s="1184"/>
      <c r="E60" s="1184"/>
      <c r="F60" s="1184"/>
      <c r="G60" s="1184"/>
      <c r="H60" s="1184"/>
      <c r="I60" s="1083"/>
      <c r="J60" s="476" t="s">
        <v>494</v>
      </c>
      <c r="K60" s="190"/>
      <c r="L60" s="473" t="s">
        <v>494</v>
      </c>
      <c r="M60" s="1184" t="s">
        <v>493</v>
      </c>
      <c r="N60" s="1184"/>
      <c r="O60" s="473" t="s">
        <v>493</v>
      </c>
      <c r="P60" s="190"/>
      <c r="Q60" s="1184" t="s">
        <v>494</v>
      </c>
      <c r="R60" s="1184"/>
      <c r="S60" s="1184"/>
      <c r="T60" s="1184"/>
      <c r="U60" s="1184"/>
      <c r="V60" s="190"/>
      <c r="W60" s="1184" t="s">
        <v>494</v>
      </c>
      <c r="X60" s="1184"/>
      <c r="Y60" s="1184"/>
      <c r="Z60" s="1184"/>
      <c r="AA60" s="1184"/>
      <c r="AB60" s="1184"/>
      <c r="AC60" s="1184"/>
      <c r="AD60" s="190"/>
      <c r="AE60" s="473" t="s">
        <v>492</v>
      </c>
      <c r="AF60" s="473" t="s">
        <v>492</v>
      </c>
      <c r="AG60" s="473"/>
      <c r="AH60" s="473" t="s">
        <v>494</v>
      </c>
      <c r="AI60" s="190"/>
      <c r="AJ60" s="556">
        <f>SUM(AJ54:AJ55)</f>
        <v>77827321</v>
      </c>
      <c r="AK60" s="178"/>
      <c r="AL60" s="178"/>
      <c r="AM60" s="178"/>
      <c r="AO60" s="178"/>
      <c r="AP60" s="178"/>
      <c r="AQ60" s="178"/>
    </row>
    <row r="61" spans="1:47" x14ac:dyDescent="0.2">
      <c r="A61" s="178"/>
      <c r="B61" s="178"/>
      <c r="C61" s="178"/>
      <c r="D61" s="178"/>
      <c r="E61" s="178"/>
      <c r="F61" s="178"/>
      <c r="G61" s="178"/>
      <c r="H61" s="178"/>
      <c r="I61" s="519"/>
      <c r="J61" s="178"/>
      <c r="K61" s="190"/>
      <c r="L61" s="178"/>
      <c r="M61" s="178"/>
      <c r="N61" s="178"/>
      <c r="O61" s="178"/>
      <c r="P61" s="190"/>
      <c r="Q61" s="178"/>
      <c r="R61" s="178"/>
      <c r="S61" s="178"/>
      <c r="T61" s="178"/>
      <c r="U61" s="178"/>
      <c r="V61" s="190"/>
      <c r="W61" s="178"/>
      <c r="X61" s="178"/>
      <c r="Y61" s="178"/>
      <c r="Z61" s="178"/>
      <c r="AA61" s="178"/>
      <c r="AB61" s="178"/>
      <c r="AC61" s="228"/>
      <c r="AD61" s="190"/>
      <c r="AE61" s="178"/>
      <c r="AF61" s="178"/>
      <c r="AG61" s="519"/>
      <c r="AH61" s="178"/>
      <c r="AI61" s="190"/>
      <c r="AJ61" s="514" t="str">
        <f>IF(ROUND(AJ57,0)-ROUND('Step 0 Revenue Detail'!I57,0)=0,"","Check")</f>
        <v/>
      </c>
      <c r="AK61" s="178"/>
      <c r="AL61" s="932"/>
      <c r="AM61" s="178"/>
      <c r="AO61" s="178"/>
      <c r="AP61" s="178"/>
      <c r="AQ61" s="178"/>
    </row>
    <row r="62" spans="1:47" x14ac:dyDescent="0.2">
      <c r="A62" s="178"/>
      <c r="B62" s="178"/>
      <c r="C62" s="178"/>
      <c r="D62" s="554"/>
      <c r="E62" s="178"/>
      <c r="F62" s="515"/>
      <c r="G62" s="178"/>
      <c r="H62" s="178"/>
      <c r="I62" s="519"/>
      <c r="J62" s="526"/>
      <c r="K62" s="190"/>
      <c r="L62" s="676"/>
      <c r="M62" s="178"/>
      <c r="N62" s="178"/>
      <c r="O62" s="178"/>
      <c r="P62" s="190"/>
      <c r="Q62" s="676"/>
      <c r="R62" s="178"/>
      <c r="S62" s="178"/>
      <c r="T62" s="178"/>
      <c r="U62" s="544" t="str">
        <f>IF(U56+U34+U32+U30='Service Support &amp; Mgmt'!I30+'Service Support &amp; Mgmt'!M30+'Service Support &amp; Mgmt'!J30-SUM('Service Support &amp; Mgmt'!I17:J19,'Service Support &amp; Mgmt'!I15:J15),"","Check")</f>
        <v/>
      </c>
      <c r="V62" s="190"/>
      <c r="W62" s="178"/>
      <c r="X62" s="178"/>
      <c r="Y62" s="178"/>
      <c r="Z62" s="178"/>
      <c r="AA62" s="178"/>
      <c r="AB62" s="178"/>
      <c r="AC62" s="194"/>
      <c r="AD62" s="190"/>
      <c r="AE62" s="178"/>
      <c r="AF62" s="178"/>
      <c r="AG62" s="519"/>
      <c r="AH62" s="178" t="s">
        <v>601</v>
      </c>
      <c r="AI62" s="190"/>
      <c r="AJ62" s="538">
        <f>+SUM(AJ7:AJ14)</f>
        <v>64459182.449999988</v>
      </c>
      <c r="AK62" s="178"/>
      <c r="AL62" s="178"/>
      <c r="AM62" s="178"/>
      <c r="AO62" s="178"/>
      <c r="AP62" s="178"/>
      <c r="AQ62" s="178"/>
    </row>
    <row r="63" spans="1:47" x14ac:dyDescent="0.2">
      <c r="A63" s="178" t="s">
        <v>568</v>
      </c>
      <c r="B63" s="178"/>
      <c r="C63" s="543" t="str">
        <f>IF(C57=ROUND('Step 0 Revenue Detail'!H35+'Step 0 Revenue Detail'!L21-'Step 0 Revenue Detail'!L18,0),"","Check")</f>
        <v/>
      </c>
      <c r="D63" s="502"/>
      <c r="E63" s="1075" t="str">
        <f>+IF(E57=Differential!F28,"","Check")</f>
        <v>Check</v>
      </c>
      <c r="F63" s="544" t="str">
        <f>IF(ROUND((F57-F30),0)=('Step 0 Revenue Detail'!I45+'Step 0 Revenue Detail'!I46+'Step 0 Revenue Detail'!I51+'Step 0 Revenue Detail'!I52),"","Check")</f>
        <v/>
      </c>
      <c r="G63" s="543" t="str">
        <f>IF(G57='Step 0 Revenue Detail'!L18,"","Check")</f>
        <v/>
      </c>
      <c r="H63" s="543" t="str">
        <f>IF(ROUND(H57,0)='Step 0 Revenue Detail'!I49,"","Check")</f>
        <v/>
      </c>
      <c r="I63" s="543"/>
      <c r="J63" s="178"/>
      <c r="K63" s="190"/>
      <c r="L63" s="178"/>
      <c r="M63" s="178"/>
      <c r="N63" s="178"/>
      <c r="O63" s="543" t="str">
        <f>IF(O57='Productivity Split'!C14,IF(O11=IM!F24,IF(O11&gt;=0,"","Check")))</f>
        <v/>
      </c>
      <c r="P63" s="190"/>
      <c r="Q63" s="721"/>
      <c r="R63" s="178"/>
      <c r="S63" s="178"/>
      <c r="T63" s="178"/>
      <c r="U63" s="544" t="str">
        <f>IF(U56+N56+U36='Service Support &amp; Mgmt'!I30+'Service Support &amp; Mgmt'!J30+'Service Support &amp; Mgmt'!M30,"","Check")</f>
        <v/>
      </c>
      <c r="V63" s="190"/>
      <c r="W63" s="543" t="str">
        <f>IF(ROUND(Dashboard!D23+Dashboard!D29,2)=ROUND(W57,2),"","Check")</f>
        <v/>
      </c>
      <c r="X63" s="543" t="str">
        <f>IF(Dashboard!D30+Dashboard!D31=X57,"","Check")</f>
        <v/>
      </c>
      <c r="Y63" s="543" t="str">
        <f>IF(Dashboard!D38+Dashboard!D39=Y57,"","Check")</f>
        <v/>
      </c>
      <c r="Z63" s="543" t="str">
        <f>+IF(ROUND(Dashboard!D42,2)=ROUND(Z57,2),"","Check")</f>
        <v/>
      </c>
      <c r="AA63" s="543" t="str">
        <f>+IF(Dashboard!D43+Dashboard!D49=AA57,"","Check")</f>
        <v/>
      </c>
      <c r="AB63" s="543" t="str">
        <f>IF(Dashboard!D32+Dashboard!D37=AB57,"","Check")</f>
        <v/>
      </c>
      <c r="AC63" s="543" t="str">
        <f>IF(ROUND(AC57,0)=ROUND(Dashboard!D52,0),"","Check")</f>
        <v/>
      </c>
      <c r="AD63" s="190"/>
      <c r="AE63" s="178"/>
      <c r="AF63" s="178"/>
      <c r="AG63" s="519"/>
      <c r="AH63" s="178" t="s">
        <v>585</v>
      </c>
      <c r="AI63" s="190"/>
      <c r="AJ63" s="538">
        <f>+IM!B29</f>
        <v>73951070</v>
      </c>
      <c r="AK63" s="178"/>
      <c r="AL63" s="178"/>
      <c r="AM63" s="178"/>
      <c r="AO63" s="178"/>
      <c r="AP63" s="178"/>
      <c r="AQ63" s="178"/>
    </row>
    <row r="64" spans="1:47" x14ac:dyDescent="0.2">
      <c r="A64" s="178"/>
      <c r="B64" s="178"/>
      <c r="C64" s="508">
        <f>+'Step 0 Revenue Detail'!H35+'Step 0 Revenue Detail'!L21-'Step 0 Revenue Detail'!L18</f>
        <v>14243637</v>
      </c>
      <c r="D64" s="178"/>
      <c r="E64" s="178" t="s">
        <v>1006</v>
      </c>
      <c r="F64" s="899">
        <f>+'Step 0 Revenue Detail'!I45+'Step 0 Revenue Detail'!I46+'Step 0 Revenue Detail'!I51+'Step 0 Revenue Detail'!I52</f>
        <v>29780152</v>
      </c>
      <c r="G64" s="538"/>
      <c r="H64" s="538"/>
      <c r="I64" s="538"/>
      <c r="J64" s="178"/>
      <c r="K64" s="190"/>
      <c r="L64" s="178"/>
      <c r="M64" s="515"/>
      <c r="N64" s="178"/>
      <c r="O64" s="178"/>
      <c r="P64" s="190"/>
      <c r="Q64" s="178"/>
      <c r="R64" s="178"/>
      <c r="S64" s="178"/>
      <c r="T64" s="178"/>
      <c r="U64" s="535"/>
      <c r="V64" s="190"/>
      <c r="W64" s="178"/>
      <c r="X64" s="178"/>
      <c r="Y64" s="178"/>
      <c r="Z64" s="526"/>
      <c r="AA64" s="178"/>
      <c r="AB64" s="178"/>
      <c r="AC64" s="543" t="str">
        <f>IF(AC56+AC34-AC41='Service Support &amp; Mgmt'!L30,"","Check")</f>
        <v/>
      </c>
      <c r="AD64" s="190"/>
      <c r="AE64" s="178"/>
      <c r="AF64" s="178"/>
      <c r="AG64" s="519"/>
      <c r="AH64" s="178"/>
      <c r="AI64" s="190"/>
      <c r="AJ64" s="526">
        <f>+AJ62-AJ63</f>
        <v>-9491887.5500000119</v>
      </c>
      <c r="AK64" s="178" t="s">
        <v>644</v>
      </c>
      <c r="AL64" s="178"/>
      <c r="AM64" s="178"/>
    </row>
    <row r="65" spans="2:36" x14ac:dyDescent="0.2">
      <c r="B65" s="556"/>
      <c r="C65" s="556">
        <f>+C57-C64</f>
        <v>0</v>
      </c>
      <c r="D65" s="556"/>
      <c r="E65" s="556"/>
      <c r="F65" s="900">
        <f>+F57-F30</f>
        <v>29780152</v>
      </c>
      <c r="G65" s="556"/>
      <c r="H65" s="556"/>
      <c r="I65" s="556"/>
      <c r="J65" s="556"/>
      <c r="M65" s="515"/>
      <c r="O65" s="556"/>
      <c r="U65" s="230"/>
      <c r="AC65" s="512"/>
      <c r="AE65" s="515"/>
      <c r="AF65" s="515"/>
    </row>
    <row r="66" spans="2:36" x14ac:dyDescent="0.2">
      <c r="B66" s="556"/>
      <c r="C66" s="556"/>
      <c r="D66" s="556"/>
      <c r="E66" s="556"/>
      <c r="F66" s="923">
        <f>+F64-F65</f>
        <v>0</v>
      </c>
      <c r="G66" s="556"/>
      <c r="H66" s="556"/>
      <c r="I66" s="556"/>
      <c r="J66" s="556"/>
      <c r="W66" s="231"/>
      <c r="AC66" s="301"/>
      <c r="AJ66" s="199">
        <f>SUM(J7:L13)+B8</f>
        <v>73951070</v>
      </c>
    </row>
    <row r="67" spans="2:36" x14ac:dyDescent="0.2">
      <c r="F67" s="147"/>
      <c r="G67" s="174"/>
      <c r="H67" s="174"/>
      <c r="I67" s="174"/>
      <c r="U67" s="1097"/>
      <c r="AC67" s="1097"/>
      <c r="AJ67" s="147">
        <f>+IM!B29</f>
        <v>73951070</v>
      </c>
    </row>
    <row r="68" spans="2:36" x14ac:dyDescent="0.2">
      <c r="F68" s="147"/>
      <c r="AC68" s="1085"/>
      <c r="AJ68" s="301">
        <f>ROUND(+AJ66-AJ67,2)</f>
        <v>0</v>
      </c>
    </row>
    <row r="69" spans="2:36" x14ac:dyDescent="0.2">
      <c r="F69" s="147"/>
      <c r="AC69" s="1085"/>
      <c r="AJ69" s="543" t="str">
        <f>IF(AJ68=0,"","Check")</f>
        <v/>
      </c>
    </row>
    <row r="70" spans="2:36" x14ac:dyDescent="0.2">
      <c r="F70" s="556"/>
      <c r="G70" s="556"/>
      <c r="H70" s="556"/>
      <c r="I70" s="556"/>
    </row>
    <row r="72" spans="2:36" x14ac:dyDescent="0.2">
      <c r="F72" s="556"/>
    </row>
    <row r="73" spans="2:36" x14ac:dyDescent="0.2">
      <c r="F73" s="556"/>
    </row>
  </sheetData>
  <mergeCells count="18">
    <mergeCell ref="C60:H60"/>
    <mergeCell ref="M60:N60"/>
    <mergeCell ref="Q60:U60"/>
    <mergeCell ref="W60:AC60"/>
    <mergeCell ref="C3:H3"/>
    <mergeCell ref="L5:O5"/>
    <mergeCell ref="Q5:T5"/>
    <mergeCell ref="W5:AB5"/>
    <mergeCell ref="B5:J5"/>
    <mergeCell ref="B59:J59"/>
    <mergeCell ref="AL2:AM2"/>
    <mergeCell ref="B1:AC1"/>
    <mergeCell ref="B2:J2"/>
    <mergeCell ref="AE59:AH59"/>
    <mergeCell ref="M59:N59"/>
    <mergeCell ref="Q59:U59"/>
    <mergeCell ref="W59:AC59"/>
    <mergeCell ref="AE5:AH5"/>
  </mergeCells>
  <pageMargins left="0.7" right="0.7" top="0.75" bottom="0.75" header="0.3" footer="0.3"/>
  <pageSetup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AK169"/>
  <sheetViews>
    <sheetView workbookViewId="0">
      <selection activeCell="C177" sqref="C177"/>
    </sheetView>
  </sheetViews>
  <sheetFormatPr baseColWidth="10" defaultColWidth="12.5" defaultRowHeight="16" outlineLevelRow="1" x14ac:dyDescent="0.2"/>
  <cols>
    <col min="1" max="1" width="41.5" style="934" bestFit="1" customWidth="1"/>
    <col min="2" max="2" width="16.5" style="935" bestFit="1" customWidth="1"/>
    <col min="3" max="3" width="21.83203125" style="935" bestFit="1" customWidth="1"/>
    <col min="4" max="4" width="21.1640625" style="935" bestFit="1" customWidth="1"/>
    <col min="5" max="5" width="13.5" style="935" bestFit="1" customWidth="1"/>
    <col min="6" max="6" width="12.6640625" style="935" bestFit="1" customWidth="1"/>
    <col min="7" max="7" width="17.33203125" style="935" bestFit="1" customWidth="1"/>
    <col min="8" max="8" width="13.5" style="935" bestFit="1" customWidth="1"/>
    <col min="9" max="9" width="21.5" style="935" bestFit="1" customWidth="1"/>
    <col min="10" max="10" width="5.5" style="934" customWidth="1"/>
    <col min="11" max="11" width="41.6640625" style="934" customWidth="1"/>
    <col min="12" max="12" width="16.5" style="934" bestFit="1" customWidth="1"/>
    <col min="13" max="13" width="13.5" style="934" bestFit="1" customWidth="1"/>
    <col min="14" max="16" width="12.6640625" style="934" bestFit="1" customWidth="1"/>
    <col min="17" max="17" width="13.5" style="934" bestFit="1" customWidth="1"/>
    <col min="18" max="18" width="12.33203125" style="934" bestFit="1" customWidth="1"/>
    <col min="19" max="19" width="11.6640625" style="934" bestFit="1" customWidth="1"/>
    <col min="20" max="16384" width="12.5" style="934"/>
  </cols>
  <sheetData>
    <row r="1" spans="1:11" ht="21" x14ac:dyDescent="0.25">
      <c r="A1" s="506" t="s">
        <v>883</v>
      </c>
    </row>
    <row r="4" spans="1:11" x14ac:dyDescent="0.2">
      <c r="A4" s="990" t="s">
        <v>1007</v>
      </c>
    </row>
    <row r="5" spans="1:11" ht="45" hidden="1" outlineLevel="1" x14ac:dyDescent="0.2">
      <c r="A5" s="949" t="s">
        <v>115</v>
      </c>
      <c r="B5" s="948" t="s">
        <v>776</v>
      </c>
      <c r="C5" s="948" t="s">
        <v>775</v>
      </c>
      <c r="D5" s="948" t="s">
        <v>304</v>
      </c>
      <c r="E5" s="948" t="s">
        <v>774</v>
      </c>
      <c r="F5" s="948" t="s">
        <v>773</v>
      </c>
      <c r="G5" s="948" t="s">
        <v>772</v>
      </c>
      <c r="H5" s="948" t="s">
        <v>771</v>
      </c>
      <c r="I5" s="948" t="s">
        <v>888</v>
      </c>
    </row>
    <row r="6" spans="1:11" hidden="1" outlineLevel="1" x14ac:dyDescent="0.2">
      <c r="A6" s="175" t="s">
        <v>129</v>
      </c>
      <c r="B6" s="939">
        <f>+'FINAL-Distributed E&amp;G Budget'!B7+'FINAL-Distributed E&amp;G Budget'!J7</f>
        <v>3276588</v>
      </c>
      <c r="C6" s="939">
        <f>+'FINAL-Distributed E&amp;G Budget'!L7+'FINAL-Distributed E&amp;G Budget'!M7+'FINAL-Distributed E&amp;G Budget'!N7</f>
        <v>0</v>
      </c>
      <c r="D6" s="939">
        <f>+'FINAL-Distributed E&amp;G Budget'!O7</f>
        <v>0</v>
      </c>
      <c r="E6" s="939">
        <f>+'FINAL-Distributed E&amp;G Budget'!U7</f>
        <v>-3276588</v>
      </c>
      <c r="F6" s="939">
        <f>+'FINAL-Distributed E&amp;G Budget'!Y7</f>
        <v>0</v>
      </c>
      <c r="G6" s="939">
        <f>+'FINAL-Distributed E&amp;G Budget'!W7+'FINAL-Distributed E&amp;G Budget'!X7+'FINAL-Distributed E&amp;G Budget'!Z7+'FINAL-Distributed E&amp;G Budget'!AA7+'FINAL-Distributed E&amp;G Budget'!AB7</f>
        <v>0</v>
      </c>
      <c r="H6" s="939">
        <f>SUM('FINAL-Distributed E&amp;G Budget'!AE7:AH7)</f>
        <v>0</v>
      </c>
      <c r="I6" s="939">
        <f t="shared" ref="I6" si="0">SUM(B6:H6)</f>
        <v>0</v>
      </c>
      <c r="K6" s="991"/>
    </row>
    <row r="7" spans="1:11" hidden="1" outlineLevel="1" x14ac:dyDescent="0.2">
      <c r="A7" s="175" t="s">
        <v>130</v>
      </c>
      <c r="B7" s="939">
        <f>+'FINAL-Distributed E&amp;G Budget'!B8+'FINAL-Distributed E&amp;G Budget'!J8</f>
        <v>10355208</v>
      </c>
      <c r="C7" s="939">
        <f>+'FINAL-Distributed E&amp;G Budget'!L8+'FINAL-Distributed E&amp;G Budget'!M8+'FINAL-Distributed E&amp;G Budget'!N8</f>
        <v>0</v>
      </c>
      <c r="D7" s="939">
        <f>+'FINAL-Distributed E&amp;G Budget'!O8</f>
        <v>0</v>
      </c>
      <c r="E7" s="939">
        <f>+'FINAL-Distributed E&amp;G Budget'!U8</f>
        <v>-12458883.550000012</v>
      </c>
      <c r="F7" s="939">
        <f>+'FINAL-Distributed E&amp;G Budget'!Y8</f>
        <v>0</v>
      </c>
      <c r="G7" s="939">
        <f>+'FINAL-Distributed E&amp;G Budget'!W8+'FINAL-Distributed E&amp;G Budget'!X8+'FINAL-Distributed E&amp;G Budget'!Z8+'FINAL-Distributed E&amp;G Budget'!AA8+'FINAL-Distributed E&amp;G Budget'!AB8</f>
        <v>0</v>
      </c>
      <c r="H7" s="939">
        <f>SUM('FINAL-Distributed E&amp;G Budget'!AE8:AH8)</f>
        <v>3074158</v>
      </c>
      <c r="I7" s="939">
        <f t="shared" ref="I7:I55" si="1">SUM(B7:H7)</f>
        <v>970482.44999998808</v>
      </c>
      <c r="K7" s="991"/>
    </row>
    <row r="8" spans="1:11" hidden="1" outlineLevel="1" x14ac:dyDescent="0.2">
      <c r="A8" s="175" t="s">
        <v>131</v>
      </c>
      <c r="B8" s="939">
        <f>+'FINAL-Distributed E&amp;G Budget'!B9+'FINAL-Distributed E&amp;G Budget'!J9</f>
        <v>0</v>
      </c>
      <c r="C8" s="939">
        <f>+'FINAL-Distributed E&amp;G Budget'!L9+'FINAL-Distributed E&amp;G Budget'!M9+'FINAL-Distributed E&amp;G Budget'!N9</f>
        <v>0</v>
      </c>
      <c r="D8" s="939">
        <f>+'FINAL-Distributed E&amp;G Budget'!O9</f>
        <v>3170000</v>
      </c>
      <c r="E8" s="939">
        <f>+'FINAL-Distributed E&amp;G Budget'!U9</f>
        <v>0</v>
      </c>
      <c r="F8" s="939">
        <f>+'FINAL-Distributed E&amp;G Budget'!Y9</f>
        <v>0</v>
      </c>
      <c r="G8" s="939">
        <f>+'FINAL-Distributed E&amp;G Budget'!W9+'FINAL-Distributed E&amp;G Budget'!X9+'FINAL-Distributed E&amp;G Budget'!Z9+'FINAL-Distributed E&amp;G Budget'!AA9+'FINAL-Distributed E&amp;G Budget'!AB9</f>
        <v>0</v>
      </c>
      <c r="H8" s="939">
        <f>SUM('FINAL-Distributed E&amp;G Budget'!AE9:AH9)</f>
        <v>0</v>
      </c>
      <c r="I8" s="939">
        <f t="shared" si="1"/>
        <v>3170000</v>
      </c>
      <c r="K8" s="991"/>
    </row>
    <row r="9" spans="1:11" hidden="1" outlineLevel="1" x14ac:dyDescent="0.2">
      <c r="A9" s="175" t="s">
        <v>132</v>
      </c>
      <c r="B9" s="939">
        <f>+'FINAL-Distributed E&amp;G Budget'!B10+'FINAL-Distributed E&amp;G Budget'!J10</f>
        <v>12000000</v>
      </c>
      <c r="C9" s="939">
        <f>+'FINAL-Distributed E&amp;G Budget'!L10+'FINAL-Distributed E&amp;G Budget'!M10+'FINAL-Distributed E&amp;G Budget'!N10</f>
        <v>0</v>
      </c>
      <c r="D9" s="939">
        <f>+'FINAL-Distributed E&amp;G Budget'!O10</f>
        <v>0</v>
      </c>
      <c r="E9" s="939">
        <f>+'FINAL-Distributed E&amp;G Budget'!U10</f>
        <v>0</v>
      </c>
      <c r="F9" s="939">
        <f>+'FINAL-Distributed E&amp;G Budget'!Y10</f>
        <v>0</v>
      </c>
      <c r="G9" s="939">
        <f>+'FINAL-Distributed E&amp;G Budget'!W10+'FINAL-Distributed E&amp;G Budget'!X10+'FINAL-Distributed E&amp;G Budget'!Z10+'FINAL-Distributed E&amp;G Budget'!AA10+'FINAL-Distributed E&amp;G Budget'!AB10</f>
        <v>0</v>
      </c>
      <c r="H9" s="939">
        <f>SUM('FINAL-Distributed E&amp;G Budget'!AE10:AH10)</f>
        <v>0</v>
      </c>
      <c r="I9" s="939">
        <f t="shared" si="1"/>
        <v>12000000</v>
      </c>
      <c r="K9" s="991"/>
    </row>
    <row r="10" spans="1:11" hidden="1" outlineLevel="1" x14ac:dyDescent="0.2">
      <c r="A10" s="175" t="s">
        <v>134</v>
      </c>
      <c r="B10" s="939">
        <f>+'FINAL-Distributed E&amp;G Budget'!B11+'FINAL-Distributed E&amp;G Budget'!J11</f>
        <v>1998400</v>
      </c>
      <c r="C10" s="939">
        <f>+'FINAL-Distributed E&amp;G Budget'!L11+'FINAL-Distributed E&amp;G Budget'!M11+'FINAL-Distributed E&amp;G Budget'!N11</f>
        <v>5346638</v>
      </c>
      <c r="D10" s="939">
        <f>+'FINAL-Distributed E&amp;G Budget'!O11</f>
        <v>0</v>
      </c>
      <c r="E10" s="939">
        <f>+'FINAL-Distributed E&amp;G Budget'!U11</f>
        <v>0</v>
      </c>
      <c r="F10" s="939">
        <f>+'FINAL-Distributed E&amp;G Budget'!Y11</f>
        <v>0</v>
      </c>
      <c r="G10" s="939">
        <f>+'FINAL-Distributed E&amp;G Budget'!W11+'FINAL-Distributed E&amp;G Budget'!X11+'FINAL-Distributed E&amp;G Budget'!Z11+'FINAL-Distributed E&amp;G Budget'!AA11+'FINAL-Distributed E&amp;G Budget'!AB11</f>
        <v>0</v>
      </c>
      <c r="H10" s="939">
        <f>SUM('FINAL-Distributed E&amp;G Budget'!AE11:AH11)</f>
        <v>0</v>
      </c>
      <c r="I10" s="939">
        <f t="shared" si="1"/>
        <v>7345038</v>
      </c>
      <c r="K10" s="991"/>
    </row>
    <row r="11" spans="1:11" hidden="1" outlineLevel="1" x14ac:dyDescent="0.2">
      <c r="A11" s="175" t="s">
        <v>137</v>
      </c>
      <c r="B11" s="939">
        <f>+'FINAL-Distributed E&amp;G Budget'!B12+'FINAL-Distributed E&amp;G Budget'!J12</f>
        <v>180000</v>
      </c>
      <c r="C11" s="939">
        <f>+'FINAL-Distributed E&amp;G Budget'!L12+'FINAL-Distributed E&amp;G Budget'!M12+'FINAL-Distributed E&amp;G Budget'!N12</f>
        <v>0</v>
      </c>
      <c r="D11" s="939">
        <f>+'FINAL-Distributed E&amp;G Budget'!O12</f>
        <v>0</v>
      </c>
      <c r="E11" s="939">
        <f>+'FINAL-Distributed E&amp;G Budget'!U12</f>
        <v>0</v>
      </c>
      <c r="F11" s="939">
        <f>+'FINAL-Distributed E&amp;G Budget'!Y12</f>
        <v>0</v>
      </c>
      <c r="G11" s="939">
        <f>+'FINAL-Distributed E&amp;G Budget'!W12+'FINAL-Distributed E&amp;G Budget'!X12+'FINAL-Distributed E&amp;G Budget'!Z12+'FINAL-Distributed E&amp;G Budget'!AA12+'FINAL-Distributed E&amp;G Budget'!AB12</f>
        <v>0</v>
      </c>
      <c r="H11" s="939">
        <f>SUM('FINAL-Distributed E&amp;G Budget'!AE12:AH12)</f>
        <v>0</v>
      </c>
      <c r="I11" s="939">
        <f t="shared" si="1"/>
        <v>180000</v>
      </c>
      <c r="K11" s="991"/>
    </row>
    <row r="12" spans="1:11" hidden="1" outlineLevel="1" x14ac:dyDescent="0.2">
      <c r="A12" s="175" t="s">
        <v>138</v>
      </c>
      <c r="B12" s="939">
        <f>+'FINAL-Distributed E&amp;G Budget'!B13+'FINAL-Distributed E&amp;G Budget'!J13</f>
        <v>40794236</v>
      </c>
      <c r="C12" s="939">
        <f>+'FINAL-Distributed E&amp;G Budget'!L13+'FINAL-Distributed E&amp;G Budget'!M13+'FINAL-Distributed E&amp;G Budget'!N13</f>
        <v>0</v>
      </c>
      <c r="D12" s="939">
        <f>+'FINAL-Distributed E&amp;G Budget'!O13</f>
        <v>0</v>
      </c>
      <c r="E12" s="939">
        <f>+'FINAL-Distributed E&amp;G Budget'!U13</f>
        <v>0</v>
      </c>
      <c r="F12" s="939">
        <f>+'FINAL-Distributed E&amp;G Budget'!Y13</f>
        <v>0</v>
      </c>
      <c r="G12" s="939">
        <f>+'FINAL-Distributed E&amp;G Budget'!W13+'FINAL-Distributed E&amp;G Budget'!X13+'FINAL-Distributed E&amp;G Budget'!Z13+'FINAL-Distributed E&amp;G Budget'!AA13+'FINAL-Distributed E&amp;G Budget'!AB13</f>
        <v>0</v>
      </c>
      <c r="H12" s="939">
        <f>SUM('FINAL-Distributed E&amp;G Budget'!AE13:AH13)</f>
        <v>0</v>
      </c>
      <c r="I12" s="939">
        <f t="shared" si="1"/>
        <v>40794236</v>
      </c>
      <c r="K12" s="991"/>
    </row>
    <row r="13" spans="1:11" hidden="1" outlineLevel="1" x14ac:dyDescent="0.2">
      <c r="A13" s="175" t="s">
        <v>677</v>
      </c>
      <c r="B13" s="939">
        <f>+'FINAL-Distributed E&amp;G Budget'!B14+'FINAL-Distributed E&amp;G Budget'!J14</f>
        <v>0</v>
      </c>
      <c r="C13" s="939">
        <f>+'FINAL-Distributed E&amp;G Budget'!L14+'FINAL-Distributed E&amp;G Budget'!M14+'FINAL-Distributed E&amp;G Budget'!N14</f>
        <v>0</v>
      </c>
      <c r="D13" s="939">
        <f>+'FINAL-Distributed E&amp;G Budget'!O14</f>
        <v>0</v>
      </c>
      <c r="E13" s="939">
        <f>+'FINAL-Distributed E&amp;G Budget'!U14</f>
        <v>0</v>
      </c>
      <c r="F13" s="939">
        <f>+'FINAL-Distributed E&amp;G Budget'!Y14</f>
        <v>0</v>
      </c>
      <c r="G13" s="939">
        <f>+'FINAL-Distributed E&amp;G Budget'!W14+'FINAL-Distributed E&amp;G Budget'!X14+'FINAL-Distributed E&amp;G Budget'!Z14+'FINAL-Distributed E&amp;G Budget'!AA14+'FINAL-Distributed E&amp;G Budget'!AB14</f>
        <v>-574.00000000093132</v>
      </c>
      <c r="H13" s="939">
        <f>SUM('FINAL-Distributed E&amp;G Budget'!AE14:AH14)</f>
        <v>0</v>
      </c>
      <c r="I13" s="939">
        <f t="shared" si="1"/>
        <v>-574.00000000093132</v>
      </c>
      <c r="K13" s="991"/>
    </row>
    <row r="14" spans="1:11" hidden="1" outlineLevel="1" x14ac:dyDescent="0.2">
      <c r="A14" s="522"/>
      <c r="B14" s="937"/>
      <c r="C14" s="937"/>
      <c r="D14" s="937"/>
      <c r="E14" s="937"/>
      <c r="F14" s="937"/>
      <c r="G14" s="937"/>
      <c r="H14" s="937">
        <f>SUM('FINAL-Distributed E&amp;G Budget'!AE15:AH15)</f>
        <v>0</v>
      </c>
      <c r="I14" s="937">
        <f t="shared" si="1"/>
        <v>0</v>
      </c>
      <c r="K14" s="991"/>
    </row>
    <row r="15" spans="1:11" hidden="1" outlineLevel="1" x14ac:dyDescent="0.2">
      <c r="A15" s="192" t="s">
        <v>141</v>
      </c>
      <c r="B15" s="947"/>
      <c r="C15" s="947"/>
      <c r="D15" s="947"/>
      <c r="E15" s="947"/>
      <c r="F15" s="947"/>
      <c r="G15" s="947"/>
      <c r="H15" s="947">
        <f>SUM('FINAL-Distributed E&amp;G Budget'!AE16:AH16)</f>
        <v>0</v>
      </c>
      <c r="I15" s="947">
        <f t="shared" si="1"/>
        <v>0</v>
      </c>
      <c r="K15" s="991"/>
    </row>
    <row r="16" spans="1:11" hidden="1" outlineLevel="1" x14ac:dyDescent="0.2">
      <c r="A16" s="195" t="s">
        <v>143</v>
      </c>
      <c r="B16" s="946"/>
      <c r="C16" s="946"/>
      <c r="D16" s="946"/>
      <c r="E16" s="946"/>
      <c r="F16" s="946"/>
      <c r="G16" s="946"/>
      <c r="H16" s="946">
        <f>SUM('FINAL-Distributed E&amp;G Budget'!AE17:AH17)</f>
        <v>0</v>
      </c>
      <c r="I16" s="946">
        <f t="shared" si="1"/>
        <v>0</v>
      </c>
      <c r="K16" s="991"/>
    </row>
    <row r="17" spans="1:11" hidden="1" outlineLevel="1" x14ac:dyDescent="0.2">
      <c r="A17" s="197" t="s">
        <v>145</v>
      </c>
      <c r="B17" s="942">
        <f>+'FINAL-Distributed E&amp;G Budget'!B18+'FINAL-Distributed E&amp;G Budget'!J18</f>
        <v>4348994</v>
      </c>
      <c r="C17" s="942">
        <f>+'FINAL-Distributed E&amp;G Budget'!L18+'FINAL-Distributed E&amp;G Budget'!M18+'FINAL-Distributed E&amp;G Budget'!N18</f>
        <v>0</v>
      </c>
      <c r="D17" s="942">
        <f>+'FINAL-Distributed E&amp;G Budget'!O18</f>
        <v>0</v>
      </c>
      <c r="E17" s="942">
        <f>+'FINAL-Distributed E&amp;G Budget'!U18</f>
        <v>0</v>
      </c>
      <c r="F17" s="942">
        <f>+'FINAL-Distributed E&amp;G Budget'!Y18</f>
        <v>10900000</v>
      </c>
      <c r="G17" s="942">
        <f>+'FINAL-Distributed E&amp;G Budget'!W18+'FINAL-Distributed E&amp;G Budget'!X18+'FINAL-Distributed E&amp;G Budget'!Z18+'FINAL-Distributed E&amp;G Budget'!AA18+'FINAL-Distributed E&amp;G Budget'!AB18</f>
        <v>11523300</v>
      </c>
      <c r="H17" s="942">
        <f>SUM('FINAL-Distributed E&amp;G Budget'!AE18:AH18)</f>
        <v>-344074</v>
      </c>
      <c r="I17" s="942">
        <f t="shared" si="1"/>
        <v>26428220</v>
      </c>
      <c r="J17" s="936"/>
      <c r="K17" s="991"/>
    </row>
    <row r="18" spans="1:11" hidden="1" outlineLevel="1" x14ac:dyDescent="0.2">
      <c r="A18" s="200" t="s">
        <v>147</v>
      </c>
      <c r="B18" s="937">
        <f>+'FINAL-Distributed E&amp;G Budget'!B19+'FINAL-Distributed E&amp;G Budget'!J19</f>
        <v>3339597</v>
      </c>
      <c r="C18" s="937">
        <f>+'FINAL-Distributed E&amp;G Budget'!L19+'FINAL-Distributed E&amp;G Budget'!M19+'FINAL-Distributed E&amp;G Budget'!N19</f>
        <v>0</v>
      </c>
      <c r="D18" s="937">
        <f>+'FINAL-Distributed E&amp;G Budget'!O19</f>
        <v>0</v>
      </c>
      <c r="E18" s="937">
        <f>+'FINAL-Distributed E&amp;G Budget'!U19</f>
        <v>0</v>
      </c>
      <c r="F18" s="937">
        <f>+'FINAL-Distributed E&amp;G Budget'!Y19</f>
        <v>10718900</v>
      </c>
      <c r="G18" s="937">
        <f>+'FINAL-Distributed E&amp;G Budget'!W19+'FINAL-Distributed E&amp;G Budget'!X19+'FINAL-Distributed E&amp;G Budget'!Z19+'FINAL-Distributed E&amp;G Budget'!AA19+'FINAL-Distributed E&amp;G Budget'!AB19</f>
        <v>13194600</v>
      </c>
      <c r="H18" s="937">
        <f>SUM('FINAL-Distributed E&amp;G Budget'!AE19:AH19)</f>
        <v>-866869</v>
      </c>
      <c r="I18" s="937">
        <f t="shared" si="1"/>
        <v>26386228</v>
      </c>
      <c r="J18" s="936"/>
      <c r="K18" s="991"/>
    </row>
    <row r="19" spans="1:11" hidden="1" outlineLevel="1" x14ac:dyDescent="0.2">
      <c r="A19" s="524" t="s">
        <v>149</v>
      </c>
      <c r="B19" s="937">
        <f>+'FINAL-Distributed E&amp;G Budget'!B20+'FINAL-Distributed E&amp;G Budget'!J20</f>
        <v>21271556</v>
      </c>
      <c r="C19" s="937">
        <f>+'FINAL-Distributed E&amp;G Budget'!L20+'FINAL-Distributed E&amp;G Budget'!M20+'FINAL-Distributed E&amp;G Budget'!N20</f>
        <v>0</v>
      </c>
      <c r="D19" s="937">
        <f>+'FINAL-Distributed E&amp;G Budget'!O20</f>
        <v>0</v>
      </c>
      <c r="E19" s="937">
        <f>+'FINAL-Distributed E&amp;G Budget'!U20</f>
        <v>0</v>
      </c>
      <c r="F19" s="937">
        <f>+'FINAL-Distributed E&amp;G Budget'!Y20</f>
        <v>22500000</v>
      </c>
      <c r="G19" s="937">
        <f>+'FINAL-Distributed E&amp;G Budget'!W20+'FINAL-Distributed E&amp;G Budget'!X20+'FINAL-Distributed E&amp;G Budget'!Z20+'FINAL-Distributed E&amp;G Budget'!AA20+'FINAL-Distributed E&amp;G Budget'!AB20</f>
        <v>29492900</v>
      </c>
      <c r="H19" s="937">
        <f>SUM('FINAL-Distributed E&amp;G Budget'!AE20:AH20)</f>
        <v>-1058160</v>
      </c>
      <c r="I19" s="937">
        <f t="shared" si="1"/>
        <v>72206296</v>
      </c>
      <c r="J19" s="936"/>
      <c r="K19" s="991"/>
    </row>
    <row r="20" spans="1:11" hidden="1" outlineLevel="1" x14ac:dyDescent="0.2">
      <c r="A20" s="197" t="s">
        <v>150</v>
      </c>
      <c r="B20" s="942">
        <f>+'FINAL-Distributed E&amp;G Budget'!B21+'FINAL-Distributed E&amp;G Budget'!J21</f>
        <v>3699324</v>
      </c>
      <c r="C20" s="942">
        <f>+'FINAL-Distributed E&amp;G Budget'!L21+'FINAL-Distributed E&amp;G Budget'!M21+'FINAL-Distributed E&amp;G Budget'!N21</f>
        <v>0</v>
      </c>
      <c r="D20" s="942">
        <f>+'FINAL-Distributed E&amp;G Budget'!O21</f>
        <v>681200</v>
      </c>
      <c r="E20" s="942">
        <f>+'FINAL-Distributed E&amp;G Budget'!U21</f>
        <v>0</v>
      </c>
      <c r="F20" s="942">
        <f>+'FINAL-Distributed E&amp;G Budget'!Y21</f>
        <v>1512000</v>
      </c>
      <c r="G20" s="942">
        <f>+'FINAL-Distributed E&amp;G Budget'!W21+'FINAL-Distributed E&amp;G Budget'!X21+'FINAL-Distributed E&amp;G Budget'!Z21+'FINAL-Distributed E&amp;G Budget'!AA21+'FINAL-Distributed E&amp;G Budget'!AB21</f>
        <v>3663700</v>
      </c>
      <c r="H20" s="942">
        <f>SUM('FINAL-Distributed E&amp;G Budget'!AE21:AH21)</f>
        <v>-286213</v>
      </c>
      <c r="I20" s="942">
        <f t="shared" si="1"/>
        <v>9270011</v>
      </c>
      <c r="J20" s="936"/>
      <c r="K20" s="991"/>
    </row>
    <row r="21" spans="1:11" hidden="1" outlineLevel="1" x14ac:dyDescent="0.2">
      <c r="A21" s="200" t="s">
        <v>151</v>
      </c>
      <c r="B21" s="937">
        <f>+'FINAL-Distributed E&amp;G Budget'!B22+'FINAL-Distributed E&amp;G Budget'!J22</f>
        <v>1741454</v>
      </c>
      <c r="C21" s="937">
        <f>+'FINAL-Distributed E&amp;G Budget'!L22+'FINAL-Distributed E&amp;G Budget'!M22+'FINAL-Distributed E&amp;G Budget'!N22</f>
        <v>850000</v>
      </c>
      <c r="D21" s="937">
        <f>+'FINAL-Distributed E&amp;G Budget'!O22</f>
        <v>0</v>
      </c>
      <c r="E21" s="937">
        <f>+'FINAL-Distributed E&amp;G Budget'!U22</f>
        <v>0</v>
      </c>
      <c r="F21" s="937">
        <f>+'FINAL-Distributed E&amp;G Budget'!Y22</f>
        <v>5795000</v>
      </c>
      <c r="G21" s="937">
        <f>+'FINAL-Distributed E&amp;G Budget'!W22+'FINAL-Distributed E&amp;G Budget'!X22+'FINAL-Distributed E&amp;G Budget'!Z22+'FINAL-Distributed E&amp;G Budget'!AA22+'FINAL-Distributed E&amp;G Budget'!AB22</f>
        <v>9596300</v>
      </c>
      <c r="H21" s="937">
        <f>SUM('FINAL-Distributed E&amp;G Budget'!AE22:AH22)</f>
        <v>2376001</v>
      </c>
      <c r="I21" s="937">
        <f t="shared" si="1"/>
        <v>20358755</v>
      </c>
      <c r="J21" s="936"/>
      <c r="K21" s="991"/>
    </row>
    <row r="22" spans="1:11" hidden="1" outlineLevel="1" x14ac:dyDescent="0.2">
      <c r="A22" s="524" t="s">
        <v>152</v>
      </c>
      <c r="B22" s="937">
        <f>+'FINAL-Distributed E&amp;G Budget'!B23+'FINAL-Distributed E&amp;G Budget'!J23</f>
        <v>162000</v>
      </c>
      <c r="C22" s="937">
        <f>+'FINAL-Distributed E&amp;G Budget'!L23+'FINAL-Distributed E&amp;G Budget'!M23+'FINAL-Distributed E&amp;G Budget'!N23</f>
        <v>0</v>
      </c>
      <c r="D22" s="937">
        <f>+'FINAL-Distributed E&amp;G Budget'!O23</f>
        <v>267100</v>
      </c>
      <c r="E22" s="937">
        <f>+'FINAL-Distributed E&amp;G Budget'!U23</f>
        <v>0</v>
      </c>
      <c r="F22" s="937">
        <f>+'FINAL-Distributed E&amp;G Budget'!Y23</f>
        <v>3865000</v>
      </c>
      <c r="G22" s="937">
        <f>+'FINAL-Distributed E&amp;G Budget'!W23+'FINAL-Distributed E&amp;G Budget'!X23+'FINAL-Distributed E&amp;G Budget'!Z23+'FINAL-Distributed E&amp;G Budget'!AA23+'FINAL-Distributed E&amp;G Budget'!AB23</f>
        <v>2203500</v>
      </c>
      <c r="H22" s="937">
        <f>SUM('FINAL-Distributed E&amp;G Budget'!AE23:AH23)</f>
        <v>-112432</v>
      </c>
      <c r="I22" s="937">
        <f t="shared" si="1"/>
        <v>6385168</v>
      </c>
      <c r="J22" s="936"/>
      <c r="K22" s="991"/>
    </row>
    <row r="23" spans="1:11" hidden="1" outlineLevel="1" x14ac:dyDescent="0.2">
      <c r="A23" s="197" t="s">
        <v>153</v>
      </c>
      <c r="B23" s="942">
        <f>+'FINAL-Distributed E&amp;G Budget'!B24+'FINAL-Distributed E&amp;G Budget'!J24</f>
        <v>1373709</v>
      </c>
      <c r="C23" s="942">
        <f>+'FINAL-Distributed E&amp;G Budget'!L24+'FINAL-Distributed E&amp;G Budget'!M24+'FINAL-Distributed E&amp;G Budget'!N24</f>
        <v>50000</v>
      </c>
      <c r="D23" s="942">
        <f>+'FINAL-Distributed E&amp;G Budget'!O24</f>
        <v>0</v>
      </c>
      <c r="E23" s="942">
        <f>+'FINAL-Distributed E&amp;G Budget'!U24</f>
        <v>0</v>
      </c>
      <c r="F23" s="942">
        <f>+'FINAL-Distributed E&amp;G Budget'!Y24</f>
        <v>22295000</v>
      </c>
      <c r="G23" s="942">
        <f>+'FINAL-Distributed E&amp;G Budget'!W24+'FINAL-Distributed E&amp;G Budget'!X24+'FINAL-Distributed E&amp;G Budget'!Z24+'FINAL-Distributed E&amp;G Budget'!AA24+'FINAL-Distributed E&amp;G Budget'!AB24</f>
        <v>24220900</v>
      </c>
      <c r="H23" s="942">
        <f>SUM('FINAL-Distributed E&amp;G Budget'!AE24:AH24)</f>
        <v>133891</v>
      </c>
      <c r="I23" s="942">
        <f t="shared" si="1"/>
        <v>48073500</v>
      </c>
      <c r="J23" s="936"/>
      <c r="K23" s="991"/>
    </row>
    <row r="24" spans="1:11" hidden="1" outlineLevel="1" x14ac:dyDescent="0.2">
      <c r="A24" s="524" t="s">
        <v>154</v>
      </c>
      <c r="B24" s="937">
        <f>+'FINAL-Distributed E&amp;G Budget'!B25+'FINAL-Distributed E&amp;G Budget'!J25</f>
        <v>4478031</v>
      </c>
      <c r="C24" s="937">
        <f>+'FINAL-Distributed E&amp;G Budget'!L25+'FINAL-Distributed E&amp;G Budget'!M25+'FINAL-Distributed E&amp;G Budget'!N25</f>
        <v>10875</v>
      </c>
      <c r="D24" s="937">
        <f>+'FINAL-Distributed E&amp;G Budget'!O25</f>
        <v>2360100</v>
      </c>
      <c r="E24" s="937">
        <f>+'FINAL-Distributed E&amp;G Budget'!U25</f>
        <v>0</v>
      </c>
      <c r="F24" s="937">
        <f>+'FINAL-Distributed E&amp;G Budget'!Y25</f>
        <v>2600000</v>
      </c>
      <c r="G24" s="937">
        <f>+'FINAL-Distributed E&amp;G Budget'!W25+'FINAL-Distributed E&amp;G Budget'!X25+'FINAL-Distributed E&amp;G Budget'!Z25+'FINAL-Distributed E&amp;G Budget'!AA25+'FINAL-Distributed E&amp;G Budget'!AB25</f>
        <v>6427400</v>
      </c>
      <c r="H24" s="937">
        <f>SUM('FINAL-Distributed E&amp;G Budget'!AE25:AH25)</f>
        <v>-167372</v>
      </c>
      <c r="I24" s="937">
        <f t="shared" si="1"/>
        <v>15709034</v>
      </c>
      <c r="J24" s="936"/>
      <c r="K24" s="991"/>
    </row>
    <row r="25" spans="1:11" hidden="1" outlineLevel="1" x14ac:dyDescent="0.2">
      <c r="A25" s="524" t="s">
        <v>155</v>
      </c>
      <c r="B25" s="937">
        <f>+'FINAL-Distributed E&amp;G Budget'!B26+'FINAL-Distributed E&amp;G Budget'!J26</f>
        <v>12671883</v>
      </c>
      <c r="C25" s="937">
        <f>+'FINAL-Distributed E&amp;G Budget'!L26+'FINAL-Distributed E&amp;G Budget'!M26+'FINAL-Distributed E&amp;G Budget'!N26</f>
        <v>0</v>
      </c>
      <c r="D25" s="937">
        <f>+'FINAL-Distributed E&amp;G Budget'!O26</f>
        <v>0</v>
      </c>
      <c r="E25" s="937">
        <f>+'FINAL-Distributed E&amp;G Budget'!U26</f>
        <v>0</v>
      </c>
      <c r="F25" s="937">
        <f>+'FINAL-Distributed E&amp;G Budget'!Y26</f>
        <v>110000</v>
      </c>
      <c r="G25" s="937">
        <f>+'FINAL-Distributed E&amp;G Budget'!W26+'FINAL-Distributed E&amp;G Budget'!X26+'FINAL-Distributed E&amp;G Budget'!Z26+'FINAL-Distributed E&amp;G Budget'!AA26+'FINAL-Distributed E&amp;G Budget'!AB26</f>
        <v>0</v>
      </c>
      <c r="H25" s="937">
        <f>SUM('FINAL-Distributed E&amp;G Budget'!AE26:AH26)</f>
        <v>-127820</v>
      </c>
      <c r="I25" s="937">
        <f t="shared" si="1"/>
        <v>12654063</v>
      </c>
      <c r="J25" s="936"/>
      <c r="K25" s="991"/>
    </row>
    <row r="26" spans="1:11" hidden="1" outlineLevel="1" x14ac:dyDescent="0.2">
      <c r="A26" s="197" t="s">
        <v>156</v>
      </c>
      <c r="B26" s="942">
        <f>+'FINAL-Distributed E&amp;G Budget'!B27+'FINAL-Distributed E&amp;G Budget'!J27</f>
        <v>2166197</v>
      </c>
      <c r="C26" s="942">
        <f>+'FINAL-Distributed E&amp;G Budget'!L27+'FINAL-Distributed E&amp;G Budget'!M27+'FINAL-Distributed E&amp;G Budget'!N27</f>
        <v>750000</v>
      </c>
      <c r="D26" s="942">
        <f>+'FINAL-Distributed E&amp;G Budget'!O27</f>
        <v>0</v>
      </c>
      <c r="E26" s="942">
        <f>+'FINAL-Distributed E&amp;G Budget'!U27</f>
        <v>0</v>
      </c>
      <c r="F26" s="942">
        <f>+'FINAL-Distributed E&amp;G Budget'!Y27</f>
        <v>14400000</v>
      </c>
      <c r="G26" s="942">
        <f>+'FINAL-Distributed E&amp;G Budget'!W27+'FINAL-Distributed E&amp;G Budget'!X27+'FINAL-Distributed E&amp;G Budget'!Z27+'FINAL-Distributed E&amp;G Budget'!AA27+'FINAL-Distributed E&amp;G Budget'!AB27</f>
        <v>28722400</v>
      </c>
      <c r="H26" s="942">
        <f>SUM('FINAL-Distributed E&amp;G Budget'!AE27:AH27)</f>
        <v>879713</v>
      </c>
      <c r="I26" s="942">
        <f t="shared" si="1"/>
        <v>46918310</v>
      </c>
      <c r="J26" s="936"/>
      <c r="K26" s="991"/>
    </row>
    <row r="27" spans="1:11" hidden="1" outlineLevel="1" x14ac:dyDescent="0.2">
      <c r="A27" s="524" t="s">
        <v>157</v>
      </c>
      <c r="B27" s="937">
        <f>+'FINAL-Distributed E&amp;G Budget'!B28+'FINAL-Distributed E&amp;G Budget'!J28</f>
        <v>21651458</v>
      </c>
      <c r="C27" s="937">
        <f>+'FINAL-Distributed E&amp;G Budget'!L28+'FINAL-Distributed E&amp;G Budget'!M28+'FINAL-Distributed E&amp;G Budget'!N28</f>
        <v>0</v>
      </c>
      <c r="D27" s="937">
        <f>+'FINAL-Distributed E&amp;G Budget'!O28</f>
        <v>6750000</v>
      </c>
      <c r="E27" s="937">
        <f>+'FINAL-Distributed E&amp;G Budget'!U28</f>
        <v>0</v>
      </c>
      <c r="F27" s="937">
        <f>+'FINAL-Distributed E&amp;G Budget'!Y28</f>
        <v>0</v>
      </c>
      <c r="G27" s="937">
        <f>+'FINAL-Distributed E&amp;G Budget'!W28+'FINAL-Distributed E&amp;G Budget'!X28+'FINAL-Distributed E&amp;G Budget'!Z28+'FINAL-Distributed E&amp;G Budget'!AA28+'FINAL-Distributed E&amp;G Budget'!AB28</f>
        <v>0</v>
      </c>
      <c r="H27" s="937">
        <f>SUM('FINAL-Distributed E&amp;G Budget'!AE28:AH28)</f>
        <v>-284010</v>
      </c>
      <c r="I27" s="937">
        <f t="shared" si="1"/>
        <v>28117448</v>
      </c>
      <c r="J27" s="936"/>
      <c r="K27" s="991"/>
    </row>
    <row r="28" spans="1:11" hidden="1" outlineLevel="1" x14ac:dyDescent="0.2">
      <c r="A28" s="197" t="s">
        <v>159</v>
      </c>
      <c r="B28" s="942">
        <f>+'FINAL-Distributed E&amp;G Budget'!B29+'FINAL-Distributed E&amp;G Budget'!J29</f>
        <v>2042600</v>
      </c>
      <c r="C28" s="942">
        <f>+'FINAL-Distributed E&amp;G Budget'!L29+'FINAL-Distributed E&amp;G Budget'!M29+'FINAL-Distributed E&amp;G Budget'!N29</f>
        <v>0</v>
      </c>
      <c r="D28" s="942">
        <f>+'FINAL-Distributed E&amp;G Budget'!O29</f>
        <v>670515</v>
      </c>
      <c r="E28" s="942">
        <f>+'FINAL-Distributed E&amp;G Budget'!U29</f>
        <v>0</v>
      </c>
      <c r="F28" s="942">
        <f>+'FINAL-Distributed E&amp;G Budget'!Y29</f>
        <v>45000</v>
      </c>
      <c r="G28" s="942">
        <f>+'FINAL-Distributed E&amp;G Budget'!W29+'FINAL-Distributed E&amp;G Budget'!X29+'FINAL-Distributed E&amp;G Budget'!Z29+'FINAL-Distributed E&amp;G Budget'!AA29+'FINAL-Distributed E&amp;G Budget'!AB29</f>
        <v>1280800</v>
      </c>
      <c r="H28" s="942">
        <f>SUM('FINAL-Distributed E&amp;G Budget'!AE29:AH29)</f>
        <v>-101243</v>
      </c>
      <c r="I28" s="942">
        <f t="shared" si="1"/>
        <v>3937672</v>
      </c>
      <c r="J28" s="936"/>
      <c r="K28" s="991"/>
    </row>
    <row r="29" spans="1:11" hidden="1" outlineLevel="1" x14ac:dyDescent="0.2">
      <c r="A29" s="200" t="s">
        <v>160</v>
      </c>
      <c r="B29" s="937">
        <f>+'FINAL-Distributed E&amp;G Budget'!B30+'FINAL-Distributed E&amp;G Budget'!J30</f>
        <v>0</v>
      </c>
      <c r="C29" s="937">
        <f>+'FINAL-Distributed E&amp;G Budget'!L30+'FINAL-Distributed E&amp;G Budget'!M30+'FINAL-Distributed E&amp;G Budget'!N30</f>
        <v>0</v>
      </c>
      <c r="D29" s="937">
        <f>+'FINAL-Distributed E&amp;G Budget'!O30</f>
        <v>0</v>
      </c>
      <c r="E29" s="937">
        <f>+'FINAL-Distributed E&amp;G Budget'!U30</f>
        <v>23540832</v>
      </c>
      <c r="F29" s="937">
        <f>+'FINAL-Distributed E&amp;G Budget'!Y30</f>
        <v>0</v>
      </c>
      <c r="G29" s="937">
        <f>+'FINAL-Distributed E&amp;G Budget'!W30+'FINAL-Distributed E&amp;G Budget'!X30+'FINAL-Distributed E&amp;G Budget'!Z30+'FINAL-Distributed E&amp;G Budget'!AA30+'FINAL-Distributed E&amp;G Budget'!AB30</f>
        <v>0</v>
      </c>
      <c r="H29" s="937">
        <f>SUM('FINAL-Distributed E&amp;G Budget'!AE30:AH30)</f>
        <v>-235410</v>
      </c>
      <c r="I29" s="937">
        <f t="shared" si="1"/>
        <v>23305422</v>
      </c>
      <c r="J29" s="936"/>
      <c r="K29" s="991"/>
    </row>
    <row r="30" spans="1:11" hidden="1" outlineLevel="1" x14ac:dyDescent="0.2">
      <c r="A30" s="524" t="s">
        <v>580</v>
      </c>
      <c r="B30" s="937">
        <f>+'FINAL-Distributed E&amp;G Budget'!B31+'FINAL-Distributed E&amp;G Budget'!J31</f>
        <v>5160000</v>
      </c>
      <c r="C30" s="937">
        <f>+'FINAL-Distributed E&amp;G Budget'!L31+'FINAL-Distributed E&amp;G Budget'!M31+'FINAL-Distributed E&amp;G Budget'!N31</f>
        <v>0</v>
      </c>
      <c r="D30" s="937">
        <f>+'FINAL-Distributed E&amp;G Budget'!O31</f>
        <v>0</v>
      </c>
      <c r="E30" s="937">
        <f>+'FINAL-Distributed E&amp;G Budget'!U31</f>
        <v>0</v>
      </c>
      <c r="F30" s="937">
        <f>+'FINAL-Distributed E&amp;G Budget'!Y31</f>
        <v>0</v>
      </c>
      <c r="G30" s="937">
        <f>+'FINAL-Distributed E&amp;G Budget'!W31+'FINAL-Distributed E&amp;G Budget'!X31+'FINAL-Distributed E&amp;G Budget'!Z31+'FINAL-Distributed E&amp;G Budget'!AA31+'FINAL-Distributed E&amp;G Budget'!AB31</f>
        <v>0</v>
      </c>
      <c r="H30" s="937">
        <f>SUM('FINAL-Distributed E&amp;G Budget'!AE31:AH31)</f>
        <v>-51600</v>
      </c>
      <c r="I30" s="937">
        <f t="shared" si="1"/>
        <v>5108400</v>
      </c>
      <c r="J30" s="936"/>
      <c r="K30" s="991"/>
    </row>
    <row r="31" spans="1:11" hidden="1" outlineLevel="1" x14ac:dyDescent="0.2">
      <c r="A31" s="677" t="s">
        <v>705</v>
      </c>
      <c r="B31" s="942">
        <f>+'FINAL-Distributed E&amp;G Budget'!B32+'FINAL-Distributed E&amp;G Budget'!J32</f>
        <v>0</v>
      </c>
      <c r="C31" s="942">
        <f>+'FINAL-Distributed E&amp;G Budget'!L32+'FINAL-Distributed E&amp;G Budget'!M32+'FINAL-Distributed E&amp;G Budget'!N32</f>
        <v>0</v>
      </c>
      <c r="D31" s="942">
        <f>+'FINAL-Distributed E&amp;G Budget'!O32</f>
        <v>0</v>
      </c>
      <c r="E31" s="942">
        <f>+'FINAL-Distributed E&amp;G Budget'!U32</f>
        <v>687349</v>
      </c>
      <c r="F31" s="942">
        <f>+'FINAL-Distributed E&amp;G Budget'!Y32</f>
        <v>0</v>
      </c>
      <c r="G31" s="942">
        <f>+'FINAL-Distributed E&amp;G Budget'!W32+'FINAL-Distributed E&amp;G Budget'!X32+'FINAL-Distributed E&amp;G Budget'!Z32+'FINAL-Distributed E&amp;G Budget'!AA32+'FINAL-Distributed E&amp;G Budget'!AB32</f>
        <v>0</v>
      </c>
      <c r="H31" s="942">
        <f>SUM('FINAL-Distributed E&amp;G Budget'!AE32:AH32)</f>
        <v>-6870</v>
      </c>
      <c r="I31" s="942">
        <f t="shared" si="1"/>
        <v>680479</v>
      </c>
      <c r="J31" s="936"/>
      <c r="K31" s="991"/>
    </row>
    <row r="32" spans="1:11" hidden="1" outlineLevel="1" x14ac:dyDescent="0.2">
      <c r="A32" s="208" t="s">
        <v>162</v>
      </c>
      <c r="B32" s="937">
        <f>+'FINAL-Distributed E&amp;G Budget'!B33+'FINAL-Distributed E&amp;G Budget'!J33</f>
        <v>0</v>
      </c>
      <c r="C32" s="937">
        <f>+'FINAL-Distributed E&amp;G Budget'!L33+'FINAL-Distributed E&amp;G Budget'!M33+'FINAL-Distributed E&amp;G Budget'!N33</f>
        <v>0</v>
      </c>
      <c r="D32" s="937">
        <f>+'FINAL-Distributed E&amp;G Budget'!O33</f>
        <v>0</v>
      </c>
      <c r="E32" s="937">
        <f>+'FINAL-Distributed E&amp;G Budget'!U33</f>
        <v>0</v>
      </c>
      <c r="F32" s="937">
        <f>+'FINAL-Distributed E&amp;G Budget'!Y33</f>
        <v>403000</v>
      </c>
      <c r="G32" s="937">
        <f>+'FINAL-Distributed E&amp;G Budget'!W33+'FINAL-Distributed E&amp;G Budget'!X33+'FINAL-Distributed E&amp;G Budget'!Z33+'FINAL-Distributed E&amp;G Budget'!AA33+'FINAL-Distributed E&amp;G Budget'!AB33</f>
        <v>521800</v>
      </c>
      <c r="H32" s="937">
        <f>SUM('FINAL-Distributed E&amp;G Budget'!AE33:AH33)</f>
        <v>-9250</v>
      </c>
      <c r="I32" s="937">
        <f t="shared" si="1"/>
        <v>915550</v>
      </c>
      <c r="J32" s="936"/>
      <c r="K32" s="991"/>
    </row>
    <row r="33" spans="1:11" hidden="1" outlineLevel="1" x14ac:dyDescent="0.2">
      <c r="A33" s="524" t="s">
        <v>163</v>
      </c>
      <c r="B33" s="937">
        <f>+'FINAL-Distributed E&amp;G Budget'!B34+'FINAL-Distributed E&amp;G Budget'!J34</f>
        <v>2758689</v>
      </c>
      <c r="C33" s="937">
        <f>+'FINAL-Distributed E&amp;G Budget'!L34+'FINAL-Distributed E&amp;G Budget'!M34+'FINAL-Distributed E&amp;G Budget'!N34</f>
        <v>0</v>
      </c>
      <c r="D33" s="937">
        <f>+'FINAL-Distributed E&amp;G Budget'!O34</f>
        <v>0</v>
      </c>
      <c r="E33" s="937">
        <f>+'FINAL-Distributed E&amp;G Budget'!U34</f>
        <v>12694792</v>
      </c>
      <c r="F33" s="937">
        <f>+'FINAL-Distributed E&amp;G Budget'!Y34</f>
        <v>0</v>
      </c>
      <c r="G33" s="937">
        <f>+'FINAL-Distributed E&amp;G Budget'!W34+'FINAL-Distributed E&amp;G Budget'!X34+'FINAL-Distributed E&amp;G Budget'!Z34+'FINAL-Distributed E&amp;G Budget'!AA34+'FINAL-Distributed E&amp;G Budget'!AB34</f>
        <v>0</v>
      </c>
      <c r="H33" s="937">
        <f>SUM('FINAL-Distributed E&amp;G Budget'!AE34:AH34)</f>
        <v>-167750</v>
      </c>
      <c r="I33" s="937">
        <f t="shared" si="1"/>
        <v>15285731</v>
      </c>
      <c r="J33" s="936"/>
      <c r="K33" s="991"/>
    </row>
    <row r="34" spans="1:11" hidden="1" outlineLevel="1" x14ac:dyDescent="0.2">
      <c r="A34" s="207" t="s">
        <v>377</v>
      </c>
      <c r="B34" s="939">
        <f>+'FINAL-Distributed E&amp;G Budget'!B35+'FINAL-Distributed E&amp;G Budget'!J35</f>
        <v>3331247</v>
      </c>
      <c r="C34" s="939">
        <f>+'FINAL-Distributed E&amp;G Budget'!L35+'FINAL-Distributed E&amp;G Budget'!M35+'FINAL-Distributed E&amp;G Budget'!N35</f>
        <v>225000</v>
      </c>
      <c r="D34" s="939">
        <f>+'FINAL-Distributed E&amp;G Budget'!O35</f>
        <v>7839407</v>
      </c>
      <c r="E34" s="939">
        <f>+'FINAL-Distributed E&amp;G Budget'!U35</f>
        <v>0</v>
      </c>
      <c r="F34" s="939">
        <f>+'FINAL-Distributed E&amp;G Budget'!Y35</f>
        <v>0</v>
      </c>
      <c r="G34" s="939">
        <f>+'FINAL-Distributed E&amp;G Budget'!W35+'FINAL-Distributed E&amp;G Budget'!X35+'FINAL-Distributed E&amp;G Budget'!Z35+'FINAL-Distributed E&amp;G Budget'!AA35+'FINAL-Distributed E&amp;G Budget'!AB35</f>
        <v>806600</v>
      </c>
      <c r="H34" s="939">
        <f>SUM('FINAL-Distributed E&amp;G Budget'!AE35:AH35)</f>
        <v>-286170</v>
      </c>
      <c r="I34" s="939">
        <f t="shared" si="1"/>
        <v>11916084</v>
      </c>
      <c r="J34" s="936"/>
      <c r="K34" s="991"/>
    </row>
    <row r="35" spans="1:11" hidden="1" outlineLevel="1" x14ac:dyDescent="0.2">
      <c r="A35" s="211" t="s">
        <v>165</v>
      </c>
      <c r="B35" s="945">
        <f>+'FINAL-Distributed E&amp;G Budget'!B36+'FINAL-Distributed E&amp;G Budget'!J36</f>
        <v>90196739</v>
      </c>
      <c r="C35" s="945">
        <f>+'FINAL-Distributed E&amp;G Budget'!L36+'FINAL-Distributed E&amp;G Budget'!M36+'FINAL-Distributed E&amp;G Budget'!N36</f>
        <v>1885875</v>
      </c>
      <c r="D35" s="945">
        <f>+'FINAL-Distributed E&amp;G Budget'!O36</f>
        <v>18568322</v>
      </c>
      <c r="E35" s="945">
        <f>+'FINAL-Distributed E&amp;G Budget'!U36</f>
        <v>36922973</v>
      </c>
      <c r="F35" s="945">
        <f>+'FINAL-Distributed E&amp;G Budget'!Y36</f>
        <v>95143900</v>
      </c>
      <c r="G35" s="945">
        <f>+'FINAL-Distributed E&amp;G Budget'!W36+'FINAL-Distributed E&amp;G Budget'!X36+'FINAL-Distributed E&amp;G Budget'!Z36+'FINAL-Distributed E&amp;G Budget'!AA36+'FINAL-Distributed E&amp;G Budget'!AB36</f>
        <v>131654200</v>
      </c>
      <c r="H35" s="945">
        <f>SUM('FINAL-Distributed E&amp;G Budget'!AE36:AH36)</f>
        <v>-715638</v>
      </c>
      <c r="I35" s="945">
        <f t="shared" si="1"/>
        <v>373656371</v>
      </c>
      <c r="J35" s="936"/>
      <c r="K35" s="991"/>
    </row>
    <row r="36" spans="1:11" hidden="1" outlineLevel="1" x14ac:dyDescent="0.2">
      <c r="A36" s="524"/>
      <c r="B36" s="944"/>
      <c r="C36" s="944"/>
      <c r="D36" s="944"/>
      <c r="E36" s="944"/>
      <c r="F36" s="944"/>
      <c r="G36" s="944"/>
      <c r="H36" s="944"/>
      <c r="I36" s="944"/>
      <c r="K36" s="991"/>
    </row>
    <row r="37" spans="1:11" hidden="1" outlineLevel="1" x14ac:dyDescent="0.2">
      <c r="A37" s="522"/>
      <c r="B37" s="944"/>
      <c r="C37" s="944"/>
      <c r="D37" s="944"/>
      <c r="E37" s="944"/>
      <c r="F37" s="944"/>
      <c r="G37" s="944"/>
      <c r="H37" s="944"/>
      <c r="I37" s="944"/>
      <c r="K37" s="991"/>
    </row>
    <row r="38" spans="1:11" hidden="1" outlineLevel="1" x14ac:dyDescent="0.2">
      <c r="A38" s="200" t="s">
        <v>166</v>
      </c>
      <c r="B38" s="937">
        <f>+'FINAL-Distributed E&amp;G Budget'!B39+'FINAL-Distributed E&amp;G Budget'!J39</f>
        <v>0</v>
      </c>
      <c r="C38" s="937">
        <f>+'FINAL-Distributed E&amp;G Budget'!L39+'FINAL-Distributed E&amp;G Budget'!M39+'FINAL-Distributed E&amp;G Budget'!N39</f>
        <v>0</v>
      </c>
      <c r="D38" s="937">
        <f>+'FINAL-Distributed E&amp;G Budget'!O39</f>
        <v>0</v>
      </c>
      <c r="E38" s="937">
        <f>+'FINAL-Distributed E&amp;G Budget'!U39</f>
        <v>0</v>
      </c>
      <c r="F38" s="937">
        <f>+'FINAL-Distributed E&amp;G Budget'!Y39</f>
        <v>0</v>
      </c>
      <c r="G38" s="937">
        <f>+'FINAL-Distributed E&amp;G Budget'!W39+'FINAL-Distributed E&amp;G Budget'!X39+'FINAL-Distributed E&amp;G Budget'!Z39+'FINAL-Distributed E&amp;G Budget'!AA39+'FINAL-Distributed E&amp;G Budget'!AB39</f>
        <v>0</v>
      </c>
      <c r="H38" s="937">
        <f>SUM('FINAL-Distributed E&amp;G Budget'!AE39:AH39)</f>
        <v>0</v>
      </c>
      <c r="I38" s="937">
        <f t="shared" si="1"/>
        <v>0</v>
      </c>
      <c r="J38" s="936"/>
      <c r="K38" s="991"/>
    </row>
    <row r="39" spans="1:11" hidden="1" outlineLevel="1" x14ac:dyDescent="0.2">
      <c r="A39" s="197" t="s">
        <v>631</v>
      </c>
      <c r="B39" s="943">
        <f>+'FINAL-Distributed E&amp;G Budget'!B40+'FINAL-Distributed E&amp;G Budget'!J40</f>
        <v>0</v>
      </c>
      <c r="C39" s="943">
        <f>+'FINAL-Distributed E&amp;G Budget'!L40+'FINAL-Distributed E&amp;G Budget'!M40+'FINAL-Distributed E&amp;G Budget'!N40</f>
        <v>9944527</v>
      </c>
      <c r="D39" s="943">
        <f>+'FINAL-Distributed E&amp;G Budget'!O40</f>
        <v>0</v>
      </c>
      <c r="E39" s="943">
        <f>+'FINAL-Distributed E&amp;G Budget'!U40</f>
        <v>0</v>
      </c>
      <c r="F39" s="943">
        <f>+'FINAL-Distributed E&amp;G Budget'!Y40</f>
        <v>0</v>
      </c>
      <c r="G39" s="943">
        <f>+'FINAL-Distributed E&amp;G Budget'!W40+'FINAL-Distributed E&amp;G Budget'!X40+'FINAL-Distributed E&amp;G Budget'!Z40+'FINAL-Distributed E&amp;G Budget'!AA40+'FINAL-Distributed E&amp;G Budget'!AB40</f>
        <v>0</v>
      </c>
      <c r="H39" s="943">
        <f>SUM('FINAL-Distributed E&amp;G Budget'!AE40:AH40)</f>
        <v>-99450</v>
      </c>
      <c r="I39" s="943">
        <f t="shared" si="1"/>
        <v>9845077</v>
      </c>
      <c r="J39" s="936"/>
      <c r="K39" s="991"/>
    </row>
    <row r="40" spans="1:11" hidden="1" outlineLevel="1" x14ac:dyDescent="0.2">
      <c r="A40" s="208" t="s">
        <v>168</v>
      </c>
      <c r="B40" s="938">
        <f>+'FINAL-Distributed E&amp;G Budget'!B41+'FINAL-Distributed E&amp;G Budget'!J41</f>
        <v>0</v>
      </c>
      <c r="C40" s="938">
        <f>+'FINAL-Distributed E&amp;G Budget'!L41+'FINAL-Distributed E&amp;G Budget'!M41+'FINAL-Distributed E&amp;G Budget'!N41</f>
        <v>8000000</v>
      </c>
      <c r="D40" s="938">
        <f>+'FINAL-Distributed E&amp;G Budget'!O41</f>
        <v>0</v>
      </c>
      <c r="E40" s="938">
        <f>+'FINAL-Distributed E&amp;G Budget'!U41</f>
        <v>0</v>
      </c>
      <c r="F40" s="938">
        <f>+'FINAL-Distributed E&amp;G Budget'!Y41</f>
        <v>0</v>
      </c>
      <c r="G40" s="938">
        <f>+'FINAL-Distributed E&amp;G Budget'!W41+'FINAL-Distributed E&amp;G Budget'!X41+'FINAL-Distributed E&amp;G Budget'!Z41+'FINAL-Distributed E&amp;G Budget'!AA41+'FINAL-Distributed E&amp;G Budget'!AB41</f>
        <v>0</v>
      </c>
      <c r="H40" s="938">
        <f>SUM('FINAL-Distributed E&amp;G Budget'!AE41:AH41)</f>
        <v>-80000</v>
      </c>
      <c r="I40" s="938">
        <f t="shared" si="1"/>
        <v>7920000</v>
      </c>
      <c r="J40" s="936"/>
      <c r="K40" s="991"/>
    </row>
    <row r="41" spans="1:11" hidden="1" outlineLevel="1" x14ac:dyDescent="0.2">
      <c r="A41" s="524" t="s">
        <v>169</v>
      </c>
      <c r="B41" s="938">
        <f>+'FINAL-Distributed E&amp;G Budget'!B42+'FINAL-Distributed E&amp;G Budget'!J42</f>
        <v>6900</v>
      </c>
      <c r="C41" s="938">
        <f>+'FINAL-Distributed E&amp;G Budget'!L42+'FINAL-Distributed E&amp;G Budget'!M42+'FINAL-Distributed E&amp;G Budget'!N42</f>
        <v>0</v>
      </c>
      <c r="D41" s="938">
        <f>+'FINAL-Distributed E&amp;G Budget'!O42</f>
        <v>0</v>
      </c>
      <c r="E41" s="938">
        <f>+'FINAL-Distributed E&amp;G Budget'!U42</f>
        <v>4276597</v>
      </c>
      <c r="F41" s="938">
        <f>+'FINAL-Distributed E&amp;G Budget'!Y42</f>
        <v>0</v>
      </c>
      <c r="G41" s="938">
        <f>+'FINAL-Distributed E&amp;G Budget'!W42+'FINAL-Distributed E&amp;G Budget'!X42+'FINAL-Distributed E&amp;G Budget'!Z42+'FINAL-Distributed E&amp;G Budget'!AA42+'FINAL-Distributed E&amp;G Budget'!AB42</f>
        <v>0</v>
      </c>
      <c r="H41" s="938">
        <f>SUM('FINAL-Distributed E&amp;G Budget'!AE42:AH42)</f>
        <v>-43340</v>
      </c>
      <c r="I41" s="938">
        <f t="shared" si="1"/>
        <v>4240157</v>
      </c>
      <c r="J41" s="936"/>
      <c r="K41" s="991"/>
    </row>
    <row r="42" spans="1:11" hidden="1" outlineLevel="1" x14ac:dyDescent="0.2">
      <c r="A42" s="200" t="s">
        <v>170</v>
      </c>
      <c r="B42" s="937">
        <f>+'FINAL-Distributed E&amp;G Budget'!B43+'FINAL-Distributed E&amp;G Budget'!J43</f>
        <v>0</v>
      </c>
      <c r="C42" s="937">
        <f>+'FINAL-Distributed E&amp;G Budget'!L43+'FINAL-Distributed E&amp;G Budget'!M43+'FINAL-Distributed E&amp;G Budget'!N43</f>
        <v>1223683</v>
      </c>
      <c r="D42" s="937">
        <f>+'FINAL-Distributed E&amp;G Budget'!O43</f>
        <v>0</v>
      </c>
      <c r="E42" s="937">
        <f>+'FINAL-Distributed E&amp;G Budget'!U43</f>
        <v>0</v>
      </c>
      <c r="F42" s="937">
        <f>+'FINAL-Distributed E&amp;G Budget'!Y43</f>
        <v>0</v>
      </c>
      <c r="G42" s="937">
        <f>+'FINAL-Distributed E&amp;G Budget'!W43+'FINAL-Distributed E&amp;G Budget'!X43+'FINAL-Distributed E&amp;G Budget'!Z43+'FINAL-Distributed E&amp;G Budget'!AA43+'FINAL-Distributed E&amp;G Budget'!AB43</f>
        <v>0</v>
      </c>
      <c r="H42" s="937">
        <f>SUM('FINAL-Distributed E&amp;G Budget'!AE43:AH43)</f>
        <v>-12240</v>
      </c>
      <c r="I42" s="937">
        <f t="shared" si="1"/>
        <v>1211443</v>
      </c>
      <c r="J42" s="936"/>
      <c r="K42" s="991"/>
    </row>
    <row r="43" spans="1:11" hidden="1" outlineLevel="1" x14ac:dyDescent="0.2">
      <c r="A43" s="197" t="s">
        <v>171</v>
      </c>
      <c r="B43" s="943">
        <f>+'FINAL-Distributed E&amp;G Budget'!B44+'FINAL-Distributed E&amp;G Budget'!J44</f>
        <v>0</v>
      </c>
      <c r="C43" s="943">
        <f>+'FINAL-Distributed E&amp;G Budget'!L44+'FINAL-Distributed E&amp;G Budget'!M44+'FINAL-Distributed E&amp;G Budget'!N44</f>
        <v>1787754</v>
      </c>
      <c r="D43" s="943">
        <f>+'FINAL-Distributed E&amp;G Budget'!O44</f>
        <v>0</v>
      </c>
      <c r="E43" s="943">
        <f>+'FINAL-Distributed E&amp;G Budget'!U44</f>
        <v>0</v>
      </c>
      <c r="F43" s="943">
        <f>+'FINAL-Distributed E&amp;G Budget'!Y44</f>
        <v>0</v>
      </c>
      <c r="G43" s="943">
        <f>+'FINAL-Distributed E&amp;G Budget'!W44+'FINAL-Distributed E&amp;G Budget'!X44+'FINAL-Distributed E&amp;G Budget'!Z44+'FINAL-Distributed E&amp;G Budget'!AA44+'FINAL-Distributed E&amp;G Budget'!AB44</f>
        <v>0</v>
      </c>
      <c r="H43" s="943">
        <f>SUM('FINAL-Distributed E&amp;G Budget'!AE44:AH44)</f>
        <v>-17880</v>
      </c>
      <c r="I43" s="943">
        <f t="shared" si="1"/>
        <v>1769874</v>
      </c>
      <c r="J43" s="936"/>
      <c r="K43" s="991"/>
    </row>
    <row r="44" spans="1:11" hidden="1" outlineLevel="1" x14ac:dyDescent="0.2">
      <c r="A44" s="200" t="s">
        <v>682</v>
      </c>
      <c r="B44" s="937">
        <f>+'FINAL-Distributed E&amp;G Budget'!B45+'FINAL-Distributed E&amp;G Budget'!J45</f>
        <v>1200</v>
      </c>
      <c r="C44" s="937">
        <f>+'FINAL-Distributed E&amp;G Budget'!L45+'FINAL-Distributed E&amp;G Budget'!M45+'FINAL-Distributed E&amp;G Budget'!N45</f>
        <v>785092</v>
      </c>
      <c r="D44" s="937">
        <f>+'FINAL-Distributed E&amp;G Budget'!O45</f>
        <v>0</v>
      </c>
      <c r="E44" s="937">
        <f>+'FINAL-Distributed E&amp;G Budget'!U45</f>
        <v>0</v>
      </c>
      <c r="F44" s="937">
        <f>+'FINAL-Distributed E&amp;G Budget'!Y45</f>
        <v>0</v>
      </c>
      <c r="G44" s="937">
        <f>+'FINAL-Distributed E&amp;G Budget'!W45+'FINAL-Distributed E&amp;G Budget'!X45+'FINAL-Distributed E&amp;G Budget'!Z45+'FINAL-Distributed E&amp;G Budget'!AA45+'FINAL-Distributed E&amp;G Budget'!AB45</f>
        <v>0</v>
      </c>
      <c r="H44" s="937">
        <f>SUM('FINAL-Distributed E&amp;G Budget'!AE45:AH45)</f>
        <v>-7950</v>
      </c>
      <c r="I44" s="937">
        <f t="shared" si="1"/>
        <v>778342</v>
      </c>
      <c r="J44" s="936"/>
      <c r="K44" s="991"/>
    </row>
    <row r="45" spans="1:11" hidden="1" outlineLevel="1" x14ac:dyDescent="0.2">
      <c r="A45" s="524" t="s">
        <v>172</v>
      </c>
      <c r="B45" s="938">
        <f>+'FINAL-Distributed E&amp;G Budget'!B46+'FINAL-Distributed E&amp;G Budget'!J46</f>
        <v>3388126</v>
      </c>
      <c r="C45" s="938">
        <f>+'FINAL-Distributed E&amp;G Budget'!L46+'FINAL-Distributed E&amp;G Budget'!M46+'FINAL-Distributed E&amp;G Budget'!N46</f>
        <v>0</v>
      </c>
      <c r="D45" s="938">
        <f>+'FINAL-Distributed E&amp;G Budget'!O46</f>
        <v>0</v>
      </c>
      <c r="E45" s="938">
        <f>+'FINAL-Distributed E&amp;G Budget'!U46</f>
        <v>10293722</v>
      </c>
      <c r="F45" s="938">
        <f>+'FINAL-Distributed E&amp;G Budget'!Y46</f>
        <v>0</v>
      </c>
      <c r="G45" s="938">
        <f>+'FINAL-Distributed E&amp;G Budget'!W46+'FINAL-Distributed E&amp;G Budget'!X46+'FINAL-Distributed E&amp;G Budget'!Z46+'FINAL-Distributed E&amp;G Budget'!AA46+'FINAL-Distributed E&amp;G Budget'!AB46</f>
        <v>0</v>
      </c>
      <c r="H45" s="938">
        <f>SUM('FINAL-Distributed E&amp;G Budget'!AE46:AH46)</f>
        <v>-384950</v>
      </c>
      <c r="I45" s="938">
        <f t="shared" si="1"/>
        <v>13296898</v>
      </c>
      <c r="J45" s="936"/>
      <c r="K45" s="991"/>
    </row>
    <row r="46" spans="1:11" hidden="1" outlineLevel="1" x14ac:dyDescent="0.2">
      <c r="A46" s="679" t="s">
        <v>893</v>
      </c>
      <c r="B46" s="938">
        <f>+'FINAL-Distributed E&amp;G Budget'!B47+'FINAL-Distributed E&amp;G Budget'!J47</f>
        <v>955000</v>
      </c>
      <c r="C46" s="938">
        <f>+'FINAL-Distributed E&amp;G Budget'!L47+'FINAL-Distributed E&amp;G Budget'!M47+'FINAL-Distributed E&amp;G Budget'!N47</f>
        <v>0</v>
      </c>
      <c r="D46" s="938">
        <f>+'FINAL-Distributed E&amp;G Budget'!O47</f>
        <v>0</v>
      </c>
      <c r="E46" s="938">
        <f>+'FINAL-Distributed E&amp;G Budget'!U47</f>
        <v>3934357.65</v>
      </c>
      <c r="F46" s="938">
        <f>+'FINAL-Distributed E&amp;G Budget'!Y47</f>
        <v>0</v>
      </c>
      <c r="G46" s="938">
        <f>+'FINAL-Distributed E&amp;G Budget'!W47+'FINAL-Distributed E&amp;G Budget'!X47+'FINAL-Distributed E&amp;G Budget'!Z47+'FINAL-Distributed E&amp;G Budget'!AA47+'FINAL-Distributed E&amp;G Budget'!AB47</f>
        <v>0</v>
      </c>
      <c r="H46" s="938">
        <f>SUM('FINAL-Distributed E&amp;G Budget'!AE47:AH47)</f>
        <v>-119560</v>
      </c>
      <c r="I46" s="938">
        <f t="shared" si="1"/>
        <v>4769797.6500000004</v>
      </c>
      <c r="J46" s="936"/>
      <c r="K46" s="991"/>
    </row>
    <row r="47" spans="1:11" hidden="1" outlineLevel="1" x14ac:dyDescent="0.2">
      <c r="A47" s="524" t="s">
        <v>173</v>
      </c>
      <c r="B47" s="938">
        <f>+'FINAL-Distributed E&amp;G Budget'!B48+'FINAL-Distributed E&amp;G Budget'!J48</f>
        <v>0</v>
      </c>
      <c r="C47" s="938">
        <f>+'FINAL-Distributed E&amp;G Budget'!L48+'FINAL-Distributed E&amp;G Budget'!M48+'FINAL-Distributed E&amp;G Budget'!N48</f>
        <v>0</v>
      </c>
      <c r="D47" s="938">
        <f>+'FINAL-Distributed E&amp;G Budget'!O48</f>
        <v>0</v>
      </c>
      <c r="E47" s="938">
        <f>+'FINAL-Distributed E&amp;G Budget'!U48</f>
        <v>1350124</v>
      </c>
      <c r="F47" s="938">
        <f>+'FINAL-Distributed E&amp;G Budget'!Y48</f>
        <v>0</v>
      </c>
      <c r="G47" s="938">
        <f>+'FINAL-Distributed E&amp;G Budget'!W48+'FINAL-Distributed E&amp;G Budget'!X48+'FINAL-Distributed E&amp;G Budget'!Z48+'FINAL-Distributed E&amp;G Budget'!AA48+'FINAL-Distributed E&amp;G Budget'!AB48</f>
        <v>0</v>
      </c>
      <c r="H47" s="938">
        <f>SUM('FINAL-Distributed E&amp;G Budget'!AE48:AH48)</f>
        <v>-13500</v>
      </c>
      <c r="I47" s="938">
        <f t="shared" si="1"/>
        <v>1336624</v>
      </c>
      <c r="J47" s="936"/>
      <c r="K47" s="991"/>
    </row>
    <row r="48" spans="1:11" hidden="1" outlineLevel="1" x14ac:dyDescent="0.2">
      <c r="A48" s="677" t="s">
        <v>894</v>
      </c>
      <c r="B48" s="943">
        <f>+'FINAL-Distributed E&amp;G Budget'!B49+'FINAL-Distributed E&amp;G Budget'!J49</f>
        <v>2702700</v>
      </c>
      <c r="C48" s="943">
        <f>+'FINAL-Distributed E&amp;G Budget'!L49+'FINAL-Distributed E&amp;G Budget'!M49+'FINAL-Distributed E&amp;G Budget'!N49</f>
        <v>0</v>
      </c>
      <c r="D48" s="943">
        <f>+'FINAL-Distributed E&amp;G Budget'!O49</f>
        <v>0</v>
      </c>
      <c r="E48" s="943">
        <f>+'FINAL-Distributed E&amp;G Budget'!U49</f>
        <v>24599560</v>
      </c>
      <c r="F48" s="943">
        <f>+'FINAL-Distributed E&amp;G Budget'!Y49</f>
        <v>0</v>
      </c>
      <c r="G48" s="943">
        <f>+'FINAL-Distributed E&amp;G Budget'!W49+'FINAL-Distributed E&amp;G Budget'!X49+'FINAL-Distributed E&amp;G Budget'!Z49+'FINAL-Distributed E&amp;G Budget'!AA49+'FINAL-Distributed E&amp;G Budget'!AB49</f>
        <v>0</v>
      </c>
      <c r="H48" s="943">
        <f>SUM('FINAL-Distributed E&amp;G Budget'!AE49:AH49)</f>
        <v>-282100</v>
      </c>
      <c r="I48" s="943">
        <f t="shared" si="1"/>
        <v>27020160</v>
      </c>
      <c r="J48" s="936"/>
      <c r="K48" s="991"/>
    </row>
    <row r="49" spans="1:37" hidden="1" outlineLevel="1" x14ac:dyDescent="0.2">
      <c r="A49" s="524" t="s">
        <v>378</v>
      </c>
      <c r="B49" s="938">
        <f>+'FINAL-Distributed E&amp;G Budget'!B50+'FINAL-Distributed E&amp;G Budget'!J50</f>
        <v>1430000</v>
      </c>
      <c r="C49" s="938">
        <f>+'FINAL-Distributed E&amp;G Budget'!L50+'FINAL-Distributed E&amp;G Budget'!M50+'FINAL-Distributed E&amp;G Budget'!N50</f>
        <v>930050</v>
      </c>
      <c r="D49" s="938">
        <f>+'FINAL-Distributed E&amp;G Budget'!O50</f>
        <v>0</v>
      </c>
      <c r="E49" s="938">
        <f>+'FINAL-Distributed E&amp;G Budget'!U50</f>
        <v>2352445.9</v>
      </c>
      <c r="F49" s="938">
        <f>+'FINAL-Distributed E&amp;G Budget'!Y50</f>
        <v>0</v>
      </c>
      <c r="G49" s="938">
        <f>+'FINAL-Distributed E&amp;G Budget'!W50+'FINAL-Distributed E&amp;G Budget'!X50+'FINAL-Distributed E&amp;G Budget'!Z50+'FINAL-Distributed E&amp;G Budget'!AA50+'FINAL-Distributed E&amp;G Budget'!AB50</f>
        <v>0</v>
      </c>
      <c r="H49" s="938">
        <f>SUM('FINAL-Distributed E&amp;G Budget'!AE50:AH50)</f>
        <v>-121120</v>
      </c>
      <c r="I49" s="938">
        <f t="shared" si="1"/>
        <v>4591375.9000000004</v>
      </c>
      <c r="J49" s="936"/>
      <c r="K49" s="991"/>
    </row>
    <row r="50" spans="1:37" hidden="1" outlineLevel="1" x14ac:dyDescent="0.2">
      <c r="A50" s="200" t="s">
        <v>895</v>
      </c>
      <c r="B50" s="938">
        <f>+'FINAL-Distributed E&amp;G Budget'!B51+'FINAL-Distributed E&amp;G Budget'!J51</f>
        <v>0</v>
      </c>
      <c r="C50" s="938">
        <f>+'FINAL-Distributed E&amp;G Budget'!L51+'FINAL-Distributed E&amp;G Budget'!M51+'FINAL-Distributed E&amp;G Budget'!N51</f>
        <v>0</v>
      </c>
      <c r="D50" s="938">
        <f>+'FINAL-Distributed E&amp;G Budget'!O51</f>
        <v>0</v>
      </c>
      <c r="E50" s="938">
        <f>+'FINAL-Distributed E&amp;G Budget'!U51</f>
        <v>752520</v>
      </c>
      <c r="F50" s="938">
        <f>+'FINAL-Distributed E&amp;G Budget'!Y51</f>
        <v>0</v>
      </c>
      <c r="G50" s="938">
        <f>+'FINAL-Distributed E&amp;G Budget'!W51+'FINAL-Distributed E&amp;G Budget'!X51+'FINAL-Distributed E&amp;G Budget'!Z51+'FINAL-Distributed E&amp;G Budget'!AA51+'FINAL-Distributed E&amp;G Budget'!AB51</f>
        <v>0</v>
      </c>
      <c r="H50" s="938">
        <f>SUM('FINAL-Distributed E&amp;G Budget'!AE51:AH51)</f>
        <v>-7530</v>
      </c>
      <c r="I50" s="938">
        <f t="shared" si="1"/>
        <v>744990</v>
      </c>
      <c r="J50" s="936"/>
      <c r="K50" s="991"/>
    </row>
    <row r="51" spans="1:37" hidden="1" outlineLevel="1" x14ac:dyDescent="0.2">
      <c r="A51" s="207" t="s">
        <v>175</v>
      </c>
      <c r="B51" s="941">
        <f>+'FINAL-Distributed E&amp;G Budget'!B52+'FINAL-Distributed E&amp;G Budget'!J52</f>
        <v>3440000</v>
      </c>
      <c r="C51" s="941">
        <f>+'FINAL-Distributed E&amp;G Budget'!L52+'FINAL-Distributed E&amp;G Budget'!M52+'FINAL-Distributed E&amp;G Budget'!N52</f>
        <v>0</v>
      </c>
      <c r="D51" s="941">
        <f>+'FINAL-Distributed E&amp;G Budget'!O52</f>
        <v>0</v>
      </c>
      <c r="E51" s="941">
        <f>+'FINAL-Distributed E&amp;G Budget'!U52</f>
        <v>6196381</v>
      </c>
      <c r="F51" s="941">
        <f>+'FINAL-Distributed E&amp;G Budget'!Y52</f>
        <v>0</v>
      </c>
      <c r="G51" s="941">
        <f>+'FINAL-Distributed E&amp;G Budget'!W52+'FINAL-Distributed E&amp;G Budget'!X52+'FINAL-Distributed E&amp;G Budget'!Z52+'FINAL-Distributed E&amp;G Budget'!AA52+'FINAL-Distributed E&amp;G Budget'!AB52</f>
        <v>0</v>
      </c>
      <c r="H51" s="941">
        <f>SUM('FINAL-Distributed E&amp;G Budget'!AE52:AH52)</f>
        <v>-96360</v>
      </c>
      <c r="I51" s="941">
        <f t="shared" si="1"/>
        <v>9540021</v>
      </c>
      <c r="J51" s="936"/>
      <c r="K51" s="991"/>
    </row>
    <row r="52" spans="1:37" hidden="1" outlineLevel="1" x14ac:dyDescent="0.2">
      <c r="A52" s="524" t="s">
        <v>176</v>
      </c>
      <c r="B52" s="940">
        <f>+'FINAL-Distributed E&amp;G Budget'!B53+'FINAL-Distributed E&amp;G Budget'!J53</f>
        <v>1338459</v>
      </c>
      <c r="C52" s="940">
        <f>+'FINAL-Distributed E&amp;G Budget'!L53+'FINAL-Distributed E&amp;G Budget'!M53+'FINAL-Distributed E&amp;G Budget'!N53</f>
        <v>0</v>
      </c>
      <c r="D52" s="940">
        <f>+'FINAL-Distributed E&amp;G Budget'!O53</f>
        <v>0</v>
      </c>
      <c r="E52" s="940">
        <f>+'FINAL-Distributed E&amp;G Budget'!U53</f>
        <v>12276962</v>
      </c>
      <c r="F52" s="940">
        <f>+'FINAL-Distributed E&amp;G Budget'!Y53</f>
        <v>0</v>
      </c>
      <c r="G52" s="940">
        <f>+'FINAL-Distributed E&amp;G Budget'!W53+'FINAL-Distributed E&amp;G Budget'!X53+'FINAL-Distributed E&amp;G Budget'!Z53+'FINAL-Distributed E&amp;G Budget'!AA53+'FINAL-Distributed E&amp;G Budget'!AB53</f>
        <v>0</v>
      </c>
      <c r="H52" s="940">
        <f>SUM('FINAL-Distributed E&amp;G Budget'!AE53:AH53)</f>
        <v>-235200</v>
      </c>
      <c r="I52" s="940">
        <f t="shared" si="1"/>
        <v>13380221</v>
      </c>
      <c r="J52" s="936"/>
      <c r="K52" s="991"/>
    </row>
    <row r="53" spans="1:37" hidden="1" outlineLevel="1" x14ac:dyDescent="0.2">
      <c r="A53" s="207" t="s">
        <v>178</v>
      </c>
      <c r="B53" s="941">
        <f>+'FINAL-Distributed E&amp;G Budget'!B54+'FINAL-Distributed E&amp;G Budget'!J54</f>
        <v>4075000</v>
      </c>
      <c r="C53" s="941">
        <f>+'FINAL-Distributed E&amp;G Budget'!L54+'FINAL-Distributed E&amp;G Budget'!M54+'FINAL-Distributed E&amp;G Budget'!N54</f>
        <v>0</v>
      </c>
      <c r="D53" s="941">
        <f>+'FINAL-Distributed E&amp;G Budget'!O54</f>
        <v>0</v>
      </c>
      <c r="E53" s="941">
        <f>+'FINAL-Distributed E&amp;G Budget'!U54</f>
        <v>41472090</v>
      </c>
      <c r="F53" s="941">
        <f>+'FINAL-Distributed E&amp;G Budget'!Y54</f>
        <v>0</v>
      </c>
      <c r="G53" s="941">
        <f>+'FINAL-Distributed E&amp;G Budget'!W54+'FINAL-Distributed E&amp;G Budget'!X54+'FINAL-Distributed E&amp;G Budget'!Z54+'FINAL-Distributed E&amp;G Budget'!AA54+'FINAL-Distributed E&amp;G Budget'!AB54</f>
        <v>0</v>
      </c>
      <c r="H53" s="941">
        <f>SUM('FINAL-Distributed E&amp;G Budget'!AE54:AH54)</f>
        <v>-502460</v>
      </c>
      <c r="I53" s="941">
        <f t="shared" si="1"/>
        <v>45044630</v>
      </c>
      <c r="J53" s="936"/>
      <c r="K53" s="991"/>
    </row>
    <row r="54" spans="1:37" hidden="1" outlineLevel="1" x14ac:dyDescent="0.2">
      <c r="A54" s="524" t="s">
        <v>797</v>
      </c>
      <c r="B54" s="940">
        <f>+'FINAL-Distributed E&amp;G Budget'!B55+'FINAL-Distributed E&amp;G Budget'!J55</f>
        <v>9940000</v>
      </c>
      <c r="C54" s="940">
        <f>+'FINAL-Distributed E&amp;G Budget'!L55+'FINAL-Distributed E&amp;G Budget'!M55+'FINAL-Distributed E&amp;G Budget'!N55</f>
        <v>0</v>
      </c>
      <c r="D54" s="940">
        <f>+'FINAL-Distributed E&amp;G Budget'!O55</f>
        <v>0</v>
      </c>
      <c r="E54" s="940">
        <f>+'FINAL-Distributed E&amp;G Budget'!U55</f>
        <v>23177571</v>
      </c>
      <c r="F54" s="940">
        <f>+'FINAL-Distributed E&amp;G Budget'!Y55</f>
        <v>0</v>
      </c>
      <c r="G54" s="940">
        <f>+'FINAL-Distributed E&amp;G Budget'!W55+'FINAL-Distributed E&amp;G Budget'!X55+'FINAL-Distributed E&amp;G Budget'!Z55+'FINAL-Distributed E&amp;G Budget'!AA55+'FINAL-Distributed E&amp;G Budget'!AB55</f>
        <v>0</v>
      </c>
      <c r="H54" s="940">
        <f>SUM('FINAL-Distributed E&amp;G Budget'!AE55:AH55)</f>
        <v>-334880</v>
      </c>
      <c r="I54" s="940">
        <f t="shared" si="1"/>
        <v>32782691</v>
      </c>
      <c r="J54" s="936"/>
      <c r="K54" s="991"/>
    </row>
    <row r="55" spans="1:37" hidden="1" outlineLevel="1" x14ac:dyDescent="0.2">
      <c r="A55" s="222" t="s">
        <v>180</v>
      </c>
      <c r="B55" s="223">
        <f>+'FINAL-Distributed E&amp;G Budget'!B56+'FINAL-Distributed E&amp;G Budget'!J56</f>
        <v>27277385</v>
      </c>
      <c r="C55" s="223">
        <f>+'FINAL-Distributed E&amp;G Budget'!L56+'FINAL-Distributed E&amp;G Budget'!M56+'FINAL-Distributed E&amp;G Budget'!N56</f>
        <v>22671106</v>
      </c>
      <c r="D55" s="223">
        <f>+'FINAL-Distributed E&amp;G Budget'!O56</f>
        <v>0</v>
      </c>
      <c r="E55" s="223">
        <f>+'FINAL-Distributed E&amp;G Budget'!U56</f>
        <v>130682330.55</v>
      </c>
      <c r="F55" s="223">
        <f>+'FINAL-Distributed E&amp;G Budget'!Y56</f>
        <v>0</v>
      </c>
      <c r="G55" s="223">
        <f>+'FINAL-Distributed E&amp;G Budget'!W56+'FINAL-Distributed E&amp;G Budget'!X56+'FINAL-Distributed E&amp;G Budget'!Z56+'FINAL-Distributed E&amp;G Budget'!AA56+'FINAL-Distributed E&amp;G Budget'!AB56</f>
        <v>0</v>
      </c>
      <c r="H55" s="223">
        <f>SUM('FINAL-Distributed E&amp;G Budget'!AE56:AH56)</f>
        <v>-2358520</v>
      </c>
      <c r="I55" s="223">
        <f t="shared" si="1"/>
        <v>178272301.55000001</v>
      </c>
      <c r="J55" s="936"/>
      <c r="K55" s="991"/>
    </row>
    <row r="56" spans="1:37" ht="17" hidden="1" outlineLevel="1" thickBot="1" x14ac:dyDescent="0.25">
      <c r="A56" s="225" t="s">
        <v>181</v>
      </c>
      <c r="B56" s="226">
        <f>+'FINAL-Distributed E&amp;G Budget'!B57+'FINAL-Distributed E&amp;G Budget'!J57</f>
        <v>186078556</v>
      </c>
      <c r="C56" s="226">
        <f>+'FINAL-Distributed E&amp;G Budget'!L57+'FINAL-Distributed E&amp;G Budget'!M57+'FINAL-Distributed E&amp;G Budget'!N57</f>
        <v>29903619</v>
      </c>
      <c r="D56" s="226">
        <f>+'FINAL-Distributed E&amp;G Budget'!O57</f>
        <v>21738322</v>
      </c>
      <c r="E56" s="226">
        <f>+'FINAL-Distributed E&amp;G Budget'!U57</f>
        <v>151869832</v>
      </c>
      <c r="F56" s="226">
        <f>+'FINAL-Distributed E&amp;G Budget'!Y57</f>
        <v>95143900</v>
      </c>
      <c r="G56" s="226">
        <f>+'FINAL-Distributed E&amp;G Budget'!W57+'FINAL-Distributed E&amp;G Budget'!X57+'FINAL-Distributed E&amp;G Budget'!Z57+'FINAL-Distributed E&amp;G Budget'!AA57+'FINAL-Distributed E&amp;G Budget'!AB57</f>
        <v>131653626</v>
      </c>
      <c r="H56" s="226">
        <f>SUM('FINAL-Distributed E&amp;G Budget'!AE57:AH57)</f>
        <v>0</v>
      </c>
      <c r="I56" s="226">
        <f>SUM(B56:H56)</f>
        <v>616387855</v>
      </c>
      <c r="J56" s="936"/>
      <c r="K56" s="991"/>
    </row>
    <row r="57" spans="1:37" ht="17" hidden="1" outlineLevel="1" thickTop="1" x14ac:dyDescent="0.2"/>
    <row r="58" spans="1:37" collapsed="1" x14ac:dyDescent="0.2"/>
    <row r="59" spans="1:37" x14ac:dyDescent="0.2">
      <c r="A59" s="990" t="s">
        <v>884</v>
      </c>
      <c r="K59" s="990" t="s">
        <v>1008</v>
      </c>
      <c r="L59" s="935"/>
      <c r="M59" s="935"/>
      <c r="N59" s="935"/>
      <c r="O59" s="935"/>
      <c r="P59" s="935"/>
      <c r="Q59" s="935"/>
      <c r="R59" s="935"/>
      <c r="S59" s="935"/>
    </row>
    <row r="60" spans="1:37" ht="75" hidden="1" outlineLevel="1" x14ac:dyDescent="0.2">
      <c r="A60" s="949" t="s">
        <v>115</v>
      </c>
      <c r="B60" s="948" t="s">
        <v>776</v>
      </c>
      <c r="C60" s="948" t="s">
        <v>775</v>
      </c>
      <c r="D60" s="948" t="s">
        <v>304</v>
      </c>
      <c r="E60" s="948" t="s">
        <v>774</v>
      </c>
      <c r="F60" s="948" t="s">
        <v>773</v>
      </c>
      <c r="G60" s="948" t="s">
        <v>772</v>
      </c>
      <c r="H60" s="948" t="s">
        <v>771</v>
      </c>
      <c r="I60" s="948" t="s">
        <v>887</v>
      </c>
      <c r="K60" s="949" t="s">
        <v>115</v>
      </c>
      <c r="L60" s="948" t="s">
        <v>776</v>
      </c>
      <c r="M60" s="948" t="s">
        <v>775</v>
      </c>
      <c r="N60" s="948" t="s">
        <v>304</v>
      </c>
      <c r="O60" s="948" t="s">
        <v>774</v>
      </c>
      <c r="P60" s="948" t="s">
        <v>773</v>
      </c>
      <c r="Q60" s="948" t="s">
        <v>772</v>
      </c>
      <c r="R60" s="948" t="s">
        <v>771</v>
      </c>
      <c r="S60" s="948" t="s">
        <v>889</v>
      </c>
    </row>
    <row r="61" spans="1:37" hidden="1" outlineLevel="1" x14ac:dyDescent="0.2">
      <c r="A61" s="175" t="s">
        <v>129</v>
      </c>
      <c r="B61" s="939">
        <v>0</v>
      </c>
      <c r="C61" s="939">
        <v>3342793</v>
      </c>
      <c r="D61" s="939"/>
      <c r="E61" s="939">
        <v>-3342793</v>
      </c>
      <c r="F61" s="939"/>
      <c r="G61" s="939"/>
      <c r="H61" s="939">
        <v>0</v>
      </c>
      <c r="I61" s="939">
        <f>SUM(B61:H61)</f>
        <v>0</v>
      </c>
      <c r="K61" s="175" t="s">
        <v>129</v>
      </c>
      <c r="L61" s="939">
        <f>+B6-B61</f>
        <v>3276588</v>
      </c>
      <c r="M61" s="939">
        <f t="shared" ref="M61:S61" si="2">+C6-C61</f>
        <v>-3342793</v>
      </c>
      <c r="N61" s="939">
        <f t="shared" si="2"/>
        <v>0</v>
      </c>
      <c r="O61" s="939">
        <f t="shared" si="2"/>
        <v>66205</v>
      </c>
      <c r="P61" s="939">
        <f t="shared" si="2"/>
        <v>0</v>
      </c>
      <c r="Q61" s="939">
        <f t="shared" si="2"/>
        <v>0</v>
      </c>
      <c r="R61" s="939">
        <f t="shared" si="2"/>
        <v>0</v>
      </c>
      <c r="S61" s="939">
        <f t="shared" si="2"/>
        <v>0</v>
      </c>
      <c r="AD61" s="936"/>
      <c r="AE61" s="936"/>
      <c r="AF61" s="936"/>
      <c r="AG61" s="936"/>
      <c r="AH61" s="936"/>
      <c r="AI61" s="936"/>
      <c r="AJ61" s="936"/>
      <c r="AK61" s="936"/>
    </row>
    <row r="62" spans="1:37" hidden="1" outlineLevel="1" x14ac:dyDescent="0.2">
      <c r="A62" s="175" t="s">
        <v>130</v>
      </c>
      <c r="B62" s="939">
        <v>6000000</v>
      </c>
      <c r="C62" s="939">
        <v>4291546</v>
      </c>
      <c r="D62" s="939"/>
      <c r="E62" s="939">
        <v>-7104832.5500000119</v>
      </c>
      <c r="F62" s="939"/>
      <c r="G62" s="939"/>
      <c r="H62" s="939">
        <v>-1416718</v>
      </c>
      <c r="I62" s="939">
        <f t="shared" ref="I62:I89" si="3">SUM(B62:H62)</f>
        <v>1769995.4499999881</v>
      </c>
      <c r="K62" s="175" t="s">
        <v>130</v>
      </c>
      <c r="L62" s="939">
        <f t="shared" ref="L62:L111" si="4">+B7-B62</f>
        <v>4355208</v>
      </c>
      <c r="M62" s="939">
        <f t="shared" ref="M62:M111" si="5">+C7-C62</f>
        <v>-4291546</v>
      </c>
      <c r="N62" s="939">
        <f t="shared" ref="N62:N111" si="6">+D7-D62</f>
        <v>0</v>
      </c>
      <c r="O62" s="939">
        <f t="shared" ref="O62:O111" si="7">+E7-E62</f>
        <v>-5354051</v>
      </c>
      <c r="P62" s="939">
        <f t="shared" ref="P62:P111" si="8">+F7-F62</f>
        <v>0</v>
      </c>
      <c r="Q62" s="939">
        <f t="shared" ref="Q62:Q111" si="9">+G7-G62</f>
        <v>0</v>
      </c>
      <c r="R62" s="939">
        <f t="shared" ref="R62:R111" si="10">+H7-H62</f>
        <v>4490876</v>
      </c>
      <c r="S62" s="939">
        <f t="shared" ref="S62:S111" si="11">+I7-I62</f>
        <v>-799513</v>
      </c>
      <c r="AD62" s="936"/>
      <c r="AE62" s="936"/>
      <c r="AF62" s="936"/>
      <c r="AG62" s="936"/>
      <c r="AH62" s="936"/>
      <c r="AI62" s="936"/>
      <c r="AJ62" s="936"/>
      <c r="AK62" s="936"/>
    </row>
    <row r="63" spans="1:37" hidden="1" outlineLevel="1" x14ac:dyDescent="0.2">
      <c r="A63" s="175" t="s">
        <v>131</v>
      </c>
      <c r="B63" s="939">
        <v>0</v>
      </c>
      <c r="C63" s="939">
        <v>0</v>
      </c>
      <c r="D63" s="939">
        <v>2016500</v>
      </c>
      <c r="E63" s="939">
        <v>0</v>
      </c>
      <c r="F63" s="939"/>
      <c r="G63" s="939"/>
      <c r="H63" s="939">
        <v>2261370</v>
      </c>
      <c r="I63" s="939">
        <f t="shared" si="3"/>
        <v>4277870</v>
      </c>
      <c r="K63" s="175" t="s">
        <v>131</v>
      </c>
      <c r="L63" s="939">
        <f t="shared" si="4"/>
        <v>0</v>
      </c>
      <c r="M63" s="939">
        <f t="shared" si="5"/>
        <v>0</v>
      </c>
      <c r="N63" s="939">
        <f t="shared" si="6"/>
        <v>1153500</v>
      </c>
      <c r="O63" s="939">
        <f t="shared" si="7"/>
        <v>0</v>
      </c>
      <c r="P63" s="939">
        <f t="shared" si="8"/>
        <v>0</v>
      </c>
      <c r="Q63" s="939">
        <f t="shared" si="9"/>
        <v>0</v>
      </c>
      <c r="R63" s="939">
        <f t="shared" si="10"/>
        <v>-2261370</v>
      </c>
      <c r="S63" s="939">
        <f t="shared" si="11"/>
        <v>-1107870</v>
      </c>
      <c r="AD63" s="936"/>
      <c r="AE63" s="936"/>
      <c r="AF63" s="936"/>
      <c r="AG63" s="936"/>
      <c r="AH63" s="936"/>
      <c r="AI63" s="936"/>
      <c r="AJ63" s="936"/>
      <c r="AK63" s="936"/>
    </row>
    <row r="64" spans="1:37" hidden="1" outlineLevel="1" x14ac:dyDescent="0.2">
      <c r="A64" s="175" t="s">
        <v>132</v>
      </c>
      <c r="B64" s="939">
        <v>12000000</v>
      </c>
      <c r="C64" s="939">
        <v>0</v>
      </c>
      <c r="D64" s="939"/>
      <c r="E64" s="939">
        <v>0</v>
      </c>
      <c r="F64" s="939"/>
      <c r="G64" s="939"/>
      <c r="H64" s="939">
        <v>0</v>
      </c>
      <c r="I64" s="939">
        <f t="shared" si="3"/>
        <v>12000000</v>
      </c>
      <c r="K64" s="175" t="s">
        <v>132</v>
      </c>
      <c r="L64" s="939">
        <f t="shared" si="4"/>
        <v>0</v>
      </c>
      <c r="M64" s="939">
        <f t="shared" si="5"/>
        <v>0</v>
      </c>
      <c r="N64" s="939">
        <f t="shared" si="6"/>
        <v>0</v>
      </c>
      <c r="O64" s="939">
        <f t="shared" si="7"/>
        <v>0</v>
      </c>
      <c r="P64" s="939">
        <f t="shared" si="8"/>
        <v>0</v>
      </c>
      <c r="Q64" s="939">
        <f t="shared" si="9"/>
        <v>0</v>
      </c>
      <c r="R64" s="939">
        <f t="shared" si="10"/>
        <v>0</v>
      </c>
      <c r="S64" s="939">
        <f t="shared" si="11"/>
        <v>0</v>
      </c>
      <c r="AD64" s="936"/>
      <c r="AE64" s="936"/>
      <c r="AF64" s="936"/>
      <c r="AG64" s="936"/>
      <c r="AH64" s="936"/>
      <c r="AI64" s="936"/>
      <c r="AJ64" s="936"/>
      <c r="AK64" s="936"/>
    </row>
    <row r="65" spans="1:37" hidden="1" outlineLevel="1" x14ac:dyDescent="0.2">
      <c r="A65" s="175" t="s">
        <v>134</v>
      </c>
      <c r="B65" s="939">
        <v>1944700</v>
      </c>
      <c r="C65" s="939">
        <v>19013097.999755591</v>
      </c>
      <c r="D65" s="939"/>
      <c r="E65" s="939">
        <v>0</v>
      </c>
      <c r="F65" s="939"/>
      <c r="G65" s="939"/>
      <c r="H65" s="939">
        <v>0</v>
      </c>
      <c r="I65" s="939">
        <f t="shared" si="3"/>
        <v>20957797.999755591</v>
      </c>
      <c r="K65" s="175" t="s">
        <v>134</v>
      </c>
      <c r="L65" s="939">
        <f t="shared" si="4"/>
        <v>53700</v>
      </c>
      <c r="M65" s="939">
        <f t="shared" si="5"/>
        <v>-13666459.999755591</v>
      </c>
      <c r="N65" s="939">
        <f t="shared" si="6"/>
        <v>0</v>
      </c>
      <c r="O65" s="939">
        <f t="shared" si="7"/>
        <v>0</v>
      </c>
      <c r="P65" s="939">
        <f t="shared" si="8"/>
        <v>0</v>
      </c>
      <c r="Q65" s="939">
        <f t="shared" si="9"/>
        <v>0</v>
      </c>
      <c r="R65" s="939">
        <f t="shared" si="10"/>
        <v>0</v>
      </c>
      <c r="S65" s="939">
        <f t="shared" si="11"/>
        <v>-13612759.999755591</v>
      </c>
      <c r="AD65" s="936"/>
      <c r="AE65" s="936"/>
      <c r="AF65" s="936"/>
      <c r="AG65" s="936"/>
      <c r="AH65" s="936"/>
      <c r="AI65" s="936"/>
      <c r="AJ65" s="936"/>
      <c r="AK65" s="936"/>
    </row>
    <row r="66" spans="1:37" hidden="1" outlineLevel="1" x14ac:dyDescent="0.2">
      <c r="A66" s="175" t="s">
        <v>137</v>
      </c>
      <c r="B66" s="939">
        <v>0</v>
      </c>
      <c r="C66" s="939">
        <v>5620000</v>
      </c>
      <c r="D66" s="939"/>
      <c r="E66" s="939">
        <v>0</v>
      </c>
      <c r="F66" s="939"/>
      <c r="G66" s="939"/>
      <c r="H66" s="939">
        <v>0</v>
      </c>
      <c r="I66" s="939">
        <f t="shared" si="3"/>
        <v>5620000</v>
      </c>
      <c r="K66" s="175" t="s">
        <v>137</v>
      </c>
      <c r="L66" s="939">
        <f t="shared" si="4"/>
        <v>180000</v>
      </c>
      <c r="M66" s="939">
        <f t="shared" si="5"/>
        <v>-5620000</v>
      </c>
      <c r="N66" s="939">
        <f t="shared" si="6"/>
        <v>0</v>
      </c>
      <c r="O66" s="939">
        <f t="shared" si="7"/>
        <v>0</v>
      </c>
      <c r="P66" s="939">
        <f t="shared" si="8"/>
        <v>0</v>
      </c>
      <c r="Q66" s="939">
        <f t="shared" si="9"/>
        <v>0</v>
      </c>
      <c r="R66" s="939">
        <f t="shared" si="10"/>
        <v>0</v>
      </c>
      <c r="S66" s="939">
        <f t="shared" si="11"/>
        <v>-5440000</v>
      </c>
      <c r="AD66" s="936"/>
      <c r="AE66" s="936"/>
      <c r="AF66" s="936"/>
      <c r="AG66" s="936"/>
      <c r="AH66" s="936"/>
      <c r="AI66" s="936"/>
      <c r="AJ66" s="936"/>
      <c r="AK66" s="936"/>
    </row>
    <row r="67" spans="1:37" hidden="1" outlineLevel="1" x14ac:dyDescent="0.2">
      <c r="A67" s="175" t="s">
        <v>138</v>
      </c>
      <c r="B67" s="939">
        <v>20660661</v>
      </c>
      <c r="C67" s="939">
        <v>20271631</v>
      </c>
      <c r="D67" s="939"/>
      <c r="E67" s="939">
        <v>0</v>
      </c>
      <c r="F67" s="939"/>
      <c r="G67" s="939"/>
      <c r="H67" s="939">
        <v>0</v>
      </c>
      <c r="I67" s="939">
        <f t="shared" si="3"/>
        <v>40932292</v>
      </c>
      <c r="K67" s="175" t="s">
        <v>138</v>
      </c>
      <c r="L67" s="939">
        <f t="shared" si="4"/>
        <v>20133575</v>
      </c>
      <c r="M67" s="939">
        <f t="shared" si="5"/>
        <v>-20271631</v>
      </c>
      <c r="N67" s="939">
        <f t="shared" si="6"/>
        <v>0</v>
      </c>
      <c r="O67" s="939">
        <f t="shared" si="7"/>
        <v>0</v>
      </c>
      <c r="P67" s="939">
        <f t="shared" si="8"/>
        <v>0</v>
      </c>
      <c r="Q67" s="939">
        <f t="shared" si="9"/>
        <v>0</v>
      </c>
      <c r="R67" s="939">
        <f t="shared" si="10"/>
        <v>0</v>
      </c>
      <c r="S67" s="939">
        <f t="shared" si="11"/>
        <v>-138056</v>
      </c>
      <c r="AD67" s="936"/>
      <c r="AE67" s="936"/>
      <c r="AF67" s="936"/>
      <c r="AG67" s="936"/>
      <c r="AH67" s="936"/>
      <c r="AI67" s="936"/>
      <c r="AJ67" s="936"/>
      <c r="AK67" s="936"/>
    </row>
    <row r="68" spans="1:37" hidden="1" outlineLevel="1" x14ac:dyDescent="0.2">
      <c r="A68" s="175" t="s">
        <v>677</v>
      </c>
      <c r="B68" s="939">
        <v>-63</v>
      </c>
      <c r="C68" s="939">
        <v>0</v>
      </c>
      <c r="D68" s="939"/>
      <c r="E68" s="939">
        <v>0</v>
      </c>
      <c r="F68" s="939"/>
      <c r="G68" s="939">
        <v>-81</v>
      </c>
      <c r="H68" s="939">
        <v>0</v>
      </c>
      <c r="I68" s="939">
        <f>SUM(B68:H68)</f>
        <v>-144</v>
      </c>
      <c r="K68" s="175" t="s">
        <v>677</v>
      </c>
      <c r="L68" s="939">
        <f t="shared" si="4"/>
        <v>63</v>
      </c>
      <c r="M68" s="939">
        <f t="shared" si="5"/>
        <v>0</v>
      </c>
      <c r="N68" s="939">
        <f t="shared" si="6"/>
        <v>0</v>
      </c>
      <c r="O68" s="939">
        <f t="shared" si="7"/>
        <v>0</v>
      </c>
      <c r="P68" s="939">
        <f t="shared" si="8"/>
        <v>0</v>
      </c>
      <c r="Q68" s="939">
        <f t="shared" si="9"/>
        <v>-493.00000000093132</v>
      </c>
      <c r="R68" s="939">
        <f t="shared" si="10"/>
        <v>0</v>
      </c>
      <c r="S68" s="939">
        <f t="shared" si="11"/>
        <v>-430.00000000093132</v>
      </c>
      <c r="AD68" s="936"/>
      <c r="AE68" s="936"/>
      <c r="AF68" s="936"/>
      <c r="AG68" s="936"/>
      <c r="AH68" s="936"/>
      <c r="AI68" s="936"/>
      <c r="AJ68" s="936"/>
      <c r="AK68" s="936"/>
    </row>
    <row r="69" spans="1:37" hidden="1" outlineLevel="1" x14ac:dyDescent="0.2">
      <c r="A69" s="522"/>
      <c r="B69" s="937"/>
      <c r="C69" s="937"/>
      <c r="D69" s="937"/>
      <c r="E69" s="937"/>
      <c r="F69" s="937"/>
      <c r="G69" s="937"/>
      <c r="H69" s="937"/>
      <c r="I69" s="937"/>
      <c r="K69" s="522"/>
      <c r="L69" s="937">
        <f t="shared" si="4"/>
        <v>0</v>
      </c>
      <c r="M69" s="937">
        <f t="shared" si="5"/>
        <v>0</v>
      </c>
      <c r="N69" s="937">
        <f t="shared" si="6"/>
        <v>0</v>
      </c>
      <c r="O69" s="937">
        <f t="shared" si="7"/>
        <v>0</v>
      </c>
      <c r="P69" s="937">
        <f t="shared" si="8"/>
        <v>0</v>
      </c>
      <c r="Q69" s="937">
        <f t="shared" si="9"/>
        <v>0</v>
      </c>
      <c r="R69" s="937">
        <f t="shared" si="10"/>
        <v>0</v>
      </c>
      <c r="S69" s="937">
        <f t="shared" si="11"/>
        <v>0</v>
      </c>
      <c r="AD69" s="936"/>
      <c r="AE69" s="936"/>
      <c r="AF69" s="936"/>
      <c r="AG69" s="936"/>
      <c r="AH69" s="936"/>
      <c r="AI69" s="936"/>
      <c r="AJ69" s="936"/>
      <c r="AK69" s="936"/>
    </row>
    <row r="70" spans="1:37" hidden="1" outlineLevel="1" x14ac:dyDescent="0.2">
      <c r="A70" s="192" t="s">
        <v>141</v>
      </c>
      <c r="B70" s="947"/>
      <c r="C70" s="947"/>
      <c r="D70" s="947"/>
      <c r="E70" s="947"/>
      <c r="F70" s="947"/>
      <c r="G70" s="947"/>
      <c r="H70" s="947"/>
      <c r="I70" s="947"/>
      <c r="K70" s="192" t="s">
        <v>141</v>
      </c>
      <c r="L70" s="947">
        <f t="shared" si="4"/>
        <v>0</v>
      </c>
      <c r="M70" s="947">
        <f t="shared" si="5"/>
        <v>0</v>
      </c>
      <c r="N70" s="947">
        <f t="shared" si="6"/>
        <v>0</v>
      </c>
      <c r="O70" s="947">
        <f t="shared" si="7"/>
        <v>0</v>
      </c>
      <c r="P70" s="947">
        <f t="shared" si="8"/>
        <v>0</v>
      </c>
      <c r="Q70" s="947">
        <f t="shared" si="9"/>
        <v>0</v>
      </c>
      <c r="R70" s="947">
        <f t="shared" si="10"/>
        <v>0</v>
      </c>
      <c r="S70" s="947">
        <f t="shared" si="11"/>
        <v>0</v>
      </c>
      <c r="AD70" s="936"/>
      <c r="AE70" s="936"/>
      <c r="AF70" s="936"/>
      <c r="AG70" s="936"/>
      <c r="AH70" s="936"/>
      <c r="AI70" s="936"/>
      <c r="AJ70" s="936"/>
      <c r="AK70" s="936"/>
    </row>
    <row r="71" spans="1:37" hidden="1" outlineLevel="1" x14ac:dyDescent="0.2">
      <c r="A71" s="195" t="s">
        <v>143</v>
      </c>
      <c r="B71" s="946"/>
      <c r="C71" s="946"/>
      <c r="D71" s="946"/>
      <c r="E71" s="946"/>
      <c r="F71" s="946"/>
      <c r="G71" s="946"/>
      <c r="H71" s="946"/>
      <c r="I71" s="946"/>
      <c r="K71" s="195" t="s">
        <v>143</v>
      </c>
      <c r="L71" s="946">
        <f t="shared" si="4"/>
        <v>0</v>
      </c>
      <c r="M71" s="946">
        <f t="shared" si="5"/>
        <v>0</v>
      </c>
      <c r="N71" s="946">
        <f t="shared" si="6"/>
        <v>0</v>
      </c>
      <c r="O71" s="946">
        <f t="shared" si="7"/>
        <v>0</v>
      </c>
      <c r="P71" s="946">
        <f t="shared" si="8"/>
        <v>0</v>
      </c>
      <c r="Q71" s="946">
        <f t="shared" si="9"/>
        <v>0</v>
      </c>
      <c r="R71" s="946">
        <f t="shared" si="10"/>
        <v>0</v>
      </c>
      <c r="S71" s="946">
        <f t="shared" si="11"/>
        <v>0</v>
      </c>
      <c r="AD71" s="936"/>
      <c r="AE71" s="936"/>
      <c r="AF71" s="936"/>
      <c r="AG71" s="936"/>
      <c r="AH71" s="936"/>
      <c r="AI71" s="936"/>
      <c r="AJ71" s="936"/>
      <c r="AK71" s="936"/>
    </row>
    <row r="72" spans="1:37" hidden="1" outlineLevel="1" x14ac:dyDescent="0.2">
      <c r="A72" s="197" t="s">
        <v>145</v>
      </c>
      <c r="B72" s="942">
        <v>3542676</v>
      </c>
      <c r="C72" s="942">
        <v>0</v>
      </c>
      <c r="D72" s="942"/>
      <c r="E72" s="942"/>
      <c r="F72" s="942">
        <v>10900000</v>
      </c>
      <c r="G72" s="942">
        <v>10731100</v>
      </c>
      <c r="H72" s="942">
        <v>-201390</v>
      </c>
      <c r="I72" s="942">
        <f t="shared" si="3"/>
        <v>24972386</v>
      </c>
      <c r="K72" s="197" t="s">
        <v>145</v>
      </c>
      <c r="L72" s="942">
        <f t="shared" si="4"/>
        <v>806318</v>
      </c>
      <c r="M72" s="942">
        <f t="shared" si="5"/>
        <v>0</v>
      </c>
      <c r="N72" s="942">
        <f t="shared" si="6"/>
        <v>0</v>
      </c>
      <c r="O72" s="942">
        <f t="shared" si="7"/>
        <v>0</v>
      </c>
      <c r="P72" s="942">
        <f t="shared" si="8"/>
        <v>0</v>
      </c>
      <c r="Q72" s="942">
        <f t="shared" si="9"/>
        <v>792200</v>
      </c>
      <c r="R72" s="942">
        <f t="shared" si="10"/>
        <v>-142684</v>
      </c>
      <c r="S72" s="942">
        <f t="shared" si="11"/>
        <v>1455834</v>
      </c>
      <c r="AD72" s="936"/>
      <c r="AE72" s="936"/>
      <c r="AF72" s="936"/>
      <c r="AG72" s="936"/>
      <c r="AH72" s="936"/>
      <c r="AI72" s="936"/>
      <c r="AJ72" s="936"/>
      <c r="AK72" s="936"/>
    </row>
    <row r="73" spans="1:37" hidden="1" outlineLevel="1" x14ac:dyDescent="0.2">
      <c r="A73" s="200" t="s">
        <v>147</v>
      </c>
      <c r="B73" s="937">
        <v>3428590</v>
      </c>
      <c r="C73" s="937">
        <v>0</v>
      </c>
      <c r="D73" s="937"/>
      <c r="E73" s="937"/>
      <c r="F73" s="937">
        <v>9353000</v>
      </c>
      <c r="G73" s="937">
        <v>12307800</v>
      </c>
      <c r="H73" s="937">
        <v>-200720</v>
      </c>
      <c r="I73" s="937">
        <f t="shared" si="3"/>
        <v>24888670</v>
      </c>
      <c r="K73" s="200" t="s">
        <v>147</v>
      </c>
      <c r="L73" s="937">
        <f t="shared" si="4"/>
        <v>-88993</v>
      </c>
      <c r="M73" s="937">
        <f t="shared" si="5"/>
        <v>0</v>
      </c>
      <c r="N73" s="937">
        <f t="shared" si="6"/>
        <v>0</v>
      </c>
      <c r="O73" s="937">
        <f t="shared" si="7"/>
        <v>0</v>
      </c>
      <c r="P73" s="937">
        <f t="shared" si="8"/>
        <v>1365900</v>
      </c>
      <c r="Q73" s="937">
        <f t="shared" si="9"/>
        <v>886800</v>
      </c>
      <c r="R73" s="937">
        <f t="shared" si="10"/>
        <v>-666149</v>
      </c>
      <c r="S73" s="937">
        <f t="shared" si="11"/>
        <v>1497558</v>
      </c>
      <c r="AD73" s="936"/>
      <c r="AE73" s="936"/>
      <c r="AF73" s="936"/>
      <c r="AG73" s="936"/>
      <c r="AH73" s="936"/>
      <c r="AI73" s="936"/>
      <c r="AJ73" s="936"/>
      <c r="AK73" s="936"/>
    </row>
    <row r="74" spans="1:37" hidden="1" outlineLevel="1" x14ac:dyDescent="0.2">
      <c r="A74" s="524" t="s">
        <v>149</v>
      </c>
      <c r="B74" s="937">
        <v>21192923</v>
      </c>
      <c r="C74" s="937">
        <v>0</v>
      </c>
      <c r="D74" s="937"/>
      <c r="E74" s="937"/>
      <c r="F74" s="937">
        <v>20500000</v>
      </c>
      <c r="G74" s="937">
        <v>27314300</v>
      </c>
      <c r="H74" s="937">
        <v>-552060</v>
      </c>
      <c r="I74" s="937">
        <f t="shared" si="3"/>
        <v>68455163</v>
      </c>
      <c r="K74" s="524" t="s">
        <v>149</v>
      </c>
      <c r="L74" s="937">
        <f t="shared" si="4"/>
        <v>78633</v>
      </c>
      <c r="M74" s="937">
        <f t="shared" si="5"/>
        <v>0</v>
      </c>
      <c r="N74" s="937">
        <f t="shared" si="6"/>
        <v>0</v>
      </c>
      <c r="O74" s="937">
        <f t="shared" si="7"/>
        <v>0</v>
      </c>
      <c r="P74" s="937">
        <f t="shared" si="8"/>
        <v>2000000</v>
      </c>
      <c r="Q74" s="937">
        <f t="shared" si="9"/>
        <v>2178600</v>
      </c>
      <c r="R74" s="937">
        <f t="shared" si="10"/>
        <v>-506100</v>
      </c>
      <c r="S74" s="937">
        <f t="shared" si="11"/>
        <v>3751133</v>
      </c>
      <c r="AD74" s="936"/>
      <c r="AE74" s="936"/>
      <c r="AF74" s="936"/>
      <c r="AG74" s="936"/>
      <c r="AH74" s="936"/>
      <c r="AI74" s="936"/>
      <c r="AJ74" s="936"/>
      <c r="AK74" s="936"/>
    </row>
    <row r="75" spans="1:37" hidden="1" outlineLevel="1" x14ac:dyDescent="0.2">
      <c r="A75" s="197" t="s">
        <v>150</v>
      </c>
      <c r="B75" s="942">
        <v>2779020</v>
      </c>
      <c r="C75" s="942">
        <v>0</v>
      </c>
      <c r="D75" s="942">
        <v>681200</v>
      </c>
      <c r="E75" s="942"/>
      <c r="F75" s="942">
        <v>1512000</v>
      </c>
      <c r="G75" s="942">
        <v>3501200</v>
      </c>
      <c r="H75" s="942">
        <v>-67790</v>
      </c>
      <c r="I75" s="942">
        <f t="shared" si="3"/>
        <v>8405630</v>
      </c>
      <c r="K75" s="197" t="s">
        <v>150</v>
      </c>
      <c r="L75" s="942">
        <f t="shared" si="4"/>
        <v>920304</v>
      </c>
      <c r="M75" s="942">
        <f t="shared" si="5"/>
        <v>0</v>
      </c>
      <c r="N75" s="942">
        <f t="shared" si="6"/>
        <v>0</v>
      </c>
      <c r="O75" s="942">
        <f t="shared" si="7"/>
        <v>0</v>
      </c>
      <c r="P75" s="942">
        <f t="shared" si="8"/>
        <v>0</v>
      </c>
      <c r="Q75" s="942">
        <f t="shared" si="9"/>
        <v>162500</v>
      </c>
      <c r="R75" s="942">
        <f t="shared" si="10"/>
        <v>-218423</v>
      </c>
      <c r="S75" s="942">
        <f t="shared" si="11"/>
        <v>864381</v>
      </c>
      <c r="AD75" s="936"/>
      <c r="AE75" s="936"/>
      <c r="AF75" s="936"/>
      <c r="AG75" s="936"/>
      <c r="AH75" s="936"/>
      <c r="AI75" s="936"/>
      <c r="AJ75" s="936"/>
      <c r="AK75" s="936"/>
    </row>
    <row r="76" spans="1:37" hidden="1" outlineLevel="1" x14ac:dyDescent="0.2">
      <c r="A76" s="200" t="s">
        <v>151</v>
      </c>
      <c r="B76" s="937">
        <v>1706565</v>
      </c>
      <c r="C76" s="937">
        <v>850000</v>
      </c>
      <c r="D76" s="937"/>
      <c r="E76" s="937"/>
      <c r="F76" s="937">
        <v>5795000</v>
      </c>
      <c r="G76" s="937">
        <v>8879200</v>
      </c>
      <c r="H76" s="937">
        <v>2325851</v>
      </c>
      <c r="I76" s="937">
        <f t="shared" si="3"/>
        <v>19556616</v>
      </c>
      <c r="K76" s="200" t="s">
        <v>151</v>
      </c>
      <c r="L76" s="937">
        <f t="shared" si="4"/>
        <v>34889</v>
      </c>
      <c r="M76" s="937">
        <f t="shared" si="5"/>
        <v>0</v>
      </c>
      <c r="N76" s="937">
        <f t="shared" si="6"/>
        <v>0</v>
      </c>
      <c r="O76" s="937">
        <f t="shared" si="7"/>
        <v>0</v>
      </c>
      <c r="P76" s="937">
        <f t="shared" si="8"/>
        <v>0</v>
      </c>
      <c r="Q76" s="937">
        <f t="shared" si="9"/>
        <v>717100</v>
      </c>
      <c r="R76" s="937">
        <f t="shared" si="10"/>
        <v>50150</v>
      </c>
      <c r="S76" s="937">
        <f t="shared" si="11"/>
        <v>802139</v>
      </c>
      <c r="AD76" s="936"/>
      <c r="AE76" s="936"/>
      <c r="AF76" s="936"/>
      <c r="AG76" s="936"/>
      <c r="AH76" s="936"/>
      <c r="AI76" s="936"/>
      <c r="AJ76" s="936"/>
      <c r="AK76" s="936"/>
    </row>
    <row r="77" spans="1:37" hidden="1" outlineLevel="1" x14ac:dyDescent="0.2">
      <c r="A77" s="524" t="s">
        <v>152</v>
      </c>
      <c r="B77" s="937">
        <v>150600</v>
      </c>
      <c r="C77" s="937">
        <v>0</v>
      </c>
      <c r="D77" s="937">
        <v>227100</v>
      </c>
      <c r="E77" s="937"/>
      <c r="F77" s="937">
        <v>3865000</v>
      </c>
      <c r="G77" s="937">
        <v>2106400</v>
      </c>
      <c r="H77" s="937">
        <v>-50790</v>
      </c>
      <c r="I77" s="937">
        <f t="shared" si="3"/>
        <v>6298310</v>
      </c>
      <c r="K77" s="524" t="s">
        <v>152</v>
      </c>
      <c r="L77" s="937">
        <f t="shared" si="4"/>
        <v>11400</v>
      </c>
      <c r="M77" s="937">
        <f t="shared" si="5"/>
        <v>0</v>
      </c>
      <c r="N77" s="937">
        <f t="shared" si="6"/>
        <v>40000</v>
      </c>
      <c r="O77" s="937">
        <f t="shared" si="7"/>
        <v>0</v>
      </c>
      <c r="P77" s="937">
        <f t="shared" si="8"/>
        <v>0</v>
      </c>
      <c r="Q77" s="937">
        <f t="shared" si="9"/>
        <v>97100</v>
      </c>
      <c r="R77" s="937">
        <f t="shared" si="10"/>
        <v>-61642</v>
      </c>
      <c r="S77" s="937">
        <f t="shared" si="11"/>
        <v>86858</v>
      </c>
      <c r="AD77" s="936"/>
      <c r="AE77" s="936"/>
      <c r="AF77" s="936"/>
      <c r="AG77" s="936"/>
      <c r="AH77" s="936"/>
      <c r="AI77" s="936"/>
      <c r="AJ77" s="936"/>
      <c r="AK77" s="936"/>
    </row>
    <row r="78" spans="1:37" hidden="1" outlineLevel="1" x14ac:dyDescent="0.2">
      <c r="A78" s="197" t="s">
        <v>153</v>
      </c>
      <c r="B78" s="942">
        <v>1222420</v>
      </c>
      <c r="C78" s="942">
        <v>50000</v>
      </c>
      <c r="D78" s="942"/>
      <c r="E78" s="942"/>
      <c r="F78" s="942">
        <v>22295000</v>
      </c>
      <c r="G78" s="942">
        <v>22820200</v>
      </c>
      <c r="H78" s="942">
        <v>-4083</v>
      </c>
      <c r="I78" s="942">
        <f t="shared" si="3"/>
        <v>46383537</v>
      </c>
      <c r="K78" s="197" t="s">
        <v>153</v>
      </c>
      <c r="L78" s="942">
        <f t="shared" si="4"/>
        <v>151289</v>
      </c>
      <c r="M78" s="942">
        <f t="shared" si="5"/>
        <v>0</v>
      </c>
      <c r="N78" s="942">
        <f t="shared" si="6"/>
        <v>0</v>
      </c>
      <c r="O78" s="942">
        <f t="shared" si="7"/>
        <v>0</v>
      </c>
      <c r="P78" s="942">
        <f t="shared" si="8"/>
        <v>0</v>
      </c>
      <c r="Q78" s="942">
        <f t="shared" si="9"/>
        <v>1400700</v>
      </c>
      <c r="R78" s="942">
        <f t="shared" si="10"/>
        <v>137974</v>
      </c>
      <c r="S78" s="942">
        <f t="shared" si="11"/>
        <v>1689963</v>
      </c>
      <c r="AD78" s="936"/>
      <c r="AE78" s="936"/>
      <c r="AF78" s="936"/>
      <c r="AG78" s="936"/>
      <c r="AH78" s="936"/>
      <c r="AI78" s="936"/>
      <c r="AJ78" s="936"/>
      <c r="AK78" s="936"/>
    </row>
    <row r="79" spans="1:37" hidden="1" outlineLevel="1" x14ac:dyDescent="0.2">
      <c r="A79" s="524" t="s">
        <v>154</v>
      </c>
      <c r="B79" s="937">
        <v>4330073</v>
      </c>
      <c r="C79" s="937">
        <v>10875</v>
      </c>
      <c r="D79" s="937">
        <v>2360100</v>
      </c>
      <c r="E79" s="937"/>
      <c r="F79" s="937">
        <v>2600000</v>
      </c>
      <c r="G79" s="937">
        <v>5734200</v>
      </c>
      <c r="H79" s="937">
        <v>-120280</v>
      </c>
      <c r="I79" s="937">
        <f t="shared" si="3"/>
        <v>14914968</v>
      </c>
      <c r="K79" s="524" t="s">
        <v>154</v>
      </c>
      <c r="L79" s="937">
        <f t="shared" si="4"/>
        <v>147958</v>
      </c>
      <c r="M79" s="937">
        <f t="shared" si="5"/>
        <v>0</v>
      </c>
      <c r="N79" s="937">
        <f t="shared" si="6"/>
        <v>0</v>
      </c>
      <c r="O79" s="937">
        <f t="shared" si="7"/>
        <v>0</v>
      </c>
      <c r="P79" s="937">
        <f t="shared" si="8"/>
        <v>0</v>
      </c>
      <c r="Q79" s="937">
        <f t="shared" si="9"/>
        <v>693200</v>
      </c>
      <c r="R79" s="937">
        <f t="shared" si="10"/>
        <v>-47092</v>
      </c>
      <c r="S79" s="937">
        <f t="shared" si="11"/>
        <v>794066</v>
      </c>
      <c r="AD79" s="936"/>
      <c r="AE79" s="936"/>
      <c r="AF79" s="936"/>
      <c r="AG79" s="936"/>
      <c r="AH79" s="936"/>
      <c r="AI79" s="936"/>
      <c r="AJ79" s="936"/>
      <c r="AK79" s="936"/>
    </row>
    <row r="80" spans="1:37" hidden="1" outlineLevel="1" x14ac:dyDescent="0.2">
      <c r="A80" s="524" t="s">
        <v>155</v>
      </c>
      <c r="B80" s="937">
        <v>6571937</v>
      </c>
      <c r="C80" s="937">
        <v>0</v>
      </c>
      <c r="D80" s="937">
        <v>2660100</v>
      </c>
      <c r="E80" s="937"/>
      <c r="F80" s="937">
        <v>110000</v>
      </c>
      <c r="G80" s="937">
        <v>3291800</v>
      </c>
      <c r="H80" s="937">
        <v>-101070</v>
      </c>
      <c r="I80" s="937">
        <f t="shared" si="3"/>
        <v>12532767</v>
      </c>
      <c r="K80" s="524" t="s">
        <v>155</v>
      </c>
      <c r="L80" s="937">
        <f t="shared" si="4"/>
        <v>6099946</v>
      </c>
      <c r="M80" s="937">
        <f t="shared" si="5"/>
        <v>0</v>
      </c>
      <c r="N80" s="937">
        <f t="shared" si="6"/>
        <v>-2660100</v>
      </c>
      <c r="O80" s="937">
        <f t="shared" si="7"/>
        <v>0</v>
      </c>
      <c r="P80" s="937">
        <f t="shared" si="8"/>
        <v>0</v>
      </c>
      <c r="Q80" s="937">
        <f t="shared" si="9"/>
        <v>-3291800</v>
      </c>
      <c r="R80" s="937">
        <f t="shared" si="10"/>
        <v>-26750</v>
      </c>
      <c r="S80" s="937">
        <f t="shared" si="11"/>
        <v>121296</v>
      </c>
      <c r="AD80" s="936"/>
      <c r="AE80" s="936"/>
      <c r="AF80" s="936"/>
      <c r="AG80" s="936"/>
      <c r="AH80" s="936"/>
      <c r="AI80" s="936"/>
      <c r="AJ80" s="936"/>
      <c r="AK80" s="936"/>
    </row>
    <row r="81" spans="1:37" hidden="1" outlineLevel="1" x14ac:dyDescent="0.2">
      <c r="A81" s="197" t="s">
        <v>156</v>
      </c>
      <c r="B81" s="942">
        <v>2023890</v>
      </c>
      <c r="C81" s="942">
        <v>750000</v>
      </c>
      <c r="D81" s="942"/>
      <c r="E81" s="942"/>
      <c r="F81" s="942">
        <v>14400000</v>
      </c>
      <c r="G81" s="942">
        <v>26806000</v>
      </c>
      <c r="H81" s="942">
        <v>248160</v>
      </c>
      <c r="I81" s="942">
        <f t="shared" si="3"/>
        <v>44228050</v>
      </c>
      <c r="K81" s="197" t="s">
        <v>156</v>
      </c>
      <c r="L81" s="942">
        <f t="shared" si="4"/>
        <v>142307</v>
      </c>
      <c r="M81" s="942">
        <f t="shared" si="5"/>
        <v>0</v>
      </c>
      <c r="N81" s="942">
        <f t="shared" si="6"/>
        <v>0</v>
      </c>
      <c r="O81" s="942">
        <f t="shared" si="7"/>
        <v>0</v>
      </c>
      <c r="P81" s="942">
        <f t="shared" si="8"/>
        <v>0</v>
      </c>
      <c r="Q81" s="942">
        <f t="shared" si="9"/>
        <v>1916400</v>
      </c>
      <c r="R81" s="942">
        <f t="shared" si="10"/>
        <v>631553</v>
      </c>
      <c r="S81" s="942">
        <f t="shared" si="11"/>
        <v>2690260</v>
      </c>
      <c r="AD81" s="936"/>
      <c r="AE81" s="936"/>
      <c r="AF81" s="936"/>
      <c r="AG81" s="936"/>
      <c r="AH81" s="936"/>
      <c r="AI81" s="936"/>
      <c r="AJ81" s="936"/>
      <c r="AK81" s="936"/>
    </row>
    <row r="82" spans="1:37" hidden="1" outlineLevel="1" x14ac:dyDescent="0.2">
      <c r="A82" s="524" t="s">
        <v>157</v>
      </c>
      <c r="B82" s="937">
        <v>18553667</v>
      </c>
      <c r="C82" s="937">
        <v>0</v>
      </c>
      <c r="D82" s="937">
        <v>6808500</v>
      </c>
      <c r="E82" s="937"/>
      <c r="F82" s="937">
        <v>0</v>
      </c>
      <c r="G82" s="937">
        <v>2612100</v>
      </c>
      <c r="H82" s="937">
        <v>-223790</v>
      </c>
      <c r="I82" s="937">
        <f t="shared" si="3"/>
        <v>27750477</v>
      </c>
      <c r="K82" s="524" t="s">
        <v>157</v>
      </c>
      <c r="L82" s="937">
        <f t="shared" si="4"/>
        <v>3097791</v>
      </c>
      <c r="M82" s="937">
        <f t="shared" si="5"/>
        <v>0</v>
      </c>
      <c r="N82" s="937">
        <f t="shared" si="6"/>
        <v>-58500</v>
      </c>
      <c r="O82" s="937">
        <f t="shared" si="7"/>
        <v>0</v>
      </c>
      <c r="P82" s="937">
        <f t="shared" si="8"/>
        <v>0</v>
      </c>
      <c r="Q82" s="937">
        <f t="shared" si="9"/>
        <v>-2612100</v>
      </c>
      <c r="R82" s="937">
        <f t="shared" si="10"/>
        <v>-60220</v>
      </c>
      <c r="S82" s="937">
        <f t="shared" si="11"/>
        <v>366971</v>
      </c>
      <c r="AD82" s="936"/>
      <c r="AE82" s="936"/>
      <c r="AF82" s="936"/>
      <c r="AG82" s="936"/>
      <c r="AH82" s="936"/>
      <c r="AI82" s="936"/>
      <c r="AJ82" s="936"/>
      <c r="AK82" s="936"/>
    </row>
    <row r="83" spans="1:37" hidden="1" outlineLevel="1" x14ac:dyDescent="0.2">
      <c r="A83" s="197" t="s">
        <v>159</v>
      </c>
      <c r="B83" s="942">
        <v>2182310</v>
      </c>
      <c r="C83" s="942">
        <v>0</v>
      </c>
      <c r="D83" s="942">
        <v>640515</v>
      </c>
      <c r="E83" s="942"/>
      <c r="F83" s="942">
        <v>45000</v>
      </c>
      <c r="G83" s="942">
        <v>1219600</v>
      </c>
      <c r="H83" s="942">
        <v>-32700</v>
      </c>
      <c r="I83" s="942">
        <f t="shared" si="3"/>
        <v>4054725</v>
      </c>
      <c r="K83" s="197" t="s">
        <v>159</v>
      </c>
      <c r="L83" s="942">
        <f t="shared" si="4"/>
        <v>-139710</v>
      </c>
      <c r="M83" s="942">
        <f t="shared" si="5"/>
        <v>0</v>
      </c>
      <c r="N83" s="942">
        <f t="shared" si="6"/>
        <v>30000</v>
      </c>
      <c r="O83" s="942">
        <f t="shared" si="7"/>
        <v>0</v>
      </c>
      <c r="P83" s="942">
        <f t="shared" si="8"/>
        <v>0</v>
      </c>
      <c r="Q83" s="942">
        <f t="shared" si="9"/>
        <v>61200</v>
      </c>
      <c r="R83" s="942">
        <f t="shared" si="10"/>
        <v>-68543</v>
      </c>
      <c r="S83" s="942">
        <f t="shared" si="11"/>
        <v>-117053</v>
      </c>
      <c r="AD83" s="936"/>
      <c r="AE83" s="936"/>
      <c r="AF83" s="936"/>
      <c r="AG83" s="936"/>
      <c r="AH83" s="936"/>
      <c r="AI83" s="936"/>
      <c r="AJ83" s="936"/>
      <c r="AK83" s="936"/>
    </row>
    <row r="84" spans="1:37" hidden="1" outlineLevel="1" x14ac:dyDescent="0.2">
      <c r="A84" s="200" t="s">
        <v>160</v>
      </c>
      <c r="B84" s="937">
        <v>23054207</v>
      </c>
      <c r="C84" s="937">
        <v>0</v>
      </c>
      <c r="D84" s="937"/>
      <c r="E84" s="937"/>
      <c r="F84" s="937"/>
      <c r="G84" s="937">
        <v>0</v>
      </c>
      <c r="H84" s="937">
        <v>-184430</v>
      </c>
      <c r="I84" s="937">
        <f t="shared" si="3"/>
        <v>22869777</v>
      </c>
      <c r="K84" s="200" t="s">
        <v>160</v>
      </c>
      <c r="L84" s="937">
        <f t="shared" si="4"/>
        <v>-23054207</v>
      </c>
      <c r="M84" s="937">
        <f t="shared" si="5"/>
        <v>0</v>
      </c>
      <c r="N84" s="937">
        <f t="shared" si="6"/>
        <v>0</v>
      </c>
      <c r="O84" s="937">
        <f t="shared" si="7"/>
        <v>23540832</v>
      </c>
      <c r="P84" s="937">
        <f t="shared" si="8"/>
        <v>0</v>
      </c>
      <c r="Q84" s="937">
        <f t="shared" si="9"/>
        <v>0</v>
      </c>
      <c r="R84" s="937">
        <f t="shared" si="10"/>
        <v>-50980</v>
      </c>
      <c r="S84" s="937">
        <f t="shared" si="11"/>
        <v>435645</v>
      </c>
      <c r="AD84" s="936"/>
      <c r="AE84" s="936"/>
      <c r="AF84" s="936"/>
      <c r="AG84" s="936"/>
      <c r="AH84" s="936"/>
      <c r="AI84" s="936"/>
      <c r="AJ84" s="936"/>
      <c r="AK84" s="936"/>
    </row>
    <row r="85" spans="1:37" hidden="1" outlineLevel="1" x14ac:dyDescent="0.2">
      <c r="A85" s="524" t="s">
        <v>580</v>
      </c>
      <c r="B85" s="937">
        <v>5160000</v>
      </c>
      <c r="C85" s="937">
        <v>0</v>
      </c>
      <c r="D85" s="937"/>
      <c r="E85" s="937"/>
      <c r="F85" s="937"/>
      <c r="G85" s="937">
        <v>0</v>
      </c>
      <c r="H85" s="937">
        <v>-41280</v>
      </c>
      <c r="I85" s="937">
        <f t="shared" si="3"/>
        <v>5118720</v>
      </c>
      <c r="K85" s="524" t="s">
        <v>580</v>
      </c>
      <c r="L85" s="937">
        <f t="shared" si="4"/>
        <v>0</v>
      </c>
      <c r="M85" s="937">
        <f t="shared" si="5"/>
        <v>0</v>
      </c>
      <c r="N85" s="937">
        <f t="shared" si="6"/>
        <v>0</v>
      </c>
      <c r="O85" s="937">
        <f t="shared" si="7"/>
        <v>0</v>
      </c>
      <c r="P85" s="937">
        <f t="shared" si="8"/>
        <v>0</v>
      </c>
      <c r="Q85" s="937">
        <f t="shared" si="9"/>
        <v>0</v>
      </c>
      <c r="R85" s="937">
        <f t="shared" si="10"/>
        <v>-10320</v>
      </c>
      <c r="S85" s="937">
        <f t="shared" si="11"/>
        <v>-10320</v>
      </c>
      <c r="AD85" s="936"/>
      <c r="AE85" s="936"/>
      <c r="AF85" s="936"/>
      <c r="AG85" s="936"/>
      <c r="AH85" s="936"/>
      <c r="AI85" s="936"/>
      <c r="AJ85" s="936"/>
      <c r="AK85" s="936"/>
    </row>
    <row r="86" spans="1:37" hidden="1" outlineLevel="1" x14ac:dyDescent="0.2">
      <c r="A86" s="677" t="s">
        <v>705</v>
      </c>
      <c r="B86" s="942">
        <v>0</v>
      </c>
      <c r="C86" s="942">
        <v>0</v>
      </c>
      <c r="D86" s="942"/>
      <c r="E86" s="942">
        <v>668115</v>
      </c>
      <c r="F86" s="942"/>
      <c r="G86" s="942">
        <v>0</v>
      </c>
      <c r="H86" s="942">
        <v>-5340</v>
      </c>
      <c r="I86" s="942">
        <f t="shared" si="3"/>
        <v>662775</v>
      </c>
      <c r="K86" s="677" t="s">
        <v>705</v>
      </c>
      <c r="L86" s="942">
        <f t="shared" si="4"/>
        <v>0</v>
      </c>
      <c r="M86" s="942">
        <f t="shared" si="5"/>
        <v>0</v>
      </c>
      <c r="N86" s="942">
        <f t="shared" si="6"/>
        <v>0</v>
      </c>
      <c r="O86" s="942">
        <f t="shared" si="7"/>
        <v>19234</v>
      </c>
      <c r="P86" s="942">
        <f t="shared" si="8"/>
        <v>0</v>
      </c>
      <c r="Q86" s="942">
        <f t="shared" si="9"/>
        <v>0</v>
      </c>
      <c r="R86" s="942">
        <f t="shared" si="10"/>
        <v>-1530</v>
      </c>
      <c r="S86" s="942">
        <f t="shared" si="11"/>
        <v>17704</v>
      </c>
      <c r="AD86" s="936"/>
      <c r="AE86" s="936"/>
      <c r="AF86" s="936"/>
      <c r="AG86" s="936"/>
      <c r="AH86" s="936"/>
      <c r="AI86" s="936"/>
      <c r="AJ86" s="936"/>
      <c r="AK86" s="936"/>
    </row>
    <row r="87" spans="1:37" hidden="1" outlineLevel="1" x14ac:dyDescent="0.2">
      <c r="A87" s="208" t="s">
        <v>162</v>
      </c>
      <c r="B87" s="937">
        <v>0</v>
      </c>
      <c r="C87" s="937">
        <v>0</v>
      </c>
      <c r="D87" s="937"/>
      <c r="E87" s="937"/>
      <c r="F87" s="937">
        <v>403000</v>
      </c>
      <c r="G87" s="937">
        <v>520800</v>
      </c>
      <c r="H87" s="937">
        <v>-7390</v>
      </c>
      <c r="I87" s="937">
        <f t="shared" si="3"/>
        <v>916410</v>
      </c>
      <c r="K87" s="208" t="s">
        <v>162</v>
      </c>
      <c r="L87" s="937">
        <f t="shared" si="4"/>
        <v>0</v>
      </c>
      <c r="M87" s="937">
        <f t="shared" si="5"/>
        <v>0</v>
      </c>
      <c r="N87" s="937">
        <f t="shared" si="6"/>
        <v>0</v>
      </c>
      <c r="O87" s="937">
        <f t="shared" si="7"/>
        <v>0</v>
      </c>
      <c r="P87" s="937">
        <f t="shared" si="8"/>
        <v>0</v>
      </c>
      <c r="Q87" s="937">
        <f t="shared" si="9"/>
        <v>1000</v>
      </c>
      <c r="R87" s="937">
        <f t="shared" si="10"/>
        <v>-1860</v>
      </c>
      <c r="S87" s="937">
        <f t="shared" si="11"/>
        <v>-860</v>
      </c>
      <c r="AD87" s="936"/>
      <c r="AE87" s="936"/>
      <c r="AF87" s="936"/>
      <c r="AG87" s="936"/>
      <c r="AH87" s="936"/>
      <c r="AI87" s="936"/>
      <c r="AJ87" s="936"/>
      <c r="AK87" s="936"/>
    </row>
    <row r="88" spans="1:37" hidden="1" outlineLevel="1" x14ac:dyDescent="0.2">
      <c r="A88" s="524" t="s">
        <v>163</v>
      </c>
      <c r="B88" s="937">
        <v>2723862</v>
      </c>
      <c r="C88" s="937">
        <v>0</v>
      </c>
      <c r="D88" s="937"/>
      <c r="E88" s="937">
        <v>12389837</v>
      </c>
      <c r="F88" s="937"/>
      <c r="G88" s="937">
        <v>1200</v>
      </c>
      <c r="H88" s="937">
        <v>-120920</v>
      </c>
      <c r="I88" s="937">
        <f t="shared" si="3"/>
        <v>14993979</v>
      </c>
      <c r="K88" s="524" t="s">
        <v>163</v>
      </c>
      <c r="L88" s="937">
        <f t="shared" si="4"/>
        <v>34827</v>
      </c>
      <c r="M88" s="937">
        <f t="shared" si="5"/>
        <v>0</v>
      </c>
      <c r="N88" s="937">
        <f t="shared" si="6"/>
        <v>0</v>
      </c>
      <c r="O88" s="937">
        <f t="shared" si="7"/>
        <v>304955</v>
      </c>
      <c r="P88" s="937">
        <f t="shared" si="8"/>
        <v>0</v>
      </c>
      <c r="Q88" s="937">
        <f t="shared" si="9"/>
        <v>-1200</v>
      </c>
      <c r="R88" s="937">
        <f t="shared" si="10"/>
        <v>-46830</v>
      </c>
      <c r="S88" s="937">
        <f t="shared" si="11"/>
        <v>291752</v>
      </c>
      <c r="AD88" s="936"/>
      <c r="AE88" s="936"/>
      <c r="AF88" s="936"/>
      <c r="AG88" s="936"/>
      <c r="AH88" s="936"/>
      <c r="AI88" s="936"/>
      <c r="AJ88" s="936"/>
      <c r="AK88" s="936"/>
    </row>
    <row r="89" spans="1:37" hidden="1" outlineLevel="1" x14ac:dyDescent="0.2">
      <c r="A89" s="207" t="s">
        <v>377</v>
      </c>
      <c r="B89" s="939">
        <v>2969714</v>
      </c>
      <c r="C89" s="939">
        <v>225000</v>
      </c>
      <c r="D89" s="939">
        <v>7799407</v>
      </c>
      <c r="E89" s="939"/>
      <c r="F89" s="939"/>
      <c r="G89" s="939">
        <v>618000</v>
      </c>
      <c r="H89" s="939">
        <v>-92900</v>
      </c>
      <c r="I89" s="939">
        <f t="shared" si="3"/>
        <v>11519221</v>
      </c>
      <c r="K89" s="207" t="s">
        <v>377</v>
      </c>
      <c r="L89" s="939">
        <f t="shared" si="4"/>
        <v>361533</v>
      </c>
      <c r="M89" s="939">
        <f t="shared" si="5"/>
        <v>0</v>
      </c>
      <c r="N89" s="939">
        <f t="shared" si="6"/>
        <v>40000</v>
      </c>
      <c r="O89" s="939">
        <f t="shared" si="7"/>
        <v>0</v>
      </c>
      <c r="P89" s="939">
        <f t="shared" si="8"/>
        <v>0</v>
      </c>
      <c r="Q89" s="939">
        <f t="shared" si="9"/>
        <v>188600</v>
      </c>
      <c r="R89" s="939">
        <f t="shared" si="10"/>
        <v>-193270</v>
      </c>
      <c r="S89" s="939">
        <f t="shared" si="11"/>
        <v>396863</v>
      </c>
      <c r="AD89" s="936"/>
      <c r="AE89" s="936"/>
      <c r="AF89" s="936"/>
      <c r="AG89" s="936"/>
      <c r="AH89" s="936"/>
      <c r="AI89" s="936"/>
      <c r="AJ89" s="936"/>
      <c r="AK89" s="936"/>
    </row>
    <row r="90" spans="1:37" hidden="1" outlineLevel="1" x14ac:dyDescent="0.2">
      <c r="A90" s="211" t="s">
        <v>165</v>
      </c>
      <c r="B90" s="945">
        <f>SUM(B71:B89)</f>
        <v>101592454</v>
      </c>
      <c r="C90" s="945">
        <f t="shared" ref="C90:I90" si="12">SUM(C71:C89)</f>
        <v>1885875</v>
      </c>
      <c r="D90" s="945">
        <f t="shared" si="12"/>
        <v>21176922</v>
      </c>
      <c r="E90" s="945">
        <f t="shared" si="12"/>
        <v>13057952</v>
      </c>
      <c r="F90" s="945">
        <f t="shared" si="12"/>
        <v>91778000</v>
      </c>
      <c r="G90" s="945">
        <f t="shared" si="12"/>
        <v>128463900</v>
      </c>
      <c r="H90" s="945">
        <f t="shared" si="12"/>
        <v>567078</v>
      </c>
      <c r="I90" s="945">
        <f t="shared" si="12"/>
        <v>358522181</v>
      </c>
      <c r="K90" s="211" t="s">
        <v>165</v>
      </c>
      <c r="L90" s="945">
        <f t="shared" si="4"/>
        <v>-11395715</v>
      </c>
      <c r="M90" s="945">
        <f t="shared" si="5"/>
        <v>0</v>
      </c>
      <c r="N90" s="945">
        <f t="shared" si="6"/>
        <v>-2608600</v>
      </c>
      <c r="O90" s="945">
        <f t="shared" si="7"/>
        <v>23865021</v>
      </c>
      <c r="P90" s="945">
        <f t="shared" si="8"/>
        <v>3365900</v>
      </c>
      <c r="Q90" s="945">
        <f t="shared" si="9"/>
        <v>3190300</v>
      </c>
      <c r="R90" s="945">
        <f t="shared" si="10"/>
        <v>-1282716</v>
      </c>
      <c r="S90" s="945">
        <f t="shared" si="11"/>
        <v>15134190</v>
      </c>
      <c r="AD90" s="936"/>
      <c r="AE90" s="936"/>
      <c r="AF90" s="936"/>
      <c r="AG90" s="936"/>
      <c r="AH90" s="936"/>
      <c r="AI90" s="936"/>
      <c r="AJ90" s="936"/>
      <c r="AK90" s="936"/>
    </row>
    <row r="91" spans="1:37" hidden="1" outlineLevel="1" x14ac:dyDescent="0.2">
      <c r="A91" s="524"/>
      <c r="B91" s="944"/>
      <c r="C91" s="944"/>
      <c r="D91" s="944"/>
      <c r="E91" s="944"/>
      <c r="F91" s="944"/>
      <c r="G91" s="944"/>
      <c r="H91" s="944"/>
      <c r="I91" s="944"/>
      <c r="K91" s="524"/>
      <c r="L91" s="944"/>
      <c r="M91" s="944"/>
      <c r="N91" s="944"/>
      <c r="O91" s="944"/>
      <c r="P91" s="944"/>
      <c r="Q91" s="944"/>
      <c r="R91" s="944"/>
      <c r="S91" s="944"/>
      <c r="AD91" s="936"/>
      <c r="AE91" s="936"/>
      <c r="AF91" s="936"/>
      <c r="AG91" s="936"/>
      <c r="AH91" s="936"/>
      <c r="AI91" s="936"/>
      <c r="AJ91" s="936"/>
      <c r="AK91" s="936"/>
    </row>
    <row r="92" spans="1:37" hidden="1" outlineLevel="1" x14ac:dyDescent="0.2">
      <c r="A92" s="522"/>
      <c r="B92" s="944"/>
      <c r="C92" s="944"/>
      <c r="D92" s="944"/>
      <c r="E92" s="944"/>
      <c r="F92" s="944"/>
      <c r="G92" s="944"/>
      <c r="H92" s="944"/>
      <c r="I92" s="944"/>
      <c r="K92" s="522"/>
      <c r="L92" s="944"/>
      <c r="M92" s="944"/>
      <c r="N92" s="944"/>
      <c r="O92" s="944"/>
      <c r="P92" s="944"/>
      <c r="Q92" s="944"/>
      <c r="R92" s="944"/>
      <c r="S92" s="944"/>
      <c r="AD92" s="936"/>
      <c r="AE92" s="936"/>
      <c r="AF92" s="936"/>
      <c r="AG92" s="936"/>
      <c r="AH92" s="936"/>
      <c r="AI92" s="936"/>
      <c r="AJ92" s="936"/>
      <c r="AK92" s="936"/>
    </row>
    <row r="93" spans="1:37" hidden="1" outlineLevel="1" x14ac:dyDescent="0.2">
      <c r="A93" s="200" t="s">
        <v>166</v>
      </c>
      <c r="B93" s="937"/>
      <c r="C93" s="937"/>
      <c r="D93" s="937"/>
      <c r="E93" s="937"/>
      <c r="F93" s="937"/>
      <c r="G93" s="937"/>
      <c r="H93" s="937"/>
      <c r="I93" s="937"/>
      <c r="K93" s="200" t="s">
        <v>166</v>
      </c>
      <c r="L93" s="937">
        <f t="shared" si="4"/>
        <v>0</v>
      </c>
      <c r="M93" s="937">
        <f t="shared" si="5"/>
        <v>0</v>
      </c>
      <c r="N93" s="937">
        <f t="shared" si="6"/>
        <v>0</v>
      </c>
      <c r="O93" s="937">
        <f t="shared" si="7"/>
        <v>0</v>
      </c>
      <c r="P93" s="937">
        <f t="shared" si="8"/>
        <v>0</v>
      </c>
      <c r="Q93" s="937">
        <f t="shared" si="9"/>
        <v>0</v>
      </c>
      <c r="R93" s="937">
        <f t="shared" si="10"/>
        <v>0</v>
      </c>
      <c r="S93" s="937">
        <f t="shared" si="11"/>
        <v>0</v>
      </c>
      <c r="AD93" s="936"/>
      <c r="AE93" s="936"/>
      <c r="AF93" s="936"/>
      <c r="AG93" s="936"/>
      <c r="AH93" s="936"/>
      <c r="AI93" s="936"/>
      <c r="AJ93" s="936"/>
      <c r="AK93" s="936"/>
    </row>
    <row r="94" spans="1:37" hidden="1" outlineLevel="1" x14ac:dyDescent="0.2">
      <c r="A94" s="197" t="s">
        <v>631</v>
      </c>
      <c r="B94" s="943">
        <v>0</v>
      </c>
      <c r="C94" s="943">
        <v>9761767</v>
      </c>
      <c r="D94" s="943"/>
      <c r="E94" s="943">
        <v>0</v>
      </c>
      <c r="F94" s="943"/>
      <c r="G94" s="943">
        <v>0</v>
      </c>
      <c r="H94" s="943">
        <v>-78090</v>
      </c>
      <c r="I94" s="943">
        <f>SUM(B94:H94)</f>
        <v>9683677</v>
      </c>
      <c r="K94" s="197" t="s">
        <v>631</v>
      </c>
      <c r="L94" s="943">
        <f t="shared" si="4"/>
        <v>0</v>
      </c>
      <c r="M94" s="943">
        <f t="shared" si="5"/>
        <v>182760</v>
      </c>
      <c r="N94" s="943">
        <f t="shared" si="6"/>
        <v>0</v>
      </c>
      <c r="O94" s="943">
        <f t="shared" si="7"/>
        <v>0</v>
      </c>
      <c r="P94" s="943">
        <f t="shared" si="8"/>
        <v>0</v>
      </c>
      <c r="Q94" s="943">
        <f t="shared" si="9"/>
        <v>0</v>
      </c>
      <c r="R94" s="943">
        <f t="shared" si="10"/>
        <v>-21360</v>
      </c>
      <c r="S94" s="943">
        <f t="shared" si="11"/>
        <v>161400</v>
      </c>
      <c r="AD94" s="936"/>
      <c r="AE94" s="936"/>
      <c r="AF94" s="936"/>
      <c r="AG94" s="936"/>
      <c r="AH94" s="936"/>
      <c r="AI94" s="936"/>
      <c r="AJ94" s="936"/>
      <c r="AK94" s="936"/>
    </row>
    <row r="95" spans="1:37" hidden="1" outlineLevel="1" x14ac:dyDescent="0.2">
      <c r="A95" s="208" t="s">
        <v>168</v>
      </c>
      <c r="B95" s="938">
        <v>0</v>
      </c>
      <c r="C95" s="938">
        <v>8000000</v>
      </c>
      <c r="D95" s="938"/>
      <c r="E95" s="938">
        <v>0</v>
      </c>
      <c r="F95" s="938"/>
      <c r="G95" s="938">
        <v>700</v>
      </c>
      <c r="H95" s="938">
        <v>-64010</v>
      </c>
      <c r="I95" s="938">
        <f t="shared" ref="I95:I109" si="13">SUM(B95:H95)</f>
        <v>7936690</v>
      </c>
      <c r="K95" s="208" t="s">
        <v>168</v>
      </c>
      <c r="L95" s="938">
        <f t="shared" si="4"/>
        <v>0</v>
      </c>
      <c r="M95" s="938">
        <f t="shared" si="5"/>
        <v>0</v>
      </c>
      <c r="N95" s="938">
        <f t="shared" si="6"/>
        <v>0</v>
      </c>
      <c r="O95" s="938">
        <f t="shared" si="7"/>
        <v>0</v>
      </c>
      <c r="P95" s="938">
        <f t="shared" si="8"/>
        <v>0</v>
      </c>
      <c r="Q95" s="938">
        <f t="shared" si="9"/>
        <v>-700</v>
      </c>
      <c r="R95" s="938">
        <f t="shared" si="10"/>
        <v>-15990</v>
      </c>
      <c r="S95" s="938">
        <f t="shared" si="11"/>
        <v>-16690</v>
      </c>
      <c r="AD95" s="936"/>
      <c r="AE95" s="936"/>
      <c r="AF95" s="936"/>
      <c r="AG95" s="936"/>
      <c r="AH95" s="936"/>
      <c r="AI95" s="936"/>
      <c r="AJ95" s="936"/>
      <c r="AK95" s="936"/>
    </row>
    <row r="96" spans="1:37" hidden="1" outlineLevel="1" x14ac:dyDescent="0.2">
      <c r="A96" s="524" t="s">
        <v>169</v>
      </c>
      <c r="B96" s="938">
        <v>6390</v>
      </c>
      <c r="C96" s="938">
        <v>0</v>
      </c>
      <c r="D96" s="938"/>
      <c r="E96" s="938">
        <v>4144983</v>
      </c>
      <c r="F96" s="938"/>
      <c r="G96" s="938">
        <v>0</v>
      </c>
      <c r="H96" s="938">
        <v>-33210</v>
      </c>
      <c r="I96" s="938">
        <f t="shared" si="13"/>
        <v>4118163</v>
      </c>
      <c r="K96" s="524" t="s">
        <v>169</v>
      </c>
      <c r="L96" s="938">
        <f t="shared" si="4"/>
        <v>510</v>
      </c>
      <c r="M96" s="938">
        <f t="shared" si="5"/>
        <v>0</v>
      </c>
      <c r="N96" s="938">
        <f t="shared" si="6"/>
        <v>0</v>
      </c>
      <c r="O96" s="938">
        <f t="shared" si="7"/>
        <v>131614</v>
      </c>
      <c r="P96" s="938">
        <f t="shared" si="8"/>
        <v>0</v>
      </c>
      <c r="Q96" s="938">
        <f t="shared" si="9"/>
        <v>0</v>
      </c>
      <c r="R96" s="938">
        <f t="shared" si="10"/>
        <v>-10130</v>
      </c>
      <c r="S96" s="938">
        <f t="shared" si="11"/>
        <v>121994</v>
      </c>
      <c r="AD96" s="936"/>
      <c r="AE96" s="936"/>
      <c r="AF96" s="936"/>
      <c r="AG96" s="936"/>
      <c r="AH96" s="936"/>
      <c r="AI96" s="936"/>
      <c r="AJ96" s="936"/>
      <c r="AK96" s="936"/>
    </row>
    <row r="97" spans="1:37" hidden="1" outlineLevel="1" x14ac:dyDescent="0.2">
      <c r="A97" s="200" t="s">
        <v>170</v>
      </c>
      <c r="B97" s="937">
        <v>0</v>
      </c>
      <c r="C97" s="937">
        <v>1201776</v>
      </c>
      <c r="D97" s="937"/>
      <c r="E97" s="937">
        <v>0</v>
      </c>
      <c r="F97" s="937"/>
      <c r="G97" s="937">
        <v>31200</v>
      </c>
      <c r="H97" s="937">
        <v>-9860</v>
      </c>
      <c r="I97" s="937">
        <f t="shared" si="13"/>
        <v>1223116</v>
      </c>
      <c r="K97" s="200" t="s">
        <v>170</v>
      </c>
      <c r="L97" s="937">
        <f t="shared" si="4"/>
        <v>0</v>
      </c>
      <c r="M97" s="937">
        <f t="shared" si="5"/>
        <v>21907</v>
      </c>
      <c r="N97" s="937">
        <f t="shared" si="6"/>
        <v>0</v>
      </c>
      <c r="O97" s="937">
        <f t="shared" si="7"/>
        <v>0</v>
      </c>
      <c r="P97" s="937">
        <f t="shared" si="8"/>
        <v>0</v>
      </c>
      <c r="Q97" s="937">
        <f t="shared" si="9"/>
        <v>-31200</v>
      </c>
      <c r="R97" s="937">
        <f t="shared" si="10"/>
        <v>-2380</v>
      </c>
      <c r="S97" s="937">
        <f t="shared" si="11"/>
        <v>-11673</v>
      </c>
      <c r="AD97" s="936"/>
      <c r="AE97" s="936"/>
      <c r="AF97" s="936"/>
      <c r="AG97" s="936"/>
      <c r="AH97" s="936"/>
      <c r="AI97" s="936"/>
      <c r="AJ97" s="936"/>
      <c r="AK97" s="936"/>
    </row>
    <row r="98" spans="1:37" hidden="1" outlineLevel="1" x14ac:dyDescent="0.2">
      <c r="A98" s="197" t="s">
        <v>171</v>
      </c>
      <c r="B98" s="943">
        <v>0</v>
      </c>
      <c r="C98" s="943">
        <v>1740299</v>
      </c>
      <c r="D98" s="943"/>
      <c r="E98" s="943">
        <v>0</v>
      </c>
      <c r="F98" s="943"/>
      <c r="G98" s="943">
        <v>0</v>
      </c>
      <c r="H98" s="943">
        <v>-13920</v>
      </c>
      <c r="I98" s="943">
        <f t="shared" si="13"/>
        <v>1726379</v>
      </c>
      <c r="K98" s="197" t="s">
        <v>171</v>
      </c>
      <c r="L98" s="943">
        <f t="shared" si="4"/>
        <v>0</v>
      </c>
      <c r="M98" s="943">
        <f t="shared" si="5"/>
        <v>47455</v>
      </c>
      <c r="N98" s="943">
        <f t="shared" si="6"/>
        <v>0</v>
      </c>
      <c r="O98" s="943">
        <f t="shared" si="7"/>
        <v>0</v>
      </c>
      <c r="P98" s="943">
        <f t="shared" si="8"/>
        <v>0</v>
      </c>
      <c r="Q98" s="943">
        <f t="shared" si="9"/>
        <v>0</v>
      </c>
      <c r="R98" s="943">
        <f t="shared" si="10"/>
        <v>-3960</v>
      </c>
      <c r="S98" s="943">
        <f t="shared" si="11"/>
        <v>43495</v>
      </c>
      <c r="AD98" s="936"/>
      <c r="AE98" s="936"/>
      <c r="AF98" s="936"/>
      <c r="AG98" s="936"/>
      <c r="AH98" s="936"/>
      <c r="AI98" s="936"/>
      <c r="AJ98" s="936"/>
      <c r="AK98" s="936"/>
    </row>
    <row r="99" spans="1:37" hidden="1" outlineLevel="1" x14ac:dyDescent="0.2">
      <c r="A99" s="200" t="s">
        <v>682</v>
      </c>
      <c r="B99" s="937">
        <v>1110</v>
      </c>
      <c r="C99" s="937">
        <v>761242</v>
      </c>
      <c r="D99" s="937"/>
      <c r="E99" s="937"/>
      <c r="F99" s="937"/>
      <c r="G99" s="937"/>
      <c r="H99" s="937">
        <v>-6100</v>
      </c>
      <c r="I99" s="937">
        <f t="shared" si="13"/>
        <v>756252</v>
      </c>
      <c r="K99" s="200" t="s">
        <v>682</v>
      </c>
      <c r="L99" s="937">
        <f t="shared" si="4"/>
        <v>90</v>
      </c>
      <c r="M99" s="937">
        <f t="shared" si="5"/>
        <v>23850</v>
      </c>
      <c r="N99" s="937">
        <f t="shared" si="6"/>
        <v>0</v>
      </c>
      <c r="O99" s="937">
        <f t="shared" si="7"/>
        <v>0</v>
      </c>
      <c r="P99" s="937">
        <f t="shared" si="8"/>
        <v>0</v>
      </c>
      <c r="Q99" s="937">
        <f t="shared" si="9"/>
        <v>0</v>
      </c>
      <c r="R99" s="937">
        <f t="shared" si="10"/>
        <v>-1850</v>
      </c>
      <c r="S99" s="937">
        <f t="shared" si="11"/>
        <v>22090</v>
      </c>
      <c r="AD99" s="936"/>
      <c r="AE99" s="936"/>
      <c r="AF99" s="936"/>
      <c r="AG99" s="936"/>
      <c r="AH99" s="936"/>
      <c r="AI99" s="936"/>
      <c r="AJ99" s="936"/>
      <c r="AK99" s="936"/>
    </row>
    <row r="100" spans="1:37" hidden="1" outlineLevel="1" x14ac:dyDescent="0.2">
      <c r="A100" s="524" t="s">
        <v>172</v>
      </c>
      <c r="B100" s="938">
        <v>3104996</v>
      </c>
      <c r="C100" s="938">
        <v>0</v>
      </c>
      <c r="D100" s="938"/>
      <c r="E100" s="938">
        <v>10047408</v>
      </c>
      <c r="F100" s="938"/>
      <c r="G100" s="938">
        <v>0</v>
      </c>
      <c r="H100" s="938">
        <v>-105220</v>
      </c>
      <c r="I100" s="938">
        <f t="shared" si="13"/>
        <v>13047184</v>
      </c>
      <c r="K100" s="524" t="s">
        <v>172</v>
      </c>
      <c r="L100" s="938">
        <f t="shared" si="4"/>
        <v>283130</v>
      </c>
      <c r="M100" s="938">
        <f t="shared" si="5"/>
        <v>0</v>
      </c>
      <c r="N100" s="938">
        <f t="shared" si="6"/>
        <v>0</v>
      </c>
      <c r="O100" s="938">
        <f t="shared" si="7"/>
        <v>246314</v>
      </c>
      <c r="P100" s="938">
        <f t="shared" si="8"/>
        <v>0</v>
      </c>
      <c r="Q100" s="938">
        <f t="shared" si="9"/>
        <v>0</v>
      </c>
      <c r="R100" s="938">
        <f t="shared" si="10"/>
        <v>-279730</v>
      </c>
      <c r="S100" s="938">
        <f t="shared" si="11"/>
        <v>249714</v>
      </c>
      <c r="AD100" s="936"/>
      <c r="AE100" s="936"/>
      <c r="AF100" s="936"/>
      <c r="AG100" s="936"/>
      <c r="AH100" s="936"/>
      <c r="AI100" s="936"/>
      <c r="AJ100" s="936"/>
      <c r="AK100" s="936"/>
    </row>
    <row r="101" spans="1:37" hidden="1" outlineLevel="1" x14ac:dyDescent="0.2">
      <c r="A101" s="679" t="s">
        <v>893</v>
      </c>
      <c r="B101" s="938">
        <v>879700</v>
      </c>
      <c r="C101" s="938">
        <v>0</v>
      </c>
      <c r="D101" s="938"/>
      <c r="E101" s="938">
        <v>3309390.65</v>
      </c>
      <c r="F101" s="938"/>
      <c r="G101" s="938">
        <v>424100</v>
      </c>
      <c r="H101" s="938">
        <v>-36910</v>
      </c>
      <c r="I101" s="938">
        <f t="shared" si="13"/>
        <v>4576280.6500000004</v>
      </c>
      <c r="K101" s="679" t="s">
        <v>893</v>
      </c>
      <c r="L101" s="938">
        <f t="shared" si="4"/>
        <v>75300</v>
      </c>
      <c r="M101" s="938">
        <f t="shared" si="5"/>
        <v>0</v>
      </c>
      <c r="N101" s="938">
        <f t="shared" si="6"/>
        <v>0</v>
      </c>
      <c r="O101" s="938">
        <f t="shared" si="7"/>
        <v>624967</v>
      </c>
      <c r="P101" s="938">
        <f t="shared" si="8"/>
        <v>0</v>
      </c>
      <c r="Q101" s="938">
        <f t="shared" si="9"/>
        <v>-424100</v>
      </c>
      <c r="R101" s="938">
        <f t="shared" si="10"/>
        <v>-82650</v>
      </c>
      <c r="S101" s="938">
        <f t="shared" si="11"/>
        <v>193517</v>
      </c>
      <c r="AD101" s="936"/>
      <c r="AE101" s="936"/>
      <c r="AF101" s="936"/>
      <c r="AG101" s="936"/>
      <c r="AH101" s="936"/>
      <c r="AI101" s="936"/>
      <c r="AJ101" s="936"/>
      <c r="AK101" s="936"/>
    </row>
    <row r="102" spans="1:37" hidden="1" outlineLevel="1" x14ac:dyDescent="0.2">
      <c r="A102" s="524" t="s">
        <v>173</v>
      </c>
      <c r="B102" s="938">
        <v>0</v>
      </c>
      <c r="C102" s="938">
        <v>0</v>
      </c>
      <c r="D102" s="938"/>
      <c r="E102" s="938">
        <v>1844129</v>
      </c>
      <c r="F102" s="938"/>
      <c r="G102" s="938">
        <v>1200</v>
      </c>
      <c r="H102" s="938">
        <v>-14760</v>
      </c>
      <c r="I102" s="938">
        <f t="shared" si="13"/>
        <v>1830569</v>
      </c>
      <c r="K102" s="524" t="s">
        <v>173</v>
      </c>
      <c r="L102" s="938">
        <f t="shared" si="4"/>
        <v>0</v>
      </c>
      <c r="M102" s="938">
        <f t="shared" si="5"/>
        <v>0</v>
      </c>
      <c r="N102" s="938">
        <f t="shared" si="6"/>
        <v>0</v>
      </c>
      <c r="O102" s="938">
        <f t="shared" si="7"/>
        <v>-494005</v>
      </c>
      <c r="P102" s="938">
        <f t="shared" si="8"/>
        <v>0</v>
      </c>
      <c r="Q102" s="938">
        <f t="shared" si="9"/>
        <v>-1200</v>
      </c>
      <c r="R102" s="938">
        <f t="shared" si="10"/>
        <v>1260</v>
      </c>
      <c r="S102" s="938">
        <f t="shared" si="11"/>
        <v>-493945</v>
      </c>
      <c r="AD102" s="936"/>
      <c r="AE102" s="936"/>
      <c r="AF102" s="936"/>
      <c r="AG102" s="936"/>
      <c r="AH102" s="936"/>
      <c r="AI102" s="936"/>
      <c r="AJ102" s="936"/>
      <c r="AK102" s="936"/>
    </row>
    <row r="103" spans="1:37" hidden="1" outlineLevel="1" x14ac:dyDescent="0.2">
      <c r="A103" s="677" t="s">
        <v>894</v>
      </c>
      <c r="B103" s="943">
        <v>2693620</v>
      </c>
      <c r="C103" s="943">
        <v>0</v>
      </c>
      <c r="D103" s="943"/>
      <c r="E103" s="943">
        <v>23670837</v>
      </c>
      <c r="F103" s="943"/>
      <c r="G103" s="943">
        <v>0</v>
      </c>
      <c r="H103" s="943">
        <v>-210920</v>
      </c>
      <c r="I103" s="943">
        <f t="shared" si="13"/>
        <v>26153537</v>
      </c>
      <c r="K103" s="677" t="s">
        <v>894</v>
      </c>
      <c r="L103" s="943">
        <f t="shared" si="4"/>
        <v>9080</v>
      </c>
      <c r="M103" s="943">
        <f t="shared" si="5"/>
        <v>0</v>
      </c>
      <c r="N103" s="943">
        <f t="shared" si="6"/>
        <v>0</v>
      </c>
      <c r="O103" s="943">
        <f t="shared" si="7"/>
        <v>928723</v>
      </c>
      <c r="P103" s="943">
        <f t="shared" si="8"/>
        <v>0</v>
      </c>
      <c r="Q103" s="943">
        <f t="shared" si="9"/>
        <v>0</v>
      </c>
      <c r="R103" s="943">
        <f t="shared" si="10"/>
        <v>-71180</v>
      </c>
      <c r="S103" s="943">
        <f t="shared" si="11"/>
        <v>866623</v>
      </c>
      <c r="AD103" s="936"/>
      <c r="AE103" s="936"/>
      <c r="AF103" s="936"/>
      <c r="AG103" s="936"/>
      <c r="AH103" s="936"/>
      <c r="AI103" s="936"/>
      <c r="AJ103" s="936"/>
      <c r="AK103" s="936"/>
    </row>
    <row r="104" spans="1:37" hidden="1" outlineLevel="1" x14ac:dyDescent="0.2">
      <c r="A104" s="524" t="s">
        <v>378</v>
      </c>
      <c r="B104" s="938">
        <v>1356000</v>
      </c>
      <c r="C104" s="938">
        <v>930050</v>
      </c>
      <c r="D104" s="938"/>
      <c r="E104" s="938">
        <v>2271466.9</v>
      </c>
      <c r="F104" s="938"/>
      <c r="G104" s="938">
        <v>0</v>
      </c>
      <c r="H104" s="938">
        <v>-36460</v>
      </c>
      <c r="I104" s="938">
        <f t="shared" si="13"/>
        <v>4521056.9000000004</v>
      </c>
      <c r="K104" s="524" t="s">
        <v>378</v>
      </c>
      <c r="L104" s="938">
        <f t="shared" si="4"/>
        <v>74000</v>
      </c>
      <c r="M104" s="938">
        <f t="shared" si="5"/>
        <v>0</v>
      </c>
      <c r="N104" s="938">
        <f t="shared" si="6"/>
        <v>0</v>
      </c>
      <c r="O104" s="938">
        <f t="shared" si="7"/>
        <v>80979</v>
      </c>
      <c r="P104" s="938">
        <f t="shared" si="8"/>
        <v>0</v>
      </c>
      <c r="Q104" s="938">
        <f t="shared" si="9"/>
        <v>0</v>
      </c>
      <c r="R104" s="938">
        <f t="shared" si="10"/>
        <v>-84660</v>
      </c>
      <c r="S104" s="938">
        <f t="shared" si="11"/>
        <v>70319</v>
      </c>
      <c r="AD104" s="936"/>
      <c r="AE104" s="936"/>
      <c r="AF104" s="936"/>
      <c r="AG104" s="936"/>
      <c r="AH104" s="936"/>
      <c r="AI104" s="936"/>
      <c r="AJ104" s="936"/>
      <c r="AK104" s="936"/>
    </row>
    <row r="105" spans="1:37" hidden="1" outlineLevel="1" x14ac:dyDescent="0.2">
      <c r="A105" s="200" t="s">
        <v>895</v>
      </c>
      <c r="B105" s="938">
        <v>0</v>
      </c>
      <c r="C105" s="938"/>
      <c r="D105" s="938"/>
      <c r="E105" s="938">
        <v>741220</v>
      </c>
      <c r="F105" s="938"/>
      <c r="G105" s="938">
        <v>9800</v>
      </c>
      <c r="H105" s="938">
        <v>-6010</v>
      </c>
      <c r="I105" s="938">
        <f t="shared" si="13"/>
        <v>745010</v>
      </c>
      <c r="K105" s="200" t="s">
        <v>895</v>
      </c>
      <c r="L105" s="938">
        <f t="shared" si="4"/>
        <v>0</v>
      </c>
      <c r="M105" s="938">
        <f t="shared" si="5"/>
        <v>0</v>
      </c>
      <c r="N105" s="938">
        <f t="shared" si="6"/>
        <v>0</v>
      </c>
      <c r="O105" s="938">
        <f t="shared" si="7"/>
        <v>11300</v>
      </c>
      <c r="P105" s="938">
        <f t="shared" si="8"/>
        <v>0</v>
      </c>
      <c r="Q105" s="938">
        <f t="shared" si="9"/>
        <v>-9800</v>
      </c>
      <c r="R105" s="938">
        <f t="shared" si="10"/>
        <v>-1520</v>
      </c>
      <c r="S105" s="938">
        <f t="shared" si="11"/>
        <v>-20</v>
      </c>
      <c r="AD105" s="936"/>
      <c r="AE105" s="936"/>
      <c r="AF105" s="936"/>
      <c r="AG105" s="936"/>
      <c r="AH105" s="936"/>
      <c r="AI105" s="936"/>
      <c r="AJ105" s="936"/>
      <c r="AK105" s="936"/>
    </row>
    <row r="106" spans="1:37" hidden="1" outlineLevel="1" x14ac:dyDescent="0.2">
      <c r="A106" s="207" t="s">
        <v>175</v>
      </c>
      <c r="B106" s="941">
        <v>3440000</v>
      </c>
      <c r="C106" s="941"/>
      <c r="D106" s="941"/>
      <c r="E106" s="941">
        <v>5801415</v>
      </c>
      <c r="F106" s="941"/>
      <c r="G106" s="941">
        <v>0</v>
      </c>
      <c r="H106" s="941">
        <v>-73930</v>
      </c>
      <c r="I106" s="941">
        <f t="shared" si="13"/>
        <v>9167485</v>
      </c>
      <c r="K106" s="207" t="s">
        <v>175</v>
      </c>
      <c r="L106" s="941">
        <f t="shared" si="4"/>
        <v>0</v>
      </c>
      <c r="M106" s="941">
        <f t="shared" si="5"/>
        <v>0</v>
      </c>
      <c r="N106" s="941">
        <f t="shared" si="6"/>
        <v>0</v>
      </c>
      <c r="O106" s="941">
        <f t="shared" si="7"/>
        <v>394966</v>
      </c>
      <c r="P106" s="941">
        <f t="shared" si="8"/>
        <v>0</v>
      </c>
      <c r="Q106" s="941">
        <f t="shared" si="9"/>
        <v>0</v>
      </c>
      <c r="R106" s="941">
        <f t="shared" si="10"/>
        <v>-22430</v>
      </c>
      <c r="S106" s="941">
        <f t="shared" si="11"/>
        <v>372536</v>
      </c>
      <c r="AD106" s="936"/>
      <c r="AE106" s="936"/>
      <c r="AF106" s="936"/>
      <c r="AG106" s="936"/>
      <c r="AH106" s="936"/>
      <c r="AI106" s="936"/>
      <c r="AJ106" s="936"/>
      <c r="AK106" s="936"/>
    </row>
    <row r="107" spans="1:37" hidden="1" outlineLevel="1" x14ac:dyDescent="0.2">
      <c r="A107" s="524" t="s">
        <v>176</v>
      </c>
      <c r="B107" s="940">
        <v>1236169</v>
      </c>
      <c r="C107" s="940"/>
      <c r="D107" s="940"/>
      <c r="E107" s="940">
        <v>11265841</v>
      </c>
      <c r="F107" s="940">
        <v>50000</v>
      </c>
      <c r="G107" s="940">
        <v>713500</v>
      </c>
      <c r="H107" s="940">
        <v>-106120</v>
      </c>
      <c r="I107" s="940">
        <f t="shared" si="13"/>
        <v>13159390</v>
      </c>
      <c r="K107" s="524" t="s">
        <v>176</v>
      </c>
      <c r="L107" s="940">
        <f t="shared" si="4"/>
        <v>102290</v>
      </c>
      <c r="M107" s="940">
        <f t="shared" si="5"/>
        <v>0</v>
      </c>
      <c r="N107" s="940">
        <f t="shared" si="6"/>
        <v>0</v>
      </c>
      <c r="O107" s="940">
        <f t="shared" si="7"/>
        <v>1011121</v>
      </c>
      <c r="P107" s="940">
        <f t="shared" si="8"/>
        <v>-50000</v>
      </c>
      <c r="Q107" s="940">
        <f t="shared" si="9"/>
        <v>-713500</v>
      </c>
      <c r="R107" s="940">
        <f t="shared" si="10"/>
        <v>-129080</v>
      </c>
      <c r="S107" s="940">
        <f t="shared" si="11"/>
        <v>220831</v>
      </c>
      <c r="AD107" s="936"/>
      <c r="AE107" s="936"/>
      <c r="AF107" s="936"/>
      <c r="AG107" s="936"/>
      <c r="AH107" s="936"/>
      <c r="AI107" s="936"/>
      <c r="AJ107" s="936"/>
      <c r="AK107" s="936"/>
    </row>
    <row r="108" spans="1:37" hidden="1" outlineLevel="1" x14ac:dyDescent="0.2">
      <c r="A108" s="207" t="s">
        <v>178</v>
      </c>
      <c r="B108" s="941">
        <v>4028010</v>
      </c>
      <c r="C108" s="941"/>
      <c r="D108" s="941"/>
      <c r="E108" s="941">
        <v>40174650</v>
      </c>
      <c r="F108" s="941">
        <v>0</v>
      </c>
      <c r="G108" s="941"/>
      <c r="H108" s="941">
        <v>-353620</v>
      </c>
      <c r="I108" s="941">
        <f t="shared" si="13"/>
        <v>43849040</v>
      </c>
      <c r="K108" s="207" t="s">
        <v>178</v>
      </c>
      <c r="L108" s="941">
        <f t="shared" si="4"/>
        <v>46990</v>
      </c>
      <c r="M108" s="941">
        <f t="shared" si="5"/>
        <v>0</v>
      </c>
      <c r="N108" s="941">
        <f t="shared" si="6"/>
        <v>0</v>
      </c>
      <c r="O108" s="941">
        <f t="shared" si="7"/>
        <v>1297440</v>
      </c>
      <c r="P108" s="941">
        <f t="shared" si="8"/>
        <v>0</v>
      </c>
      <c r="Q108" s="941">
        <f t="shared" si="9"/>
        <v>0</v>
      </c>
      <c r="R108" s="941">
        <f t="shared" si="10"/>
        <v>-148840</v>
      </c>
      <c r="S108" s="941">
        <f t="shared" si="11"/>
        <v>1195590</v>
      </c>
      <c r="AD108" s="936"/>
      <c r="AE108" s="936"/>
      <c r="AF108" s="936"/>
      <c r="AG108" s="936"/>
      <c r="AH108" s="936"/>
      <c r="AI108" s="936"/>
      <c r="AJ108" s="936"/>
      <c r="AK108" s="936"/>
    </row>
    <row r="109" spans="1:37" hidden="1" outlineLevel="1" x14ac:dyDescent="0.2">
      <c r="A109" s="524" t="s">
        <v>797</v>
      </c>
      <c r="B109" s="940">
        <v>9936300</v>
      </c>
      <c r="C109" s="940"/>
      <c r="D109" s="940"/>
      <c r="E109" s="940">
        <v>22887722</v>
      </c>
      <c r="F109" s="940">
        <v>0</v>
      </c>
      <c r="G109" s="940"/>
      <c r="H109" s="940">
        <v>-262590</v>
      </c>
      <c r="I109" s="940">
        <f t="shared" si="13"/>
        <v>32561432</v>
      </c>
      <c r="K109" s="524" t="s">
        <v>797</v>
      </c>
      <c r="L109" s="940">
        <f t="shared" si="4"/>
        <v>3700</v>
      </c>
      <c r="M109" s="940">
        <f t="shared" si="5"/>
        <v>0</v>
      </c>
      <c r="N109" s="940">
        <f t="shared" si="6"/>
        <v>0</v>
      </c>
      <c r="O109" s="940">
        <f t="shared" si="7"/>
        <v>289849</v>
      </c>
      <c r="P109" s="940">
        <f t="shared" si="8"/>
        <v>0</v>
      </c>
      <c r="Q109" s="940">
        <f t="shared" si="9"/>
        <v>0</v>
      </c>
      <c r="R109" s="940">
        <f t="shared" si="10"/>
        <v>-72290</v>
      </c>
      <c r="S109" s="940">
        <f t="shared" si="11"/>
        <v>221259</v>
      </c>
      <c r="AD109" s="936"/>
      <c r="AE109" s="936"/>
      <c r="AF109" s="936"/>
      <c r="AG109" s="936"/>
      <c r="AH109" s="936"/>
      <c r="AI109" s="936"/>
      <c r="AJ109" s="936"/>
      <c r="AK109" s="936"/>
    </row>
    <row r="110" spans="1:37" hidden="1" outlineLevel="1" x14ac:dyDescent="0.2">
      <c r="A110" s="222" t="s">
        <v>180</v>
      </c>
      <c r="B110" s="223">
        <f>SUM(B94:B109)</f>
        <v>26682295</v>
      </c>
      <c r="C110" s="223">
        <f t="shared" ref="C110:I110" si="14">SUM(C94:C109)</f>
        <v>22395134</v>
      </c>
      <c r="D110" s="223">
        <f t="shared" si="14"/>
        <v>0</v>
      </c>
      <c r="E110" s="223">
        <f t="shared" si="14"/>
        <v>126159062.55</v>
      </c>
      <c r="F110" s="223">
        <f t="shared" si="14"/>
        <v>50000</v>
      </c>
      <c r="G110" s="223">
        <f t="shared" si="14"/>
        <v>1180500</v>
      </c>
      <c r="H110" s="223">
        <f t="shared" si="14"/>
        <v>-1411730</v>
      </c>
      <c r="I110" s="223">
        <f t="shared" si="14"/>
        <v>175055261.55000001</v>
      </c>
      <c r="K110" s="222" t="s">
        <v>180</v>
      </c>
      <c r="L110" s="223">
        <f t="shared" si="4"/>
        <v>595090</v>
      </c>
      <c r="M110" s="223">
        <f t="shared" si="5"/>
        <v>275972</v>
      </c>
      <c r="N110" s="223">
        <f t="shared" si="6"/>
        <v>0</v>
      </c>
      <c r="O110" s="223">
        <f t="shared" si="7"/>
        <v>4523268</v>
      </c>
      <c r="P110" s="223">
        <f t="shared" si="8"/>
        <v>-50000</v>
      </c>
      <c r="Q110" s="223">
        <f t="shared" si="9"/>
        <v>-1180500</v>
      </c>
      <c r="R110" s="223">
        <f t="shared" si="10"/>
        <v>-946790</v>
      </c>
      <c r="S110" s="223">
        <f t="shared" si="11"/>
        <v>3217040</v>
      </c>
      <c r="AD110" s="936"/>
      <c r="AE110" s="936"/>
      <c r="AF110" s="936"/>
      <c r="AG110" s="936"/>
      <c r="AH110" s="936"/>
      <c r="AI110" s="936"/>
      <c r="AJ110" s="936"/>
      <c r="AK110" s="936"/>
    </row>
    <row r="111" spans="1:37" ht="17" hidden="1" outlineLevel="1" thickBot="1" x14ac:dyDescent="0.25">
      <c r="A111" s="225" t="s">
        <v>181</v>
      </c>
      <c r="B111" s="226">
        <f>+B110+B90+B68+B67+B66+B65+B64+B63+B62+B61</f>
        <v>168880047</v>
      </c>
      <c r="C111" s="226">
        <f t="shared" ref="C111:H111" si="15">+C110+C90+C68+C67+C66+C65+C64+C63+C62+C61</f>
        <v>76820076.999755591</v>
      </c>
      <c r="D111" s="226">
        <f t="shared" si="15"/>
        <v>23193422</v>
      </c>
      <c r="E111" s="226">
        <f>+E110+E90+E68+E67+E66+E65+E64+E63+E62+E61</f>
        <v>128769389</v>
      </c>
      <c r="F111" s="226">
        <f>+F110+F90+F68+F67+F66+F65+F64+F63+F62+F61</f>
        <v>91828000</v>
      </c>
      <c r="G111" s="226">
        <f>+G110+G90+G68+G67+G66+G65+G64+G63+G62+G61</f>
        <v>129644319</v>
      </c>
      <c r="H111" s="226">
        <f t="shared" si="15"/>
        <v>0</v>
      </c>
      <c r="I111" s="226">
        <f>+I110+I90+I68+I67+I66+I65+I64+I63+I62+I61</f>
        <v>619135253.99975562</v>
      </c>
      <c r="K111" s="225" t="s">
        <v>181</v>
      </c>
      <c r="L111" s="226">
        <f t="shared" si="4"/>
        <v>17198509</v>
      </c>
      <c r="M111" s="226">
        <f t="shared" si="5"/>
        <v>-46916457.999755591</v>
      </c>
      <c r="N111" s="226">
        <f t="shared" si="6"/>
        <v>-1455100</v>
      </c>
      <c r="O111" s="226">
        <f t="shared" si="7"/>
        <v>23100443</v>
      </c>
      <c r="P111" s="226">
        <f t="shared" si="8"/>
        <v>3315900</v>
      </c>
      <c r="Q111" s="226">
        <f t="shared" si="9"/>
        <v>2009307</v>
      </c>
      <c r="R111" s="226">
        <f t="shared" si="10"/>
        <v>0</v>
      </c>
      <c r="S111" s="226">
        <f t="shared" si="11"/>
        <v>-2747398.999755621</v>
      </c>
      <c r="AD111" s="936"/>
      <c r="AE111" s="936"/>
      <c r="AF111" s="936"/>
      <c r="AG111" s="936"/>
      <c r="AH111" s="936"/>
      <c r="AI111" s="936"/>
      <c r="AJ111" s="936"/>
      <c r="AK111" s="936"/>
    </row>
    <row r="112" spans="1:37" ht="17" hidden="1" outlineLevel="1" thickTop="1" x14ac:dyDescent="0.2"/>
    <row r="113" spans="1:37" collapsed="1" x14ac:dyDescent="0.2"/>
    <row r="114" spans="1:37" x14ac:dyDescent="0.2">
      <c r="A114" s="990" t="s">
        <v>885</v>
      </c>
      <c r="K114" s="990" t="s">
        <v>1009</v>
      </c>
      <c r="L114" s="935"/>
      <c r="M114" s="935"/>
      <c r="N114" s="935"/>
      <c r="O114" s="935"/>
      <c r="P114" s="935"/>
      <c r="Q114" s="935"/>
      <c r="R114" s="935"/>
      <c r="S114" s="935"/>
    </row>
    <row r="115" spans="1:37" ht="75" hidden="1" outlineLevel="1" x14ac:dyDescent="0.2">
      <c r="A115" s="949" t="s">
        <v>115</v>
      </c>
      <c r="B115" s="948" t="s">
        <v>776</v>
      </c>
      <c r="C115" s="948" t="s">
        <v>775</v>
      </c>
      <c r="D115" s="948" t="s">
        <v>304</v>
      </c>
      <c r="E115" s="948" t="s">
        <v>774</v>
      </c>
      <c r="F115" s="948" t="s">
        <v>773</v>
      </c>
      <c r="G115" s="948" t="s">
        <v>772</v>
      </c>
      <c r="H115" s="948" t="s">
        <v>771</v>
      </c>
      <c r="I115" s="948" t="s">
        <v>886</v>
      </c>
      <c r="K115" s="949" t="s">
        <v>115</v>
      </c>
      <c r="L115" s="948" t="s">
        <v>776</v>
      </c>
      <c r="M115" s="948" t="s">
        <v>775</v>
      </c>
      <c r="N115" s="948" t="s">
        <v>304</v>
      </c>
      <c r="O115" s="948" t="s">
        <v>774</v>
      </c>
      <c r="P115" s="948" t="s">
        <v>773</v>
      </c>
      <c r="Q115" s="948" t="s">
        <v>772</v>
      </c>
      <c r="R115" s="948" t="s">
        <v>771</v>
      </c>
      <c r="S115" s="948" t="s">
        <v>889</v>
      </c>
    </row>
    <row r="116" spans="1:37" hidden="1" outlineLevel="1" x14ac:dyDescent="0.2">
      <c r="A116" s="175" t="s">
        <v>129</v>
      </c>
      <c r="B116" s="995">
        <v>0</v>
      </c>
      <c r="C116" s="995">
        <v>3314552.52</v>
      </c>
      <c r="D116" s="995"/>
      <c r="E116" s="995">
        <v>-3314552.52</v>
      </c>
      <c r="F116" s="995"/>
      <c r="G116" s="995"/>
      <c r="H116" s="995">
        <v>0</v>
      </c>
      <c r="I116" s="995">
        <f>SUM(B116:H116)</f>
        <v>0</v>
      </c>
      <c r="K116" s="175" t="s">
        <v>129</v>
      </c>
      <c r="L116" s="995">
        <f>+B6-B116</f>
        <v>3276588</v>
      </c>
      <c r="M116" s="995">
        <f t="shared" ref="M116:S116" si="16">+C6-C116</f>
        <v>-3314552.52</v>
      </c>
      <c r="N116" s="995">
        <f t="shared" si="16"/>
        <v>0</v>
      </c>
      <c r="O116" s="995">
        <f t="shared" si="16"/>
        <v>37964.520000000019</v>
      </c>
      <c r="P116" s="995">
        <f t="shared" si="16"/>
        <v>0</v>
      </c>
      <c r="Q116" s="995">
        <f t="shared" si="16"/>
        <v>0</v>
      </c>
      <c r="R116" s="995">
        <f t="shared" si="16"/>
        <v>0</v>
      </c>
      <c r="S116" s="995">
        <f t="shared" si="16"/>
        <v>0</v>
      </c>
      <c r="AD116" s="936"/>
      <c r="AE116" s="936"/>
      <c r="AF116" s="936"/>
      <c r="AG116" s="936"/>
      <c r="AH116" s="936"/>
      <c r="AI116" s="936"/>
      <c r="AJ116" s="936"/>
      <c r="AK116" s="936"/>
    </row>
    <row r="117" spans="1:37" hidden="1" outlineLevel="1" x14ac:dyDescent="0.2">
      <c r="A117" s="175" t="s">
        <v>130</v>
      </c>
      <c r="B117" s="995">
        <v>5982964.0499999998</v>
      </c>
      <c r="C117" s="995">
        <v>4569258</v>
      </c>
      <c r="D117" s="995"/>
      <c r="E117" s="995">
        <v>-4841171.3334679119</v>
      </c>
      <c r="F117" s="995"/>
      <c r="G117" s="995"/>
      <c r="H117" s="995">
        <v>-2232484</v>
      </c>
      <c r="I117" s="995">
        <f t="shared" ref="I117:I144" si="17">SUM(B117:H117)</f>
        <v>3478566.7165320888</v>
      </c>
      <c r="K117" s="175" t="s">
        <v>130</v>
      </c>
      <c r="L117" s="995">
        <f t="shared" ref="L117:L123" si="18">+B7-B117</f>
        <v>4372243.95</v>
      </c>
      <c r="M117" s="995">
        <f t="shared" ref="M117:M123" si="19">+C7-C117</f>
        <v>-4569258</v>
      </c>
      <c r="N117" s="995">
        <f t="shared" ref="N117:N123" si="20">+D7-D117</f>
        <v>0</v>
      </c>
      <c r="O117" s="995">
        <f t="shared" ref="O117:O123" si="21">+E7-E117</f>
        <v>-7617712.2165321</v>
      </c>
      <c r="P117" s="995">
        <f t="shared" ref="P117:P123" si="22">+F7-F117</f>
        <v>0</v>
      </c>
      <c r="Q117" s="995">
        <f t="shared" ref="Q117:Q123" si="23">+G7-G117</f>
        <v>0</v>
      </c>
      <c r="R117" s="995">
        <f t="shared" ref="R117:R123" si="24">+H7-H117</f>
        <v>5306642</v>
      </c>
      <c r="S117" s="995">
        <f t="shared" ref="S117:S123" si="25">+I7-I117</f>
        <v>-2508084.2665321007</v>
      </c>
      <c r="AD117" s="936"/>
      <c r="AE117" s="936"/>
      <c r="AF117" s="936"/>
      <c r="AG117" s="936"/>
      <c r="AH117" s="936"/>
      <c r="AI117" s="936"/>
      <c r="AJ117" s="936"/>
      <c r="AK117" s="936"/>
    </row>
    <row r="118" spans="1:37" hidden="1" outlineLevel="1" x14ac:dyDescent="0.2">
      <c r="A118" s="175" t="s">
        <v>131</v>
      </c>
      <c r="B118" s="995">
        <v>0</v>
      </c>
      <c r="C118" s="995"/>
      <c r="D118" s="995">
        <v>1507999.6079999991</v>
      </c>
      <c r="E118" s="995">
        <v>0</v>
      </c>
      <c r="F118" s="995"/>
      <c r="G118" s="995"/>
      <c r="H118" s="995">
        <v>-1508000</v>
      </c>
      <c r="I118" s="995">
        <f t="shared" si="17"/>
        <v>-0.39200000092387199</v>
      </c>
      <c r="K118" s="175" t="s">
        <v>131</v>
      </c>
      <c r="L118" s="995">
        <f t="shared" si="18"/>
        <v>0</v>
      </c>
      <c r="M118" s="995">
        <f t="shared" si="19"/>
        <v>0</v>
      </c>
      <c r="N118" s="995">
        <f t="shared" si="20"/>
        <v>1662000.3920000009</v>
      </c>
      <c r="O118" s="995">
        <f t="shared" si="21"/>
        <v>0</v>
      </c>
      <c r="P118" s="995">
        <f t="shared" si="22"/>
        <v>0</v>
      </c>
      <c r="Q118" s="995">
        <f t="shared" si="23"/>
        <v>0</v>
      </c>
      <c r="R118" s="995">
        <f t="shared" si="24"/>
        <v>1508000</v>
      </c>
      <c r="S118" s="995">
        <f t="shared" si="25"/>
        <v>3170000.3920000009</v>
      </c>
      <c r="AD118" s="936"/>
      <c r="AE118" s="936"/>
      <c r="AF118" s="936"/>
      <c r="AG118" s="936"/>
      <c r="AH118" s="936"/>
      <c r="AI118" s="936"/>
      <c r="AJ118" s="936"/>
      <c r="AK118" s="936"/>
    </row>
    <row r="119" spans="1:37" hidden="1" outlineLevel="1" x14ac:dyDescent="0.2">
      <c r="A119" s="175" t="s">
        <v>132</v>
      </c>
      <c r="B119" s="995">
        <v>13000000</v>
      </c>
      <c r="C119" s="995"/>
      <c r="D119" s="995"/>
      <c r="E119" s="995">
        <v>0</v>
      </c>
      <c r="F119" s="995"/>
      <c r="G119" s="995"/>
      <c r="H119" s="995">
        <v>0</v>
      </c>
      <c r="I119" s="995">
        <f t="shared" si="17"/>
        <v>13000000</v>
      </c>
      <c r="K119" s="175" t="s">
        <v>132</v>
      </c>
      <c r="L119" s="995">
        <f t="shared" si="18"/>
        <v>-1000000</v>
      </c>
      <c r="M119" s="995">
        <f t="shared" si="19"/>
        <v>0</v>
      </c>
      <c r="N119" s="995">
        <f t="shared" si="20"/>
        <v>0</v>
      </c>
      <c r="O119" s="995">
        <f t="shared" si="21"/>
        <v>0</v>
      </c>
      <c r="P119" s="995">
        <f t="shared" si="22"/>
        <v>0</v>
      </c>
      <c r="Q119" s="995">
        <f t="shared" si="23"/>
        <v>0</v>
      </c>
      <c r="R119" s="995">
        <f t="shared" si="24"/>
        <v>0</v>
      </c>
      <c r="S119" s="995">
        <f t="shared" si="25"/>
        <v>-1000000</v>
      </c>
      <c r="AD119" s="936"/>
      <c r="AE119" s="936"/>
      <c r="AF119" s="936"/>
      <c r="AG119" s="936"/>
      <c r="AH119" s="936"/>
      <c r="AI119" s="936"/>
      <c r="AJ119" s="936"/>
      <c r="AK119" s="936"/>
    </row>
    <row r="120" spans="1:37" hidden="1" outlineLevel="1" x14ac:dyDescent="0.2">
      <c r="A120" s="175" t="s">
        <v>134</v>
      </c>
      <c r="B120" s="995">
        <v>1929007.9900000021</v>
      </c>
      <c r="C120" s="995">
        <v>9512811.2529999912</v>
      </c>
      <c r="D120" s="995"/>
      <c r="E120" s="995">
        <v>0</v>
      </c>
      <c r="F120" s="995"/>
      <c r="G120" s="995"/>
      <c r="H120" s="995">
        <v>0</v>
      </c>
      <c r="I120" s="995">
        <f t="shared" si="17"/>
        <v>11441819.242999993</v>
      </c>
      <c r="K120" s="175" t="s">
        <v>134</v>
      </c>
      <c r="L120" s="995">
        <f t="shared" si="18"/>
        <v>69392.009999997914</v>
      </c>
      <c r="M120" s="995">
        <f t="shared" si="19"/>
        <v>-4166173.2529999912</v>
      </c>
      <c r="N120" s="995">
        <f t="shared" si="20"/>
        <v>0</v>
      </c>
      <c r="O120" s="995">
        <f t="shared" si="21"/>
        <v>0</v>
      </c>
      <c r="P120" s="995">
        <f t="shared" si="22"/>
        <v>0</v>
      </c>
      <c r="Q120" s="995">
        <f t="shared" si="23"/>
        <v>0</v>
      </c>
      <c r="R120" s="995">
        <f t="shared" si="24"/>
        <v>0</v>
      </c>
      <c r="S120" s="995">
        <f t="shared" si="25"/>
        <v>-4096781.2429999933</v>
      </c>
      <c r="AD120" s="936"/>
      <c r="AE120" s="936"/>
      <c r="AF120" s="936"/>
      <c r="AG120" s="936"/>
      <c r="AH120" s="936"/>
      <c r="AI120" s="936"/>
      <c r="AJ120" s="936"/>
      <c r="AK120" s="936"/>
    </row>
    <row r="121" spans="1:37" hidden="1" outlineLevel="1" x14ac:dyDescent="0.2">
      <c r="A121" s="175" t="s">
        <v>137</v>
      </c>
      <c r="B121" s="995">
        <v>0</v>
      </c>
      <c r="C121" s="995">
        <v>2530000</v>
      </c>
      <c r="D121" s="995"/>
      <c r="E121" s="995">
        <v>0</v>
      </c>
      <c r="F121" s="995"/>
      <c r="G121" s="995"/>
      <c r="H121" s="995">
        <v>0</v>
      </c>
      <c r="I121" s="995">
        <f t="shared" si="17"/>
        <v>2530000</v>
      </c>
      <c r="K121" s="175" t="s">
        <v>137</v>
      </c>
      <c r="L121" s="995">
        <f t="shared" si="18"/>
        <v>180000</v>
      </c>
      <c r="M121" s="995">
        <f t="shared" si="19"/>
        <v>-2530000</v>
      </c>
      <c r="N121" s="995">
        <f t="shared" si="20"/>
        <v>0</v>
      </c>
      <c r="O121" s="995">
        <f t="shared" si="21"/>
        <v>0</v>
      </c>
      <c r="P121" s="995">
        <f t="shared" si="22"/>
        <v>0</v>
      </c>
      <c r="Q121" s="995">
        <f t="shared" si="23"/>
        <v>0</v>
      </c>
      <c r="R121" s="995">
        <f t="shared" si="24"/>
        <v>0</v>
      </c>
      <c r="S121" s="995">
        <f t="shared" si="25"/>
        <v>-2350000</v>
      </c>
      <c r="AD121" s="936"/>
      <c r="AE121" s="936"/>
      <c r="AF121" s="936"/>
      <c r="AG121" s="936"/>
      <c r="AH121" s="936"/>
      <c r="AI121" s="936"/>
      <c r="AJ121" s="936"/>
      <c r="AK121" s="936"/>
    </row>
    <row r="122" spans="1:37" hidden="1" outlineLevel="1" x14ac:dyDescent="0.2">
      <c r="A122" s="175" t="s">
        <v>138</v>
      </c>
      <c r="B122" s="995">
        <v>10041143</v>
      </c>
      <c r="C122" s="995">
        <v>22172398.77</v>
      </c>
      <c r="D122" s="995"/>
      <c r="E122" s="995">
        <v>0</v>
      </c>
      <c r="F122" s="995"/>
      <c r="G122" s="995"/>
      <c r="H122" s="995">
        <v>0</v>
      </c>
      <c r="I122" s="995">
        <f t="shared" si="17"/>
        <v>32213541.77</v>
      </c>
      <c r="K122" s="175" t="s">
        <v>138</v>
      </c>
      <c r="L122" s="995">
        <f t="shared" si="18"/>
        <v>30753093</v>
      </c>
      <c r="M122" s="995">
        <f t="shared" si="19"/>
        <v>-22172398.77</v>
      </c>
      <c r="N122" s="995">
        <f t="shared" si="20"/>
        <v>0</v>
      </c>
      <c r="O122" s="995">
        <f t="shared" si="21"/>
        <v>0</v>
      </c>
      <c r="P122" s="995">
        <f t="shared" si="22"/>
        <v>0</v>
      </c>
      <c r="Q122" s="995">
        <f t="shared" si="23"/>
        <v>0</v>
      </c>
      <c r="R122" s="995">
        <f t="shared" si="24"/>
        <v>0</v>
      </c>
      <c r="S122" s="995">
        <f t="shared" si="25"/>
        <v>8580694.2300000004</v>
      </c>
      <c r="AD122" s="936"/>
      <c r="AE122" s="936"/>
      <c r="AF122" s="936"/>
      <c r="AG122" s="936"/>
      <c r="AH122" s="936"/>
      <c r="AI122" s="936"/>
      <c r="AJ122" s="936"/>
      <c r="AK122" s="936"/>
    </row>
    <row r="123" spans="1:37" hidden="1" outlineLevel="1" x14ac:dyDescent="0.2">
      <c r="A123" s="175" t="s">
        <v>677</v>
      </c>
      <c r="B123" s="995"/>
      <c r="C123" s="995"/>
      <c r="D123" s="995"/>
      <c r="E123" s="995"/>
      <c r="F123" s="995"/>
      <c r="G123" s="995"/>
      <c r="H123" s="995"/>
      <c r="I123" s="995">
        <f t="shared" si="17"/>
        <v>0</v>
      </c>
      <c r="K123" s="175" t="s">
        <v>677</v>
      </c>
      <c r="L123" s="995">
        <f t="shared" si="18"/>
        <v>0</v>
      </c>
      <c r="M123" s="995">
        <f t="shared" si="19"/>
        <v>0</v>
      </c>
      <c r="N123" s="995">
        <f t="shared" si="20"/>
        <v>0</v>
      </c>
      <c r="O123" s="995">
        <f t="shared" si="21"/>
        <v>0</v>
      </c>
      <c r="P123" s="995">
        <f t="shared" si="22"/>
        <v>0</v>
      </c>
      <c r="Q123" s="995">
        <f t="shared" si="23"/>
        <v>-574.00000000093132</v>
      </c>
      <c r="R123" s="995">
        <f t="shared" si="24"/>
        <v>0</v>
      </c>
      <c r="S123" s="995">
        <f t="shared" si="25"/>
        <v>-574.00000000093132</v>
      </c>
      <c r="AD123" s="936"/>
      <c r="AE123" s="936"/>
      <c r="AF123" s="936"/>
      <c r="AG123" s="936"/>
      <c r="AH123" s="936"/>
      <c r="AI123" s="936"/>
      <c r="AJ123" s="936"/>
      <c r="AK123" s="936"/>
    </row>
    <row r="124" spans="1:37" hidden="1" outlineLevel="1" x14ac:dyDescent="0.2">
      <c r="A124" s="522"/>
      <c r="B124" s="996"/>
      <c r="C124" s="996"/>
      <c r="D124" s="996"/>
      <c r="E124" s="996"/>
      <c r="F124" s="996"/>
      <c r="G124" s="996"/>
      <c r="H124" s="996"/>
      <c r="I124" s="996"/>
      <c r="K124" s="522"/>
      <c r="L124" s="996"/>
      <c r="M124" s="996"/>
      <c r="N124" s="996"/>
      <c r="O124" s="996"/>
      <c r="P124" s="996"/>
      <c r="Q124" s="996"/>
      <c r="R124" s="996"/>
      <c r="S124" s="996"/>
      <c r="AD124" s="936"/>
      <c r="AE124" s="936"/>
      <c r="AF124" s="936"/>
      <c r="AG124" s="936"/>
      <c r="AH124" s="936"/>
      <c r="AI124" s="936"/>
      <c r="AJ124" s="936"/>
      <c r="AK124" s="936"/>
    </row>
    <row r="125" spans="1:37" hidden="1" outlineLevel="1" x14ac:dyDescent="0.2">
      <c r="A125" s="192" t="s">
        <v>141</v>
      </c>
      <c r="B125" s="996"/>
      <c r="C125" s="996"/>
      <c r="D125" s="996"/>
      <c r="E125" s="996"/>
      <c r="F125" s="996"/>
      <c r="G125" s="996"/>
      <c r="H125" s="996"/>
      <c r="I125" s="996"/>
      <c r="K125" s="192" t="s">
        <v>141</v>
      </c>
      <c r="L125" s="996"/>
      <c r="M125" s="996"/>
      <c r="N125" s="996"/>
      <c r="O125" s="996"/>
      <c r="P125" s="996"/>
      <c r="Q125" s="996"/>
      <c r="R125" s="996"/>
      <c r="S125" s="996"/>
      <c r="AD125" s="936"/>
      <c r="AE125" s="936"/>
      <c r="AF125" s="936"/>
      <c r="AG125" s="936"/>
      <c r="AH125" s="936"/>
      <c r="AI125" s="936"/>
      <c r="AJ125" s="936"/>
      <c r="AK125" s="936"/>
    </row>
    <row r="126" spans="1:37" hidden="1" outlineLevel="1" x14ac:dyDescent="0.2">
      <c r="A126" s="195" t="s">
        <v>143</v>
      </c>
      <c r="B126" s="997"/>
      <c r="C126" s="997"/>
      <c r="D126" s="997"/>
      <c r="E126" s="997"/>
      <c r="F126" s="997"/>
      <c r="G126" s="997"/>
      <c r="H126" s="997"/>
      <c r="I126" s="997"/>
      <c r="K126" s="195" t="s">
        <v>143</v>
      </c>
      <c r="L126" s="997">
        <f t="shared" ref="L126:L166" si="26">+B16-B126</f>
        <v>0</v>
      </c>
      <c r="M126" s="997">
        <f t="shared" ref="M126:M166" si="27">+C16-C126</f>
        <v>0</v>
      </c>
      <c r="N126" s="997">
        <f t="shared" ref="N126:N166" si="28">+D16-D126</f>
        <v>0</v>
      </c>
      <c r="O126" s="997">
        <f t="shared" ref="O126:O166" si="29">+E16-E126</f>
        <v>0</v>
      </c>
      <c r="P126" s="997">
        <f t="shared" ref="P126:P166" si="30">+F16-F126</f>
        <v>0</v>
      </c>
      <c r="Q126" s="997">
        <f t="shared" ref="Q126:Q166" si="31">+G16-G126</f>
        <v>0</v>
      </c>
      <c r="R126" s="997">
        <f t="shared" ref="R126:R166" si="32">+H16-H126</f>
        <v>0</v>
      </c>
      <c r="S126" s="997">
        <f t="shared" ref="S126:S166" si="33">+I16-I126</f>
        <v>0</v>
      </c>
      <c r="AD126" s="936"/>
      <c r="AE126" s="936"/>
      <c r="AF126" s="936"/>
      <c r="AG126" s="936"/>
      <c r="AH126" s="936"/>
      <c r="AI126" s="936"/>
      <c r="AJ126" s="936"/>
      <c r="AK126" s="936"/>
    </row>
    <row r="127" spans="1:37" hidden="1" outlineLevel="1" x14ac:dyDescent="0.2">
      <c r="A127" s="197" t="s">
        <v>145</v>
      </c>
      <c r="B127" s="998">
        <v>2853415.4690090911</v>
      </c>
      <c r="C127" s="998">
        <v>0</v>
      </c>
      <c r="D127" s="998">
        <v>0</v>
      </c>
      <c r="E127" s="998">
        <v>0</v>
      </c>
      <c r="F127" s="998">
        <v>10411000</v>
      </c>
      <c r="G127" s="998">
        <v>11532999.352644455</v>
      </c>
      <c r="H127" s="998">
        <v>0</v>
      </c>
      <c r="I127" s="998">
        <f t="shared" si="17"/>
        <v>24797414.821653545</v>
      </c>
      <c r="K127" s="197" t="s">
        <v>145</v>
      </c>
      <c r="L127" s="998">
        <f t="shared" si="26"/>
        <v>1495578.5309909089</v>
      </c>
      <c r="M127" s="998">
        <f t="shared" si="27"/>
        <v>0</v>
      </c>
      <c r="N127" s="998">
        <f t="shared" si="28"/>
        <v>0</v>
      </c>
      <c r="O127" s="998">
        <f t="shared" si="29"/>
        <v>0</v>
      </c>
      <c r="P127" s="998">
        <f t="shared" si="30"/>
        <v>489000</v>
      </c>
      <c r="Q127" s="998">
        <f t="shared" si="31"/>
        <v>-9699.3526444546878</v>
      </c>
      <c r="R127" s="998">
        <f t="shared" si="32"/>
        <v>-344074</v>
      </c>
      <c r="S127" s="998">
        <f t="shared" si="33"/>
        <v>1630805.1783464551</v>
      </c>
      <c r="AD127" s="936"/>
      <c r="AE127" s="936"/>
      <c r="AF127" s="936"/>
      <c r="AG127" s="936"/>
      <c r="AH127" s="936"/>
      <c r="AI127" s="936"/>
      <c r="AJ127" s="936"/>
      <c r="AK127" s="936"/>
    </row>
    <row r="128" spans="1:37" hidden="1" outlineLevel="1" x14ac:dyDescent="0.2">
      <c r="A128" s="200" t="s">
        <v>147</v>
      </c>
      <c r="B128" s="996">
        <v>3588056.430229546</v>
      </c>
      <c r="C128" s="996">
        <v>0</v>
      </c>
      <c r="D128" s="996">
        <v>0</v>
      </c>
      <c r="E128" s="996">
        <v>0</v>
      </c>
      <c r="F128" s="996">
        <v>8874000</v>
      </c>
      <c r="G128" s="996">
        <v>13222074.775141727</v>
      </c>
      <c r="H128" s="996">
        <v>0</v>
      </c>
      <c r="I128" s="996">
        <f t="shared" si="17"/>
        <v>25684131.205371276</v>
      </c>
      <c r="K128" s="200" t="s">
        <v>147</v>
      </c>
      <c r="L128" s="996">
        <f t="shared" si="26"/>
        <v>-248459.43022954604</v>
      </c>
      <c r="M128" s="996">
        <f t="shared" si="27"/>
        <v>0</v>
      </c>
      <c r="N128" s="996">
        <f t="shared" si="28"/>
        <v>0</v>
      </c>
      <c r="O128" s="996">
        <f t="shared" si="29"/>
        <v>0</v>
      </c>
      <c r="P128" s="996">
        <f t="shared" si="30"/>
        <v>1844900</v>
      </c>
      <c r="Q128" s="996">
        <f t="shared" si="31"/>
        <v>-27474.775141727179</v>
      </c>
      <c r="R128" s="996">
        <f t="shared" si="32"/>
        <v>-866869</v>
      </c>
      <c r="S128" s="996">
        <f t="shared" si="33"/>
        <v>702096.79462872446</v>
      </c>
      <c r="AD128" s="936"/>
      <c r="AE128" s="936"/>
      <c r="AF128" s="936"/>
      <c r="AG128" s="936"/>
      <c r="AH128" s="936"/>
      <c r="AI128" s="936"/>
      <c r="AJ128" s="936"/>
      <c r="AK128" s="936"/>
    </row>
    <row r="129" spans="1:37" hidden="1" outlineLevel="1" x14ac:dyDescent="0.2">
      <c r="A129" s="524" t="s">
        <v>149</v>
      </c>
      <c r="B129" s="996">
        <v>18972245.269594479</v>
      </c>
      <c r="C129" s="996">
        <v>0</v>
      </c>
      <c r="D129" s="996">
        <v>0</v>
      </c>
      <c r="E129" s="996">
        <v>0</v>
      </c>
      <c r="F129" s="996">
        <v>18114000</v>
      </c>
      <c r="G129" s="996">
        <v>29358954.697703935</v>
      </c>
      <c r="H129" s="996">
        <v>0</v>
      </c>
      <c r="I129" s="996">
        <f t="shared" si="17"/>
        <v>66445199.967298411</v>
      </c>
      <c r="K129" s="524" t="s">
        <v>149</v>
      </c>
      <c r="L129" s="996">
        <f t="shared" si="26"/>
        <v>2299310.7304055206</v>
      </c>
      <c r="M129" s="996">
        <f t="shared" si="27"/>
        <v>0</v>
      </c>
      <c r="N129" s="996">
        <f t="shared" si="28"/>
        <v>0</v>
      </c>
      <c r="O129" s="996">
        <f t="shared" si="29"/>
        <v>0</v>
      </c>
      <c r="P129" s="996">
        <f t="shared" si="30"/>
        <v>4386000</v>
      </c>
      <c r="Q129" s="996">
        <f t="shared" si="31"/>
        <v>133945.30229606479</v>
      </c>
      <c r="R129" s="996">
        <f t="shared" si="32"/>
        <v>-1058160</v>
      </c>
      <c r="S129" s="996">
        <f t="shared" si="33"/>
        <v>5761096.0327015892</v>
      </c>
      <c r="AD129" s="936"/>
      <c r="AE129" s="936"/>
      <c r="AF129" s="936"/>
      <c r="AG129" s="936"/>
      <c r="AH129" s="936"/>
      <c r="AI129" s="936"/>
      <c r="AJ129" s="936"/>
      <c r="AK129" s="936"/>
    </row>
    <row r="130" spans="1:37" hidden="1" outlineLevel="1" x14ac:dyDescent="0.2">
      <c r="A130" s="197" t="s">
        <v>150</v>
      </c>
      <c r="B130" s="998">
        <v>2611292.1850149385</v>
      </c>
      <c r="C130" s="998">
        <v>0</v>
      </c>
      <c r="D130" s="998">
        <v>681174</v>
      </c>
      <c r="E130" s="998">
        <v>0</v>
      </c>
      <c r="F130" s="998">
        <v>1464000</v>
      </c>
      <c r="G130" s="998">
        <v>3788344.7366184909</v>
      </c>
      <c r="H130" s="998">
        <v>0</v>
      </c>
      <c r="I130" s="998">
        <f t="shared" si="17"/>
        <v>8544810.9216334298</v>
      </c>
      <c r="K130" s="197" t="s">
        <v>150</v>
      </c>
      <c r="L130" s="998">
        <f t="shared" si="26"/>
        <v>1088031.8149850615</v>
      </c>
      <c r="M130" s="998">
        <f t="shared" si="27"/>
        <v>0</v>
      </c>
      <c r="N130" s="998">
        <f t="shared" si="28"/>
        <v>26</v>
      </c>
      <c r="O130" s="998">
        <f t="shared" si="29"/>
        <v>0</v>
      </c>
      <c r="P130" s="998">
        <f t="shared" si="30"/>
        <v>48000</v>
      </c>
      <c r="Q130" s="998">
        <f t="shared" si="31"/>
        <v>-124644.73661849089</v>
      </c>
      <c r="R130" s="998">
        <f t="shared" si="32"/>
        <v>-286213</v>
      </c>
      <c r="S130" s="998">
        <f t="shared" si="33"/>
        <v>725200.07836657017</v>
      </c>
      <c r="AD130" s="936"/>
      <c r="AE130" s="936"/>
      <c r="AF130" s="936"/>
      <c r="AG130" s="936"/>
      <c r="AH130" s="936"/>
      <c r="AI130" s="936"/>
      <c r="AJ130" s="936"/>
      <c r="AK130" s="936"/>
    </row>
    <row r="131" spans="1:37" hidden="1" outlineLevel="1" x14ac:dyDescent="0.2">
      <c r="A131" s="200" t="s">
        <v>151</v>
      </c>
      <c r="B131" s="996">
        <v>2073608.7400072385</v>
      </c>
      <c r="C131" s="996">
        <v>850000</v>
      </c>
      <c r="D131" s="996">
        <v>0</v>
      </c>
      <c r="E131" s="996">
        <v>0</v>
      </c>
      <c r="F131" s="996">
        <v>4817000</v>
      </c>
      <c r="G131" s="996">
        <v>10363687.680741256</v>
      </c>
      <c r="H131" s="996">
        <v>1828800</v>
      </c>
      <c r="I131" s="996">
        <f t="shared" si="17"/>
        <v>19933096.420748495</v>
      </c>
      <c r="K131" s="200" t="s">
        <v>151</v>
      </c>
      <c r="L131" s="996">
        <f t="shared" si="26"/>
        <v>-332154.74000723846</v>
      </c>
      <c r="M131" s="996">
        <f t="shared" si="27"/>
        <v>0</v>
      </c>
      <c r="N131" s="996">
        <f t="shared" si="28"/>
        <v>0</v>
      </c>
      <c r="O131" s="996">
        <f t="shared" si="29"/>
        <v>0</v>
      </c>
      <c r="P131" s="996">
        <f t="shared" si="30"/>
        <v>978000</v>
      </c>
      <c r="Q131" s="996">
        <f t="shared" si="31"/>
        <v>-767387.6807412561</v>
      </c>
      <c r="R131" s="996">
        <f t="shared" si="32"/>
        <v>547201</v>
      </c>
      <c r="S131" s="996">
        <f t="shared" si="33"/>
        <v>425658.57925150543</v>
      </c>
      <c r="AD131" s="936"/>
      <c r="AE131" s="936"/>
      <c r="AF131" s="936"/>
      <c r="AG131" s="936"/>
      <c r="AH131" s="936"/>
      <c r="AI131" s="936"/>
      <c r="AJ131" s="936"/>
      <c r="AK131" s="936"/>
    </row>
    <row r="132" spans="1:37" hidden="1" outlineLevel="1" x14ac:dyDescent="0.2">
      <c r="A132" s="524" t="s">
        <v>152</v>
      </c>
      <c r="B132" s="996">
        <v>312718.5</v>
      </c>
      <c r="C132" s="996">
        <v>0</v>
      </c>
      <c r="D132" s="996">
        <v>227058</v>
      </c>
      <c r="E132" s="996">
        <v>0</v>
      </c>
      <c r="F132" s="996">
        <v>3161000</v>
      </c>
      <c r="G132" s="996">
        <v>2365311.0041181855</v>
      </c>
      <c r="H132" s="996">
        <v>200000</v>
      </c>
      <c r="I132" s="996">
        <f t="shared" si="17"/>
        <v>6266087.5041181855</v>
      </c>
      <c r="K132" s="524" t="s">
        <v>152</v>
      </c>
      <c r="L132" s="996">
        <f t="shared" si="26"/>
        <v>-150718.5</v>
      </c>
      <c r="M132" s="996">
        <f t="shared" si="27"/>
        <v>0</v>
      </c>
      <c r="N132" s="996">
        <f t="shared" si="28"/>
        <v>40042</v>
      </c>
      <c r="O132" s="996">
        <f t="shared" si="29"/>
        <v>0</v>
      </c>
      <c r="P132" s="996">
        <f t="shared" si="30"/>
        <v>704000</v>
      </c>
      <c r="Q132" s="996">
        <f t="shared" si="31"/>
        <v>-161811.00411818549</v>
      </c>
      <c r="R132" s="996">
        <f t="shared" si="32"/>
        <v>-312432</v>
      </c>
      <c r="S132" s="996">
        <f t="shared" si="33"/>
        <v>119080.49588181451</v>
      </c>
      <c r="AD132" s="936"/>
      <c r="AE132" s="936"/>
      <c r="AF132" s="936"/>
      <c r="AG132" s="936"/>
      <c r="AH132" s="936"/>
      <c r="AI132" s="936"/>
      <c r="AJ132" s="936"/>
      <c r="AK132" s="936"/>
    </row>
    <row r="133" spans="1:37" hidden="1" outlineLevel="1" x14ac:dyDescent="0.2">
      <c r="A133" s="197" t="s">
        <v>153</v>
      </c>
      <c r="B133" s="998">
        <v>1349914.461246718</v>
      </c>
      <c r="C133" s="998">
        <v>50000</v>
      </c>
      <c r="D133" s="998">
        <v>0</v>
      </c>
      <c r="E133" s="998">
        <v>0</v>
      </c>
      <c r="F133" s="998">
        <v>19074000</v>
      </c>
      <c r="G133" s="998">
        <v>24918578.101357654</v>
      </c>
      <c r="H133" s="998">
        <v>511684</v>
      </c>
      <c r="I133" s="998">
        <f t="shared" si="17"/>
        <v>45904176.562604368</v>
      </c>
      <c r="K133" s="197" t="s">
        <v>153</v>
      </c>
      <c r="L133" s="998">
        <f t="shared" si="26"/>
        <v>23794.538753282046</v>
      </c>
      <c r="M133" s="998">
        <f t="shared" si="27"/>
        <v>0</v>
      </c>
      <c r="N133" s="998">
        <f t="shared" si="28"/>
        <v>0</v>
      </c>
      <c r="O133" s="998">
        <f t="shared" si="29"/>
        <v>0</v>
      </c>
      <c r="P133" s="998">
        <f t="shared" si="30"/>
        <v>3221000</v>
      </c>
      <c r="Q133" s="998">
        <f t="shared" si="31"/>
        <v>-697678.10135765374</v>
      </c>
      <c r="R133" s="998">
        <f t="shared" si="32"/>
        <v>-377793</v>
      </c>
      <c r="S133" s="998">
        <f t="shared" si="33"/>
        <v>2169323.4373956323</v>
      </c>
      <c r="AD133" s="936"/>
      <c r="AE133" s="936"/>
      <c r="AF133" s="936"/>
      <c r="AG133" s="936"/>
      <c r="AH133" s="936"/>
      <c r="AI133" s="936"/>
      <c r="AJ133" s="936"/>
      <c r="AK133" s="936"/>
    </row>
    <row r="134" spans="1:37" hidden="1" outlineLevel="1" x14ac:dyDescent="0.2">
      <c r="A134" s="524" t="s">
        <v>154</v>
      </c>
      <c r="B134" s="996">
        <v>5201967.2460162146</v>
      </c>
      <c r="C134" s="996">
        <v>10875</v>
      </c>
      <c r="D134" s="996">
        <v>2360111</v>
      </c>
      <c r="E134" s="996">
        <v>0</v>
      </c>
      <c r="F134" s="996">
        <v>2026000</v>
      </c>
      <c r="G134" s="996">
        <v>6167066.3427294511</v>
      </c>
      <c r="H134" s="996">
        <v>0</v>
      </c>
      <c r="I134" s="996">
        <f t="shared" si="17"/>
        <v>15766019.588745667</v>
      </c>
      <c r="K134" s="524" t="s">
        <v>154</v>
      </c>
      <c r="L134" s="996">
        <f t="shared" si="26"/>
        <v>-723936.2460162146</v>
      </c>
      <c r="M134" s="996">
        <f t="shared" si="27"/>
        <v>0</v>
      </c>
      <c r="N134" s="996">
        <f t="shared" si="28"/>
        <v>-11</v>
      </c>
      <c r="O134" s="996">
        <f t="shared" si="29"/>
        <v>0</v>
      </c>
      <c r="P134" s="996">
        <f t="shared" si="30"/>
        <v>574000</v>
      </c>
      <c r="Q134" s="996">
        <f t="shared" si="31"/>
        <v>260333.65727054887</v>
      </c>
      <c r="R134" s="996">
        <f t="shared" si="32"/>
        <v>-167372</v>
      </c>
      <c r="S134" s="996">
        <f t="shared" si="33"/>
        <v>-56985.588745666668</v>
      </c>
      <c r="AD134" s="936"/>
      <c r="AE134" s="936"/>
      <c r="AF134" s="936"/>
      <c r="AG134" s="936"/>
      <c r="AH134" s="936"/>
      <c r="AI134" s="936"/>
      <c r="AJ134" s="936"/>
      <c r="AK134" s="936"/>
    </row>
    <row r="135" spans="1:37" hidden="1" outlineLevel="1" x14ac:dyDescent="0.2">
      <c r="A135" s="524" t="s">
        <v>155</v>
      </c>
      <c r="B135" s="996">
        <v>5938445.0159999998</v>
      </c>
      <c r="C135" s="996">
        <v>0</v>
      </c>
      <c r="D135" s="996">
        <v>2660086</v>
      </c>
      <c r="E135" s="996">
        <v>0</v>
      </c>
      <c r="F135" s="996">
        <v>107000</v>
      </c>
      <c r="G135" s="996">
        <v>3639032.0881665936</v>
      </c>
      <c r="H135" s="996">
        <v>0</v>
      </c>
      <c r="I135" s="996">
        <f t="shared" si="17"/>
        <v>12344563.104166593</v>
      </c>
      <c r="K135" s="524" t="s">
        <v>155</v>
      </c>
      <c r="L135" s="996">
        <f t="shared" si="26"/>
        <v>6733437.9840000002</v>
      </c>
      <c r="M135" s="996">
        <f t="shared" si="27"/>
        <v>0</v>
      </c>
      <c r="N135" s="996">
        <f t="shared" si="28"/>
        <v>-2660086</v>
      </c>
      <c r="O135" s="996">
        <f t="shared" si="29"/>
        <v>0</v>
      </c>
      <c r="P135" s="996">
        <f t="shared" si="30"/>
        <v>3000</v>
      </c>
      <c r="Q135" s="996">
        <f t="shared" si="31"/>
        <v>-3639032.0881665936</v>
      </c>
      <c r="R135" s="996">
        <f t="shared" si="32"/>
        <v>-127820</v>
      </c>
      <c r="S135" s="996">
        <f t="shared" si="33"/>
        <v>309499.8958334066</v>
      </c>
      <c r="AD135" s="936"/>
      <c r="AE135" s="936"/>
      <c r="AF135" s="936"/>
      <c r="AG135" s="936"/>
      <c r="AH135" s="936"/>
      <c r="AI135" s="936"/>
      <c r="AJ135" s="936"/>
      <c r="AK135" s="936"/>
    </row>
    <row r="136" spans="1:37" hidden="1" outlineLevel="1" x14ac:dyDescent="0.2">
      <c r="A136" s="197" t="s">
        <v>156</v>
      </c>
      <c r="B136" s="998">
        <v>1940146.414917011</v>
      </c>
      <c r="C136" s="998">
        <v>750000</v>
      </c>
      <c r="D136" s="998">
        <v>0</v>
      </c>
      <c r="E136" s="998">
        <v>0</v>
      </c>
      <c r="F136" s="998">
        <v>9995000</v>
      </c>
      <c r="G136" s="998">
        <v>29286923.670993842</v>
      </c>
      <c r="H136" s="998">
        <v>1200000</v>
      </c>
      <c r="I136" s="998">
        <f t="shared" si="17"/>
        <v>43172070.085910857</v>
      </c>
      <c r="K136" s="197" t="s">
        <v>156</v>
      </c>
      <c r="L136" s="998">
        <f t="shared" si="26"/>
        <v>226050.58508298895</v>
      </c>
      <c r="M136" s="998">
        <f t="shared" si="27"/>
        <v>0</v>
      </c>
      <c r="N136" s="998">
        <f t="shared" si="28"/>
        <v>0</v>
      </c>
      <c r="O136" s="998">
        <f t="shared" si="29"/>
        <v>0</v>
      </c>
      <c r="P136" s="998">
        <f t="shared" si="30"/>
        <v>4405000</v>
      </c>
      <c r="Q136" s="998">
        <f t="shared" si="31"/>
        <v>-564523.67099384218</v>
      </c>
      <c r="R136" s="998">
        <f t="shared" si="32"/>
        <v>-320287</v>
      </c>
      <c r="S136" s="998">
        <f t="shared" si="33"/>
        <v>3746239.9140891433</v>
      </c>
      <c r="AD136" s="936"/>
      <c r="AE136" s="936"/>
      <c r="AF136" s="936"/>
      <c r="AG136" s="936"/>
      <c r="AH136" s="936"/>
      <c r="AI136" s="936"/>
      <c r="AJ136" s="936"/>
      <c r="AK136" s="936"/>
    </row>
    <row r="137" spans="1:37" hidden="1" outlineLevel="1" x14ac:dyDescent="0.2">
      <c r="A137" s="524" t="s">
        <v>157</v>
      </c>
      <c r="B137" s="996">
        <v>16195603.956</v>
      </c>
      <c r="C137" s="996">
        <v>0</v>
      </c>
      <c r="D137" s="996">
        <v>6808471.6570000006</v>
      </c>
      <c r="E137" s="996">
        <v>0</v>
      </c>
      <c r="F137" s="996">
        <v>0</v>
      </c>
      <c r="G137" s="996">
        <v>2722132.6946031312</v>
      </c>
      <c r="H137" s="996">
        <v>0</v>
      </c>
      <c r="I137" s="996">
        <f t="shared" si="17"/>
        <v>25726208.307603132</v>
      </c>
      <c r="K137" s="524" t="s">
        <v>157</v>
      </c>
      <c r="L137" s="996">
        <f t="shared" si="26"/>
        <v>5455854.0439999998</v>
      </c>
      <c r="M137" s="996">
        <f t="shared" si="27"/>
        <v>0</v>
      </c>
      <c r="N137" s="996">
        <f t="shared" si="28"/>
        <v>-58471.657000000589</v>
      </c>
      <c r="O137" s="996">
        <f t="shared" si="29"/>
        <v>0</v>
      </c>
      <c r="P137" s="996">
        <f t="shared" si="30"/>
        <v>0</v>
      </c>
      <c r="Q137" s="996">
        <f t="shared" si="31"/>
        <v>-2722132.6946031312</v>
      </c>
      <c r="R137" s="996">
        <f t="shared" si="32"/>
        <v>-284010</v>
      </c>
      <c r="S137" s="996">
        <f t="shared" si="33"/>
        <v>2391239.692396868</v>
      </c>
      <c r="AD137" s="936"/>
      <c r="AE137" s="936"/>
      <c r="AF137" s="936"/>
      <c r="AG137" s="936"/>
      <c r="AH137" s="936"/>
      <c r="AI137" s="936"/>
      <c r="AJ137" s="936"/>
      <c r="AK137" s="936"/>
    </row>
    <row r="138" spans="1:37" hidden="1" outlineLevel="1" x14ac:dyDescent="0.2">
      <c r="A138" s="197" t="s">
        <v>159</v>
      </c>
      <c r="B138" s="998">
        <v>1847500.2</v>
      </c>
      <c r="C138" s="998">
        <v>0</v>
      </c>
      <c r="D138" s="998">
        <v>554210.73499999999</v>
      </c>
      <c r="E138" s="998">
        <v>0</v>
      </c>
      <c r="F138" s="998">
        <v>17500</v>
      </c>
      <c r="G138" s="998">
        <v>1281616.0890455742</v>
      </c>
      <c r="H138" s="998">
        <v>0</v>
      </c>
      <c r="I138" s="998">
        <f t="shared" si="17"/>
        <v>3700827.0240455745</v>
      </c>
      <c r="K138" s="197" t="s">
        <v>159</v>
      </c>
      <c r="L138" s="998">
        <f t="shared" si="26"/>
        <v>195099.80000000005</v>
      </c>
      <c r="M138" s="998">
        <f t="shared" si="27"/>
        <v>0</v>
      </c>
      <c r="N138" s="998">
        <f t="shared" si="28"/>
        <v>116304.26500000001</v>
      </c>
      <c r="O138" s="998">
        <f t="shared" si="29"/>
        <v>0</v>
      </c>
      <c r="P138" s="998">
        <f t="shared" si="30"/>
        <v>27500</v>
      </c>
      <c r="Q138" s="998">
        <f t="shared" si="31"/>
        <v>-816.0890455741901</v>
      </c>
      <c r="R138" s="998">
        <f t="shared" si="32"/>
        <v>-101243</v>
      </c>
      <c r="S138" s="998">
        <f t="shared" si="33"/>
        <v>236844.97595442552</v>
      </c>
      <c r="AD138" s="936"/>
      <c r="AE138" s="936"/>
      <c r="AF138" s="936"/>
      <c r="AG138" s="936"/>
      <c r="AH138" s="936"/>
      <c r="AI138" s="936"/>
      <c r="AJ138" s="936"/>
      <c r="AK138" s="936"/>
    </row>
    <row r="139" spans="1:37" hidden="1" outlineLevel="1" x14ac:dyDescent="0.2">
      <c r="A139" s="200" t="s">
        <v>160</v>
      </c>
      <c r="B139" s="996">
        <v>21610993</v>
      </c>
      <c r="C139" s="996">
        <v>0</v>
      </c>
      <c r="D139" s="996">
        <v>0</v>
      </c>
      <c r="E139" s="996">
        <v>0</v>
      </c>
      <c r="F139" s="996"/>
      <c r="G139" s="996">
        <v>0</v>
      </c>
      <c r="H139" s="996">
        <v>0</v>
      </c>
      <c r="I139" s="996">
        <f t="shared" si="17"/>
        <v>21610993</v>
      </c>
      <c r="K139" s="200" t="s">
        <v>160</v>
      </c>
      <c r="L139" s="996">
        <f t="shared" si="26"/>
        <v>-21610993</v>
      </c>
      <c r="M139" s="996">
        <f t="shared" si="27"/>
        <v>0</v>
      </c>
      <c r="N139" s="996">
        <f t="shared" si="28"/>
        <v>0</v>
      </c>
      <c r="O139" s="996">
        <f t="shared" si="29"/>
        <v>23540832</v>
      </c>
      <c r="P139" s="996">
        <f t="shared" si="30"/>
        <v>0</v>
      </c>
      <c r="Q139" s="996">
        <f t="shared" si="31"/>
        <v>0</v>
      </c>
      <c r="R139" s="996">
        <f t="shared" si="32"/>
        <v>-235410</v>
      </c>
      <c r="S139" s="996">
        <f t="shared" si="33"/>
        <v>1694429</v>
      </c>
      <c r="AD139" s="936"/>
      <c r="AE139" s="936"/>
      <c r="AF139" s="936"/>
      <c r="AG139" s="936"/>
      <c r="AH139" s="936"/>
      <c r="AI139" s="936"/>
      <c r="AJ139" s="936"/>
      <c r="AK139" s="936"/>
    </row>
    <row r="140" spans="1:37" hidden="1" outlineLevel="1" x14ac:dyDescent="0.2">
      <c r="A140" s="524" t="s">
        <v>580</v>
      </c>
      <c r="B140" s="996">
        <v>4999113.72</v>
      </c>
      <c r="C140" s="996">
        <v>0</v>
      </c>
      <c r="D140" s="996">
        <v>0</v>
      </c>
      <c r="E140" s="996">
        <v>0</v>
      </c>
      <c r="F140" s="996"/>
      <c r="G140" s="996">
        <v>0</v>
      </c>
      <c r="H140" s="996">
        <v>0</v>
      </c>
      <c r="I140" s="996">
        <f t="shared" si="17"/>
        <v>4999113.72</v>
      </c>
      <c r="K140" s="524" t="s">
        <v>580</v>
      </c>
      <c r="L140" s="996">
        <f t="shared" si="26"/>
        <v>160886.28000000026</v>
      </c>
      <c r="M140" s="996">
        <f t="shared" si="27"/>
        <v>0</v>
      </c>
      <c r="N140" s="996">
        <f t="shared" si="28"/>
        <v>0</v>
      </c>
      <c r="O140" s="996">
        <f t="shared" si="29"/>
        <v>0</v>
      </c>
      <c r="P140" s="996">
        <f t="shared" si="30"/>
        <v>0</v>
      </c>
      <c r="Q140" s="996">
        <f t="shared" si="31"/>
        <v>0</v>
      </c>
      <c r="R140" s="996">
        <f t="shared" si="32"/>
        <v>-51600</v>
      </c>
      <c r="S140" s="996">
        <f t="shared" si="33"/>
        <v>109286.28000000026</v>
      </c>
      <c r="AD140" s="936"/>
      <c r="AE140" s="936"/>
      <c r="AF140" s="936"/>
      <c r="AG140" s="936"/>
      <c r="AH140" s="936"/>
      <c r="AI140" s="936"/>
      <c r="AJ140" s="936"/>
      <c r="AK140" s="936"/>
    </row>
    <row r="141" spans="1:37" hidden="1" outlineLevel="1" x14ac:dyDescent="0.2">
      <c r="A141" s="677" t="s">
        <v>705</v>
      </c>
      <c r="B141" s="998">
        <v>0</v>
      </c>
      <c r="C141" s="998">
        <v>0</v>
      </c>
      <c r="D141" s="998">
        <v>0</v>
      </c>
      <c r="E141" s="998">
        <v>651853.15878043056</v>
      </c>
      <c r="F141" s="998"/>
      <c r="G141" s="998">
        <v>0</v>
      </c>
      <c r="H141" s="998">
        <v>0</v>
      </c>
      <c r="I141" s="998">
        <f t="shared" si="17"/>
        <v>651853.15878043056</v>
      </c>
      <c r="K141" s="677" t="s">
        <v>705</v>
      </c>
      <c r="L141" s="998">
        <f t="shared" si="26"/>
        <v>0</v>
      </c>
      <c r="M141" s="998">
        <f t="shared" si="27"/>
        <v>0</v>
      </c>
      <c r="N141" s="998">
        <f t="shared" si="28"/>
        <v>0</v>
      </c>
      <c r="O141" s="998">
        <f t="shared" si="29"/>
        <v>35495.84121956944</v>
      </c>
      <c r="P141" s="998">
        <f t="shared" si="30"/>
        <v>0</v>
      </c>
      <c r="Q141" s="998">
        <f t="shared" si="31"/>
        <v>0</v>
      </c>
      <c r="R141" s="998">
        <f t="shared" si="32"/>
        <v>-6870</v>
      </c>
      <c r="S141" s="998">
        <f t="shared" si="33"/>
        <v>28625.84121956944</v>
      </c>
      <c r="AD141" s="936"/>
      <c r="AE141" s="936"/>
      <c r="AF141" s="936"/>
      <c r="AG141" s="936"/>
      <c r="AH141" s="936"/>
      <c r="AI141" s="936"/>
      <c r="AJ141" s="936"/>
      <c r="AK141" s="936"/>
    </row>
    <row r="142" spans="1:37" hidden="1" outlineLevel="1" x14ac:dyDescent="0.2">
      <c r="A142" s="208" t="s">
        <v>162</v>
      </c>
      <c r="B142" s="996">
        <v>0</v>
      </c>
      <c r="C142" s="996">
        <v>0</v>
      </c>
      <c r="D142" s="996">
        <v>0</v>
      </c>
      <c r="E142" s="996">
        <v>0</v>
      </c>
      <c r="F142" s="996">
        <v>342983</v>
      </c>
      <c r="G142" s="996">
        <v>614397.18082571414</v>
      </c>
      <c r="H142" s="996">
        <v>0</v>
      </c>
      <c r="I142" s="996">
        <f t="shared" si="17"/>
        <v>957380.18082571414</v>
      </c>
      <c r="K142" s="208" t="s">
        <v>162</v>
      </c>
      <c r="L142" s="996">
        <f t="shared" si="26"/>
        <v>0</v>
      </c>
      <c r="M142" s="996">
        <f t="shared" si="27"/>
        <v>0</v>
      </c>
      <c r="N142" s="996">
        <f t="shared" si="28"/>
        <v>0</v>
      </c>
      <c r="O142" s="996">
        <f t="shared" si="29"/>
        <v>0</v>
      </c>
      <c r="P142" s="996">
        <f t="shared" si="30"/>
        <v>60017</v>
      </c>
      <c r="Q142" s="996">
        <f t="shared" si="31"/>
        <v>-92597.180825714138</v>
      </c>
      <c r="R142" s="996">
        <f t="shared" si="32"/>
        <v>-9250</v>
      </c>
      <c r="S142" s="996">
        <f t="shared" si="33"/>
        <v>-41830.180825714138</v>
      </c>
      <c r="AD142" s="936"/>
      <c r="AE142" s="936"/>
      <c r="AF142" s="936"/>
      <c r="AG142" s="936"/>
      <c r="AH142" s="936"/>
      <c r="AI142" s="936"/>
      <c r="AJ142" s="936"/>
      <c r="AK142" s="936"/>
    </row>
    <row r="143" spans="1:37" hidden="1" outlineLevel="1" x14ac:dyDescent="0.2">
      <c r="A143" s="524" t="s">
        <v>163</v>
      </c>
      <c r="B143" s="996">
        <v>2661488.6984303501</v>
      </c>
      <c r="C143" s="996">
        <v>0</v>
      </c>
      <c r="D143" s="996">
        <v>0</v>
      </c>
      <c r="E143" s="996">
        <v>12150484.736980002</v>
      </c>
      <c r="F143" s="996"/>
      <c r="G143" s="996">
        <v>1215.6718215794194</v>
      </c>
      <c r="H143" s="996">
        <v>0</v>
      </c>
      <c r="I143" s="996">
        <f t="shared" si="17"/>
        <v>14813189.107231932</v>
      </c>
      <c r="K143" s="524" t="s">
        <v>163</v>
      </c>
      <c r="L143" s="996">
        <f t="shared" si="26"/>
        <v>97200.30156964995</v>
      </c>
      <c r="M143" s="996">
        <f t="shared" si="27"/>
        <v>0</v>
      </c>
      <c r="N143" s="996">
        <f t="shared" si="28"/>
        <v>0</v>
      </c>
      <c r="O143" s="996">
        <f t="shared" si="29"/>
        <v>544307.26301999763</v>
      </c>
      <c r="P143" s="996">
        <f t="shared" si="30"/>
        <v>0</v>
      </c>
      <c r="Q143" s="996">
        <f t="shared" si="31"/>
        <v>-1215.6718215794194</v>
      </c>
      <c r="R143" s="996">
        <f t="shared" si="32"/>
        <v>-167750</v>
      </c>
      <c r="S143" s="996">
        <f t="shared" si="33"/>
        <v>472541.89276806824</v>
      </c>
      <c r="AD143" s="936"/>
      <c r="AE143" s="936"/>
      <c r="AF143" s="936"/>
      <c r="AG143" s="936"/>
      <c r="AH143" s="936"/>
      <c r="AI143" s="936"/>
      <c r="AJ143" s="936"/>
      <c r="AK143" s="936"/>
    </row>
    <row r="144" spans="1:37" hidden="1" outlineLevel="1" x14ac:dyDescent="0.2">
      <c r="A144" s="207" t="s">
        <v>377</v>
      </c>
      <c r="B144" s="995">
        <v>2803947.5935344105</v>
      </c>
      <c r="C144" s="995">
        <v>225000</v>
      </c>
      <c r="D144" s="995">
        <v>7753200</v>
      </c>
      <c r="E144" s="995">
        <v>0</v>
      </c>
      <c r="F144" s="995"/>
      <c r="G144" s="995">
        <v>679634.95982424228</v>
      </c>
      <c r="H144" s="995">
        <v>0</v>
      </c>
      <c r="I144" s="995">
        <f t="shared" si="17"/>
        <v>11461782.553358652</v>
      </c>
      <c r="K144" s="207" t="s">
        <v>377</v>
      </c>
      <c r="L144" s="995">
        <f t="shared" si="26"/>
        <v>527299.40646558953</v>
      </c>
      <c r="M144" s="995">
        <f t="shared" si="27"/>
        <v>0</v>
      </c>
      <c r="N144" s="995">
        <f t="shared" si="28"/>
        <v>86207</v>
      </c>
      <c r="O144" s="995">
        <f t="shared" si="29"/>
        <v>0</v>
      </c>
      <c r="P144" s="995">
        <f t="shared" si="30"/>
        <v>0</v>
      </c>
      <c r="Q144" s="995">
        <f t="shared" si="31"/>
        <v>126965.04017575772</v>
      </c>
      <c r="R144" s="995">
        <f t="shared" si="32"/>
        <v>-286170</v>
      </c>
      <c r="S144" s="995">
        <f t="shared" si="33"/>
        <v>454301.4466413483</v>
      </c>
      <c r="AD144" s="936"/>
      <c r="AE144" s="936"/>
      <c r="AF144" s="936"/>
      <c r="AG144" s="936"/>
      <c r="AH144" s="936"/>
      <c r="AI144" s="936"/>
      <c r="AJ144" s="936"/>
      <c r="AK144" s="936"/>
    </row>
    <row r="145" spans="1:37" hidden="1" outlineLevel="1" x14ac:dyDescent="0.2">
      <c r="A145" s="211" t="s">
        <v>165</v>
      </c>
      <c r="B145" s="999">
        <f>SUM(B126:B144)</f>
        <v>94960456.899999991</v>
      </c>
      <c r="C145" s="999">
        <f t="shared" ref="C145:H145" si="34">SUM(C126:C144)</f>
        <v>1885875</v>
      </c>
      <c r="D145" s="999">
        <f t="shared" si="34"/>
        <v>21044311.392000001</v>
      </c>
      <c r="E145" s="999">
        <f t="shared" si="34"/>
        <v>12802337.895760434</v>
      </c>
      <c r="F145" s="999">
        <f t="shared" si="34"/>
        <v>78403483</v>
      </c>
      <c r="G145" s="999">
        <f t="shared" si="34"/>
        <v>139941969.04633585</v>
      </c>
      <c r="H145" s="999">
        <f t="shared" si="34"/>
        <v>3740484</v>
      </c>
      <c r="I145" s="999">
        <f>SUM(I126:I144)</f>
        <v>352778917.23409629</v>
      </c>
      <c r="K145" s="211" t="s">
        <v>165</v>
      </c>
      <c r="L145" s="999">
        <f t="shared" si="26"/>
        <v>-4763717.8999999911</v>
      </c>
      <c r="M145" s="999">
        <f t="shared" si="27"/>
        <v>0</v>
      </c>
      <c r="N145" s="999">
        <f t="shared" si="28"/>
        <v>-2475989.3920000009</v>
      </c>
      <c r="O145" s="999">
        <f t="shared" si="29"/>
        <v>24120635.104239568</v>
      </c>
      <c r="P145" s="999">
        <f t="shared" si="30"/>
        <v>16740417</v>
      </c>
      <c r="Q145" s="999">
        <f t="shared" si="31"/>
        <v>-8287769.0463358462</v>
      </c>
      <c r="R145" s="999">
        <f t="shared" si="32"/>
        <v>-4456122</v>
      </c>
      <c r="S145" s="999">
        <f t="shared" si="33"/>
        <v>20877453.765903711</v>
      </c>
      <c r="AD145" s="936"/>
      <c r="AE145" s="936"/>
      <c r="AF145" s="936"/>
      <c r="AG145" s="936"/>
      <c r="AH145" s="936"/>
      <c r="AI145" s="936"/>
      <c r="AJ145" s="936"/>
      <c r="AK145" s="936"/>
    </row>
    <row r="146" spans="1:37" hidden="1" outlineLevel="1" x14ac:dyDescent="0.2">
      <c r="A146" s="524"/>
      <c r="B146" s="557"/>
      <c r="C146" s="557"/>
      <c r="D146" s="557"/>
      <c r="E146" s="557"/>
      <c r="F146" s="557"/>
      <c r="G146" s="557"/>
      <c r="H146" s="557"/>
      <c r="I146" s="557"/>
      <c r="K146" s="524"/>
      <c r="L146" s="557"/>
      <c r="M146" s="557"/>
      <c r="N146" s="557"/>
      <c r="O146" s="557"/>
      <c r="P146" s="557"/>
      <c r="Q146" s="557"/>
      <c r="R146" s="557"/>
      <c r="S146" s="557"/>
      <c r="AD146" s="936"/>
      <c r="AE146" s="936"/>
      <c r="AF146" s="936"/>
      <c r="AG146" s="936"/>
      <c r="AH146" s="936"/>
      <c r="AI146" s="936"/>
      <c r="AJ146" s="936"/>
      <c r="AK146" s="936"/>
    </row>
    <row r="147" spans="1:37" hidden="1" outlineLevel="1" x14ac:dyDescent="0.2">
      <c r="A147" s="522"/>
      <c r="B147" s="557"/>
      <c r="C147" s="557"/>
      <c r="D147" s="557"/>
      <c r="E147" s="557"/>
      <c r="F147" s="557"/>
      <c r="G147" s="557"/>
      <c r="H147" s="557"/>
      <c r="I147" s="557"/>
      <c r="K147" s="522"/>
      <c r="L147" s="557"/>
      <c r="M147" s="557"/>
      <c r="N147" s="557"/>
      <c r="O147" s="557"/>
      <c r="P147" s="557"/>
      <c r="Q147" s="557"/>
      <c r="R147" s="557"/>
      <c r="S147" s="557"/>
      <c r="AD147" s="936"/>
      <c r="AE147" s="936"/>
      <c r="AF147" s="936"/>
      <c r="AG147" s="936"/>
      <c r="AH147" s="936"/>
      <c r="AI147" s="936"/>
      <c r="AJ147" s="936"/>
      <c r="AK147" s="936"/>
    </row>
    <row r="148" spans="1:37" hidden="1" outlineLevel="1" x14ac:dyDescent="0.2">
      <c r="A148" s="200" t="s">
        <v>166</v>
      </c>
      <c r="B148" s="996"/>
      <c r="C148" s="996"/>
      <c r="D148" s="996"/>
      <c r="E148" s="996"/>
      <c r="F148" s="996"/>
      <c r="G148" s="996"/>
      <c r="H148" s="996"/>
      <c r="I148" s="996"/>
      <c r="K148" s="200" t="s">
        <v>166</v>
      </c>
      <c r="L148" s="996">
        <f t="shared" si="26"/>
        <v>0</v>
      </c>
      <c r="M148" s="996">
        <f t="shared" si="27"/>
        <v>0</v>
      </c>
      <c r="N148" s="996">
        <f t="shared" si="28"/>
        <v>0</v>
      </c>
      <c r="O148" s="996">
        <f t="shared" si="29"/>
        <v>0</v>
      </c>
      <c r="P148" s="996">
        <f t="shared" si="30"/>
        <v>0</v>
      </c>
      <c r="Q148" s="996">
        <f t="shared" si="31"/>
        <v>0</v>
      </c>
      <c r="R148" s="996">
        <f t="shared" si="32"/>
        <v>0</v>
      </c>
      <c r="S148" s="996">
        <f t="shared" si="33"/>
        <v>0</v>
      </c>
      <c r="AD148" s="936"/>
      <c r="AE148" s="936"/>
      <c r="AF148" s="936"/>
      <c r="AG148" s="936"/>
      <c r="AH148" s="936"/>
      <c r="AI148" s="936"/>
      <c r="AJ148" s="936"/>
      <c r="AK148" s="936"/>
    </row>
    <row r="149" spans="1:37" hidden="1" outlineLevel="1" x14ac:dyDescent="0.2">
      <c r="A149" s="197" t="s">
        <v>631</v>
      </c>
      <c r="B149" s="1000">
        <v>0</v>
      </c>
      <c r="C149" s="1000">
        <v>9278483</v>
      </c>
      <c r="D149" s="1000"/>
      <c r="E149" s="1000">
        <v>0</v>
      </c>
      <c r="F149" s="1000"/>
      <c r="G149" s="1000">
        <v>-1385.9066004313315</v>
      </c>
      <c r="H149" s="1000"/>
      <c r="I149" s="1000">
        <f>SUM(B149:H149)</f>
        <v>9277097.0933995694</v>
      </c>
      <c r="K149" s="197" t="s">
        <v>631</v>
      </c>
      <c r="L149" s="1000">
        <f t="shared" si="26"/>
        <v>0</v>
      </c>
      <c r="M149" s="1000">
        <f t="shared" si="27"/>
        <v>666044</v>
      </c>
      <c r="N149" s="1000">
        <f t="shared" si="28"/>
        <v>0</v>
      </c>
      <c r="O149" s="1000">
        <f t="shared" si="29"/>
        <v>0</v>
      </c>
      <c r="P149" s="1000">
        <f t="shared" si="30"/>
        <v>0</v>
      </c>
      <c r="Q149" s="1000">
        <f t="shared" si="31"/>
        <v>1385.9066004313315</v>
      </c>
      <c r="R149" s="1000">
        <f t="shared" si="32"/>
        <v>-99450</v>
      </c>
      <c r="S149" s="1000">
        <f t="shared" si="33"/>
        <v>567979.90660043061</v>
      </c>
      <c r="AD149" s="936"/>
      <c r="AE149" s="936"/>
      <c r="AF149" s="936"/>
      <c r="AG149" s="936"/>
      <c r="AH149" s="936"/>
      <c r="AI149" s="936"/>
      <c r="AJ149" s="936"/>
      <c r="AK149" s="936"/>
    </row>
    <row r="150" spans="1:37" hidden="1" outlineLevel="1" x14ac:dyDescent="0.2">
      <c r="A150" s="208" t="s">
        <v>168</v>
      </c>
      <c r="B150" s="997">
        <v>0</v>
      </c>
      <c r="C150" s="997">
        <v>7750000</v>
      </c>
      <c r="D150" s="997"/>
      <c r="E150" s="997">
        <v>0</v>
      </c>
      <c r="F150" s="997"/>
      <c r="G150" s="997">
        <v>670.55683008922131</v>
      </c>
      <c r="H150" s="997"/>
      <c r="I150" s="997">
        <f t="shared" ref="I150:I164" si="35">SUM(B150:H150)</f>
        <v>7750670.5568300895</v>
      </c>
      <c r="K150" s="208" t="s">
        <v>168</v>
      </c>
      <c r="L150" s="997">
        <f t="shared" si="26"/>
        <v>0</v>
      </c>
      <c r="M150" s="997">
        <f t="shared" si="27"/>
        <v>250000</v>
      </c>
      <c r="N150" s="997">
        <f t="shared" si="28"/>
        <v>0</v>
      </c>
      <c r="O150" s="997">
        <f t="shared" si="29"/>
        <v>0</v>
      </c>
      <c r="P150" s="997">
        <f t="shared" si="30"/>
        <v>0</v>
      </c>
      <c r="Q150" s="997">
        <f t="shared" si="31"/>
        <v>-670.55683008922131</v>
      </c>
      <c r="R150" s="997">
        <f t="shared" si="32"/>
        <v>-80000</v>
      </c>
      <c r="S150" s="997">
        <f t="shared" si="33"/>
        <v>169329.44316991046</v>
      </c>
      <c r="AD150" s="936"/>
      <c r="AE150" s="936"/>
      <c r="AF150" s="936"/>
      <c r="AG150" s="936"/>
      <c r="AH150" s="936"/>
      <c r="AI150" s="936"/>
      <c r="AJ150" s="936"/>
      <c r="AK150" s="936"/>
    </row>
    <row r="151" spans="1:37" hidden="1" outlineLevel="1" x14ac:dyDescent="0.2">
      <c r="A151" s="524" t="s">
        <v>169</v>
      </c>
      <c r="B151" s="997">
        <v>6333.84</v>
      </c>
      <c r="C151" s="997"/>
      <c r="D151" s="997"/>
      <c r="E151" s="997">
        <v>4029644.5413076901</v>
      </c>
      <c r="F151" s="997"/>
      <c r="G151" s="997"/>
      <c r="H151" s="997"/>
      <c r="I151" s="997">
        <f t="shared" si="35"/>
        <v>4035978.3813076899</v>
      </c>
      <c r="K151" s="524" t="s">
        <v>169</v>
      </c>
      <c r="L151" s="997">
        <f t="shared" si="26"/>
        <v>566.15999999999985</v>
      </c>
      <c r="M151" s="997">
        <f t="shared" si="27"/>
        <v>0</v>
      </c>
      <c r="N151" s="997">
        <f t="shared" si="28"/>
        <v>0</v>
      </c>
      <c r="O151" s="997">
        <f t="shared" si="29"/>
        <v>246952.45869230991</v>
      </c>
      <c r="P151" s="997">
        <f t="shared" si="30"/>
        <v>0</v>
      </c>
      <c r="Q151" s="997">
        <f t="shared" si="31"/>
        <v>0</v>
      </c>
      <c r="R151" s="997">
        <f t="shared" si="32"/>
        <v>-43340</v>
      </c>
      <c r="S151" s="997">
        <f t="shared" si="33"/>
        <v>204178.61869231006</v>
      </c>
      <c r="AD151" s="936"/>
      <c r="AE151" s="936"/>
      <c r="AF151" s="936"/>
      <c r="AG151" s="936"/>
      <c r="AH151" s="936"/>
      <c r="AI151" s="936"/>
      <c r="AJ151" s="936"/>
      <c r="AK151" s="936"/>
    </row>
    <row r="152" spans="1:37" hidden="1" outlineLevel="1" x14ac:dyDescent="0.2">
      <c r="A152" s="200" t="s">
        <v>170</v>
      </c>
      <c r="B152" s="996">
        <v>0</v>
      </c>
      <c r="C152" s="996">
        <v>1171072</v>
      </c>
      <c r="D152" s="996"/>
      <c r="E152" s="996">
        <v>0</v>
      </c>
      <c r="F152" s="996"/>
      <c r="G152" s="996"/>
      <c r="H152" s="996"/>
      <c r="I152" s="996">
        <f t="shared" si="35"/>
        <v>1171072</v>
      </c>
      <c r="K152" s="200" t="s">
        <v>170</v>
      </c>
      <c r="L152" s="996">
        <f t="shared" si="26"/>
        <v>0</v>
      </c>
      <c r="M152" s="996">
        <f t="shared" si="27"/>
        <v>52611</v>
      </c>
      <c r="N152" s="996">
        <f t="shared" si="28"/>
        <v>0</v>
      </c>
      <c r="O152" s="996">
        <f t="shared" si="29"/>
        <v>0</v>
      </c>
      <c r="P152" s="996">
        <f t="shared" si="30"/>
        <v>0</v>
      </c>
      <c r="Q152" s="996">
        <f t="shared" si="31"/>
        <v>0</v>
      </c>
      <c r="R152" s="996">
        <f t="shared" si="32"/>
        <v>-12240</v>
      </c>
      <c r="S152" s="996">
        <f t="shared" si="33"/>
        <v>40371</v>
      </c>
      <c r="AD152" s="936"/>
      <c r="AE152" s="936"/>
      <c r="AF152" s="936"/>
      <c r="AG152" s="936"/>
      <c r="AH152" s="936"/>
      <c r="AI152" s="936"/>
      <c r="AJ152" s="936"/>
      <c r="AK152" s="936"/>
    </row>
    <row r="153" spans="1:37" hidden="1" outlineLevel="1" x14ac:dyDescent="0.2">
      <c r="A153" s="197" t="s">
        <v>171</v>
      </c>
      <c r="B153" s="1000">
        <v>0</v>
      </c>
      <c r="C153" s="1000">
        <v>1731253</v>
      </c>
      <c r="D153" s="1000"/>
      <c r="E153" s="1000">
        <v>0</v>
      </c>
      <c r="F153" s="1000"/>
      <c r="G153" s="1000"/>
      <c r="H153" s="1000"/>
      <c r="I153" s="1000">
        <f t="shared" si="35"/>
        <v>1731253</v>
      </c>
      <c r="K153" s="197" t="s">
        <v>171</v>
      </c>
      <c r="L153" s="1000">
        <f t="shared" si="26"/>
        <v>0</v>
      </c>
      <c r="M153" s="1000">
        <f t="shared" si="27"/>
        <v>56501</v>
      </c>
      <c r="N153" s="1000">
        <f t="shared" si="28"/>
        <v>0</v>
      </c>
      <c r="O153" s="1000">
        <f t="shared" si="29"/>
        <v>0</v>
      </c>
      <c r="P153" s="1000">
        <f t="shared" si="30"/>
        <v>0</v>
      </c>
      <c r="Q153" s="1000">
        <f t="shared" si="31"/>
        <v>0</v>
      </c>
      <c r="R153" s="1000">
        <f t="shared" si="32"/>
        <v>-17880</v>
      </c>
      <c r="S153" s="1000">
        <f t="shared" si="33"/>
        <v>38621</v>
      </c>
      <c r="AD153" s="936"/>
      <c r="AE153" s="936"/>
      <c r="AF153" s="936"/>
      <c r="AG153" s="936"/>
      <c r="AH153" s="936"/>
      <c r="AI153" s="936"/>
      <c r="AJ153" s="936"/>
      <c r="AK153" s="936"/>
    </row>
    <row r="154" spans="1:37" hidden="1" outlineLevel="1" x14ac:dyDescent="0.2">
      <c r="A154" s="200" t="s">
        <v>682</v>
      </c>
      <c r="B154" s="996">
        <v>0</v>
      </c>
      <c r="C154" s="996">
        <v>749304</v>
      </c>
      <c r="D154" s="996"/>
      <c r="E154" s="996"/>
      <c r="F154" s="996"/>
      <c r="G154" s="996"/>
      <c r="H154" s="996"/>
      <c r="I154" s="996">
        <f t="shared" si="35"/>
        <v>749304</v>
      </c>
      <c r="K154" s="200" t="s">
        <v>682</v>
      </c>
      <c r="L154" s="996">
        <f t="shared" si="26"/>
        <v>1200</v>
      </c>
      <c r="M154" s="996">
        <f t="shared" si="27"/>
        <v>35788</v>
      </c>
      <c r="N154" s="996">
        <f t="shared" si="28"/>
        <v>0</v>
      </c>
      <c r="O154" s="996">
        <f t="shared" si="29"/>
        <v>0</v>
      </c>
      <c r="P154" s="996">
        <f t="shared" si="30"/>
        <v>0</v>
      </c>
      <c r="Q154" s="996">
        <f t="shared" si="31"/>
        <v>0</v>
      </c>
      <c r="R154" s="996">
        <f t="shared" si="32"/>
        <v>-7950</v>
      </c>
      <c r="S154" s="996">
        <f t="shared" si="33"/>
        <v>29038</v>
      </c>
      <c r="AD154" s="936"/>
      <c r="AE154" s="936"/>
      <c r="AF154" s="936"/>
      <c r="AG154" s="936"/>
      <c r="AH154" s="936"/>
      <c r="AI154" s="936"/>
      <c r="AJ154" s="936"/>
      <c r="AK154" s="936"/>
    </row>
    <row r="155" spans="1:37" hidden="1" outlineLevel="1" x14ac:dyDescent="0.2">
      <c r="A155" s="524" t="s">
        <v>172</v>
      </c>
      <c r="B155" s="997">
        <v>3165957.8859999999</v>
      </c>
      <c r="C155" s="997"/>
      <c r="D155" s="997"/>
      <c r="E155" s="997">
        <v>9174083.2445622757</v>
      </c>
      <c r="F155" s="997"/>
      <c r="G155" s="997"/>
      <c r="H155" s="997"/>
      <c r="I155" s="997">
        <f t="shared" si="35"/>
        <v>12340041.130562276</v>
      </c>
      <c r="K155" s="524" t="s">
        <v>172</v>
      </c>
      <c r="L155" s="997">
        <f t="shared" si="26"/>
        <v>222168.11400000006</v>
      </c>
      <c r="M155" s="997">
        <f t="shared" si="27"/>
        <v>0</v>
      </c>
      <c r="N155" s="997">
        <f t="shared" si="28"/>
        <v>0</v>
      </c>
      <c r="O155" s="997">
        <f t="shared" si="29"/>
        <v>1119638.7554377243</v>
      </c>
      <c r="P155" s="997">
        <f t="shared" si="30"/>
        <v>0</v>
      </c>
      <c r="Q155" s="997">
        <f t="shared" si="31"/>
        <v>0</v>
      </c>
      <c r="R155" s="997">
        <f t="shared" si="32"/>
        <v>-384950</v>
      </c>
      <c r="S155" s="997">
        <f t="shared" si="33"/>
        <v>956856.86943772435</v>
      </c>
      <c r="AD155" s="936"/>
      <c r="AE155" s="936"/>
      <c r="AF155" s="936"/>
      <c r="AG155" s="936"/>
      <c r="AH155" s="936"/>
      <c r="AI155" s="936"/>
      <c r="AJ155" s="936"/>
      <c r="AK155" s="936"/>
    </row>
    <row r="156" spans="1:37" hidden="1" outlineLevel="1" x14ac:dyDescent="0.2">
      <c r="A156" s="679" t="s">
        <v>893</v>
      </c>
      <c r="B156" s="997">
        <v>736170</v>
      </c>
      <c r="C156" s="997"/>
      <c r="D156" s="997"/>
      <c r="E156" s="997">
        <v>2911456.0606625574</v>
      </c>
      <c r="F156" s="997">
        <v>331972</v>
      </c>
      <c r="G156" s="997">
        <v>441310.06052069471</v>
      </c>
      <c r="H156" s="997"/>
      <c r="I156" s="997">
        <f>SUM(B156:H156)</f>
        <v>4420908.121183252</v>
      </c>
      <c r="K156" s="679" t="s">
        <v>893</v>
      </c>
      <c r="L156" s="997">
        <f t="shared" si="26"/>
        <v>218830</v>
      </c>
      <c r="M156" s="997">
        <f t="shared" si="27"/>
        <v>0</v>
      </c>
      <c r="N156" s="997">
        <f t="shared" si="28"/>
        <v>0</v>
      </c>
      <c r="O156" s="997">
        <f t="shared" si="29"/>
        <v>1022901.5893374425</v>
      </c>
      <c r="P156" s="997">
        <f t="shared" si="30"/>
        <v>-331972</v>
      </c>
      <c r="Q156" s="997">
        <f t="shared" si="31"/>
        <v>-441310.06052069471</v>
      </c>
      <c r="R156" s="997">
        <f t="shared" si="32"/>
        <v>-119560</v>
      </c>
      <c r="S156" s="997">
        <f t="shared" si="33"/>
        <v>348889.52881674841</v>
      </c>
      <c r="AD156" s="936"/>
      <c r="AE156" s="936"/>
      <c r="AF156" s="936"/>
      <c r="AG156" s="936"/>
      <c r="AH156" s="936"/>
      <c r="AI156" s="936"/>
      <c r="AJ156" s="936"/>
      <c r="AK156" s="936"/>
    </row>
    <row r="157" spans="1:37" hidden="1" outlineLevel="1" x14ac:dyDescent="0.2">
      <c r="A157" s="524" t="s">
        <v>173</v>
      </c>
      <c r="B157" s="997">
        <v>0</v>
      </c>
      <c r="C157" s="997"/>
      <c r="D157" s="997"/>
      <c r="E157" s="997">
        <v>1768725.4597229399</v>
      </c>
      <c r="F157" s="997"/>
      <c r="G157" s="997">
        <v>2628.9344261928209</v>
      </c>
      <c r="H157" s="997"/>
      <c r="I157" s="997">
        <f t="shared" si="35"/>
        <v>1771354.3941491328</v>
      </c>
      <c r="K157" s="524" t="s">
        <v>173</v>
      </c>
      <c r="L157" s="997">
        <f t="shared" si="26"/>
        <v>0</v>
      </c>
      <c r="M157" s="997">
        <f t="shared" si="27"/>
        <v>0</v>
      </c>
      <c r="N157" s="997">
        <f t="shared" si="28"/>
        <v>0</v>
      </c>
      <c r="O157" s="997">
        <f t="shared" si="29"/>
        <v>-418601.45972293988</v>
      </c>
      <c r="P157" s="997">
        <f t="shared" si="30"/>
        <v>0</v>
      </c>
      <c r="Q157" s="997">
        <f t="shared" si="31"/>
        <v>-2628.9344261928209</v>
      </c>
      <c r="R157" s="997">
        <f t="shared" si="32"/>
        <v>-13500</v>
      </c>
      <c r="S157" s="997">
        <f t="shared" si="33"/>
        <v>-434730.39414913277</v>
      </c>
      <c r="AD157" s="936"/>
      <c r="AE157" s="936"/>
      <c r="AF157" s="936"/>
      <c r="AG157" s="936"/>
      <c r="AH157" s="936"/>
      <c r="AI157" s="936"/>
      <c r="AJ157" s="936"/>
      <c r="AK157" s="936"/>
    </row>
    <row r="158" spans="1:37" hidden="1" outlineLevel="1" x14ac:dyDescent="0.2">
      <c r="A158" s="677" t="s">
        <v>894</v>
      </c>
      <c r="B158" s="1000">
        <v>2753286.4159999997</v>
      </c>
      <c r="C158" s="1000"/>
      <c r="D158" s="1000"/>
      <c r="E158" s="1000">
        <v>21920074.939734302</v>
      </c>
      <c r="F158" s="1000"/>
      <c r="G158" s="1000">
        <v>7.6381734886393575</v>
      </c>
      <c r="H158" s="1000"/>
      <c r="I158" s="1000">
        <f t="shared" si="35"/>
        <v>24673368.993907791</v>
      </c>
      <c r="K158" s="677" t="s">
        <v>894</v>
      </c>
      <c r="L158" s="1000">
        <f t="shared" si="26"/>
        <v>-50586.415999999736</v>
      </c>
      <c r="M158" s="1000">
        <f t="shared" si="27"/>
        <v>0</v>
      </c>
      <c r="N158" s="1000">
        <f t="shared" si="28"/>
        <v>0</v>
      </c>
      <c r="O158" s="1000">
        <f t="shared" si="29"/>
        <v>2679485.0602656975</v>
      </c>
      <c r="P158" s="1000">
        <f t="shared" si="30"/>
        <v>0</v>
      </c>
      <c r="Q158" s="1000">
        <f t="shared" si="31"/>
        <v>-7.6381734886393575</v>
      </c>
      <c r="R158" s="1000">
        <f t="shared" si="32"/>
        <v>-282100</v>
      </c>
      <c r="S158" s="1000">
        <f t="shared" si="33"/>
        <v>2346791.0060922094</v>
      </c>
      <c r="AD158" s="936"/>
      <c r="AE158" s="936"/>
      <c r="AF158" s="936"/>
      <c r="AG158" s="936"/>
      <c r="AH158" s="936"/>
      <c r="AI158" s="936"/>
      <c r="AJ158" s="936"/>
      <c r="AK158" s="936"/>
    </row>
    <row r="159" spans="1:37" hidden="1" outlineLevel="1" x14ac:dyDescent="0.2">
      <c r="A159" s="524" t="s">
        <v>378</v>
      </c>
      <c r="B159" s="997">
        <v>1381484.81</v>
      </c>
      <c r="C159" s="997">
        <v>930050</v>
      </c>
      <c r="D159" s="997"/>
      <c r="E159" s="997">
        <v>2176861.5023700199</v>
      </c>
      <c r="F159" s="997"/>
      <c r="G159" s="997">
        <v>0</v>
      </c>
      <c r="H159" s="997"/>
      <c r="I159" s="997">
        <f t="shared" si="35"/>
        <v>4488396.31237002</v>
      </c>
      <c r="K159" s="524" t="s">
        <v>378</v>
      </c>
      <c r="L159" s="997">
        <f t="shared" si="26"/>
        <v>48515.189999999944</v>
      </c>
      <c r="M159" s="997">
        <f t="shared" si="27"/>
        <v>0</v>
      </c>
      <c r="N159" s="997">
        <f t="shared" si="28"/>
        <v>0</v>
      </c>
      <c r="O159" s="997">
        <f t="shared" si="29"/>
        <v>175584.39762998</v>
      </c>
      <c r="P159" s="997">
        <f t="shared" si="30"/>
        <v>0</v>
      </c>
      <c r="Q159" s="997">
        <f t="shared" si="31"/>
        <v>0</v>
      </c>
      <c r="R159" s="997">
        <f t="shared" si="32"/>
        <v>-121120</v>
      </c>
      <c r="S159" s="997">
        <f t="shared" si="33"/>
        <v>102979.58762998041</v>
      </c>
      <c r="AD159" s="936"/>
      <c r="AE159" s="936"/>
      <c r="AF159" s="936"/>
      <c r="AG159" s="936"/>
      <c r="AH159" s="936"/>
      <c r="AI159" s="936"/>
      <c r="AJ159" s="936"/>
      <c r="AK159" s="936"/>
    </row>
    <row r="160" spans="1:37" hidden="1" outlineLevel="1" x14ac:dyDescent="0.2">
      <c r="A160" s="200" t="s">
        <v>895</v>
      </c>
      <c r="B160" s="997">
        <v>0</v>
      </c>
      <c r="C160" s="997"/>
      <c r="D160" s="997"/>
      <c r="E160" s="997">
        <v>631689.78631993034</v>
      </c>
      <c r="F160" s="997"/>
      <c r="G160" s="997">
        <v>9788.9602731755895</v>
      </c>
      <c r="H160" s="997"/>
      <c r="I160" s="997">
        <f t="shared" si="35"/>
        <v>641478.74659310596</v>
      </c>
      <c r="K160" s="200" t="s">
        <v>895</v>
      </c>
      <c r="L160" s="997">
        <f t="shared" si="26"/>
        <v>0</v>
      </c>
      <c r="M160" s="997">
        <f t="shared" si="27"/>
        <v>0</v>
      </c>
      <c r="N160" s="997">
        <f t="shared" si="28"/>
        <v>0</v>
      </c>
      <c r="O160" s="997">
        <f t="shared" si="29"/>
        <v>120830.21368006966</v>
      </c>
      <c r="P160" s="997">
        <f t="shared" si="30"/>
        <v>0</v>
      </c>
      <c r="Q160" s="997">
        <f t="shared" si="31"/>
        <v>-9788.9602731755895</v>
      </c>
      <c r="R160" s="997">
        <f t="shared" si="32"/>
        <v>-7530</v>
      </c>
      <c r="S160" s="997">
        <f t="shared" si="33"/>
        <v>103511.25340689404</v>
      </c>
      <c r="AD160" s="936"/>
      <c r="AE160" s="936"/>
      <c r="AF160" s="936"/>
      <c r="AG160" s="936"/>
      <c r="AH160" s="936"/>
      <c r="AI160" s="936"/>
      <c r="AJ160" s="936"/>
      <c r="AK160" s="936"/>
    </row>
    <row r="161" spans="1:37" hidden="1" outlineLevel="1" x14ac:dyDescent="0.2">
      <c r="A161" s="207" t="s">
        <v>175</v>
      </c>
      <c r="B161" s="1001">
        <v>3337372.48</v>
      </c>
      <c r="C161" s="1001"/>
      <c r="D161" s="1001"/>
      <c r="E161" s="1001">
        <v>4423356.7947670827</v>
      </c>
      <c r="F161" s="1001"/>
      <c r="G161" s="1001">
        <v>0</v>
      </c>
      <c r="H161" s="1001"/>
      <c r="I161" s="1001">
        <f t="shared" si="35"/>
        <v>7760729.2747670822</v>
      </c>
      <c r="K161" s="207" t="s">
        <v>175</v>
      </c>
      <c r="L161" s="1001">
        <f t="shared" si="26"/>
        <v>102627.52000000002</v>
      </c>
      <c r="M161" s="1001">
        <f t="shared" si="27"/>
        <v>0</v>
      </c>
      <c r="N161" s="1001">
        <f t="shared" si="28"/>
        <v>0</v>
      </c>
      <c r="O161" s="1001">
        <f t="shared" si="29"/>
        <v>1773024.2052329173</v>
      </c>
      <c r="P161" s="1001">
        <f t="shared" si="30"/>
        <v>0</v>
      </c>
      <c r="Q161" s="1001">
        <f t="shared" si="31"/>
        <v>0</v>
      </c>
      <c r="R161" s="1001">
        <f t="shared" si="32"/>
        <v>-96360</v>
      </c>
      <c r="S161" s="1001">
        <f t="shared" si="33"/>
        <v>1779291.7252329178</v>
      </c>
      <c r="AD161" s="936"/>
      <c r="AE161" s="936"/>
      <c r="AF161" s="936"/>
      <c r="AG161" s="936"/>
      <c r="AH161" s="936"/>
      <c r="AI161" s="936"/>
      <c r="AJ161" s="936"/>
      <c r="AK161" s="936"/>
    </row>
    <row r="162" spans="1:37" hidden="1" outlineLevel="1" x14ac:dyDescent="0.2">
      <c r="A162" s="524" t="s">
        <v>176</v>
      </c>
      <c r="B162" s="997">
        <v>988806.87600000005</v>
      </c>
      <c r="C162" s="997"/>
      <c r="D162" s="997"/>
      <c r="E162" s="997">
        <v>10887273.674055154</v>
      </c>
      <c r="F162" s="997">
        <v>52000</v>
      </c>
      <c r="G162" s="997">
        <v>1018644.6501209501</v>
      </c>
      <c r="H162" s="997"/>
      <c r="I162" s="997">
        <f t="shared" si="35"/>
        <v>12946725.200176103</v>
      </c>
      <c r="K162" s="524" t="s">
        <v>176</v>
      </c>
      <c r="L162" s="997">
        <f t="shared" si="26"/>
        <v>349652.12399999995</v>
      </c>
      <c r="M162" s="997">
        <f t="shared" si="27"/>
        <v>0</v>
      </c>
      <c r="N162" s="997">
        <f t="shared" si="28"/>
        <v>0</v>
      </c>
      <c r="O162" s="997">
        <f t="shared" si="29"/>
        <v>1389688.3259448465</v>
      </c>
      <c r="P162" s="997">
        <f t="shared" si="30"/>
        <v>-52000</v>
      </c>
      <c r="Q162" s="997">
        <f t="shared" si="31"/>
        <v>-1018644.6501209501</v>
      </c>
      <c r="R162" s="997">
        <f t="shared" si="32"/>
        <v>-235200</v>
      </c>
      <c r="S162" s="997">
        <f t="shared" si="33"/>
        <v>433495.79982389696</v>
      </c>
      <c r="AD162" s="936"/>
      <c r="AE162" s="936"/>
      <c r="AF162" s="936"/>
      <c r="AG162" s="936"/>
      <c r="AH162" s="936"/>
      <c r="AI162" s="936"/>
      <c r="AJ162" s="936"/>
      <c r="AK162" s="936"/>
    </row>
    <row r="163" spans="1:37" hidden="1" outlineLevel="1" x14ac:dyDescent="0.2">
      <c r="A163" s="207" t="s">
        <v>178</v>
      </c>
      <c r="B163" s="1001">
        <v>4153641.4800000004</v>
      </c>
      <c r="C163" s="1001"/>
      <c r="D163" s="1001"/>
      <c r="E163" s="1001">
        <v>38195226.516000003</v>
      </c>
      <c r="F163" s="1001"/>
      <c r="G163" s="1001">
        <v>6.5472396773936428E-3</v>
      </c>
      <c r="H163" s="1001"/>
      <c r="I163" s="1001">
        <f>SUM(B163:H163)</f>
        <v>42348868.002547249</v>
      </c>
      <c r="K163" s="207" t="s">
        <v>178</v>
      </c>
      <c r="L163" s="1001">
        <f t="shared" si="26"/>
        <v>-78641.480000000447</v>
      </c>
      <c r="M163" s="1001">
        <f t="shared" si="27"/>
        <v>0</v>
      </c>
      <c r="N163" s="1001">
        <f t="shared" si="28"/>
        <v>0</v>
      </c>
      <c r="O163" s="1001">
        <f t="shared" si="29"/>
        <v>3276863.4839999974</v>
      </c>
      <c r="P163" s="1001">
        <f t="shared" si="30"/>
        <v>0</v>
      </c>
      <c r="Q163" s="1001">
        <f t="shared" si="31"/>
        <v>-6.5472396773936428E-3</v>
      </c>
      <c r="R163" s="1001">
        <f t="shared" si="32"/>
        <v>-502460</v>
      </c>
      <c r="S163" s="1001">
        <f t="shared" si="33"/>
        <v>2695761.9974527508</v>
      </c>
      <c r="AD163" s="936"/>
      <c r="AE163" s="936"/>
      <c r="AF163" s="936"/>
      <c r="AG163" s="936"/>
      <c r="AH163" s="936"/>
      <c r="AI163" s="936"/>
      <c r="AJ163" s="936"/>
      <c r="AK163" s="936"/>
    </row>
    <row r="164" spans="1:37" hidden="1" outlineLevel="1" x14ac:dyDescent="0.2">
      <c r="A164" s="524" t="s">
        <v>797</v>
      </c>
      <c r="B164" s="997">
        <v>9627934.629999999</v>
      </c>
      <c r="C164" s="997"/>
      <c r="D164" s="997"/>
      <c r="E164" s="997">
        <v>21501651.239405543</v>
      </c>
      <c r="F164" s="997"/>
      <c r="G164" s="997">
        <v>190.35117276070409</v>
      </c>
      <c r="H164" s="997"/>
      <c r="I164" s="997">
        <f t="shared" si="35"/>
        <v>31129776.220578302</v>
      </c>
      <c r="K164" s="524" t="s">
        <v>797</v>
      </c>
      <c r="L164" s="997">
        <f t="shared" si="26"/>
        <v>312065.37000000104</v>
      </c>
      <c r="M164" s="997">
        <f t="shared" si="27"/>
        <v>0</v>
      </c>
      <c r="N164" s="997">
        <f t="shared" si="28"/>
        <v>0</v>
      </c>
      <c r="O164" s="997">
        <f t="shared" si="29"/>
        <v>1675919.7605944574</v>
      </c>
      <c r="P164" s="997">
        <f t="shared" si="30"/>
        <v>0</v>
      </c>
      <c r="Q164" s="997">
        <f t="shared" si="31"/>
        <v>-190.35117276070409</v>
      </c>
      <c r="R164" s="997">
        <f t="shared" si="32"/>
        <v>-334880</v>
      </c>
      <c r="S164" s="997">
        <f t="shared" si="33"/>
        <v>1652914.7794216983</v>
      </c>
      <c r="AD164" s="936"/>
      <c r="AE164" s="936"/>
      <c r="AF164" s="936"/>
      <c r="AG164" s="936"/>
      <c r="AH164" s="936"/>
      <c r="AI164" s="936"/>
      <c r="AJ164" s="936"/>
      <c r="AK164" s="936"/>
    </row>
    <row r="165" spans="1:37" hidden="1" outlineLevel="1" x14ac:dyDescent="0.2">
      <c r="A165" s="222" t="s">
        <v>180</v>
      </c>
      <c r="B165" s="1002">
        <f>SUM(B149:B164)</f>
        <v>26150988.417999998</v>
      </c>
      <c r="C165" s="1002">
        <f t="shared" ref="C165:I165" si="36">SUM(C149:C164)</f>
        <v>21610162</v>
      </c>
      <c r="D165" s="1002">
        <f t="shared" si="36"/>
        <v>0</v>
      </c>
      <c r="E165" s="1002">
        <f t="shared" si="36"/>
        <v>117620043.7589075</v>
      </c>
      <c r="F165" s="1002">
        <f t="shared" si="36"/>
        <v>383972</v>
      </c>
      <c r="G165" s="1002">
        <f t="shared" si="36"/>
        <v>1471855.2514641599</v>
      </c>
      <c r="H165" s="1002">
        <f t="shared" si="36"/>
        <v>0</v>
      </c>
      <c r="I165" s="1002">
        <f t="shared" si="36"/>
        <v>167237021.42837167</v>
      </c>
      <c r="K165" s="222" t="s">
        <v>180</v>
      </c>
      <c r="L165" s="1002">
        <f t="shared" si="26"/>
        <v>1126396.5820000023</v>
      </c>
      <c r="M165" s="1002">
        <f t="shared" si="27"/>
        <v>1060944</v>
      </c>
      <c r="N165" s="1002">
        <f t="shared" si="28"/>
        <v>0</v>
      </c>
      <c r="O165" s="1002">
        <f t="shared" si="29"/>
        <v>13062286.7910925</v>
      </c>
      <c r="P165" s="1002">
        <f t="shared" si="30"/>
        <v>-383972</v>
      </c>
      <c r="Q165" s="1002">
        <f t="shared" si="31"/>
        <v>-1471855.2514641599</v>
      </c>
      <c r="R165" s="1002">
        <f t="shared" si="32"/>
        <v>-2358520</v>
      </c>
      <c r="S165" s="1002">
        <f t="shared" si="33"/>
        <v>11035280.121628344</v>
      </c>
      <c r="AD165" s="936"/>
      <c r="AE165" s="936"/>
      <c r="AF165" s="936"/>
      <c r="AG165" s="936"/>
      <c r="AH165" s="936"/>
      <c r="AI165" s="936"/>
      <c r="AJ165" s="936"/>
      <c r="AK165" s="936"/>
    </row>
    <row r="166" spans="1:37" ht="17" hidden="1" outlineLevel="1" thickBot="1" x14ac:dyDescent="0.25">
      <c r="A166" s="225" t="s">
        <v>181</v>
      </c>
      <c r="B166" s="226">
        <f>+B165+B145+B123+B122+B121+B120+B119+B118+B117+B116</f>
        <v>152064560.35800001</v>
      </c>
      <c r="C166" s="226">
        <f t="shared" ref="C166" si="37">+C165+C145+C123+C122+C121+C120+C119+C118+C117+C116</f>
        <v>65595057.54299999</v>
      </c>
      <c r="D166" s="226">
        <f t="shared" ref="D166" si="38">+D165+D145+D123+D122+D121+D120+D119+D118+D117+D116</f>
        <v>22552311</v>
      </c>
      <c r="E166" s="226">
        <f t="shared" ref="E166:F166" si="39">+E165+E145+E123+E122+E121+E120+E119+E118+E117+E116</f>
        <v>122266657.80120002</v>
      </c>
      <c r="F166" s="226">
        <f t="shared" si="39"/>
        <v>78787455</v>
      </c>
      <c r="G166" s="226">
        <f t="shared" ref="G166" si="40">+G165+G145+G123+G122+G121+G120+G119+G118+G117+G116</f>
        <v>141413824.2978</v>
      </c>
      <c r="H166" s="226">
        <f t="shared" ref="H166" si="41">+H165+H145+H123+H122+H121+H120+H119+H118+H117+H116</f>
        <v>0</v>
      </c>
      <c r="I166" s="226">
        <f>+I165+I145+I123+I122+I121+I120+I119+I118+I117+I116</f>
        <v>582679866.00000012</v>
      </c>
      <c r="K166" s="225" t="s">
        <v>181</v>
      </c>
      <c r="L166" s="226">
        <f t="shared" si="26"/>
        <v>34013995.64199999</v>
      </c>
      <c r="M166" s="226">
        <f t="shared" si="27"/>
        <v>-35691438.54299999</v>
      </c>
      <c r="N166" s="226">
        <f t="shared" si="28"/>
        <v>-813989</v>
      </c>
      <c r="O166" s="226">
        <f t="shared" si="29"/>
        <v>29603174.198799983</v>
      </c>
      <c r="P166" s="226">
        <f t="shared" si="30"/>
        <v>16356445</v>
      </c>
      <c r="Q166" s="226">
        <f t="shared" si="31"/>
        <v>-9760198.2978000045</v>
      </c>
      <c r="R166" s="226">
        <f t="shared" si="32"/>
        <v>0</v>
      </c>
      <c r="S166" s="226">
        <f t="shared" si="33"/>
        <v>33707988.999999881</v>
      </c>
      <c r="AD166" s="936"/>
      <c r="AE166" s="936"/>
      <c r="AF166" s="936"/>
      <c r="AG166" s="936"/>
      <c r="AH166" s="936"/>
      <c r="AI166" s="936"/>
      <c r="AJ166" s="936"/>
      <c r="AK166" s="936"/>
    </row>
    <row r="167" spans="1:37" ht="17" hidden="1" outlineLevel="1" thickTop="1" x14ac:dyDescent="0.2"/>
    <row r="168" spans="1:37" collapsed="1" x14ac:dyDescent="0.2"/>
    <row r="169" spans="1:37" x14ac:dyDescent="0.2">
      <c r="I169" s="99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V60"/>
  <sheetViews>
    <sheetView topLeftCell="A5" workbookViewId="0">
      <pane xSplit="1" ySplit="2" topLeftCell="B7" activePane="bottomRight" state="frozen"/>
      <selection activeCell="A5" sqref="A5"/>
      <selection pane="topRight" activeCell="B5" sqref="B5"/>
      <selection pane="bottomLeft" activeCell="A7" sqref="A7"/>
      <selection pane="bottomRight" activeCell="V25" sqref="V25"/>
    </sheetView>
  </sheetViews>
  <sheetFormatPr baseColWidth="10" defaultColWidth="12.5" defaultRowHeight="16" outlineLevelCol="1" x14ac:dyDescent="0.2"/>
  <cols>
    <col min="1" max="1" width="47.33203125" style="934" customWidth="1"/>
    <col min="2" max="2" width="22.33203125" style="934" hidden="1" customWidth="1" outlineLevel="1"/>
    <col min="3" max="3" width="18.6640625" style="934" hidden="1" customWidth="1" outlineLevel="1"/>
    <col min="4" max="4" width="17.33203125" style="934" hidden="1" customWidth="1" outlineLevel="1"/>
    <col min="5" max="5" width="17.1640625" style="934" hidden="1" customWidth="1" outlineLevel="1"/>
    <col min="6" max="6" width="16.5" style="934" hidden="1" customWidth="1" outlineLevel="1"/>
    <col min="7" max="7" width="17.33203125" style="934" hidden="1" customWidth="1" outlineLevel="1"/>
    <col min="8" max="9" width="16.1640625" style="934" hidden="1" customWidth="1" outlineLevel="1"/>
    <col min="10" max="10" width="17.33203125" style="934" hidden="1" customWidth="1" outlineLevel="1"/>
    <col min="11" max="11" width="5.6640625" style="934" customWidth="1" collapsed="1"/>
    <col min="12" max="13" width="16.1640625" style="934" customWidth="1"/>
    <col min="14" max="14" width="3.6640625" style="1101" customWidth="1"/>
    <col min="15" max="16" width="17.33203125" style="934" customWidth="1"/>
    <col min="17" max="17" width="4.5" style="1101" customWidth="1"/>
    <col min="18" max="19" width="17.33203125" style="934" customWidth="1"/>
    <col min="20" max="20" width="11" style="934" customWidth="1"/>
    <col min="21" max="21" width="16.83203125" style="934" bestFit="1" customWidth="1"/>
    <col min="22" max="16384" width="12.5" style="934"/>
  </cols>
  <sheetData>
    <row r="1" spans="1:22" ht="21" x14ac:dyDescent="0.25">
      <c r="A1" s="1100" t="s">
        <v>513</v>
      </c>
    </row>
    <row r="2" spans="1:22" ht="19" x14ac:dyDescent="0.25">
      <c r="A2" s="1102" t="s">
        <v>1015</v>
      </c>
      <c r="B2" s="1103" t="s">
        <v>511</v>
      </c>
    </row>
    <row r="3" spans="1:22" x14ac:dyDescent="0.2">
      <c r="A3" s="1104"/>
      <c r="B3" s="1105"/>
    </row>
    <row r="4" spans="1:22" x14ac:dyDescent="0.2">
      <c r="A4" s="1104"/>
      <c r="B4" s="1105"/>
    </row>
    <row r="5" spans="1:22" ht="102" x14ac:dyDescent="0.2">
      <c r="A5" s="1106"/>
      <c r="B5" s="1107"/>
      <c r="C5" s="1107" t="s">
        <v>1034</v>
      </c>
      <c r="D5" s="1107" t="s">
        <v>1038</v>
      </c>
      <c r="E5" s="1107" t="s">
        <v>1045</v>
      </c>
      <c r="F5" s="1107" t="s">
        <v>1016</v>
      </c>
      <c r="G5" s="1107" t="s">
        <v>1017</v>
      </c>
      <c r="H5" s="1107" t="s">
        <v>1018</v>
      </c>
      <c r="I5" s="1107" t="s">
        <v>1019</v>
      </c>
      <c r="J5" s="1107" t="s">
        <v>1020</v>
      </c>
      <c r="L5" s="1176" t="s">
        <v>1021</v>
      </c>
      <c r="M5" s="1107" t="s">
        <v>712</v>
      </c>
      <c r="N5" s="1108"/>
      <c r="O5" s="1107" t="s">
        <v>1022</v>
      </c>
      <c r="P5" s="1107" t="s">
        <v>1035</v>
      </c>
      <c r="Q5" s="1108"/>
      <c r="R5" s="1107" t="s">
        <v>1036</v>
      </c>
      <c r="S5" s="1107" t="s">
        <v>1046</v>
      </c>
      <c r="U5" s="1107"/>
    </row>
    <row r="6" spans="1:22" ht="17" thickBot="1" x14ac:dyDescent="0.25">
      <c r="A6" s="1109" t="s">
        <v>115</v>
      </c>
      <c r="B6" s="1110" t="s">
        <v>1023</v>
      </c>
      <c r="C6" s="1111"/>
      <c r="D6" s="991"/>
      <c r="L6" s="902"/>
    </row>
    <row r="7" spans="1:22" x14ac:dyDescent="0.2">
      <c r="A7" s="1112" t="s">
        <v>129</v>
      </c>
      <c r="B7" s="1113">
        <v>0</v>
      </c>
      <c r="C7" s="1113"/>
      <c r="D7" s="1113"/>
      <c r="E7" s="1113"/>
      <c r="F7" s="1113"/>
      <c r="G7" s="1113"/>
      <c r="H7" s="1113"/>
      <c r="I7" s="1113"/>
      <c r="J7" s="1113">
        <f t="shared" ref="J7:J14" si="0">SUM(B7:I7)</f>
        <v>0</v>
      </c>
      <c r="K7" s="991"/>
      <c r="L7" s="1177">
        <f>+'FINAL-Distributed E&amp;G Budget'!AJ7</f>
        <v>0</v>
      </c>
      <c r="M7" s="991"/>
      <c r="N7" s="1114"/>
      <c r="O7" s="1115"/>
      <c r="P7" s="1115"/>
      <c r="Q7" s="1114"/>
      <c r="R7" s="1115"/>
      <c r="S7" s="1115"/>
      <c r="U7" s="991"/>
      <c r="V7" s="991"/>
    </row>
    <row r="8" spans="1:22" x14ac:dyDescent="0.2">
      <c r="A8" s="1112" t="s">
        <v>130</v>
      </c>
      <c r="B8" s="1116">
        <v>4471174.4499999881</v>
      </c>
      <c r="C8" s="1116"/>
      <c r="D8" s="1116"/>
      <c r="E8" s="1116"/>
      <c r="F8" s="1116"/>
      <c r="G8" s="1116"/>
      <c r="H8" s="1116"/>
      <c r="I8" s="1116"/>
      <c r="J8" s="1116">
        <f t="shared" si="0"/>
        <v>4471174.4499999881</v>
      </c>
      <c r="K8" s="991"/>
      <c r="L8" s="1178">
        <f>+'FINAL-Distributed E&amp;G Budget'!AJ8</f>
        <v>970482.44999998808</v>
      </c>
      <c r="M8" s="991"/>
      <c r="N8" s="1114"/>
      <c r="O8" s="1117"/>
      <c r="P8" s="1117"/>
      <c r="Q8" s="1114"/>
      <c r="R8" s="1117"/>
      <c r="S8" s="1117"/>
      <c r="T8" s="1107"/>
      <c r="U8" s="991"/>
      <c r="V8" s="991"/>
    </row>
    <row r="9" spans="1:22" x14ac:dyDescent="0.2">
      <c r="A9" s="1112" t="s">
        <v>131</v>
      </c>
      <c r="B9" s="1116">
        <v>-144500</v>
      </c>
      <c r="C9" s="1116"/>
      <c r="D9" s="1116"/>
      <c r="E9" s="1116"/>
      <c r="F9" s="1116"/>
      <c r="G9" s="1116"/>
      <c r="H9" s="1116"/>
      <c r="I9" s="1116"/>
      <c r="J9" s="1116">
        <f t="shared" si="0"/>
        <v>-144500</v>
      </c>
      <c r="K9" s="991"/>
      <c r="L9" s="1178">
        <f>+'FINAL-Distributed E&amp;G Budget'!AJ9</f>
        <v>3170000</v>
      </c>
      <c r="M9" s="991"/>
      <c r="N9" s="1114"/>
      <c r="O9" s="1117"/>
      <c r="P9" s="1117"/>
      <c r="Q9" s="1114"/>
      <c r="R9" s="1117"/>
      <c r="S9" s="1117"/>
      <c r="U9" s="991"/>
      <c r="V9" s="991"/>
    </row>
    <row r="10" spans="1:22" x14ac:dyDescent="0.2">
      <c r="A10" s="1112" t="s">
        <v>132</v>
      </c>
      <c r="B10" s="1116">
        <v>12000000</v>
      </c>
      <c r="C10" s="1116"/>
      <c r="D10" s="1116"/>
      <c r="E10" s="1116"/>
      <c r="F10" s="1116"/>
      <c r="G10" s="1116"/>
      <c r="H10" s="1116"/>
      <c r="I10" s="1116"/>
      <c r="J10" s="1116">
        <f t="shared" si="0"/>
        <v>12000000</v>
      </c>
      <c r="K10" s="991"/>
      <c r="L10" s="1178">
        <f>+'FINAL-Distributed E&amp;G Budget'!AJ10</f>
        <v>12000000</v>
      </c>
      <c r="M10" s="1118">
        <f>SUM(L7:L14)/SUM(J7:J14)-1</f>
        <v>3.2557774915018545E-3</v>
      </c>
      <c r="N10" s="1119"/>
      <c r="O10" s="1117"/>
      <c r="P10" s="1117"/>
      <c r="Q10" s="1119"/>
      <c r="R10" s="1117"/>
      <c r="S10" s="1117"/>
      <c r="T10" s="991"/>
      <c r="U10" s="991"/>
      <c r="V10" s="991"/>
    </row>
    <row r="11" spans="1:22" x14ac:dyDescent="0.2">
      <c r="A11" s="1112" t="s">
        <v>134</v>
      </c>
      <c r="B11" s="1116">
        <v>15080231</v>
      </c>
      <c r="C11" s="1116"/>
      <c r="D11" s="1116"/>
      <c r="E11" s="1116"/>
      <c r="F11" s="1116"/>
      <c r="G11" s="1116"/>
      <c r="H11" s="1116"/>
      <c r="I11" s="1116"/>
      <c r="J11" s="1116">
        <f t="shared" si="0"/>
        <v>15080231</v>
      </c>
      <c r="K11" s="991"/>
      <c r="L11" s="1178">
        <f>+'FINAL-Distributed E&amp;G Budget'!AJ11</f>
        <v>7345038</v>
      </c>
      <c r="M11" s="991"/>
      <c r="N11" s="1114"/>
      <c r="O11" s="1117"/>
      <c r="P11" s="1117"/>
      <c r="Q11" s="1114"/>
      <c r="R11" s="1117"/>
      <c r="S11" s="1117"/>
      <c r="T11" s="991"/>
      <c r="U11" s="991"/>
      <c r="V11" s="991"/>
    </row>
    <row r="12" spans="1:22" x14ac:dyDescent="0.2">
      <c r="A12" s="1112" t="s">
        <v>137</v>
      </c>
      <c r="B12" s="1116">
        <v>8380000</v>
      </c>
      <c r="C12" s="1116"/>
      <c r="D12" s="1116"/>
      <c r="E12" s="1116"/>
      <c r="F12" s="1116"/>
      <c r="G12" s="1116"/>
      <c r="H12" s="1116"/>
      <c r="I12" s="1116"/>
      <c r="J12" s="1116">
        <f t="shared" si="0"/>
        <v>8380000</v>
      </c>
      <c r="K12" s="991"/>
      <c r="L12" s="1178">
        <f>+'FINAL-Distributed E&amp;G Budget'!AJ12</f>
        <v>180000</v>
      </c>
      <c r="M12" s="991"/>
      <c r="N12" s="1114"/>
      <c r="O12" s="1117"/>
      <c r="P12" s="1117"/>
      <c r="Q12" s="1114"/>
      <c r="R12" s="1117"/>
      <c r="S12" s="1117"/>
      <c r="T12" s="991"/>
      <c r="U12" s="991"/>
      <c r="V12" s="991"/>
    </row>
    <row r="13" spans="1:22" x14ac:dyDescent="0.2">
      <c r="A13" s="1112" t="s">
        <v>138</v>
      </c>
      <c r="B13" s="1116">
        <v>40794236</v>
      </c>
      <c r="C13" s="1116"/>
      <c r="D13" s="1116"/>
      <c r="E13" s="1116"/>
      <c r="F13" s="1116"/>
      <c r="G13" s="1116"/>
      <c r="H13" s="1116"/>
      <c r="I13" s="1116"/>
      <c r="J13" s="1116">
        <f t="shared" si="0"/>
        <v>40794236</v>
      </c>
      <c r="K13" s="991"/>
      <c r="L13" s="1178">
        <f>+'FINAL-Distributed E&amp;G Budget'!AJ13</f>
        <v>40794236</v>
      </c>
      <c r="M13" s="991"/>
      <c r="N13" s="1114"/>
      <c r="O13" s="1117"/>
      <c r="P13" s="1117"/>
      <c r="Q13" s="1114"/>
      <c r="R13" s="1117"/>
      <c r="S13" s="1117"/>
      <c r="T13" s="991"/>
      <c r="U13" s="991"/>
      <c r="V13" s="991"/>
    </row>
    <row r="14" spans="1:22" ht="17" thickBot="1" x14ac:dyDescent="0.25">
      <c r="A14" s="1112" t="s">
        <v>677</v>
      </c>
      <c r="B14" s="1120">
        <v>137.00000000465661</v>
      </c>
      <c r="C14" s="1121">
        <f>-SUM(C36,C56)</f>
        <v>-2745673.7382026445</v>
      </c>
      <c r="D14" s="1120">
        <f>-SUM(D36,D56)</f>
        <v>-5829155.9615574069</v>
      </c>
      <c r="E14" s="1120">
        <f>+-SUM(E36,E56,E7)</f>
        <v>-7756450</v>
      </c>
      <c r="F14" s="1120">
        <f>-3471890</f>
        <v>-3471890</v>
      </c>
      <c r="G14" s="1120">
        <f>1180200+1200</f>
        <v>1181400</v>
      </c>
      <c r="H14" s="1120">
        <v>2161000</v>
      </c>
      <c r="I14" s="1120">
        <v>129490</v>
      </c>
      <c r="J14" s="1120">
        <f t="shared" si="0"/>
        <v>-16331142.699760046</v>
      </c>
      <c r="K14" s="991"/>
      <c r="L14" s="1179">
        <f>+'FINAL-Distributed E&amp;G Budget'!AJ14</f>
        <v>-574.00000000093132</v>
      </c>
      <c r="M14" s="991"/>
      <c r="N14" s="1114"/>
      <c r="O14" s="1117"/>
      <c r="P14" s="1117"/>
      <c r="Q14" s="1114"/>
      <c r="R14" s="1117"/>
      <c r="S14" s="1117"/>
      <c r="T14" s="991"/>
      <c r="U14" s="991"/>
      <c r="V14" s="991"/>
    </row>
    <row r="15" spans="1:22" x14ac:dyDescent="0.2">
      <c r="A15" s="1122"/>
      <c r="B15" s="1123"/>
      <c r="C15" s="1123"/>
      <c r="D15" s="1123"/>
      <c r="E15" s="1123"/>
      <c r="F15" s="1123"/>
      <c r="G15" s="1123"/>
      <c r="H15" s="1123"/>
      <c r="I15" s="1123"/>
      <c r="J15" s="1123"/>
      <c r="L15" s="1123"/>
      <c r="O15" s="1123"/>
      <c r="P15" s="1123"/>
      <c r="R15" s="1123"/>
      <c r="S15" s="1123"/>
      <c r="T15" s="991"/>
      <c r="U15" s="991"/>
      <c r="V15" s="991"/>
    </row>
    <row r="16" spans="1:22" x14ac:dyDescent="0.2">
      <c r="A16" s="1124" t="s">
        <v>141</v>
      </c>
      <c r="B16" s="1125"/>
      <c r="C16" s="1125"/>
      <c r="D16" s="1125"/>
      <c r="E16" s="1125"/>
      <c r="F16" s="1125"/>
      <c r="G16" s="1125"/>
      <c r="H16" s="1125"/>
      <c r="I16" s="1125"/>
      <c r="J16" s="1125"/>
      <c r="L16" s="1125"/>
      <c r="O16" s="1125"/>
      <c r="P16" s="1125"/>
      <c r="R16" s="1125"/>
      <c r="S16" s="1125"/>
      <c r="T16" s="991"/>
      <c r="U16" s="991"/>
      <c r="V16" s="991"/>
    </row>
    <row r="17" spans="1:22" x14ac:dyDescent="0.2">
      <c r="A17" s="1126" t="s">
        <v>143</v>
      </c>
      <c r="B17" s="1125"/>
      <c r="C17" s="1125"/>
      <c r="D17" s="1125"/>
      <c r="E17" s="1125"/>
      <c r="F17" s="1125"/>
      <c r="G17" s="1125"/>
      <c r="H17" s="1125"/>
      <c r="I17" s="1125"/>
      <c r="J17" s="1125"/>
      <c r="L17" s="1125"/>
      <c r="O17" s="1125"/>
      <c r="P17" s="1125"/>
      <c r="R17" s="1125"/>
      <c r="S17" s="1125"/>
      <c r="T17" s="991"/>
      <c r="U17" s="991"/>
      <c r="V17" s="991"/>
    </row>
    <row r="18" spans="1:22" x14ac:dyDescent="0.2">
      <c r="A18" s="1112" t="s">
        <v>145</v>
      </c>
      <c r="B18" s="1115">
        <v>25209364</v>
      </c>
      <c r="C18" s="1115">
        <v>39927.685400000002</v>
      </c>
      <c r="D18" s="1115">
        <v>242288.34520000001</v>
      </c>
      <c r="E18" s="1115">
        <v>760378</v>
      </c>
      <c r="F18" s="1115">
        <v>173830</v>
      </c>
      <c r="G18" s="1115"/>
      <c r="H18" s="1115"/>
      <c r="I18" s="1115">
        <f t="shared" ref="I18:I35" si="1">-F18-G18-H18</f>
        <v>-173830</v>
      </c>
      <c r="J18" s="1117">
        <f t="shared" ref="J18:J35" si="2">SUM(B18:I18)</f>
        <v>26251958.0306</v>
      </c>
      <c r="K18" s="991"/>
      <c r="L18" s="1091">
        <f>+'FINAL-Distributed E&amp;G Budget'!AJ18</f>
        <v>26428220</v>
      </c>
      <c r="M18" s="1127">
        <f>L18/J18-1</f>
        <v>6.7142408651783558E-3</v>
      </c>
      <c r="N18" s="1128"/>
      <c r="O18" s="1117"/>
      <c r="P18" s="1117">
        <f>+'TECH CHANGE-Grad Health'!J18</f>
        <v>97476</v>
      </c>
      <c r="Q18" s="1128"/>
      <c r="R18" s="1117"/>
      <c r="S18" s="1117">
        <f>+ROUND(-F18+P18,0)</f>
        <v>-76354</v>
      </c>
      <c r="U18" s="991"/>
      <c r="V18" s="991"/>
    </row>
    <row r="19" spans="1:22" x14ac:dyDescent="0.2">
      <c r="A19" s="1129" t="s">
        <v>147</v>
      </c>
      <c r="B19" s="1130">
        <v>25971067</v>
      </c>
      <c r="C19" s="1130">
        <v>25006.123599999999</v>
      </c>
      <c r="D19" s="1130">
        <v>334703.98759999999</v>
      </c>
      <c r="E19" s="1130">
        <v>23778</v>
      </c>
      <c r="F19" s="1130">
        <v>55290</v>
      </c>
      <c r="G19" s="1130"/>
      <c r="H19" s="1130"/>
      <c r="I19" s="1130">
        <f t="shared" si="1"/>
        <v>-55290</v>
      </c>
      <c r="J19" s="1131">
        <f t="shared" si="2"/>
        <v>26354555.111199997</v>
      </c>
      <c r="L19" s="1091">
        <f>+'FINAL-Distributed E&amp;G Budget'!AJ19</f>
        <v>26386228</v>
      </c>
      <c r="M19" s="1132">
        <f t="shared" ref="M19:M36" si="3">L19/J19-1</f>
        <v>1.2017994106279239E-3</v>
      </c>
      <c r="N19" s="1133"/>
      <c r="O19" s="1131"/>
      <c r="P19" s="1131">
        <f>+'TECH CHANGE-Grad Health'!J19</f>
        <v>-539049</v>
      </c>
      <c r="Q19" s="1133"/>
      <c r="R19" s="1131"/>
      <c r="S19" s="1131">
        <f>+ROUND(-F19+P19,0)</f>
        <v>-594339</v>
      </c>
      <c r="U19" s="991"/>
      <c r="V19" s="991"/>
    </row>
    <row r="20" spans="1:22" x14ac:dyDescent="0.2">
      <c r="A20" s="1122" t="s">
        <v>149</v>
      </c>
      <c r="B20" s="1130">
        <v>69355186</v>
      </c>
      <c r="C20" s="1130">
        <v>39390.120000000003</v>
      </c>
      <c r="D20" s="1130">
        <v>750679.65</v>
      </c>
      <c r="E20" s="1130">
        <v>2057170</v>
      </c>
      <c r="F20" s="1130">
        <v>643250</v>
      </c>
      <c r="G20" s="1130"/>
      <c r="H20" s="1130"/>
      <c r="I20" s="1130">
        <f t="shared" si="1"/>
        <v>-643250</v>
      </c>
      <c r="J20" s="1131">
        <f t="shared" si="2"/>
        <v>72202425.770000011</v>
      </c>
      <c r="L20" s="1091">
        <f>+'FINAL-Distributed E&amp;G Budget'!AJ20</f>
        <v>72206296</v>
      </c>
      <c r="M20" s="1132">
        <f t="shared" si="3"/>
        <v>5.3602492696258608E-5</v>
      </c>
      <c r="N20" s="1133"/>
      <c r="O20" s="1131"/>
      <c r="P20" s="1131">
        <f>+'TECH CHANGE-Grad Health'!J20</f>
        <v>317730</v>
      </c>
      <c r="Q20" s="1133"/>
      <c r="R20" s="1131"/>
      <c r="S20" s="1131">
        <f>+ROUND(-F20+P20,0)</f>
        <v>-325520</v>
      </c>
      <c r="U20" s="991"/>
      <c r="V20" s="991"/>
    </row>
    <row r="21" spans="1:22" x14ac:dyDescent="0.2">
      <c r="A21" s="1112" t="s">
        <v>150</v>
      </c>
      <c r="B21" s="1115">
        <v>8934104</v>
      </c>
      <c r="C21" s="1115">
        <v>8002.1592000000001</v>
      </c>
      <c r="D21" s="1115">
        <v>89925.303999999989</v>
      </c>
      <c r="E21" s="1115">
        <v>263739</v>
      </c>
      <c r="F21" s="1115">
        <v>235270</v>
      </c>
      <c r="G21" s="1115"/>
      <c r="H21" s="1115"/>
      <c r="I21" s="1115">
        <f t="shared" si="1"/>
        <v>-235270</v>
      </c>
      <c r="J21" s="1117">
        <f t="shared" si="2"/>
        <v>9295770.4631999992</v>
      </c>
      <c r="L21" s="1091">
        <f>+'FINAL-Distributed E&amp;G Budget'!AJ21</f>
        <v>9270011</v>
      </c>
      <c r="M21" s="1134">
        <f t="shared" si="3"/>
        <v>-2.771095015951075E-3</v>
      </c>
      <c r="N21" s="1133"/>
      <c r="O21" s="1117"/>
      <c r="P21" s="1117">
        <f>+'TECH CHANGE-Grad Health'!J21</f>
        <v>44616.75</v>
      </c>
      <c r="Q21" s="1133"/>
      <c r="R21" s="1117"/>
      <c r="S21" s="1117">
        <f>+ROUND(-F21+P21,0)</f>
        <v>-190653</v>
      </c>
      <c r="T21" s="991"/>
      <c r="U21" s="991"/>
      <c r="V21" s="991"/>
    </row>
    <row r="22" spans="1:22" x14ac:dyDescent="0.2">
      <c r="A22" s="1129" t="s">
        <v>151</v>
      </c>
      <c r="B22" s="1130">
        <v>19537975</v>
      </c>
      <c r="C22" s="1130">
        <v>14997.988600000001</v>
      </c>
      <c r="D22" s="1130">
        <v>274729.44209999999</v>
      </c>
      <c r="E22" s="1130">
        <v>552990</v>
      </c>
      <c r="F22" s="1130">
        <v>54870</v>
      </c>
      <c r="G22" s="1130"/>
      <c r="H22" s="1130">
        <v>-2161000</v>
      </c>
      <c r="I22" s="1130">
        <f t="shared" si="1"/>
        <v>2106130</v>
      </c>
      <c r="J22" s="1131">
        <f t="shared" si="2"/>
        <v>20380692.4307</v>
      </c>
      <c r="L22" s="1091">
        <f>+'FINAL-Distributed E&amp;G Budget'!AJ22</f>
        <v>20358755</v>
      </c>
      <c r="M22" s="1132">
        <f t="shared" si="3"/>
        <v>-1.0763829921183188E-3</v>
      </c>
      <c r="N22" s="1133"/>
      <c r="O22" s="1131"/>
      <c r="P22" s="1135" t="s">
        <v>1024</v>
      </c>
      <c r="Q22" s="1133"/>
      <c r="R22" s="1131"/>
      <c r="S22" s="1131">
        <f>+ROUND(-F22,0)</f>
        <v>-54870</v>
      </c>
      <c r="U22" s="991"/>
      <c r="V22" s="991"/>
    </row>
    <row r="23" spans="1:22" x14ac:dyDescent="0.2">
      <c r="A23" s="1122" t="s">
        <v>152</v>
      </c>
      <c r="B23" s="1130">
        <v>6247020</v>
      </c>
      <c r="C23" s="1130">
        <v>3149.7809999999999</v>
      </c>
      <c r="D23" s="1130">
        <v>62544.268499999998</v>
      </c>
      <c r="E23" s="1130">
        <v>77321</v>
      </c>
      <c r="F23" s="1130">
        <v>11400</v>
      </c>
      <c r="G23" s="1130"/>
      <c r="H23" s="1130"/>
      <c r="I23" s="1130">
        <f t="shared" si="1"/>
        <v>-11400</v>
      </c>
      <c r="J23" s="1131">
        <f t="shared" si="2"/>
        <v>6390035.0495000007</v>
      </c>
      <c r="L23" s="1091">
        <f>+'FINAL-Distributed E&amp;G Budget'!AJ23</f>
        <v>6385168</v>
      </c>
      <c r="M23" s="1132">
        <f t="shared" si="3"/>
        <v>-7.6166241065944718E-4</v>
      </c>
      <c r="N23" s="1133"/>
      <c r="O23" s="1131"/>
      <c r="P23" s="1131">
        <f>+'TECH CHANGE-Grad Health'!J23</f>
        <v>-36051.75</v>
      </c>
      <c r="Q23" s="1133"/>
      <c r="R23" s="1131"/>
      <c r="S23" s="1131">
        <f>+ROUND(-F23+P23,0)</f>
        <v>-47452</v>
      </c>
      <c r="U23" s="991"/>
      <c r="V23" s="991"/>
    </row>
    <row r="24" spans="1:22" x14ac:dyDescent="0.2">
      <c r="A24" s="1112" t="s">
        <v>153</v>
      </c>
      <c r="B24" s="1136">
        <v>46375456</v>
      </c>
      <c r="C24" s="1136">
        <v>22302.5344</v>
      </c>
      <c r="D24" s="1136">
        <v>487472.37139999995</v>
      </c>
      <c r="E24" s="1136">
        <v>1134752</v>
      </c>
      <c r="F24" s="1136">
        <v>87370</v>
      </c>
      <c r="G24" s="1136"/>
      <c r="H24" s="1136"/>
      <c r="I24" s="1136">
        <f t="shared" si="1"/>
        <v>-87370</v>
      </c>
      <c r="J24" s="1137">
        <f t="shared" si="2"/>
        <v>48019982.9058</v>
      </c>
      <c r="L24" s="1091">
        <f>+'FINAL-Distributed E&amp;G Budget'!AJ24</f>
        <v>48073500</v>
      </c>
      <c r="M24" s="1138">
        <f t="shared" si="3"/>
        <v>1.1144754946077473E-3</v>
      </c>
      <c r="N24" s="1133"/>
      <c r="O24" s="1137"/>
      <c r="P24" s="1137">
        <f>+'TECH CHANGE-Grad Health'!J24</f>
        <v>-166356</v>
      </c>
      <c r="Q24" s="1133"/>
      <c r="R24" s="1137"/>
      <c r="S24" s="1137">
        <f>+ROUND(-F24+P24,0)</f>
        <v>-253726</v>
      </c>
      <c r="U24" s="991"/>
      <c r="V24" s="991"/>
    </row>
    <row r="25" spans="1:22" x14ac:dyDescent="0.2">
      <c r="A25" s="1122" t="s">
        <v>154</v>
      </c>
      <c r="B25" s="1130">
        <v>14850376</v>
      </c>
      <c r="C25" s="1130">
        <v>28099.252999999997</v>
      </c>
      <c r="D25" s="1130">
        <v>389854.53779999999</v>
      </c>
      <c r="E25" s="1130">
        <v>395271</v>
      </c>
      <c r="F25" s="1130">
        <v>50170</v>
      </c>
      <c r="G25" s="1130"/>
      <c r="H25" s="1130"/>
      <c r="I25" s="1130">
        <f t="shared" si="1"/>
        <v>-50170</v>
      </c>
      <c r="J25" s="1131">
        <f t="shared" si="2"/>
        <v>15663600.7908</v>
      </c>
      <c r="L25" s="1091">
        <f>+'FINAL-Distributed E&amp;G Budget'!AJ25</f>
        <v>15709034</v>
      </c>
      <c r="M25" s="1132">
        <f t="shared" si="3"/>
        <v>2.9005596993181282E-3</v>
      </c>
      <c r="N25" s="1133"/>
      <c r="O25" s="1131"/>
      <c r="P25" s="1131">
        <f>+'TECH CHANGE-Grad Health'!J25</f>
        <v>41558.25</v>
      </c>
      <c r="Q25" s="1133"/>
      <c r="R25" s="1131"/>
      <c r="S25" s="1131">
        <f>+ROUND(-F25+P25,0)</f>
        <v>-8612</v>
      </c>
      <c r="U25" s="991"/>
      <c r="V25" s="991"/>
    </row>
    <row r="26" spans="1:22" x14ac:dyDescent="0.2">
      <c r="A26" s="1122" t="s">
        <v>155</v>
      </c>
      <c r="B26" s="1139">
        <v>12285657</v>
      </c>
      <c r="C26" s="1139">
        <v>29258.567999999999</v>
      </c>
      <c r="D26" s="1139">
        <v>213114.63649999999</v>
      </c>
      <c r="E26" s="1139">
        <v>196510</v>
      </c>
      <c r="F26" s="1139">
        <v>178200</v>
      </c>
      <c r="G26" s="1139"/>
      <c r="H26" s="1139"/>
      <c r="I26" s="1139">
        <f t="shared" si="1"/>
        <v>-178200</v>
      </c>
      <c r="J26" s="1140">
        <f t="shared" si="2"/>
        <v>12724540.204499999</v>
      </c>
      <c r="L26" s="1098">
        <f>+'FINAL-Distributed E&amp;G Budget'!AJ26</f>
        <v>12654063</v>
      </c>
      <c r="M26" s="1133">
        <f t="shared" si="3"/>
        <v>-5.5386837848234727E-3</v>
      </c>
      <c r="N26" s="1133"/>
      <c r="O26" s="1140"/>
      <c r="P26" s="1140">
        <f>+'TECH CHANGE-Grad Health'!J26</f>
        <v>-975</v>
      </c>
      <c r="Q26" s="1133"/>
      <c r="R26" s="1140"/>
      <c r="S26" s="1141" t="s">
        <v>1024</v>
      </c>
      <c r="U26" s="991"/>
      <c r="V26" s="991"/>
    </row>
    <row r="27" spans="1:22" x14ac:dyDescent="0.2">
      <c r="A27" s="1112" t="s">
        <v>156</v>
      </c>
      <c r="B27" s="1115">
        <v>44134407</v>
      </c>
      <c r="C27" s="1115">
        <v>49517.277600000001</v>
      </c>
      <c r="D27" s="1115">
        <v>473511.22770000005</v>
      </c>
      <c r="E27" s="1115">
        <v>2046421</v>
      </c>
      <c r="F27" s="1115">
        <v>98140</v>
      </c>
      <c r="G27" s="1115"/>
      <c r="H27" s="1115"/>
      <c r="I27" s="1115">
        <f t="shared" si="1"/>
        <v>-98140</v>
      </c>
      <c r="J27" s="1117">
        <f t="shared" si="2"/>
        <v>46703856.5053</v>
      </c>
      <c r="L27" s="1091">
        <f>+'FINAL-Distributed E&amp;G Budget'!AJ27</f>
        <v>46918310</v>
      </c>
      <c r="M27" s="1134">
        <f t="shared" si="3"/>
        <v>4.5917727302811073E-3</v>
      </c>
      <c r="N27" s="1133"/>
      <c r="O27" s="1117"/>
      <c r="P27" s="1117">
        <f>+'TECH CHANGE-Grad Health'!J27</f>
        <v>338243.25</v>
      </c>
      <c r="Q27" s="1133"/>
      <c r="R27" s="1117"/>
      <c r="S27" s="1117">
        <f>+ROUND(-F27+P27,0)</f>
        <v>240103</v>
      </c>
      <c r="U27" s="991"/>
      <c r="V27" s="991"/>
    </row>
    <row r="28" spans="1:22" x14ac:dyDescent="0.2">
      <c r="A28" s="1122" t="s">
        <v>157</v>
      </c>
      <c r="B28" s="1139">
        <v>27657427</v>
      </c>
      <c r="C28" s="1139">
        <v>162600.28080000001</v>
      </c>
      <c r="D28" s="1139">
        <v>192444.56280000001</v>
      </c>
      <c r="E28" s="1139">
        <v>171764</v>
      </c>
      <c r="F28" s="1139">
        <v>1143220</v>
      </c>
      <c r="G28" s="1139"/>
      <c r="H28" s="1139"/>
      <c r="I28" s="1139">
        <f t="shared" si="1"/>
        <v>-1143220</v>
      </c>
      <c r="J28" s="1140">
        <f t="shared" si="2"/>
        <v>28184235.843600001</v>
      </c>
      <c r="L28" s="1098">
        <f>+'FINAL-Distributed E&amp;G Budget'!AJ28</f>
        <v>28117448</v>
      </c>
      <c r="M28" s="1133">
        <f t="shared" si="3"/>
        <v>-2.3696879337308241E-3</v>
      </c>
      <c r="N28" s="1133"/>
      <c r="O28" s="1140"/>
      <c r="P28" s="1140">
        <f>+'TECH CHANGE-Grad Health'!J28</f>
        <v>11350.5</v>
      </c>
      <c r="Q28" s="1133"/>
      <c r="R28" s="1140"/>
      <c r="S28" s="1141" t="s">
        <v>1024</v>
      </c>
      <c r="U28" s="991"/>
      <c r="V28" s="991"/>
    </row>
    <row r="29" spans="1:22" x14ac:dyDescent="0.2">
      <c r="A29" s="1112" t="s">
        <v>159</v>
      </c>
      <c r="B29" s="1115">
        <v>3893225</v>
      </c>
      <c r="C29" s="1115">
        <v>7526.3504999999996</v>
      </c>
      <c r="D29" s="1115">
        <v>37921.190900000001</v>
      </c>
      <c r="E29" s="1115">
        <v>7926</v>
      </c>
      <c r="F29" s="1115">
        <v>11290</v>
      </c>
      <c r="G29" s="1115"/>
      <c r="H29" s="1115"/>
      <c r="I29" s="1115">
        <f t="shared" si="1"/>
        <v>-11290</v>
      </c>
      <c r="J29" s="1117">
        <f t="shared" si="2"/>
        <v>3946598.5414</v>
      </c>
      <c r="L29" s="1091">
        <f>+'FINAL-Distributed E&amp;G Budget'!AJ29</f>
        <v>3937672</v>
      </c>
      <c r="M29" s="1134">
        <f t="shared" si="3"/>
        <v>-2.2618316269973349E-3</v>
      </c>
      <c r="N29" s="1133"/>
      <c r="O29" s="1117"/>
      <c r="P29" s="1117">
        <f>+'TECH CHANGE-Grad Health'!J29</f>
        <v>-49563</v>
      </c>
      <c r="Q29" s="1133"/>
      <c r="R29" s="1117"/>
      <c r="S29" s="1117">
        <f t="shared" ref="S29:S35" si="4">+ROUND(-F29+P29,0)</f>
        <v>-60853</v>
      </c>
      <c r="U29" s="991"/>
      <c r="V29" s="991"/>
    </row>
    <row r="30" spans="1:22" x14ac:dyDescent="0.2">
      <c r="A30" s="1129" t="s">
        <v>160</v>
      </c>
      <c r="B30" s="1139">
        <v>22949137</v>
      </c>
      <c r="C30" s="1139">
        <v>209995</v>
      </c>
      <c r="D30" s="1139">
        <v>196630</v>
      </c>
      <c r="E30" s="1139">
        <v>7632</v>
      </c>
      <c r="F30" s="1139">
        <v>0</v>
      </c>
      <c r="G30" s="1139"/>
      <c r="H30" s="1139"/>
      <c r="I30" s="1139">
        <f t="shared" si="1"/>
        <v>0</v>
      </c>
      <c r="J30" s="1140">
        <f t="shared" si="2"/>
        <v>23363394</v>
      </c>
      <c r="L30" s="1098">
        <f>+'FINAL-Distributed E&amp;G Budget'!AJ30</f>
        <v>23305422</v>
      </c>
      <c r="M30" s="1133">
        <f t="shared" si="3"/>
        <v>-2.4813175688429556E-3</v>
      </c>
      <c r="N30" s="1133"/>
      <c r="O30" s="1140"/>
      <c r="P30" s="1140"/>
      <c r="Q30" s="1133"/>
      <c r="R30" s="1140">
        <f>+C30+D30-G30+O30</f>
        <v>406625</v>
      </c>
      <c r="S30" s="1140">
        <f t="shared" si="4"/>
        <v>0</v>
      </c>
      <c r="U30" s="991"/>
      <c r="V30" s="991"/>
    </row>
    <row r="31" spans="1:22" x14ac:dyDescent="0.2">
      <c r="A31" s="1122" t="s">
        <v>580</v>
      </c>
      <c r="B31" s="1130">
        <v>5118720</v>
      </c>
      <c r="C31" s="1130"/>
      <c r="D31" s="1130"/>
      <c r="E31" s="1130"/>
      <c r="F31" s="1130">
        <v>0</v>
      </c>
      <c r="G31" s="1130"/>
      <c r="H31" s="1130"/>
      <c r="I31" s="1130">
        <f t="shared" si="1"/>
        <v>0</v>
      </c>
      <c r="J31" s="1131">
        <f t="shared" si="2"/>
        <v>5118720</v>
      </c>
      <c r="L31" s="1091">
        <f>+'FINAL-Distributed E&amp;G Budget'!AJ31</f>
        <v>5108400</v>
      </c>
      <c r="M31" s="1132">
        <f t="shared" si="3"/>
        <v>-2.0161290322581182E-3</v>
      </c>
      <c r="N31" s="1133"/>
      <c r="O31" s="1131"/>
      <c r="P31" s="1131"/>
      <c r="Q31" s="1133"/>
      <c r="R31" s="1131">
        <f>+C31+D31-G31+O31</f>
        <v>0</v>
      </c>
      <c r="S31" s="1131">
        <f t="shared" si="4"/>
        <v>0</v>
      </c>
      <c r="U31" s="991"/>
      <c r="V31" s="991"/>
    </row>
    <row r="32" spans="1:22" x14ac:dyDescent="0.2">
      <c r="A32" s="1142" t="s">
        <v>705</v>
      </c>
      <c r="B32" s="1136">
        <v>662775</v>
      </c>
      <c r="C32" s="1136">
        <v>15169</v>
      </c>
      <c r="D32" s="1136">
        <v>4065</v>
      </c>
      <c r="E32" s="1136"/>
      <c r="F32" s="1136">
        <v>0</v>
      </c>
      <c r="G32" s="1136"/>
      <c r="H32" s="1136"/>
      <c r="I32" s="1136">
        <f t="shared" si="1"/>
        <v>0</v>
      </c>
      <c r="J32" s="1137">
        <f t="shared" si="2"/>
        <v>682009</v>
      </c>
      <c r="L32" s="1091">
        <f>+'FINAL-Distributed E&amp;G Budget'!AJ32</f>
        <v>680479</v>
      </c>
      <c r="M32" s="1138">
        <f t="shared" si="3"/>
        <v>-2.2433721549128816E-3</v>
      </c>
      <c r="N32" s="1133"/>
      <c r="O32" s="1137"/>
      <c r="P32" s="1137"/>
      <c r="Q32" s="1133"/>
      <c r="R32" s="1137">
        <f>+C32+D32-G32+O32</f>
        <v>19234</v>
      </c>
      <c r="S32" s="1137">
        <f t="shared" si="4"/>
        <v>0</v>
      </c>
      <c r="U32" s="991"/>
      <c r="V32" s="991"/>
    </row>
    <row r="33" spans="1:22" x14ac:dyDescent="0.2">
      <c r="A33" s="1143" t="s">
        <v>162</v>
      </c>
      <c r="B33" s="1139">
        <v>862940</v>
      </c>
      <c r="C33" s="1139">
        <v>1576.0810000000001</v>
      </c>
      <c r="D33" s="1139">
        <v>6276.0750000000007</v>
      </c>
      <c r="E33" s="1139">
        <v>51375</v>
      </c>
      <c r="F33" s="1139">
        <v>0</v>
      </c>
      <c r="G33" s="1139"/>
      <c r="H33" s="1139"/>
      <c r="I33" s="1139">
        <f t="shared" si="1"/>
        <v>0</v>
      </c>
      <c r="J33" s="1140">
        <f t="shared" si="2"/>
        <v>922167.15599999996</v>
      </c>
      <c r="L33" s="1098">
        <f>+'FINAL-Distributed E&amp;G Budget'!AJ33</f>
        <v>915550</v>
      </c>
      <c r="M33" s="1133">
        <f t="shared" si="3"/>
        <v>-7.1756578587146569E-3</v>
      </c>
      <c r="N33" s="1133"/>
      <c r="O33" s="1140"/>
      <c r="P33" s="1140"/>
      <c r="Q33" s="1133"/>
      <c r="R33" s="1141" t="s">
        <v>1024</v>
      </c>
      <c r="S33" s="1140">
        <f t="shared" si="4"/>
        <v>0</v>
      </c>
      <c r="U33" s="991"/>
      <c r="V33" s="991"/>
    </row>
    <row r="34" spans="1:22" x14ac:dyDescent="0.2">
      <c r="A34" s="1122" t="s">
        <v>163</v>
      </c>
      <c r="B34" s="1130">
        <v>15015416</v>
      </c>
      <c r="C34" s="1130">
        <v>166031.342</v>
      </c>
      <c r="D34" s="1130">
        <v>137723.19500000001</v>
      </c>
      <c r="E34" s="1130"/>
      <c r="F34" s="1130">
        <v>13220</v>
      </c>
      <c r="G34" s="1130">
        <v>-1200</v>
      </c>
      <c r="H34" s="1130"/>
      <c r="I34" s="1130">
        <f t="shared" si="1"/>
        <v>-12020</v>
      </c>
      <c r="J34" s="1131">
        <f t="shared" si="2"/>
        <v>15319170.537</v>
      </c>
      <c r="L34" s="1091">
        <f>+'FINAL-Distributed E&amp;G Budget'!AJ34</f>
        <v>15285731</v>
      </c>
      <c r="M34" s="1132">
        <f t="shared" si="3"/>
        <v>-2.1828555873332212E-3</v>
      </c>
      <c r="N34" s="1133"/>
      <c r="O34" s="1131"/>
      <c r="P34" s="1131"/>
      <c r="Q34" s="1133"/>
      <c r="R34" s="1131">
        <f>+C34+D34-G34+O34</f>
        <v>304954.53700000001</v>
      </c>
      <c r="S34" s="1131">
        <f t="shared" si="4"/>
        <v>-13220</v>
      </c>
      <c r="U34" s="991"/>
      <c r="V34" s="991"/>
    </row>
    <row r="35" spans="1:22" x14ac:dyDescent="0.2">
      <c r="A35" s="1144" t="s">
        <v>377</v>
      </c>
      <c r="B35" s="1136">
        <v>11706004</v>
      </c>
      <c r="C35" s="1136">
        <v>68071.544500000004</v>
      </c>
      <c r="D35" s="1136">
        <v>163162.77850000001</v>
      </c>
      <c r="E35" s="1136">
        <v>3302</v>
      </c>
      <c r="F35" s="1136">
        <v>164150</v>
      </c>
      <c r="G35" s="1136"/>
      <c r="H35" s="1136"/>
      <c r="I35" s="1136">
        <f t="shared" si="1"/>
        <v>-164150</v>
      </c>
      <c r="J35" s="1137">
        <f t="shared" si="2"/>
        <v>11940540.323000001</v>
      </c>
      <c r="L35" s="1091">
        <f>+'FINAL-Distributed E&amp;G Budget'!AJ35</f>
        <v>11916084</v>
      </c>
      <c r="M35" s="1138">
        <f t="shared" si="3"/>
        <v>-2.0481755714933936E-3</v>
      </c>
      <c r="N35" s="1133"/>
      <c r="O35" s="1137"/>
      <c r="P35" s="1137"/>
      <c r="Q35" s="1133"/>
      <c r="R35" s="1141" t="s">
        <v>1024</v>
      </c>
      <c r="S35" s="1137">
        <f t="shared" si="4"/>
        <v>-164150</v>
      </c>
      <c r="U35" s="991"/>
      <c r="V35" s="991"/>
    </row>
    <row r="36" spans="1:22" x14ac:dyDescent="0.2">
      <c r="A36" s="1145" t="s">
        <v>165</v>
      </c>
      <c r="B36" s="1146">
        <v>360766256</v>
      </c>
      <c r="C36" s="1146">
        <f>SUM(C18:C35)</f>
        <v>890621.08959999995</v>
      </c>
      <c r="D36" s="1146">
        <f>SUM(D18:D35)</f>
        <v>4057046.5729999999</v>
      </c>
      <c r="E36" s="1146">
        <f>SUM(E18:E35)</f>
        <v>7750329</v>
      </c>
      <c r="F36" s="1146">
        <f t="shared" ref="F36:I36" si="5">SUM(F18:F35)</f>
        <v>2919670</v>
      </c>
      <c r="G36" s="1146">
        <f t="shared" si="5"/>
        <v>-1200</v>
      </c>
      <c r="H36" s="1146">
        <f t="shared" si="5"/>
        <v>-2161000</v>
      </c>
      <c r="I36" s="1146">
        <f t="shared" si="5"/>
        <v>-757470</v>
      </c>
      <c r="J36" s="1147">
        <f>SUM(J18:J35)</f>
        <v>373464252.66259998</v>
      </c>
      <c r="L36" s="1180">
        <f>+'FINAL-Distributed E&amp;G Budget'!AJ36</f>
        <v>373656371</v>
      </c>
      <c r="M36" s="1148">
        <f t="shared" si="3"/>
        <v>5.1442229351361668E-4</v>
      </c>
      <c r="N36" s="1149"/>
      <c r="O36" s="1147"/>
      <c r="P36" s="1147"/>
      <c r="Q36" s="1149"/>
      <c r="R36" s="1147">
        <f>SUM(R17:R35)</f>
        <v>730813.53700000001</v>
      </c>
      <c r="S36" s="1147">
        <f>SUM(S17:S35)</f>
        <v>-1549646</v>
      </c>
      <c r="U36" s="991"/>
      <c r="V36" s="991"/>
    </row>
    <row r="37" spans="1:22" x14ac:dyDescent="0.2">
      <c r="A37" s="1122"/>
      <c r="B37" s="1150"/>
      <c r="C37" s="1150"/>
      <c r="D37" s="1150"/>
      <c r="E37" s="1150"/>
      <c r="F37" s="1150"/>
      <c r="G37" s="1150"/>
      <c r="H37" s="1150"/>
      <c r="I37" s="1150"/>
      <c r="J37" s="1151"/>
      <c r="L37" s="1151"/>
      <c r="M37" s="1151"/>
      <c r="N37" s="1152"/>
      <c r="O37" s="1151"/>
      <c r="P37" s="1151"/>
      <c r="Q37" s="1152"/>
      <c r="R37" s="1151"/>
      <c r="S37" s="1151"/>
      <c r="U37" s="991"/>
      <c r="V37" s="991"/>
    </row>
    <row r="38" spans="1:22" x14ac:dyDescent="0.2">
      <c r="A38" s="1122"/>
      <c r="B38" s="1153"/>
      <c r="C38" s="1154"/>
      <c r="D38" s="1154"/>
      <c r="E38" s="1153"/>
      <c r="F38" s="1153"/>
      <c r="G38" s="1153"/>
      <c r="H38" s="1153"/>
      <c r="I38" s="1153"/>
      <c r="J38" s="1155"/>
      <c r="L38" s="1155"/>
      <c r="M38" s="1155"/>
      <c r="N38" s="1152"/>
      <c r="O38" s="1155"/>
      <c r="P38" s="1155"/>
      <c r="Q38" s="1152"/>
      <c r="R38" s="1155"/>
      <c r="S38" s="1155"/>
      <c r="U38" s="991"/>
      <c r="V38" s="991"/>
    </row>
    <row r="39" spans="1:22" x14ac:dyDescent="0.2">
      <c r="A39" s="1129" t="s">
        <v>166</v>
      </c>
      <c r="B39" s="1139"/>
      <c r="C39" s="1139"/>
      <c r="D39" s="1139"/>
      <c r="E39" s="1139"/>
      <c r="F39" s="1139"/>
      <c r="G39" s="1139"/>
      <c r="H39" s="1139"/>
      <c r="I39" s="1139"/>
      <c r="J39" s="1140"/>
      <c r="L39" s="1140"/>
      <c r="M39" s="1140"/>
      <c r="N39" s="1140"/>
      <c r="O39" s="1140"/>
      <c r="P39" s="1140"/>
      <c r="Q39" s="1140"/>
      <c r="R39" s="1140"/>
      <c r="S39" s="1140">
        <f t="shared" ref="S39:S55" si="6">+ROUND(-F39+P39,0)</f>
        <v>0</v>
      </c>
      <c r="U39" s="991"/>
      <c r="V39" s="991"/>
    </row>
    <row r="40" spans="1:22" x14ac:dyDescent="0.2">
      <c r="A40" s="1112" t="s">
        <v>631</v>
      </c>
      <c r="B40" s="1115">
        <v>9703838</v>
      </c>
      <c r="C40" s="1115">
        <v>4923</v>
      </c>
      <c r="D40" s="1115">
        <v>157506</v>
      </c>
      <c r="E40" s="1115"/>
      <c r="F40" s="1115">
        <v>0</v>
      </c>
      <c r="G40" s="1115"/>
      <c r="H40" s="1115"/>
      <c r="I40" s="1115">
        <f t="shared" ref="I40:I55" si="7">-F40-G40-H40</f>
        <v>0</v>
      </c>
      <c r="J40" s="1117">
        <f t="shared" ref="J40:J55" si="8">SUM(B40:I40)</f>
        <v>9866267</v>
      </c>
      <c r="L40" s="1091">
        <f>+'FINAL-Distributed E&amp;G Budget'!AJ40</f>
        <v>9845077</v>
      </c>
      <c r="M40" s="1134">
        <f>L40/J40-1</f>
        <v>-2.147722132393115E-3</v>
      </c>
      <c r="N40" s="1133"/>
      <c r="O40" s="1117"/>
      <c r="P40" s="1117"/>
      <c r="Q40" s="1133"/>
      <c r="R40" s="1117">
        <f>+C40+D40-G40+O40</f>
        <v>162429</v>
      </c>
      <c r="S40" s="1117">
        <f t="shared" si="6"/>
        <v>0</v>
      </c>
      <c r="U40" s="991"/>
      <c r="V40" s="991"/>
    </row>
    <row r="41" spans="1:22" x14ac:dyDescent="0.2">
      <c r="A41" s="1143" t="s">
        <v>168</v>
      </c>
      <c r="B41" s="1139">
        <v>7936500</v>
      </c>
      <c r="C41" s="1139"/>
      <c r="D41" s="1139"/>
      <c r="E41" s="1139"/>
      <c r="F41" s="1139">
        <v>0</v>
      </c>
      <c r="G41" s="1139">
        <v>-500</v>
      </c>
      <c r="H41" s="1139"/>
      <c r="I41" s="1139">
        <f t="shared" si="7"/>
        <v>500</v>
      </c>
      <c r="J41" s="1140">
        <f t="shared" si="8"/>
        <v>7936500</v>
      </c>
      <c r="L41" s="1098">
        <f>+'FINAL-Distributed E&amp;G Budget'!AJ41</f>
        <v>7920000</v>
      </c>
      <c r="M41" s="1133">
        <f t="shared" ref="M41:M57" si="9">L41/J41-1</f>
        <v>-2.0790020790020236E-3</v>
      </c>
      <c r="N41" s="1133"/>
      <c r="O41" s="1140"/>
      <c r="P41" s="1140"/>
      <c r="Q41" s="1133"/>
      <c r="R41" s="1141" t="s">
        <v>1024</v>
      </c>
      <c r="S41" s="1140">
        <f t="shared" si="6"/>
        <v>0</v>
      </c>
      <c r="U41" s="991"/>
      <c r="V41" s="991"/>
    </row>
    <row r="42" spans="1:22" x14ac:dyDescent="0.2">
      <c r="A42" s="1122" t="s">
        <v>169</v>
      </c>
      <c r="B42" s="1139">
        <v>4118163</v>
      </c>
      <c r="C42" s="1139">
        <v>56097.822602644861</v>
      </c>
      <c r="D42" s="1139">
        <v>75516.299657406547</v>
      </c>
      <c r="E42" s="1139"/>
      <c r="F42" s="1139">
        <v>510</v>
      </c>
      <c r="G42" s="1139"/>
      <c r="H42" s="1139"/>
      <c r="I42" s="1139">
        <f t="shared" si="7"/>
        <v>-510</v>
      </c>
      <c r="J42" s="1140">
        <f t="shared" si="8"/>
        <v>4249777.1222600518</v>
      </c>
      <c r="L42" s="1098">
        <f>+'FINAL-Distributed E&amp;G Budget'!AJ42</f>
        <v>4240157</v>
      </c>
      <c r="M42" s="1133">
        <f t="shared" si="9"/>
        <v>-2.2636768901743709E-3</v>
      </c>
      <c r="N42" s="1133"/>
      <c r="O42" s="1140"/>
      <c r="P42" s="1140"/>
      <c r="Q42" s="1133"/>
      <c r="R42" s="1140">
        <f t="shared" ref="R42:R55" si="10">+C42+D42-G42+O42</f>
        <v>131614.1222600514</v>
      </c>
      <c r="S42" s="1140">
        <f t="shared" si="6"/>
        <v>-510</v>
      </c>
      <c r="U42" s="991"/>
      <c r="V42" s="991"/>
    </row>
    <row r="43" spans="1:22" x14ac:dyDescent="0.2">
      <c r="A43" s="1129" t="s">
        <v>170</v>
      </c>
      <c r="B43" s="1139">
        <v>1192166</v>
      </c>
      <c r="C43" s="1139">
        <v>0</v>
      </c>
      <c r="D43" s="1139">
        <v>21907</v>
      </c>
      <c r="E43" s="1139"/>
      <c r="F43" s="1139">
        <v>0</v>
      </c>
      <c r="G43" s="1139"/>
      <c r="H43" s="1139"/>
      <c r="I43" s="1139">
        <f t="shared" si="7"/>
        <v>0</v>
      </c>
      <c r="J43" s="1140">
        <f t="shared" si="8"/>
        <v>1214073</v>
      </c>
      <c r="L43" s="1098">
        <f>+'FINAL-Distributed E&amp;G Budget'!AJ43</f>
        <v>1211443</v>
      </c>
      <c r="M43" s="1133">
        <f t="shared" si="9"/>
        <v>-2.1662618310430704E-3</v>
      </c>
      <c r="N43" s="1133"/>
      <c r="O43" s="1140"/>
      <c r="P43" s="1140"/>
      <c r="Q43" s="1133"/>
      <c r="R43" s="1140">
        <f t="shared" si="10"/>
        <v>21907</v>
      </c>
      <c r="S43" s="1140">
        <f t="shared" si="6"/>
        <v>0</v>
      </c>
      <c r="U43" s="991"/>
      <c r="V43" s="991"/>
    </row>
    <row r="44" spans="1:22" x14ac:dyDescent="0.2">
      <c r="A44" s="1112" t="s">
        <v>171</v>
      </c>
      <c r="B44" s="1115">
        <v>1726379</v>
      </c>
      <c r="C44" s="1115">
        <v>11087</v>
      </c>
      <c r="D44" s="1115">
        <v>36368</v>
      </c>
      <c r="E44" s="1115"/>
      <c r="F44" s="1115">
        <v>0</v>
      </c>
      <c r="G44" s="1115"/>
      <c r="H44" s="1115"/>
      <c r="I44" s="1115">
        <f t="shared" si="7"/>
        <v>0</v>
      </c>
      <c r="J44" s="1117">
        <f t="shared" si="8"/>
        <v>1773834</v>
      </c>
      <c r="L44" s="1091">
        <f>+'FINAL-Distributed E&amp;G Budget'!AJ44</f>
        <v>1769874</v>
      </c>
      <c r="M44" s="1134">
        <f t="shared" si="9"/>
        <v>-2.2324524166297266E-3</v>
      </c>
      <c r="N44" s="1133"/>
      <c r="O44" s="1117"/>
      <c r="P44" s="1117"/>
      <c r="Q44" s="1133"/>
      <c r="R44" s="1117">
        <f t="shared" si="10"/>
        <v>47455</v>
      </c>
      <c r="S44" s="1117">
        <f t="shared" si="6"/>
        <v>0</v>
      </c>
      <c r="U44" s="991"/>
      <c r="V44" s="991"/>
    </row>
    <row r="45" spans="1:22" x14ac:dyDescent="0.2">
      <c r="A45" s="1129" t="s">
        <v>682</v>
      </c>
      <c r="B45" s="1130">
        <v>758532</v>
      </c>
      <c r="C45" s="1130"/>
      <c r="D45" s="1130">
        <v>21549.627</v>
      </c>
      <c r="E45" s="1130"/>
      <c r="F45" s="1130">
        <v>90</v>
      </c>
      <c r="G45" s="1130">
        <v>-2300</v>
      </c>
      <c r="H45" s="1130"/>
      <c r="I45" s="1130">
        <f t="shared" si="7"/>
        <v>2210</v>
      </c>
      <c r="J45" s="1131">
        <f t="shared" si="8"/>
        <v>780081.62699999998</v>
      </c>
      <c r="L45" s="1091">
        <f>+'FINAL-Distributed E&amp;G Budget'!AJ45</f>
        <v>778342</v>
      </c>
      <c r="M45" s="1132">
        <f t="shared" si="9"/>
        <v>-2.2300576501078639E-3</v>
      </c>
      <c r="N45" s="1133"/>
      <c r="O45" s="1131"/>
      <c r="P45" s="1131"/>
      <c r="Q45" s="1133"/>
      <c r="R45" s="1131">
        <f t="shared" si="10"/>
        <v>23849.627</v>
      </c>
      <c r="S45" s="1131">
        <f t="shared" si="6"/>
        <v>-90</v>
      </c>
      <c r="U45" s="991"/>
      <c r="V45" s="991"/>
    </row>
    <row r="46" spans="1:22" x14ac:dyDescent="0.2">
      <c r="A46" s="1122" t="s">
        <v>172</v>
      </c>
      <c r="B46" s="1139">
        <v>13104324</v>
      </c>
      <c r="C46" s="1139">
        <v>102471.3573</v>
      </c>
      <c r="D46" s="1139">
        <v>121242.8542</v>
      </c>
      <c r="E46" s="1139"/>
      <c r="F46" s="1139">
        <v>248130</v>
      </c>
      <c r="G46" s="1139">
        <v>-22600</v>
      </c>
      <c r="H46" s="1139"/>
      <c r="I46" s="1139">
        <f t="shared" si="7"/>
        <v>-225530</v>
      </c>
      <c r="J46" s="1140">
        <f t="shared" si="8"/>
        <v>13328038.2115</v>
      </c>
      <c r="L46" s="1098">
        <f>+'FINAL-Distributed E&amp;G Budget'!AJ46</f>
        <v>13296898</v>
      </c>
      <c r="M46" s="1133">
        <f t="shared" si="9"/>
        <v>-2.3364437440711594E-3</v>
      </c>
      <c r="N46" s="1133"/>
      <c r="O46" s="1140"/>
      <c r="P46" s="1140"/>
      <c r="Q46" s="1133"/>
      <c r="R46" s="1140">
        <f t="shared" si="10"/>
        <v>246314.2115</v>
      </c>
      <c r="S46" s="1140">
        <f t="shared" si="6"/>
        <v>-248130</v>
      </c>
      <c r="U46" s="991"/>
      <c r="V46" s="991"/>
    </row>
    <row r="47" spans="1:22" x14ac:dyDescent="0.2">
      <c r="A47" s="1156" t="s">
        <v>893</v>
      </c>
      <c r="B47" s="1139">
        <v>4726477.6500000004</v>
      </c>
      <c r="C47" s="1139">
        <v>9800</v>
      </c>
      <c r="D47" s="1139">
        <v>44290</v>
      </c>
      <c r="E47" s="1139">
        <v>397</v>
      </c>
      <c r="F47" s="1139">
        <v>70670</v>
      </c>
      <c r="G47" s="1139">
        <v>-391800</v>
      </c>
      <c r="H47" s="1139"/>
      <c r="I47" s="1139">
        <f t="shared" si="7"/>
        <v>321130</v>
      </c>
      <c r="J47" s="1140">
        <f t="shared" si="8"/>
        <v>4780964.6500000004</v>
      </c>
      <c r="L47" s="1098">
        <f>+'FINAL-Distributed E&amp;G Budget'!AJ47</f>
        <v>4769797.6500000004</v>
      </c>
      <c r="M47" s="1133">
        <f t="shared" si="9"/>
        <v>-2.3357210976241438E-3</v>
      </c>
      <c r="N47" s="1133"/>
      <c r="O47" s="1140"/>
      <c r="P47" s="1140"/>
      <c r="Q47" s="1133"/>
      <c r="R47" s="1140">
        <f t="shared" si="10"/>
        <v>445890</v>
      </c>
      <c r="S47" s="1140">
        <f t="shared" si="6"/>
        <v>-70670</v>
      </c>
      <c r="U47" s="991"/>
      <c r="V47" s="991"/>
    </row>
    <row r="48" spans="1:22" x14ac:dyDescent="0.2">
      <c r="A48" s="1122" t="s">
        <v>173</v>
      </c>
      <c r="B48" s="1139">
        <v>1333131</v>
      </c>
      <c r="C48" s="1139"/>
      <c r="D48" s="1139">
        <v>6243</v>
      </c>
      <c r="E48" s="1139"/>
      <c r="F48" s="1139">
        <v>0</v>
      </c>
      <c r="G48" s="1139">
        <v>-1200</v>
      </c>
      <c r="H48" s="1139"/>
      <c r="I48" s="1139">
        <f t="shared" si="7"/>
        <v>1200</v>
      </c>
      <c r="J48" s="1140">
        <f t="shared" si="8"/>
        <v>1339374</v>
      </c>
      <c r="L48" s="1098">
        <f>+'FINAL-Distributed E&amp;G Budget'!AJ48</f>
        <v>1336624</v>
      </c>
      <c r="M48" s="1133">
        <f t="shared" si="9"/>
        <v>-2.0531979865220373E-3</v>
      </c>
      <c r="N48" s="1133"/>
      <c r="O48" s="1140">
        <v>656840</v>
      </c>
      <c r="P48" s="1140"/>
      <c r="Q48" s="1133"/>
      <c r="R48" s="1140">
        <f t="shared" si="10"/>
        <v>664283</v>
      </c>
      <c r="S48" s="1140">
        <f t="shared" si="6"/>
        <v>0</v>
      </c>
      <c r="U48" s="991"/>
      <c r="V48" s="991"/>
    </row>
    <row r="49" spans="1:22" x14ac:dyDescent="0.2">
      <c r="A49" s="1157" t="s">
        <v>894</v>
      </c>
      <c r="B49" s="1115">
        <v>26505267</v>
      </c>
      <c r="C49" s="1115">
        <v>347614.80119999999</v>
      </c>
      <c r="D49" s="1115">
        <v>226548.63390000002</v>
      </c>
      <c r="E49" s="1115">
        <v>5724</v>
      </c>
      <c r="F49" s="1115">
        <v>9080</v>
      </c>
      <c r="G49" s="1115"/>
      <c r="H49" s="1115"/>
      <c r="I49" s="1115">
        <f t="shared" si="7"/>
        <v>-9080</v>
      </c>
      <c r="J49" s="1117">
        <f t="shared" si="8"/>
        <v>27085154.4351</v>
      </c>
      <c r="L49" s="1091">
        <f>+'FINAL-Distributed E&amp;G Budget'!AJ49</f>
        <v>27020160</v>
      </c>
      <c r="M49" s="1134">
        <f>L49/J49-1</f>
        <v>-2.3996331738014298E-3</v>
      </c>
      <c r="N49" s="1133"/>
      <c r="O49" s="1117">
        <v>1032180</v>
      </c>
      <c r="P49" s="1117"/>
      <c r="Q49" s="1133"/>
      <c r="R49" s="1117">
        <f t="shared" si="10"/>
        <v>1606343.4350999999</v>
      </c>
      <c r="S49" s="1117">
        <f t="shared" si="6"/>
        <v>-9080</v>
      </c>
      <c r="U49" s="991"/>
      <c r="V49" s="991"/>
    </row>
    <row r="50" spans="1:22" x14ac:dyDescent="0.2">
      <c r="A50" s="1122" t="s">
        <v>378</v>
      </c>
      <c r="B50" s="1139">
        <v>4529766.9000000004</v>
      </c>
      <c r="C50" s="1139">
        <v>32809.748399999997</v>
      </c>
      <c r="D50" s="1139">
        <v>39389.360399999998</v>
      </c>
      <c r="E50" s="1139"/>
      <c r="F50" s="1139">
        <v>74000</v>
      </c>
      <c r="G50" s="1139"/>
      <c r="H50" s="1139"/>
      <c r="I50" s="1139">
        <f t="shared" si="7"/>
        <v>-74000</v>
      </c>
      <c r="J50" s="1140">
        <f t="shared" si="8"/>
        <v>4601966.0088</v>
      </c>
      <c r="L50" s="1098">
        <f>+'FINAL-Distributed E&amp;G Budget'!AJ50</f>
        <v>4591375.9000000004</v>
      </c>
      <c r="M50" s="1133">
        <f t="shared" si="9"/>
        <v>-2.3012140419440552E-3</v>
      </c>
      <c r="N50" s="1133"/>
      <c r="O50" s="1140">
        <v>234590</v>
      </c>
      <c r="P50" s="1140"/>
      <c r="Q50" s="1133"/>
      <c r="R50" s="1140">
        <f t="shared" si="10"/>
        <v>306789.10879999999</v>
      </c>
      <c r="S50" s="1140">
        <f t="shared" si="6"/>
        <v>-74000</v>
      </c>
      <c r="U50" s="991"/>
      <c r="V50" s="991"/>
    </row>
    <row r="51" spans="1:22" x14ac:dyDescent="0.2">
      <c r="A51" s="1129" t="s">
        <v>895</v>
      </c>
      <c r="B51" s="1139">
        <v>746500</v>
      </c>
      <c r="C51" s="1139"/>
      <c r="D51" s="1139"/>
      <c r="E51" s="1139"/>
      <c r="F51" s="1139">
        <v>0</v>
      </c>
      <c r="G51" s="1139">
        <v>-11300</v>
      </c>
      <c r="H51" s="1139"/>
      <c r="I51" s="1139">
        <f t="shared" si="7"/>
        <v>11300</v>
      </c>
      <c r="J51" s="1140">
        <f t="shared" si="8"/>
        <v>746500</v>
      </c>
      <c r="L51" s="1098">
        <f>+'FINAL-Distributed E&amp;G Budget'!AJ51</f>
        <v>744990</v>
      </c>
      <c r="M51" s="1133">
        <f t="shared" si="9"/>
        <v>-2.0227729403884398E-3</v>
      </c>
      <c r="N51" s="1133"/>
      <c r="O51" s="1140"/>
      <c r="P51" s="1140"/>
      <c r="Q51" s="1133"/>
      <c r="R51" s="1140">
        <f t="shared" si="10"/>
        <v>11300</v>
      </c>
      <c r="S51" s="1140">
        <f t="shared" si="6"/>
        <v>0</v>
      </c>
      <c r="U51" s="991"/>
      <c r="V51" s="991"/>
    </row>
    <row r="52" spans="1:22" x14ac:dyDescent="0.2">
      <c r="A52" s="1144" t="s">
        <v>175</v>
      </c>
      <c r="B52" s="1158">
        <v>9273405</v>
      </c>
      <c r="C52" s="1158">
        <v>113229</v>
      </c>
      <c r="D52" s="1158">
        <v>174957</v>
      </c>
      <c r="E52" s="1158"/>
      <c r="F52" s="1158">
        <v>0</v>
      </c>
      <c r="G52" s="1158"/>
      <c r="H52" s="1158"/>
      <c r="I52" s="1158">
        <f t="shared" si="7"/>
        <v>0</v>
      </c>
      <c r="J52" s="1159">
        <f t="shared" si="8"/>
        <v>9561591</v>
      </c>
      <c r="L52" s="1098">
        <f>+'FINAL-Distributed E&amp;G Budget'!AJ52</f>
        <v>9540021</v>
      </c>
      <c r="M52" s="1160">
        <f t="shared" si="9"/>
        <v>-2.2559007177780366E-3</v>
      </c>
      <c r="N52" s="1133"/>
      <c r="O52" s="1159">
        <v>234590</v>
      </c>
      <c r="P52" s="1159"/>
      <c r="Q52" s="1133"/>
      <c r="R52" s="1159">
        <f t="shared" si="10"/>
        <v>522776</v>
      </c>
      <c r="S52" s="1159">
        <f t="shared" si="6"/>
        <v>0</v>
      </c>
      <c r="U52" s="991"/>
      <c r="V52" s="991"/>
    </row>
    <row r="53" spans="1:22" x14ac:dyDescent="0.2">
      <c r="A53" s="1122" t="s">
        <v>176</v>
      </c>
      <c r="B53" s="1130">
        <v>13149700</v>
      </c>
      <c r="C53" s="1130">
        <v>39271.431700000001</v>
      </c>
      <c r="D53" s="1130">
        <v>221349.70940000002</v>
      </c>
      <c r="E53" s="1130"/>
      <c r="F53" s="1130">
        <v>99050</v>
      </c>
      <c r="G53" s="1130">
        <v>-750500</v>
      </c>
      <c r="H53" s="1130"/>
      <c r="I53" s="1130">
        <f t="shared" si="7"/>
        <v>651450</v>
      </c>
      <c r="J53" s="1131">
        <f t="shared" si="8"/>
        <v>13410321.141100001</v>
      </c>
      <c r="L53" s="1091">
        <f>+'FINAL-Distributed E&amp;G Budget'!AJ53</f>
        <v>13380221</v>
      </c>
      <c r="M53" s="1132">
        <f t="shared" si="9"/>
        <v>-2.2445503566465019E-3</v>
      </c>
      <c r="N53" s="1133"/>
      <c r="O53" s="1131"/>
      <c r="P53" s="1131"/>
      <c r="Q53" s="1133"/>
      <c r="R53" s="1131">
        <f t="shared" si="10"/>
        <v>1011121.1411</v>
      </c>
      <c r="S53" s="1131">
        <f t="shared" si="6"/>
        <v>-99050</v>
      </c>
      <c r="U53" s="991"/>
      <c r="V53" s="991"/>
    </row>
    <row r="54" spans="1:22" x14ac:dyDescent="0.2">
      <c r="A54" s="1144" t="s">
        <v>178</v>
      </c>
      <c r="B54" s="1158">
        <v>43844669</v>
      </c>
      <c r="C54" s="1158">
        <v>775899.78579999995</v>
      </c>
      <c r="D54" s="1158">
        <v>525941.12</v>
      </c>
      <c r="E54" s="1158"/>
      <c r="F54" s="1158">
        <v>46990</v>
      </c>
      <c r="G54" s="1158"/>
      <c r="H54" s="1158"/>
      <c r="I54" s="1158">
        <f t="shared" si="7"/>
        <v>-46990</v>
      </c>
      <c r="J54" s="1159">
        <f t="shared" si="8"/>
        <v>45146509.9058</v>
      </c>
      <c r="L54" s="1098">
        <f>+'FINAL-Distributed E&amp;G Budget'!AJ54</f>
        <v>45044630</v>
      </c>
      <c r="M54" s="1160">
        <f t="shared" si="9"/>
        <v>-2.2566507580005224E-3</v>
      </c>
      <c r="N54" s="1133"/>
      <c r="O54" s="1159">
        <v>1313690</v>
      </c>
      <c r="P54" s="1159"/>
      <c r="Q54" s="1133"/>
      <c r="R54" s="1159">
        <f t="shared" si="10"/>
        <v>2615530.9057999998</v>
      </c>
      <c r="S54" s="1159">
        <f t="shared" si="6"/>
        <v>-46990</v>
      </c>
      <c r="U54" s="991"/>
      <c r="V54" s="991"/>
    </row>
    <row r="55" spans="1:22" x14ac:dyDescent="0.2">
      <c r="A55" s="1122" t="s">
        <v>797</v>
      </c>
      <c r="B55" s="1130">
        <v>32391502</v>
      </c>
      <c r="C55" s="1130">
        <v>361848.70160000003</v>
      </c>
      <c r="D55" s="1130">
        <v>99300.784</v>
      </c>
      <c r="E55" s="1130"/>
      <c r="F55" s="1130">
        <v>3700</v>
      </c>
      <c r="G55" s="1130"/>
      <c r="H55" s="1130"/>
      <c r="I55" s="1130">
        <f t="shared" si="7"/>
        <v>-3700</v>
      </c>
      <c r="J55" s="1131">
        <f t="shared" si="8"/>
        <v>32852651.485600002</v>
      </c>
      <c r="L55" s="1091">
        <f>+'FINAL-Distributed E&amp;G Budget'!AJ55</f>
        <v>32782691</v>
      </c>
      <c r="M55" s="1132">
        <f t="shared" si="9"/>
        <v>-2.1295232633100625E-3</v>
      </c>
      <c r="N55" s="1133"/>
      <c r="O55" s="1131"/>
      <c r="P55" s="1131"/>
      <c r="Q55" s="1133"/>
      <c r="R55" s="1131">
        <f t="shared" si="10"/>
        <v>461149.48560000001</v>
      </c>
      <c r="S55" s="1131">
        <f t="shared" si="6"/>
        <v>-3700</v>
      </c>
      <c r="U55" s="991"/>
      <c r="V55" s="991"/>
    </row>
    <row r="56" spans="1:22" x14ac:dyDescent="0.2">
      <c r="A56" s="1161" t="s">
        <v>180</v>
      </c>
      <c r="B56" s="1162">
        <v>175040320.55000001</v>
      </c>
      <c r="C56" s="1162">
        <f>SUM(C40:C55)</f>
        <v>1855052.6486026447</v>
      </c>
      <c r="D56" s="1162">
        <f>SUM(D40:D55)</f>
        <v>1772109.3885574066</v>
      </c>
      <c r="E56" s="1146">
        <f>SUM(E40:E55)</f>
        <v>6121</v>
      </c>
      <c r="F56" s="1146">
        <f t="shared" ref="F56:I56" si="11">SUM(F40:F55)</f>
        <v>552220</v>
      </c>
      <c r="G56" s="1146">
        <f t="shared" si="11"/>
        <v>-1180200</v>
      </c>
      <c r="H56" s="1146">
        <f t="shared" si="11"/>
        <v>0</v>
      </c>
      <c r="I56" s="1146">
        <f t="shared" si="11"/>
        <v>627980</v>
      </c>
      <c r="J56" s="1147">
        <f>SUM(J40:J55)</f>
        <v>178673603.58716005</v>
      </c>
      <c r="L56" s="1180">
        <f>+'FINAL-Distributed E&amp;G Budget'!AJ56</f>
        <v>178272301.55000001</v>
      </c>
      <c r="M56" s="1163">
        <f t="shared" si="9"/>
        <v>-2.2460062880205189E-3</v>
      </c>
      <c r="N56" s="1133"/>
      <c r="O56" s="1147">
        <f>SUM(O40:O55)</f>
        <v>3471890</v>
      </c>
      <c r="P56" s="1147">
        <f>SUM(P40:P55)</f>
        <v>0</v>
      </c>
      <c r="Q56" s="1133"/>
      <c r="R56" s="1147">
        <f>SUM(R40:R55)</f>
        <v>8278752.0371600511</v>
      </c>
      <c r="S56" s="1147">
        <f>SUM(S40:S55)</f>
        <v>-552220</v>
      </c>
      <c r="U56" s="991"/>
      <c r="V56" s="991"/>
    </row>
    <row r="57" spans="1:22" ht="17" thickBot="1" x14ac:dyDescent="0.25">
      <c r="A57" s="1164" t="s">
        <v>181</v>
      </c>
      <c r="B57" s="1165">
        <v>616387855</v>
      </c>
      <c r="C57" s="1165">
        <f>SUM(C7:C14)+C36+C56</f>
        <v>0</v>
      </c>
      <c r="D57" s="1165">
        <f t="shared" ref="D57:F57" si="12">SUM(D7:D14)+D36+D56</f>
        <v>0</v>
      </c>
      <c r="E57" s="1165">
        <f>SUM(E7:E14)+E36+E56</f>
        <v>0</v>
      </c>
      <c r="F57" s="1165">
        <f t="shared" si="12"/>
        <v>0</v>
      </c>
      <c r="G57" s="1165">
        <f>SUM(G7:G14)+G36+G56</f>
        <v>0</v>
      </c>
      <c r="H57" s="1165">
        <f t="shared" ref="H57:I57" si="13">SUM(H7:H14)+H36+H56</f>
        <v>0</v>
      </c>
      <c r="I57" s="1165">
        <f t="shared" si="13"/>
        <v>0</v>
      </c>
      <c r="J57" s="1166">
        <f>SUM(J7:J14)+J36+J56</f>
        <v>616387855</v>
      </c>
      <c r="L57" s="1166">
        <f>+'FINAL-Distributed E&amp;G Budget'!AJ57</f>
        <v>616387855</v>
      </c>
      <c r="M57" s="1167">
        <f t="shared" si="9"/>
        <v>0</v>
      </c>
      <c r="N57" s="1168"/>
      <c r="O57" s="1166">
        <f>+O56+O36+SUM(O7:O14)</f>
        <v>3471890</v>
      </c>
      <c r="P57" s="1166">
        <f>+P56+P36+SUM(P7:P14)</f>
        <v>0</v>
      </c>
      <c r="Q57" s="1168"/>
      <c r="R57" s="1166">
        <f>+R56+R36+SUM(R7:R14)</f>
        <v>9009565.5741600506</v>
      </c>
      <c r="S57" s="1166">
        <f>+S56+S36+SUM(S7:S14)</f>
        <v>-2101866</v>
      </c>
      <c r="U57" s="991"/>
      <c r="V57" s="991"/>
    </row>
    <row r="58" spans="1:22" ht="17" thickTop="1" x14ac:dyDescent="0.2">
      <c r="A58" s="1122"/>
      <c r="B58" s="1123"/>
      <c r="D58" s="991"/>
    </row>
    <row r="59" spans="1:22" x14ac:dyDescent="0.2">
      <c r="D59" s="991"/>
      <c r="E59" s="991"/>
    </row>
    <row r="60" spans="1:22" x14ac:dyDescent="0.2">
      <c r="D60" s="991"/>
      <c r="J60" s="936"/>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K71"/>
  <sheetViews>
    <sheetView workbookViewId="0">
      <selection activeCell="E2" sqref="E2"/>
    </sheetView>
  </sheetViews>
  <sheetFormatPr baseColWidth="10" defaultColWidth="12.5" defaultRowHeight="16" x14ac:dyDescent="0.2"/>
  <cols>
    <col min="1" max="1" width="47.33203125" style="934" customWidth="1"/>
    <col min="2" max="4" width="22.33203125" style="934" customWidth="1"/>
    <col min="5" max="5" width="14.83203125" style="934" customWidth="1"/>
    <col min="6" max="6" width="15.5" style="934" customWidth="1"/>
    <col min="7" max="7" width="13.83203125" style="934" customWidth="1"/>
    <col min="8" max="8" width="14.5" style="934" customWidth="1"/>
    <col min="9" max="9" width="7" style="934" customWidth="1"/>
    <col min="10" max="10" width="30.6640625" style="934" bestFit="1" customWidth="1"/>
    <col min="11" max="16384" width="12.5" style="934"/>
  </cols>
  <sheetData>
    <row r="1" spans="1:10" ht="21" x14ac:dyDescent="0.25">
      <c r="A1" s="1100" t="s">
        <v>513</v>
      </c>
    </row>
    <row r="2" spans="1:10" ht="19" x14ac:dyDescent="0.25">
      <c r="A2" s="1102" t="s">
        <v>1015</v>
      </c>
      <c r="B2" s="1103" t="s">
        <v>511</v>
      </c>
      <c r="C2" s="1103" t="s">
        <v>1025</v>
      </c>
      <c r="E2" s="1097" t="s">
        <v>1037</v>
      </c>
    </row>
    <row r="3" spans="1:10" x14ac:dyDescent="0.2">
      <c r="A3" s="1104"/>
      <c r="B3" s="1105"/>
      <c r="C3" s="1105"/>
    </row>
    <row r="4" spans="1:10" ht="17" thickBot="1" x14ac:dyDescent="0.25">
      <c r="A4" s="1104" t="s">
        <v>1026</v>
      </c>
      <c r="B4" s="1169">
        <v>-9304984.5500000119</v>
      </c>
      <c r="C4" s="1169">
        <v>-8707312</v>
      </c>
    </row>
    <row r="5" spans="1:10" x14ac:dyDescent="0.2">
      <c r="A5" s="1106" t="s">
        <v>1027</v>
      </c>
      <c r="B5" s="1107"/>
      <c r="C5" s="934">
        <v>229621830</v>
      </c>
    </row>
    <row r="6" spans="1:10" ht="17" thickBot="1" x14ac:dyDescent="0.25">
      <c r="A6" s="1109" t="s">
        <v>115</v>
      </c>
      <c r="B6" s="1110" t="s">
        <v>1023</v>
      </c>
      <c r="C6" s="1110" t="s">
        <v>1023</v>
      </c>
    </row>
    <row r="7" spans="1:10" x14ac:dyDescent="0.2">
      <c r="A7" s="1112" t="s">
        <v>129</v>
      </c>
      <c r="B7" s="1170">
        <v>0</v>
      </c>
      <c r="C7" s="1113">
        <v>0</v>
      </c>
    </row>
    <row r="8" spans="1:10" x14ac:dyDescent="0.2">
      <c r="A8" s="1112" t="s">
        <v>130</v>
      </c>
      <c r="B8" s="1171">
        <v>4471174.4499999881</v>
      </c>
      <c r="C8" s="1171">
        <v>4533454.4499999881</v>
      </c>
    </row>
    <row r="9" spans="1:10" x14ac:dyDescent="0.2">
      <c r="A9" s="1112" t="s">
        <v>131</v>
      </c>
      <c r="B9" s="1171">
        <v>-144500</v>
      </c>
      <c r="C9" s="1171">
        <v>391500</v>
      </c>
    </row>
    <row r="10" spans="1:10" x14ac:dyDescent="0.2">
      <c r="A10" s="1112" t="s">
        <v>132</v>
      </c>
      <c r="B10" s="1171">
        <v>12000000</v>
      </c>
      <c r="C10" s="1171">
        <v>12000000</v>
      </c>
    </row>
    <row r="11" spans="1:10" x14ac:dyDescent="0.2">
      <c r="A11" s="1112" t="s">
        <v>134</v>
      </c>
      <c r="B11" s="1171">
        <v>15080231</v>
      </c>
      <c r="C11" s="1171">
        <v>7295038</v>
      </c>
    </row>
    <row r="12" spans="1:10" x14ac:dyDescent="0.2">
      <c r="A12" s="1112" t="s">
        <v>137</v>
      </c>
      <c r="B12" s="1171">
        <v>8380000</v>
      </c>
      <c r="C12" s="1171">
        <v>8380000</v>
      </c>
    </row>
    <row r="13" spans="1:10" x14ac:dyDescent="0.2">
      <c r="A13" s="1112" t="s">
        <v>138</v>
      </c>
      <c r="B13" s="1171">
        <v>40794236</v>
      </c>
      <c r="C13" s="1171">
        <v>40794236</v>
      </c>
    </row>
    <row r="14" spans="1:10" ht="17" thickBot="1" x14ac:dyDescent="0.25">
      <c r="A14" s="1112" t="s">
        <v>677</v>
      </c>
      <c r="B14" s="1121">
        <v>137.00000000465661</v>
      </c>
      <c r="C14" s="1121">
        <v>-470.00000000093132</v>
      </c>
    </row>
    <row r="15" spans="1:10" x14ac:dyDescent="0.2">
      <c r="A15" s="1122"/>
      <c r="B15" s="1123"/>
      <c r="C15" s="1123"/>
      <c r="E15" s="1218" t="s">
        <v>1028</v>
      </c>
      <c r="F15" s="1218"/>
      <c r="G15" s="1218"/>
      <c r="H15" s="1218"/>
    </row>
    <row r="16" spans="1:10" x14ac:dyDescent="0.2">
      <c r="A16" s="1124" t="s">
        <v>141</v>
      </c>
      <c r="B16" s="1125">
        <f>SUM(B7:B14)</f>
        <v>80581278.449999988</v>
      </c>
      <c r="C16" s="1125">
        <f>SUM(C7:C14)</f>
        <v>73393758.449999988</v>
      </c>
      <c r="D16" s="936"/>
      <c r="E16" s="1172" t="s">
        <v>1029</v>
      </c>
      <c r="F16" s="1172" t="s">
        <v>1030</v>
      </c>
      <c r="G16" s="1172" t="s">
        <v>1031</v>
      </c>
      <c r="H16" s="1172" t="s">
        <v>1032</v>
      </c>
      <c r="J16" s="1173" t="s">
        <v>1033</v>
      </c>
    </row>
    <row r="17" spans="1:11" x14ac:dyDescent="0.2">
      <c r="A17" s="1126" t="s">
        <v>143</v>
      </c>
      <c r="B17" s="1125"/>
      <c r="C17" s="1125"/>
    </row>
    <row r="18" spans="1:11" x14ac:dyDescent="0.2">
      <c r="A18" s="1112" t="s">
        <v>145</v>
      </c>
      <c r="B18" s="1117">
        <v>25209364</v>
      </c>
      <c r="C18" s="1117">
        <v>25839774</v>
      </c>
      <c r="E18" s="936">
        <f>C18-B18</f>
        <v>630410</v>
      </c>
      <c r="F18" s="1115">
        <v>760378</v>
      </c>
      <c r="G18" s="936">
        <f>E18-F18</f>
        <v>-129968</v>
      </c>
      <c r="H18" s="1174">
        <f>E18/F18</f>
        <v>0.82907448663690952</v>
      </c>
      <c r="J18" s="936">
        <f>-0.75*G18</f>
        <v>97476</v>
      </c>
      <c r="K18" s="936"/>
    </row>
    <row r="19" spans="1:11" x14ac:dyDescent="0.2">
      <c r="A19" s="1129" t="s">
        <v>147</v>
      </c>
      <c r="B19" s="1131">
        <v>25971067</v>
      </c>
      <c r="C19" s="1131">
        <v>26713577</v>
      </c>
      <c r="E19" s="936">
        <f t="shared" ref="E19:E29" si="0">C19-B19</f>
        <v>742510</v>
      </c>
      <c r="F19" s="1130">
        <v>23778</v>
      </c>
      <c r="G19" s="936">
        <f t="shared" ref="G19:G29" si="1">E19-F19</f>
        <v>718732</v>
      </c>
      <c r="H19" s="1174">
        <f t="shared" ref="H19:H29" si="2">E19/F19</f>
        <v>31.226764235848265</v>
      </c>
      <c r="J19" s="936">
        <f>-0.75*G19</f>
        <v>-539049</v>
      </c>
      <c r="K19" s="936"/>
    </row>
    <row r="20" spans="1:11" x14ac:dyDescent="0.2">
      <c r="A20" s="1122" t="s">
        <v>149</v>
      </c>
      <c r="B20" s="1131">
        <v>69355186</v>
      </c>
      <c r="C20" s="1131">
        <v>70988716</v>
      </c>
      <c r="E20" s="936">
        <f t="shared" si="0"/>
        <v>1633530</v>
      </c>
      <c r="F20" s="1130">
        <v>2057170</v>
      </c>
      <c r="G20" s="936">
        <f t="shared" si="1"/>
        <v>-423640</v>
      </c>
      <c r="H20" s="1174">
        <f t="shared" si="2"/>
        <v>0.79406660606561441</v>
      </c>
      <c r="J20" s="936">
        <f>-0.75*G20</f>
        <v>317730</v>
      </c>
      <c r="K20" s="936"/>
    </row>
    <row r="21" spans="1:11" x14ac:dyDescent="0.2">
      <c r="A21" s="1112" t="s">
        <v>150</v>
      </c>
      <c r="B21" s="1117">
        <v>8934104</v>
      </c>
      <c r="C21" s="1117">
        <v>9138354</v>
      </c>
      <c r="E21" s="936">
        <f t="shared" si="0"/>
        <v>204250</v>
      </c>
      <c r="F21" s="1115">
        <v>263739</v>
      </c>
      <c r="G21" s="936">
        <f t="shared" si="1"/>
        <v>-59489</v>
      </c>
      <c r="H21" s="1174">
        <f t="shared" si="2"/>
        <v>0.77443988185289248</v>
      </c>
      <c r="J21" s="936">
        <f>-0.75*G21</f>
        <v>44616.75</v>
      </c>
      <c r="K21" s="936"/>
    </row>
    <row r="22" spans="1:11" x14ac:dyDescent="0.2">
      <c r="A22" s="1129" t="s">
        <v>151</v>
      </c>
      <c r="B22" s="1131">
        <v>19537975</v>
      </c>
      <c r="C22" s="1131">
        <v>19534385</v>
      </c>
      <c r="E22" s="936">
        <f t="shared" si="0"/>
        <v>-3590</v>
      </c>
      <c r="F22" s="1130">
        <v>552990</v>
      </c>
      <c r="G22" s="936">
        <f t="shared" si="1"/>
        <v>-556580</v>
      </c>
      <c r="H22" s="1174">
        <f t="shared" si="2"/>
        <v>-6.4919799634713107E-3</v>
      </c>
      <c r="J22" s="936">
        <f t="shared" ref="J22:J29" si="3">-0.75*G22</f>
        <v>417435</v>
      </c>
      <c r="K22" s="936"/>
    </row>
    <row r="23" spans="1:11" x14ac:dyDescent="0.2">
      <c r="A23" s="1122" t="s">
        <v>152</v>
      </c>
      <c r="B23" s="1131">
        <v>6247020</v>
      </c>
      <c r="C23" s="1131">
        <v>6372410</v>
      </c>
      <c r="E23" s="936">
        <f t="shared" si="0"/>
        <v>125390</v>
      </c>
      <c r="F23" s="1130">
        <v>77321</v>
      </c>
      <c r="G23" s="936">
        <f t="shared" si="1"/>
        <v>48069</v>
      </c>
      <c r="H23" s="1174">
        <f t="shared" si="2"/>
        <v>1.621681043959597</v>
      </c>
      <c r="J23" s="936">
        <f t="shared" si="3"/>
        <v>-36051.75</v>
      </c>
      <c r="K23" s="936"/>
    </row>
    <row r="24" spans="1:11" x14ac:dyDescent="0.2">
      <c r="A24" s="1112" t="s">
        <v>153</v>
      </c>
      <c r="B24" s="1137">
        <v>46375456</v>
      </c>
      <c r="C24" s="1137">
        <v>47732016</v>
      </c>
      <c r="E24" s="936">
        <f t="shared" si="0"/>
        <v>1356560</v>
      </c>
      <c r="F24" s="1136">
        <v>1134752</v>
      </c>
      <c r="G24" s="936">
        <f>E24-F24</f>
        <v>221808</v>
      </c>
      <c r="H24" s="1174">
        <f t="shared" si="2"/>
        <v>1.1954682609063478</v>
      </c>
      <c r="J24" s="936">
        <f t="shared" si="3"/>
        <v>-166356</v>
      </c>
      <c r="K24" s="936"/>
    </row>
    <row r="25" spans="1:11" x14ac:dyDescent="0.2">
      <c r="A25" s="1122" t="s">
        <v>154</v>
      </c>
      <c r="B25" s="1131">
        <v>14850376</v>
      </c>
      <c r="C25" s="1131">
        <v>15190236</v>
      </c>
      <c r="E25" s="936">
        <f t="shared" si="0"/>
        <v>339860</v>
      </c>
      <c r="F25" s="1130">
        <v>395271</v>
      </c>
      <c r="G25" s="936">
        <f t="shared" si="1"/>
        <v>-55411</v>
      </c>
      <c r="H25" s="1174">
        <f t="shared" si="2"/>
        <v>0.85981516478567865</v>
      </c>
      <c r="J25" s="936">
        <f t="shared" si="3"/>
        <v>41558.25</v>
      </c>
      <c r="K25" s="936"/>
    </row>
    <row r="26" spans="1:11" x14ac:dyDescent="0.2">
      <c r="A26" s="1122" t="s">
        <v>155</v>
      </c>
      <c r="B26" s="1140">
        <v>12285657</v>
      </c>
      <c r="C26" s="1140">
        <v>12483467</v>
      </c>
      <c r="E26" s="936">
        <f t="shared" si="0"/>
        <v>197810</v>
      </c>
      <c r="F26" s="1139">
        <v>196510</v>
      </c>
      <c r="G26" s="936">
        <f t="shared" si="1"/>
        <v>1300</v>
      </c>
      <c r="H26" s="1174">
        <f t="shared" si="2"/>
        <v>1.0066154394178413</v>
      </c>
      <c r="J26" s="936">
        <f t="shared" si="3"/>
        <v>-975</v>
      </c>
      <c r="K26" s="936"/>
    </row>
    <row r="27" spans="1:11" x14ac:dyDescent="0.2">
      <c r="A27" s="1112" t="s">
        <v>156</v>
      </c>
      <c r="B27" s="1117">
        <v>44134407</v>
      </c>
      <c r="C27" s="1117">
        <v>45729837</v>
      </c>
      <c r="E27" s="936">
        <f t="shared" si="0"/>
        <v>1595430</v>
      </c>
      <c r="F27" s="1115">
        <v>2046421</v>
      </c>
      <c r="G27" s="936">
        <f t="shared" si="1"/>
        <v>-450991</v>
      </c>
      <c r="H27" s="1174">
        <f t="shared" si="2"/>
        <v>0.77961963838330428</v>
      </c>
      <c r="J27" s="936">
        <f t="shared" si="3"/>
        <v>338243.25</v>
      </c>
      <c r="K27" s="936"/>
    </row>
    <row r="28" spans="1:11" x14ac:dyDescent="0.2">
      <c r="A28" s="1122" t="s">
        <v>157</v>
      </c>
      <c r="B28" s="1140">
        <v>27657427</v>
      </c>
      <c r="C28" s="1140">
        <v>27814057</v>
      </c>
      <c r="E28" s="936">
        <f t="shared" si="0"/>
        <v>156630</v>
      </c>
      <c r="F28" s="1139">
        <v>171764</v>
      </c>
      <c r="G28" s="936">
        <f t="shared" si="1"/>
        <v>-15134</v>
      </c>
      <c r="H28" s="1174">
        <f t="shared" si="2"/>
        <v>0.91189073379753616</v>
      </c>
      <c r="J28" s="936">
        <f t="shared" si="3"/>
        <v>11350.5</v>
      </c>
      <c r="K28" s="936"/>
    </row>
    <row r="29" spans="1:11" x14ac:dyDescent="0.2">
      <c r="A29" s="1112" t="s">
        <v>159</v>
      </c>
      <c r="B29" s="1117">
        <v>3893225</v>
      </c>
      <c r="C29" s="1117">
        <v>3967235</v>
      </c>
      <c r="E29" s="936">
        <f t="shared" si="0"/>
        <v>74010</v>
      </c>
      <c r="F29" s="1115">
        <v>7926</v>
      </c>
      <c r="G29" s="936">
        <f t="shared" si="1"/>
        <v>66084</v>
      </c>
      <c r="H29" s="1174">
        <f t="shared" si="2"/>
        <v>9.3376230128690381</v>
      </c>
      <c r="J29" s="936">
        <f t="shared" si="3"/>
        <v>-49563</v>
      </c>
      <c r="K29" s="936"/>
    </row>
    <row r="30" spans="1:11" x14ac:dyDescent="0.2">
      <c r="A30" s="1129" t="s">
        <v>160</v>
      </c>
      <c r="B30" s="1140">
        <v>22949137</v>
      </c>
      <c r="C30" s="1140">
        <v>22949137</v>
      </c>
      <c r="K30" s="936"/>
    </row>
    <row r="31" spans="1:11" x14ac:dyDescent="0.2">
      <c r="A31" s="1122" t="s">
        <v>580</v>
      </c>
      <c r="B31" s="1131">
        <v>5118720</v>
      </c>
      <c r="C31" s="1131">
        <v>5118720</v>
      </c>
    </row>
    <row r="32" spans="1:11" x14ac:dyDescent="0.2">
      <c r="A32" s="1142" t="s">
        <v>705</v>
      </c>
      <c r="B32" s="1137">
        <v>662775</v>
      </c>
      <c r="C32" s="1137">
        <v>662775</v>
      </c>
    </row>
    <row r="33" spans="1:3" x14ac:dyDescent="0.2">
      <c r="A33" s="1143" t="s">
        <v>162</v>
      </c>
      <c r="B33" s="1140">
        <v>862940</v>
      </c>
      <c r="C33" s="1140">
        <v>891510</v>
      </c>
    </row>
    <row r="34" spans="1:3" x14ac:dyDescent="0.2">
      <c r="A34" s="1122" t="s">
        <v>163</v>
      </c>
      <c r="B34" s="1131">
        <v>15015416</v>
      </c>
      <c r="C34" s="1131">
        <v>15015516</v>
      </c>
    </row>
    <row r="35" spans="1:3" x14ac:dyDescent="0.2">
      <c r="A35" s="1144" t="s">
        <v>377</v>
      </c>
      <c r="B35" s="1137">
        <v>11706004</v>
      </c>
      <c r="C35" s="1137">
        <v>11743104</v>
      </c>
    </row>
    <row r="36" spans="1:3" x14ac:dyDescent="0.2">
      <c r="A36" s="1145" t="s">
        <v>165</v>
      </c>
      <c r="B36" s="1147">
        <v>360766256</v>
      </c>
      <c r="C36" s="1147">
        <v>367884826</v>
      </c>
    </row>
    <row r="37" spans="1:3" x14ac:dyDescent="0.2">
      <c r="A37" s="1122"/>
      <c r="B37" s="1151"/>
      <c r="C37" s="1151"/>
    </row>
    <row r="38" spans="1:3" x14ac:dyDescent="0.2">
      <c r="A38" s="1122"/>
      <c r="B38" s="1155"/>
      <c r="C38" s="1155"/>
    </row>
    <row r="39" spans="1:3" x14ac:dyDescent="0.2">
      <c r="A39" s="1129" t="s">
        <v>166</v>
      </c>
      <c r="B39" s="1140"/>
      <c r="C39" s="1140"/>
    </row>
    <row r="40" spans="1:3" x14ac:dyDescent="0.2">
      <c r="A40" s="1112" t="s">
        <v>631</v>
      </c>
      <c r="B40" s="1117">
        <v>9703838</v>
      </c>
      <c r="C40" s="1117">
        <v>9703838</v>
      </c>
    </row>
    <row r="41" spans="1:3" x14ac:dyDescent="0.2">
      <c r="A41" s="1143" t="s">
        <v>168</v>
      </c>
      <c r="B41" s="1140">
        <v>7936500</v>
      </c>
      <c r="C41" s="1140">
        <v>7936500</v>
      </c>
    </row>
    <row r="42" spans="1:3" x14ac:dyDescent="0.2">
      <c r="A42" s="1122" t="s">
        <v>169</v>
      </c>
      <c r="B42" s="1140">
        <v>4118163</v>
      </c>
      <c r="C42" s="1140">
        <v>4118163</v>
      </c>
    </row>
    <row r="43" spans="1:3" x14ac:dyDescent="0.2">
      <c r="A43" s="1129" t="s">
        <v>170</v>
      </c>
      <c r="B43" s="1140">
        <v>1192166</v>
      </c>
      <c r="C43" s="1140">
        <v>1192166</v>
      </c>
    </row>
    <row r="44" spans="1:3" x14ac:dyDescent="0.2">
      <c r="A44" s="1112" t="s">
        <v>171</v>
      </c>
      <c r="B44" s="1117">
        <v>1726379</v>
      </c>
      <c r="C44" s="1117">
        <v>1726379</v>
      </c>
    </row>
    <row r="45" spans="1:3" x14ac:dyDescent="0.2">
      <c r="A45" s="1129" t="s">
        <v>682</v>
      </c>
      <c r="B45" s="1131">
        <v>758532</v>
      </c>
      <c r="C45" s="1131">
        <v>758632</v>
      </c>
    </row>
    <row r="46" spans="1:3" x14ac:dyDescent="0.2">
      <c r="A46" s="1122" t="s">
        <v>172</v>
      </c>
      <c r="B46" s="1140">
        <v>13104324</v>
      </c>
      <c r="C46" s="1140">
        <v>13105614</v>
      </c>
    </row>
    <row r="47" spans="1:3" x14ac:dyDescent="0.2">
      <c r="A47" s="1156" t="s">
        <v>893</v>
      </c>
      <c r="B47" s="1140">
        <v>4726477.6500000004</v>
      </c>
      <c r="C47" s="1140">
        <v>4750487.6500000004</v>
      </c>
    </row>
    <row r="48" spans="1:3" x14ac:dyDescent="0.2">
      <c r="A48" s="1122" t="s">
        <v>173</v>
      </c>
      <c r="B48" s="1140">
        <v>1333131</v>
      </c>
      <c r="C48" s="1140">
        <v>1333231</v>
      </c>
    </row>
    <row r="49" spans="1:4" x14ac:dyDescent="0.2">
      <c r="A49" s="1157" t="s">
        <v>894</v>
      </c>
      <c r="B49" s="1117">
        <v>26505267</v>
      </c>
      <c r="C49" s="1117">
        <v>26505267</v>
      </c>
    </row>
    <row r="50" spans="1:4" x14ac:dyDescent="0.2">
      <c r="A50" s="1122" t="s">
        <v>378</v>
      </c>
      <c r="B50" s="1140">
        <v>4529766.9000000004</v>
      </c>
      <c r="C50" s="1140">
        <v>4529766.9000000004</v>
      </c>
    </row>
    <row r="51" spans="1:4" x14ac:dyDescent="0.2">
      <c r="A51" s="1129" t="s">
        <v>895</v>
      </c>
      <c r="B51" s="1140">
        <v>746500</v>
      </c>
      <c r="C51" s="1140">
        <v>747190</v>
      </c>
    </row>
    <row r="52" spans="1:4" x14ac:dyDescent="0.2">
      <c r="A52" s="1144" t="s">
        <v>175</v>
      </c>
      <c r="B52" s="1159">
        <v>9273405</v>
      </c>
      <c r="C52" s="1159">
        <v>9273405</v>
      </c>
    </row>
    <row r="53" spans="1:4" x14ac:dyDescent="0.2">
      <c r="A53" s="1122" t="s">
        <v>176</v>
      </c>
      <c r="B53" s="1131">
        <v>13149700</v>
      </c>
      <c r="C53" s="1131">
        <v>13192460</v>
      </c>
    </row>
    <row r="54" spans="1:4" x14ac:dyDescent="0.2">
      <c r="A54" s="1144" t="s">
        <v>178</v>
      </c>
      <c r="B54" s="1159">
        <v>43844669</v>
      </c>
      <c r="C54" s="1159">
        <v>43844669</v>
      </c>
    </row>
    <row r="55" spans="1:4" x14ac:dyDescent="0.2">
      <c r="A55" s="1122" t="s">
        <v>797</v>
      </c>
      <c r="B55" s="1131">
        <v>32391502</v>
      </c>
      <c r="C55" s="1131">
        <v>32391502</v>
      </c>
    </row>
    <row r="56" spans="1:4" x14ac:dyDescent="0.2">
      <c r="A56" s="1161" t="s">
        <v>180</v>
      </c>
      <c r="B56" s="1175">
        <v>175040320.55000001</v>
      </c>
      <c r="C56" s="1175">
        <v>175109270.55000001</v>
      </c>
    </row>
    <row r="57" spans="1:4" ht="17" thickBot="1" x14ac:dyDescent="0.25">
      <c r="A57" s="1164" t="s">
        <v>181</v>
      </c>
      <c r="B57" s="1166">
        <v>616387855</v>
      </c>
      <c r="C57" s="1166">
        <v>616387855</v>
      </c>
    </row>
    <row r="58" spans="1:4" ht="17" thickTop="1" x14ac:dyDescent="0.2">
      <c r="A58" s="1122"/>
      <c r="B58" s="367"/>
      <c r="C58" s="367"/>
      <c r="D58" s="367"/>
    </row>
    <row r="59" spans="1:4" x14ac:dyDescent="0.2">
      <c r="B59" s="367"/>
      <c r="C59" s="367"/>
      <c r="D59" s="367"/>
    </row>
    <row r="60" spans="1:4" x14ac:dyDescent="0.2">
      <c r="B60" s="367"/>
      <c r="C60" s="367"/>
      <c r="D60" s="367"/>
    </row>
    <row r="61" spans="1:4" x14ac:dyDescent="0.2">
      <c r="B61" s="367"/>
      <c r="C61" s="367"/>
      <c r="D61" s="367"/>
    </row>
    <row r="62" spans="1:4" x14ac:dyDescent="0.2">
      <c r="B62" s="367"/>
      <c r="C62" s="367"/>
      <c r="D62" s="367"/>
    </row>
    <row r="63" spans="1:4" x14ac:dyDescent="0.2">
      <c r="B63" s="367"/>
      <c r="C63" s="367"/>
      <c r="D63" s="367"/>
    </row>
    <row r="64" spans="1:4" x14ac:dyDescent="0.2">
      <c r="B64" s="367"/>
      <c r="C64" s="367"/>
      <c r="D64" s="367"/>
    </row>
    <row r="65" spans="2:4" x14ac:dyDescent="0.2">
      <c r="B65" s="367"/>
      <c r="C65" s="367"/>
      <c r="D65" s="367"/>
    </row>
    <row r="66" spans="2:4" x14ac:dyDescent="0.2">
      <c r="B66" s="367"/>
      <c r="C66" s="367"/>
      <c r="D66" s="367"/>
    </row>
    <row r="67" spans="2:4" x14ac:dyDescent="0.2">
      <c r="B67" s="367"/>
      <c r="C67" s="367"/>
      <c r="D67" s="367"/>
    </row>
    <row r="68" spans="2:4" x14ac:dyDescent="0.2">
      <c r="B68" s="367"/>
      <c r="C68" s="367"/>
      <c r="D68" s="367"/>
    </row>
    <row r="69" spans="2:4" x14ac:dyDescent="0.2">
      <c r="B69" s="367"/>
      <c r="C69" s="367"/>
      <c r="D69" s="367"/>
    </row>
    <row r="70" spans="2:4" x14ac:dyDescent="0.2">
      <c r="B70" s="367"/>
      <c r="C70" s="367"/>
      <c r="D70" s="367"/>
    </row>
    <row r="71" spans="2:4" x14ac:dyDescent="0.2">
      <c r="B71" s="367"/>
      <c r="C71" s="367"/>
      <c r="D71" s="367"/>
    </row>
  </sheetData>
  <mergeCells count="1">
    <mergeCell ref="E15:H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P39"/>
  <sheetViews>
    <sheetView workbookViewId="0">
      <selection activeCell="F21" sqref="F21:F24"/>
    </sheetView>
  </sheetViews>
  <sheetFormatPr baseColWidth="10" defaultColWidth="12.5" defaultRowHeight="15" x14ac:dyDescent="0.2"/>
  <cols>
    <col min="1" max="1" width="57" customWidth="1"/>
    <col min="2" max="2" width="16" customWidth="1"/>
    <col min="3" max="3" width="20.5" customWidth="1"/>
    <col min="4" max="4" width="13.6640625" bestFit="1" customWidth="1"/>
    <col min="5" max="5" width="49.6640625" customWidth="1"/>
    <col min="6" max="6" width="15.5" bestFit="1" customWidth="1"/>
    <col min="7" max="7" width="18.6640625" bestFit="1" customWidth="1"/>
    <col min="8" max="9" width="14" bestFit="1" customWidth="1"/>
  </cols>
  <sheetData>
    <row r="1" spans="1:16" ht="16" x14ac:dyDescent="0.2">
      <c r="A1" s="160" t="s">
        <v>107</v>
      </c>
      <c r="H1" s="273"/>
      <c r="I1" s="83"/>
      <c r="J1" s="504"/>
      <c r="K1" s="83"/>
      <c r="L1" s="83"/>
      <c r="M1" s="83"/>
      <c r="N1" s="83"/>
      <c r="O1" s="83"/>
      <c r="P1" s="83"/>
    </row>
    <row r="2" spans="1:16" ht="16" x14ac:dyDescent="0.2">
      <c r="A2" s="160" t="s">
        <v>210</v>
      </c>
      <c r="H2" s="273"/>
      <c r="I2" s="83"/>
      <c r="J2" s="504"/>
      <c r="K2" s="83"/>
      <c r="L2" s="83"/>
      <c r="M2" s="83"/>
      <c r="N2" s="83"/>
      <c r="O2" s="83"/>
      <c r="P2" s="83"/>
    </row>
    <row r="3" spans="1:16" ht="18" customHeight="1" x14ac:dyDescent="0.2">
      <c r="A3" s="497" t="s">
        <v>508</v>
      </c>
      <c r="H3" s="1185" t="s">
        <v>540</v>
      </c>
      <c r="I3" s="1185"/>
      <c r="J3" s="1185"/>
      <c r="K3" s="1185"/>
      <c r="L3" s="505"/>
      <c r="M3" s="505"/>
      <c r="N3" s="505"/>
      <c r="O3" s="505"/>
      <c r="P3" s="83"/>
    </row>
    <row r="4" spans="1:16" ht="16.5" customHeight="1" thickBot="1" x14ac:dyDescent="0.25">
      <c r="H4" s="1185"/>
      <c r="I4" s="1185"/>
      <c r="J4" s="1185"/>
      <c r="K4" s="1185"/>
      <c r="L4" s="505"/>
      <c r="M4" s="505"/>
      <c r="N4" s="505"/>
      <c r="O4" s="505"/>
      <c r="P4" s="83"/>
    </row>
    <row r="5" spans="1:16" ht="16" x14ac:dyDescent="0.2">
      <c r="A5" s="182"/>
      <c r="B5" s="243"/>
      <c r="C5" s="244"/>
      <c r="E5" s="246" t="s">
        <v>187</v>
      </c>
      <c r="F5" s="244"/>
      <c r="H5" s="1185"/>
      <c r="I5" s="1185"/>
      <c r="J5" s="1185"/>
      <c r="K5" s="1185"/>
      <c r="L5" s="505"/>
      <c r="M5" s="505"/>
      <c r="N5" s="505"/>
      <c r="O5" s="505"/>
      <c r="P5" s="83"/>
    </row>
    <row r="6" spans="1:16" ht="16" x14ac:dyDescent="0.2">
      <c r="A6" s="185"/>
      <c r="B6" s="50"/>
      <c r="C6" s="247"/>
      <c r="E6" s="185"/>
      <c r="F6" s="248" t="str">
        <f>"FY"&amp;RIGHT(Dashboard!B6,2)</f>
        <v>FY22</v>
      </c>
      <c r="H6" s="1185"/>
      <c r="I6" s="1185"/>
      <c r="J6" s="1185"/>
      <c r="K6" s="1185"/>
      <c r="L6" s="505"/>
      <c r="M6" s="505"/>
      <c r="N6" s="505"/>
      <c r="O6" s="505"/>
      <c r="P6" s="83"/>
    </row>
    <row r="7" spans="1:16" ht="36" customHeight="1" x14ac:dyDescent="0.2">
      <c r="A7" s="1219" t="s">
        <v>188</v>
      </c>
      <c r="B7" s="1220"/>
      <c r="C7" s="1221"/>
      <c r="E7" s="249" t="s">
        <v>189</v>
      </c>
      <c r="F7" s="250">
        <f>SUM(F8:F10)</f>
        <v>5346638</v>
      </c>
      <c r="H7" s="1185"/>
      <c r="I7" s="1185"/>
      <c r="J7" s="1185"/>
      <c r="K7" s="1185"/>
      <c r="L7" s="505"/>
      <c r="M7" s="505"/>
      <c r="N7" s="505"/>
      <c r="O7" s="505"/>
      <c r="P7" s="83"/>
    </row>
    <row r="8" spans="1:16" ht="16" x14ac:dyDescent="0.2">
      <c r="A8" s="251"/>
      <c r="B8" s="252"/>
      <c r="C8" s="248" t="str">
        <f>"FY"&amp;RIGHT(Dashboard!B6,2)</f>
        <v>FY22</v>
      </c>
      <c r="E8" s="253" t="s">
        <v>177</v>
      </c>
      <c r="F8" s="509">
        <f>IM!N12</f>
        <v>4050000</v>
      </c>
      <c r="G8" s="543" t="str">
        <f>IF(F8=IM!N12,"","Check")</f>
        <v/>
      </c>
      <c r="H8" s="1185"/>
      <c r="I8" s="1185"/>
      <c r="J8" s="1185"/>
      <c r="K8" s="1185"/>
      <c r="L8" s="505"/>
      <c r="M8" s="505"/>
      <c r="N8" s="505"/>
      <c r="O8" s="505"/>
      <c r="P8" s="83"/>
    </row>
    <row r="9" spans="1:16" ht="16" x14ac:dyDescent="0.2">
      <c r="A9" s="251" t="s">
        <v>190</v>
      </c>
      <c r="B9" s="252"/>
      <c r="C9" s="255">
        <f>+'Step 0 Revenue Detail'!I57-'FINAL-Distributed E&amp;G Budget'!J57</f>
        <v>430309299.01652956</v>
      </c>
      <c r="D9" s="245">
        <f>+C9-430298299</f>
        <v>11000.016529560089</v>
      </c>
      <c r="E9" s="253" t="s">
        <v>95</v>
      </c>
      <c r="F9" s="254">
        <f>+IM!N13</f>
        <v>1296638</v>
      </c>
      <c r="G9" s="543" t="str">
        <f>IF(F9=IM!N13,"","Check")</f>
        <v/>
      </c>
      <c r="H9" s="1185"/>
      <c r="I9" s="1185"/>
      <c r="J9" s="1185"/>
      <c r="K9" s="1185"/>
      <c r="L9" s="505"/>
      <c r="M9" s="505"/>
      <c r="N9" s="505"/>
      <c r="O9" s="505"/>
      <c r="P9" s="83"/>
    </row>
    <row r="10" spans="1:16" ht="16" x14ac:dyDescent="0.2">
      <c r="A10" s="251"/>
      <c r="B10" s="252"/>
      <c r="C10" s="255"/>
      <c r="E10" s="253" t="s">
        <v>191</v>
      </c>
      <c r="F10" s="254">
        <v>0</v>
      </c>
      <c r="H10" s="1185"/>
      <c r="I10" s="1185"/>
      <c r="J10" s="1185"/>
      <c r="K10" s="1185"/>
      <c r="L10" s="505"/>
      <c r="M10" s="505"/>
      <c r="N10" s="505"/>
      <c r="O10" s="505"/>
      <c r="P10" s="83"/>
    </row>
    <row r="11" spans="1:16" ht="16" x14ac:dyDescent="0.2">
      <c r="A11" s="251"/>
      <c r="B11" s="252"/>
      <c r="C11" s="255"/>
      <c r="E11" s="249" t="s">
        <v>193</v>
      </c>
      <c r="F11" s="250">
        <v>0</v>
      </c>
      <c r="H11" s="1185"/>
      <c r="I11" s="1185"/>
      <c r="J11" s="1185"/>
      <c r="K11" s="1185"/>
      <c r="L11" s="505"/>
      <c r="M11" s="505"/>
      <c r="N11" s="505"/>
      <c r="O11" s="505"/>
      <c r="P11" s="83"/>
    </row>
    <row r="12" spans="1:16" ht="16" x14ac:dyDescent="0.2">
      <c r="A12" s="251" t="s">
        <v>192</v>
      </c>
      <c r="B12" s="158">
        <v>0.59</v>
      </c>
      <c r="C12" s="255">
        <f>ROUND(B12*C9,0)</f>
        <v>253882486</v>
      </c>
      <c r="D12" s="245">
        <f>+C12-253875996</f>
        <v>6490</v>
      </c>
      <c r="E12" s="249" t="s">
        <v>195</v>
      </c>
      <c r="F12" s="250">
        <f>IM!N17</f>
        <v>0</v>
      </c>
      <c r="G12" s="543" t="str">
        <f>IF(F12=IM!N17,"","Check")</f>
        <v/>
      </c>
      <c r="H12" s="1185"/>
      <c r="I12" s="1185"/>
      <c r="J12" s="1185"/>
      <c r="K12" s="1185"/>
      <c r="L12" s="505"/>
      <c r="M12" s="505"/>
      <c r="N12" s="505"/>
      <c r="O12" s="505"/>
      <c r="P12" s="83"/>
    </row>
    <row r="13" spans="1:16" ht="16" x14ac:dyDescent="0.2">
      <c r="A13" s="257" t="s">
        <v>194</v>
      </c>
      <c r="B13" s="258"/>
      <c r="C13" s="255">
        <f>F15</f>
        <v>5346638</v>
      </c>
      <c r="D13" s="245"/>
      <c r="E13" s="259" t="s">
        <v>197</v>
      </c>
      <c r="F13" s="260">
        <f>+IM!N18+IM!N19</f>
        <v>0</v>
      </c>
      <c r="G13" s="543" t="str">
        <f>IF(F13=IM!N18+IM!N19,"","Check")</f>
        <v/>
      </c>
      <c r="H13" s="1185"/>
      <c r="I13" s="1185"/>
      <c r="J13" s="1185"/>
      <c r="K13" s="1185"/>
      <c r="L13" s="505"/>
      <c r="M13" s="505"/>
      <c r="N13" s="505"/>
      <c r="O13" s="505"/>
      <c r="P13" s="83"/>
    </row>
    <row r="14" spans="1:16" ht="16" x14ac:dyDescent="0.2">
      <c r="A14" s="257" t="s">
        <v>196</v>
      </c>
      <c r="B14" s="258"/>
      <c r="C14" s="591">
        <v>21738322</v>
      </c>
      <c r="D14" s="245">
        <f>23193422-C14</f>
        <v>1455100</v>
      </c>
      <c r="E14" s="259"/>
      <c r="F14" s="260"/>
      <c r="G14" s="543"/>
      <c r="H14" s="1185"/>
      <c r="I14" s="1185"/>
      <c r="J14" s="1185"/>
      <c r="K14" s="1185"/>
      <c r="L14" s="974"/>
      <c r="M14" s="505"/>
      <c r="N14" s="505"/>
      <c r="O14" s="505"/>
      <c r="P14" s="83"/>
    </row>
    <row r="15" spans="1:16" ht="17" thickBot="1" x14ac:dyDescent="0.25">
      <c r="A15" s="257" t="s">
        <v>198</v>
      </c>
      <c r="B15" s="258"/>
      <c r="C15" s="278">
        <f>C12-C13-C14</f>
        <v>226797526</v>
      </c>
      <c r="E15" s="261" t="s">
        <v>44</v>
      </c>
      <c r="F15" s="262">
        <f>SUM(F7,F11,F12,F13,F14)</f>
        <v>5346638</v>
      </c>
      <c r="G15" s="977" t="str">
        <f>IF(IM!F18-IM!N14-IM!N16-IM!N15=F15,"","Check")</f>
        <v/>
      </c>
      <c r="H15" s="1185"/>
      <c r="I15" s="1185"/>
      <c r="J15" s="1185"/>
      <c r="K15" s="1185"/>
      <c r="L15" s="505"/>
      <c r="M15" s="505"/>
      <c r="N15" s="505"/>
      <c r="O15" s="505"/>
      <c r="P15" s="83"/>
    </row>
    <row r="16" spans="1:16" ht="16" x14ac:dyDescent="0.2">
      <c r="A16" s="251"/>
      <c r="B16" s="258"/>
      <c r="C16" s="255"/>
      <c r="G16" t="s">
        <v>856</v>
      </c>
      <c r="H16" s="1185"/>
      <c r="I16" s="1185"/>
      <c r="J16" s="1185"/>
      <c r="K16" s="1185"/>
      <c r="L16" s="83"/>
      <c r="M16" s="83"/>
      <c r="N16" s="83"/>
      <c r="O16" s="83"/>
      <c r="P16" s="83"/>
    </row>
    <row r="17" spans="1:11" ht="52" thickBot="1" x14ac:dyDescent="0.25">
      <c r="A17" s="264" t="s">
        <v>199</v>
      </c>
      <c r="B17" s="461">
        <f>1-B12</f>
        <v>0.41000000000000003</v>
      </c>
      <c r="C17" s="255">
        <f>ROUND(B17*C9,0)</f>
        <v>176426813</v>
      </c>
      <c r="D17" s="245">
        <f>+C17-176422303</f>
        <v>4510</v>
      </c>
      <c r="G17" s="199"/>
      <c r="H17" s="1185"/>
      <c r="I17" s="1185"/>
      <c r="J17" s="1185"/>
      <c r="K17" s="1185"/>
    </row>
    <row r="18" spans="1:11" ht="17" x14ac:dyDescent="0.2">
      <c r="A18" s="265" t="s">
        <v>138</v>
      </c>
      <c r="B18" s="263"/>
      <c r="C18" s="255">
        <f>F23</f>
        <v>0</v>
      </c>
      <c r="E18" s="246" t="s">
        <v>200</v>
      </c>
      <c r="F18" s="274" t="str">
        <f>"FY"&amp;RIGHT(Dashboard!B6,2)</f>
        <v>FY22</v>
      </c>
    </row>
    <row r="19" spans="1:11" ht="17" x14ac:dyDescent="0.2">
      <c r="A19" s="265" t="s">
        <v>202</v>
      </c>
      <c r="B19" s="263"/>
      <c r="C19" s="255">
        <f>+F24</f>
        <v>13966056</v>
      </c>
      <c r="E19" s="249" t="s">
        <v>201</v>
      </c>
      <c r="F19" s="254">
        <v>0</v>
      </c>
      <c r="G19" s="543" t="str">
        <f>IF(F19=IM!B8,"","Check")</f>
        <v>Check</v>
      </c>
      <c r="H19" s="147">
        <f>+IM!B8</f>
        <v>3276588</v>
      </c>
      <c r="I19" t="s">
        <v>1010</v>
      </c>
    </row>
    <row r="20" spans="1:11" ht="17" x14ac:dyDescent="0.2">
      <c r="A20" s="265" t="s">
        <v>204</v>
      </c>
      <c r="B20" s="263"/>
      <c r="C20" s="551">
        <f>+F21-C22+F19+F20</f>
        <v>2590925</v>
      </c>
      <c r="E20" s="249" t="s">
        <v>203</v>
      </c>
      <c r="F20" s="254">
        <v>0</v>
      </c>
      <c r="G20" s="543" t="str">
        <f>IF(F20=IM!B11+IM!B17-IM!B11,"","Check")</f>
        <v>Check</v>
      </c>
      <c r="H20" s="147">
        <f>+IM!B11+IM!B17-IM!N78-IM!N80</f>
        <v>4155208</v>
      </c>
      <c r="I20" s="1097" t="s">
        <v>1010</v>
      </c>
    </row>
    <row r="21" spans="1:11" ht="17" x14ac:dyDescent="0.2">
      <c r="A21" s="265" t="s">
        <v>206</v>
      </c>
      <c r="B21" s="263"/>
      <c r="C21" s="255">
        <f>F22</f>
        <v>0</v>
      </c>
      <c r="E21" s="249" t="s">
        <v>205</v>
      </c>
      <c r="F21" s="254">
        <f>+'FINAL-Distributed E&amp;G Budget'!M57</f>
        <v>10590925</v>
      </c>
    </row>
    <row r="22" spans="1:11" ht="17" x14ac:dyDescent="0.2">
      <c r="A22" s="266" t="s">
        <v>168</v>
      </c>
      <c r="B22" s="50"/>
      <c r="C22" s="255">
        <f>+'FINAL-Distributed E&amp;G Budget'!M41</f>
        <v>8000000</v>
      </c>
      <c r="E22" s="249" t="s">
        <v>207</v>
      </c>
      <c r="F22" s="254">
        <f>+'FINAL-Distributed E&amp;G Budget'!L12</f>
        <v>0</v>
      </c>
      <c r="G22" s="547"/>
    </row>
    <row r="23" spans="1:11" ht="17" x14ac:dyDescent="0.2">
      <c r="A23" s="265" t="s">
        <v>208</v>
      </c>
      <c r="B23" s="263"/>
      <c r="C23" s="255">
        <f>C17-SUM(C18:C22)</f>
        <v>151869832</v>
      </c>
      <c r="E23" s="249" t="s">
        <v>138</v>
      </c>
      <c r="F23" s="254">
        <f>+'FINAL-Distributed E&amp;G Budget'!L13</f>
        <v>0</v>
      </c>
    </row>
    <row r="24" spans="1:11" x14ac:dyDescent="0.2">
      <c r="A24" s="185"/>
      <c r="B24" s="50"/>
      <c r="C24" s="247"/>
      <c r="E24" s="249" t="s">
        <v>202</v>
      </c>
      <c r="F24" s="254">
        <f>+'FINAL-Distributed E&amp;G Budget'!N57</f>
        <v>13966056</v>
      </c>
      <c r="H24" s="147">
        <f>+F25-+'Service Support &amp; Mgmt'!G1</f>
        <v>0</v>
      </c>
      <c r="I24" s="147"/>
    </row>
    <row r="25" spans="1:11" ht="17" thickBot="1" x14ac:dyDescent="0.25">
      <c r="A25" s="251" t="s">
        <v>105</v>
      </c>
      <c r="B25" s="252"/>
      <c r="C25" s="277">
        <f>SUM(C13:C17)</f>
        <v>430309299</v>
      </c>
      <c r="E25" s="249" t="s">
        <v>208</v>
      </c>
      <c r="F25" s="267">
        <f>C17-SUM(F19:F24)</f>
        <v>151869832</v>
      </c>
      <c r="G25" t="s">
        <v>592</v>
      </c>
      <c r="H25" s="245">
        <f>+C23-F25</f>
        <v>0</v>
      </c>
    </row>
    <row r="26" spans="1:11" ht="18" thickTop="1" thickBot="1" x14ac:dyDescent="0.25">
      <c r="A26" s="185"/>
      <c r="B26" s="50"/>
      <c r="C26" s="247"/>
      <c r="E26" s="261" t="s">
        <v>44</v>
      </c>
      <c r="F26" s="262">
        <f>SUM(F19:F25)</f>
        <v>176426813</v>
      </c>
      <c r="G26" t="s">
        <v>593</v>
      </c>
    </row>
    <row r="27" spans="1:11" ht="16" thickBot="1" x14ac:dyDescent="0.25">
      <c r="A27" s="268"/>
      <c r="B27" s="269"/>
      <c r="C27" s="270"/>
      <c r="G27" s="199"/>
    </row>
    <row r="28" spans="1:11" x14ac:dyDescent="0.2">
      <c r="E28" s="271" t="s">
        <v>209</v>
      </c>
      <c r="G28" s="199"/>
    </row>
    <row r="29" spans="1:11" x14ac:dyDescent="0.2">
      <c r="G29" s="199"/>
    </row>
    <row r="30" spans="1:11" ht="21" x14ac:dyDescent="0.25">
      <c r="D30" s="482"/>
      <c r="G30" s="199"/>
      <c r="H30" s="482"/>
      <c r="I30" s="482"/>
    </row>
    <row r="31" spans="1:11" ht="21" x14ac:dyDescent="0.25">
      <c r="E31" s="482"/>
      <c r="F31" s="482"/>
      <c r="G31" s="552"/>
    </row>
    <row r="35" spans="3:3" x14ac:dyDescent="0.2">
      <c r="C35" s="230"/>
    </row>
    <row r="37" spans="3:3" x14ac:dyDescent="0.2">
      <c r="C37" s="245"/>
    </row>
    <row r="38" spans="3:3" x14ac:dyDescent="0.2">
      <c r="C38" s="199"/>
    </row>
    <row r="39" spans="3:3" x14ac:dyDescent="0.2">
      <c r="C39" s="199"/>
    </row>
  </sheetData>
  <mergeCells count="2">
    <mergeCell ref="A7:C7"/>
    <mergeCell ref="H3:K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21</vt:i4>
      </vt:variant>
    </vt:vector>
  </HeadingPairs>
  <TitlesOfParts>
    <vt:vector size="21" baseType="lpstr">
      <vt:lpstr>Process</vt:lpstr>
      <vt:lpstr>Change Log</vt:lpstr>
      <vt:lpstr>Dashboard</vt:lpstr>
      <vt:lpstr>Step 0 Revenue Detail</vt:lpstr>
      <vt:lpstr>FINAL-Distributed E&amp;G Budget</vt:lpstr>
      <vt:lpstr>Change Summary</vt:lpstr>
      <vt:lpstr>TECH CHANGE</vt:lpstr>
      <vt:lpstr>TECH CHANGE-Grad Health</vt:lpstr>
      <vt:lpstr>Productivity Split</vt:lpstr>
      <vt:lpstr>IM</vt:lpstr>
      <vt:lpstr>Service Support &amp; Mgmt</vt:lpstr>
      <vt:lpstr>Support &amp; Exec Detail</vt:lpstr>
      <vt:lpstr>Productivity Calc</vt:lpstr>
      <vt:lpstr>Differential</vt:lpstr>
      <vt:lpstr>Ecampus</vt:lpstr>
      <vt:lpstr>Summer</vt:lpstr>
      <vt:lpstr>Research</vt:lpstr>
      <vt:lpstr>Data-Credit &amp; Degree</vt:lpstr>
      <vt:lpstr>Vet Med &amp; Pharm</vt:lpstr>
      <vt:lpstr>Weights</vt:lpstr>
      <vt:lpstr>Floor Calc</vt:lpstr>
    </vt:vector>
  </TitlesOfParts>
  <Company>Oregon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Campbell, Kayla Nicole</dc:creator>
  <cp:lastModifiedBy>Sherm Bloomer</cp:lastModifiedBy>
  <cp:lastPrinted>2019-08-28T22:54:05Z</cp:lastPrinted>
  <dcterms:created xsi:type="dcterms:W3CDTF">2019-07-17T15:34:13Z</dcterms:created>
  <dcterms:modified xsi:type="dcterms:W3CDTF">2022-04-20T21:36:19Z</dcterms:modified>
</cp:coreProperties>
</file>