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Override PartName="/xl/threadedComments/threadedComment2.xml" ContentType="application/vnd.ms-excel.threadedcomments+xml"/>
  <Override PartName="/xl/threadedComments/threadedComment3.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ampbkay\Desktop\"/>
    </mc:Choice>
  </mc:AlternateContent>
  <bookViews>
    <workbookView xWindow="0" yWindow="0" windowWidth="38670" windowHeight="11325" activeTab="4"/>
  </bookViews>
  <sheets>
    <sheet name="Process" sheetId="28" r:id="rId1"/>
    <sheet name="Change Log" sheetId="2" r:id="rId2"/>
    <sheet name="Dashboard" sheetId="1" r:id="rId3"/>
    <sheet name="Step 0 Revenue Detail" sheetId="3" r:id="rId4"/>
    <sheet name="FINAL-Distributed E&amp;G Budget" sheetId="27" r:id="rId5"/>
    <sheet name="Change Summary" sheetId="31" r:id="rId6"/>
    <sheet name="Productivity Split" sheetId="5" r:id="rId7"/>
    <sheet name="IM" sheetId="7" r:id="rId8"/>
    <sheet name="Service Support &amp; Mgmt" sheetId="15" r:id="rId9"/>
    <sheet name="Support &amp; Exec Detail" sheetId="29" r:id="rId10"/>
    <sheet name="Productivity Calc" sheetId="14" r:id="rId11"/>
    <sheet name="Differential" sheetId="10" r:id="rId12"/>
    <sheet name="Ecampus" sheetId="13" r:id="rId13"/>
    <sheet name="Summer" sheetId="18" r:id="rId14"/>
    <sheet name="Research" sheetId="23" r:id="rId15"/>
    <sheet name="Data-Credit &amp; Degree" sheetId="11" r:id="rId16"/>
    <sheet name="Vet Med &amp; Pharm" sheetId="32" r:id="rId17"/>
    <sheet name="Weights" sheetId="21" r:id="rId18"/>
    <sheet name="TECH CHANGE" sheetId="33" r:id="rId19"/>
    <sheet name="TECH CHANGE-Grad Health" sheetId="34" r:id="rId20"/>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11" i="15" l="1"/>
  <c r="C16" i="29"/>
  <c r="F11" i="15"/>
  <c r="G15" i="5" l="1"/>
  <c r="F40" i="7" l="1"/>
  <c r="F35" i="7"/>
  <c r="N71" i="7"/>
  <c r="N35" i="27"/>
  <c r="N87" i="7"/>
  <c r="F56" i="7" s="1"/>
  <c r="N17" i="7"/>
  <c r="N16" i="7" s="1"/>
  <c r="N89" i="7"/>
  <c r="M36" i="7"/>
  <c r="M30" i="13"/>
  <c r="B16" i="32"/>
  <c r="L18" i="3" l="1"/>
  <c r="L34" i="18" l="1"/>
  <c r="L33" i="18"/>
  <c r="F36" i="27"/>
  <c r="H56" i="3"/>
  <c r="N86" i="7" l="1"/>
  <c r="F55" i="7" s="1"/>
  <c r="N39" i="7" l="1"/>
  <c r="F17" i="7" s="1"/>
  <c r="N85" i="7"/>
  <c r="F54" i="7" s="1"/>
  <c r="N83" i="7"/>
  <c r="F52" i="7" s="1"/>
  <c r="N84" i="7"/>
  <c r="F53" i="7" s="1"/>
  <c r="N82" i="7"/>
  <c r="F51" i="7" s="1"/>
  <c r="C133" i="29" l="1"/>
  <c r="C113" i="29"/>
  <c r="C107" i="29"/>
  <c r="C100" i="29"/>
  <c r="C95" i="29"/>
  <c r="C91" i="29"/>
  <c r="C80" i="29"/>
  <c r="C73" i="29"/>
  <c r="C66" i="29"/>
  <c r="C61" i="29"/>
  <c r="C56" i="29"/>
  <c r="C51" i="29"/>
  <c r="C45" i="29"/>
  <c r="C40" i="29"/>
  <c r="C24" i="29"/>
  <c r="C11" i="29"/>
  <c r="C4" i="29"/>
  <c r="H53" i="3" l="1"/>
  <c r="L50" i="3"/>
  <c r="L49" i="3"/>
  <c r="L48" i="3" l="1"/>
  <c r="M35" i="13"/>
  <c r="AD55" i="11"/>
  <c r="AE55" i="11"/>
  <c r="AF55" i="11"/>
  <c r="AG55" i="11"/>
  <c r="AH55" i="11"/>
  <c r="AI55" i="11"/>
  <c r="AJ55" i="11"/>
  <c r="AK55" i="11"/>
  <c r="AC55" i="11"/>
  <c r="B54" i="11" l="1"/>
  <c r="S18" i="11" l="1"/>
  <c r="P18" i="11"/>
  <c r="AD24" i="11"/>
  <c r="AD13" i="11"/>
  <c r="AA13" i="11"/>
  <c r="X13" i="11"/>
  <c r="U13" i="11"/>
  <c r="T13" i="11"/>
  <c r="AH24" i="11"/>
  <c r="G10" i="11" l="1"/>
  <c r="G7" i="11"/>
  <c r="AX24" i="11"/>
  <c r="AU24" i="11"/>
  <c r="AO24" i="11"/>
  <c r="AL24" i="11"/>
  <c r="AI24" i="11"/>
  <c r="AF24" i="11"/>
  <c r="B6" i="11"/>
  <c r="B7" i="11"/>
  <c r="B8" i="11"/>
  <c r="B9" i="11"/>
  <c r="B11" i="11"/>
  <c r="B12" i="11"/>
  <c r="B13" i="11"/>
  <c r="B24" i="11" s="1"/>
  <c r="B15" i="11"/>
  <c r="B16" i="11"/>
  <c r="B17" i="11"/>
  <c r="B19" i="11"/>
  <c r="B20" i="11"/>
  <c r="B23" i="11"/>
  <c r="B26" i="11"/>
  <c r="R28" i="10"/>
  <c r="L28" i="10"/>
  <c r="M28" i="10"/>
  <c r="I9" i="15"/>
  <c r="F30" i="15"/>
  <c r="F10" i="15"/>
  <c r="F9" i="15"/>
  <c r="B30" i="15"/>
  <c r="N80" i="7"/>
  <c r="N81" i="7"/>
  <c r="K27" i="18" l="1"/>
  <c r="L28" i="13"/>
  <c r="C18" i="27" l="1"/>
  <c r="I36" i="3"/>
  <c r="I35" i="3" l="1"/>
  <c r="C165" i="31" l="1"/>
  <c r="D165" i="31"/>
  <c r="E165" i="31"/>
  <c r="F165" i="31"/>
  <c r="G165" i="31"/>
  <c r="H165" i="31"/>
  <c r="B165" i="31"/>
  <c r="I5" i="31"/>
  <c r="L71" i="31"/>
  <c r="I115" i="31"/>
  <c r="I60" i="31"/>
  <c r="AJ6" i="27" l="1"/>
  <c r="C35" i="27" l="1"/>
  <c r="I34" i="3"/>
  <c r="AW24" i="11" l="1"/>
  <c r="F50" i="7" l="1"/>
  <c r="F49" i="7" l="1"/>
  <c r="K28" i="13" l="1"/>
  <c r="B12" i="13"/>
  <c r="B7" i="13"/>
  <c r="O5" i="14" s="1"/>
  <c r="F56" i="27"/>
  <c r="F133" i="29"/>
  <c r="J29" i="15" s="1"/>
  <c r="N37" i="7"/>
  <c r="N38" i="7"/>
  <c r="F24" i="29"/>
  <c r="J15" i="15" s="1"/>
  <c r="F66" i="29"/>
  <c r="F60" i="29"/>
  <c r="AF22" i="27"/>
  <c r="S23" i="33"/>
  <c r="N79" i="7"/>
  <c r="F48" i="7" s="1"/>
  <c r="F113" i="29"/>
  <c r="B31" i="32"/>
  <c r="S19" i="10" s="1"/>
  <c r="C19" i="10" s="1"/>
  <c r="D19" i="10" s="1"/>
  <c r="E19" i="10" s="1"/>
  <c r="F19" i="10" s="1"/>
  <c r="E28" i="27" s="1"/>
  <c r="B18" i="32"/>
  <c r="B15" i="32"/>
  <c r="R47" i="33"/>
  <c r="R31" i="33"/>
  <c r="C62" i="33"/>
  <c r="N78" i="7"/>
  <c r="F47" i="7" s="1"/>
  <c r="N77" i="7"/>
  <c r="F46" i="7" s="1"/>
  <c r="N76" i="7"/>
  <c r="F45" i="7" s="1"/>
  <c r="N75" i="7"/>
  <c r="F44" i="7" s="1"/>
  <c r="F80" i="29"/>
  <c r="N58" i="7"/>
  <c r="L96" i="7"/>
  <c r="L100" i="7" s="1"/>
  <c r="L101" i="7" s="1"/>
  <c r="J27" i="18"/>
  <c r="R50" i="33"/>
  <c r="R49" i="33"/>
  <c r="S50" i="33"/>
  <c r="I7" i="3"/>
  <c r="I8" i="3"/>
  <c r="I9" i="3"/>
  <c r="I10" i="3"/>
  <c r="I11" i="3"/>
  <c r="I12" i="3"/>
  <c r="I13" i="3"/>
  <c r="I6" i="3"/>
  <c r="S36" i="33"/>
  <c r="S35" i="33"/>
  <c r="V57" i="33"/>
  <c r="W38" i="33"/>
  <c r="W39" i="33"/>
  <c r="U20" i="33"/>
  <c r="U23" i="33"/>
  <c r="W23" i="33" s="1"/>
  <c r="AG22" i="27" s="1"/>
  <c r="U24" i="33"/>
  <c r="U25" i="33"/>
  <c r="U28" i="33"/>
  <c r="U30" i="33"/>
  <c r="U31" i="33"/>
  <c r="W31" i="33" s="1"/>
  <c r="AG30" i="27" s="1"/>
  <c r="U32" i="33"/>
  <c r="W32" i="33" s="1"/>
  <c r="AG31" i="27" s="1"/>
  <c r="U33" i="33"/>
  <c r="W33" i="33" s="1"/>
  <c r="AG32" i="27" s="1"/>
  <c r="U34" i="33"/>
  <c r="W34" i="33" s="1"/>
  <c r="AG33" i="27" s="1"/>
  <c r="U40" i="33"/>
  <c r="W40" i="33" s="1"/>
  <c r="AG39" i="27" s="1"/>
  <c r="H38" i="31" s="1"/>
  <c r="R148" i="31" s="1"/>
  <c r="U41" i="33"/>
  <c r="W41" i="33" s="1"/>
  <c r="AG40" i="27" s="1"/>
  <c r="U42" i="33"/>
  <c r="W42" i="33" s="1"/>
  <c r="AG41" i="27" s="1"/>
  <c r="U43" i="33"/>
  <c r="W43" i="33" s="1"/>
  <c r="AG42" i="27" s="1"/>
  <c r="U44" i="33"/>
  <c r="W44" i="33" s="1"/>
  <c r="AG43" i="27" s="1"/>
  <c r="U45" i="33"/>
  <c r="W45" i="33" s="1"/>
  <c r="AG44" i="27" s="1"/>
  <c r="U46" i="33"/>
  <c r="W46" i="33" s="1"/>
  <c r="AG45" i="27" s="1"/>
  <c r="U47" i="33"/>
  <c r="W47" i="33" s="1"/>
  <c r="AG46" i="27" s="1"/>
  <c r="U48" i="33"/>
  <c r="W48" i="33" s="1"/>
  <c r="AG47" i="27" s="1"/>
  <c r="U49" i="33"/>
  <c r="W49" i="33" s="1"/>
  <c r="AG48" i="27" s="1"/>
  <c r="U50" i="33"/>
  <c r="W50" i="33" s="1"/>
  <c r="AG49" i="27" s="1"/>
  <c r="U51" i="33"/>
  <c r="W51" i="33" s="1"/>
  <c r="AG50" i="27" s="1"/>
  <c r="U52" i="33"/>
  <c r="W52" i="33" s="1"/>
  <c r="AG51" i="27" s="1"/>
  <c r="U53" i="33"/>
  <c r="W53" i="33" s="1"/>
  <c r="AG52" i="27" s="1"/>
  <c r="U56" i="33"/>
  <c r="W56" i="33" s="1"/>
  <c r="AG55" i="27" s="1"/>
  <c r="U19" i="33"/>
  <c r="I28" i="3"/>
  <c r="C25" i="27"/>
  <c r="U26" i="33" s="1"/>
  <c r="E29" i="34"/>
  <c r="E28" i="34"/>
  <c r="H28" i="34"/>
  <c r="E27" i="34"/>
  <c r="H27" i="34" s="1"/>
  <c r="E26" i="34"/>
  <c r="H26" i="34" s="1"/>
  <c r="E25" i="34"/>
  <c r="E24" i="34"/>
  <c r="H24" i="34"/>
  <c r="E23" i="34"/>
  <c r="H23" i="34" s="1"/>
  <c r="E22" i="34"/>
  <c r="H22" i="34" s="1"/>
  <c r="E21" i="34"/>
  <c r="E20" i="34"/>
  <c r="H20" i="34"/>
  <c r="E19" i="34"/>
  <c r="H19" i="34" s="1"/>
  <c r="E18" i="34"/>
  <c r="G18" i="34" s="1"/>
  <c r="C16" i="34"/>
  <c r="B16" i="34"/>
  <c r="O58" i="33"/>
  <c r="P57" i="33"/>
  <c r="P58" i="33"/>
  <c r="O57" i="33"/>
  <c r="H57" i="33"/>
  <c r="G57" i="33"/>
  <c r="F57" i="33"/>
  <c r="E57" i="33"/>
  <c r="D57" i="33"/>
  <c r="D60" i="33" s="1"/>
  <c r="C57" i="33"/>
  <c r="S56" i="33"/>
  <c r="R56" i="33"/>
  <c r="I56" i="33"/>
  <c r="S55" i="33"/>
  <c r="R55" i="33"/>
  <c r="I55" i="33"/>
  <c r="J55" i="33" s="1"/>
  <c r="S54" i="33"/>
  <c r="R54" i="33"/>
  <c r="I54" i="33"/>
  <c r="J54" i="33" s="1"/>
  <c r="M54" i="33" s="1"/>
  <c r="S53" i="33"/>
  <c r="R53" i="33"/>
  <c r="I53" i="33"/>
  <c r="J53" i="33" s="1"/>
  <c r="M53" i="33" s="1"/>
  <c r="S52" i="33"/>
  <c r="R52" i="33"/>
  <c r="I52" i="33"/>
  <c r="J52" i="33" s="1"/>
  <c r="M52" i="33" s="1"/>
  <c r="S51" i="33"/>
  <c r="R51" i="33"/>
  <c r="I51" i="33"/>
  <c r="I50" i="33"/>
  <c r="S49" i="33"/>
  <c r="I49" i="33"/>
  <c r="S48" i="33"/>
  <c r="R48" i="33"/>
  <c r="I48" i="33"/>
  <c r="S47" i="33"/>
  <c r="I47" i="33"/>
  <c r="S46" i="33"/>
  <c r="R46" i="33"/>
  <c r="I46" i="33"/>
  <c r="S45" i="33"/>
  <c r="S57" i="33" s="1"/>
  <c r="R45" i="33"/>
  <c r="I45" i="33"/>
  <c r="S44" i="33"/>
  <c r="R44" i="33"/>
  <c r="I44" i="33"/>
  <c r="S43" i="33"/>
  <c r="R43" i="33"/>
  <c r="I43" i="33"/>
  <c r="S42" i="33"/>
  <c r="I42" i="33"/>
  <c r="S41" i="33"/>
  <c r="R41" i="33"/>
  <c r="I41" i="33"/>
  <c r="S40" i="33"/>
  <c r="H37" i="33"/>
  <c r="G37" i="33"/>
  <c r="G58" i="33" s="1"/>
  <c r="F37" i="33"/>
  <c r="F58" i="33" s="1"/>
  <c r="E37" i="33"/>
  <c r="D37" i="33"/>
  <c r="D15" i="33" s="1"/>
  <c r="C37" i="33"/>
  <c r="I36" i="33"/>
  <c r="R35" i="33"/>
  <c r="I35" i="33"/>
  <c r="S34" i="33"/>
  <c r="I34" i="33"/>
  <c r="J34" i="33" s="1"/>
  <c r="M34" i="33" s="1"/>
  <c r="S33" i="33"/>
  <c r="R33" i="33"/>
  <c r="I33" i="33"/>
  <c r="S32" i="33"/>
  <c r="R32" i="33"/>
  <c r="R37" i="33" s="1"/>
  <c r="I32" i="33"/>
  <c r="S31" i="33"/>
  <c r="I31" i="33"/>
  <c r="J31" i="33" s="1"/>
  <c r="M31" i="33" s="1"/>
  <c r="I30" i="33"/>
  <c r="I29" i="33"/>
  <c r="J29" i="33" s="1"/>
  <c r="M29" i="33" s="1"/>
  <c r="I28" i="33"/>
  <c r="J28" i="33" s="1"/>
  <c r="M28" i="33" s="1"/>
  <c r="I27" i="33"/>
  <c r="J27" i="33"/>
  <c r="M27" i="33" s="1"/>
  <c r="I26" i="33"/>
  <c r="I25" i="33"/>
  <c r="I24" i="33"/>
  <c r="I23" i="33"/>
  <c r="I22" i="33"/>
  <c r="J22" i="33" s="1"/>
  <c r="M22" i="33" s="1"/>
  <c r="I21" i="33"/>
  <c r="I20" i="33"/>
  <c r="I19" i="33"/>
  <c r="J19" i="33" s="1"/>
  <c r="M19" i="33" s="1"/>
  <c r="G15" i="33"/>
  <c r="F15" i="33"/>
  <c r="J14" i="33"/>
  <c r="J13" i="33"/>
  <c r="J12" i="33"/>
  <c r="J11" i="33"/>
  <c r="J10" i="33"/>
  <c r="J9" i="33"/>
  <c r="J8" i="33"/>
  <c r="H18" i="34"/>
  <c r="J18" i="34"/>
  <c r="H58" i="33"/>
  <c r="J21" i="33"/>
  <c r="M21" i="33" s="1"/>
  <c r="J32" i="33"/>
  <c r="J35" i="33"/>
  <c r="M35" i="33"/>
  <c r="C15" i="33"/>
  <c r="C58" i="33"/>
  <c r="J23" i="33"/>
  <c r="M23" i="33" s="1"/>
  <c r="J25" i="33"/>
  <c r="M25" i="33" s="1"/>
  <c r="J49" i="33"/>
  <c r="M49" i="33"/>
  <c r="J56" i="33"/>
  <c r="M56" i="33" s="1"/>
  <c r="J26" i="33"/>
  <c r="M26" i="33" s="1"/>
  <c r="J42" i="33"/>
  <c r="J45" i="33"/>
  <c r="M45" i="33" s="1"/>
  <c r="J47" i="33"/>
  <c r="M47" i="33" s="1"/>
  <c r="J50" i="33"/>
  <c r="M50" i="33" s="1"/>
  <c r="J48" i="33"/>
  <c r="M48" i="33" s="1"/>
  <c r="M55" i="33"/>
  <c r="J33" i="33"/>
  <c r="M33" i="33" s="1"/>
  <c r="J36" i="33"/>
  <c r="M36" i="33" s="1"/>
  <c r="J46" i="33"/>
  <c r="M46" i="33"/>
  <c r="J24" i="33"/>
  <c r="M24" i="33"/>
  <c r="J30" i="33"/>
  <c r="M30" i="33" s="1"/>
  <c r="J44" i="33"/>
  <c r="M44" i="33"/>
  <c r="J51" i="33"/>
  <c r="M51" i="33" s="1"/>
  <c r="R57" i="33"/>
  <c r="R58" i="33" s="1"/>
  <c r="G20" i="34"/>
  <c r="J20" i="34"/>
  <c r="M20" i="34" s="1"/>
  <c r="V21" i="33" s="1"/>
  <c r="G24" i="34"/>
  <c r="J24" i="34"/>
  <c r="M24" i="34" s="1"/>
  <c r="V25" i="33" s="1"/>
  <c r="G28" i="34"/>
  <c r="J28" i="34" s="1"/>
  <c r="G22" i="34"/>
  <c r="J22" i="34" s="1"/>
  <c r="M22" i="34"/>
  <c r="G26" i="34"/>
  <c r="J26" i="34" s="1"/>
  <c r="G19" i="34"/>
  <c r="J19" i="34"/>
  <c r="M19" i="34"/>
  <c r="G23" i="34"/>
  <c r="J23" i="34"/>
  <c r="M23" i="34" s="1"/>
  <c r="V24" i="33" s="1"/>
  <c r="G27" i="34"/>
  <c r="J27" i="34" s="1"/>
  <c r="M32" i="33"/>
  <c r="M42" i="33"/>
  <c r="D58" i="33"/>
  <c r="J41" i="33"/>
  <c r="M41" i="33" s="1"/>
  <c r="H9" i="31"/>
  <c r="R64" i="31" s="1"/>
  <c r="H10" i="31"/>
  <c r="R120" i="31" s="1"/>
  <c r="H11" i="31"/>
  <c r="R66" i="31" s="1"/>
  <c r="H12" i="31"/>
  <c r="R67" i="31" s="1"/>
  <c r="H13" i="31"/>
  <c r="R123" i="31" s="1"/>
  <c r="H6" i="31"/>
  <c r="R61" i="31" s="1"/>
  <c r="K14" i="31"/>
  <c r="K15" i="31"/>
  <c r="K16" i="31"/>
  <c r="K36" i="31"/>
  <c r="K37" i="31"/>
  <c r="K38" i="31"/>
  <c r="P24" i="33"/>
  <c r="S24" i="33" s="1"/>
  <c r="P20" i="33"/>
  <c r="S20" i="33"/>
  <c r="P25" i="33"/>
  <c r="S25" i="33" s="1"/>
  <c r="V20" i="33"/>
  <c r="W9" i="15"/>
  <c r="D158" i="29"/>
  <c r="F4" i="29"/>
  <c r="J9" i="15" s="1"/>
  <c r="X9" i="15" s="1"/>
  <c r="F16" i="29"/>
  <c r="F40" i="29"/>
  <c r="F45" i="29"/>
  <c r="F51" i="29"/>
  <c r="F56" i="29"/>
  <c r="F73" i="29"/>
  <c r="J22" i="15" s="1"/>
  <c r="F91" i="29"/>
  <c r="J24" i="15" s="1"/>
  <c r="F95" i="29"/>
  <c r="J25" i="15" s="1"/>
  <c r="F100" i="29"/>
  <c r="F107" i="29"/>
  <c r="J27" i="15" s="1"/>
  <c r="N62" i="7"/>
  <c r="B10" i="32"/>
  <c r="S17" i="10" s="1"/>
  <c r="C17" i="10" s="1"/>
  <c r="C12" i="10"/>
  <c r="C14" i="10"/>
  <c r="C15" i="10"/>
  <c r="C16" i="10"/>
  <c r="C18" i="10"/>
  <c r="C20" i="10"/>
  <c r="C21" i="10"/>
  <c r="C22" i="10"/>
  <c r="C23" i="10"/>
  <c r="C24" i="10"/>
  <c r="C25" i="10"/>
  <c r="C26" i="10"/>
  <c r="B13" i="10"/>
  <c r="B14" i="10"/>
  <c r="B16" i="10"/>
  <c r="B17" i="10"/>
  <c r="B18" i="10"/>
  <c r="B19" i="10"/>
  <c r="B20" i="10"/>
  <c r="D20" i="10" s="1"/>
  <c r="B22" i="10"/>
  <c r="B23" i="10"/>
  <c r="B24" i="10"/>
  <c r="B25" i="10"/>
  <c r="B26" i="10"/>
  <c r="M89" i="7"/>
  <c r="F46" i="13"/>
  <c r="U55" i="33"/>
  <c r="W55" i="33" s="1"/>
  <c r="AG54" i="27" s="1"/>
  <c r="B23" i="13"/>
  <c r="O21" i="14" s="1"/>
  <c r="E22" i="21"/>
  <c r="D22" i="21"/>
  <c r="AB22" i="14" s="1"/>
  <c r="C22" i="21"/>
  <c r="B22" i="21"/>
  <c r="F22" i="21"/>
  <c r="T22" i="14"/>
  <c r="S22" i="14" s="1"/>
  <c r="AC22" i="14"/>
  <c r="AD22" i="14"/>
  <c r="AZ24" i="11"/>
  <c r="AZ27" i="11" s="1"/>
  <c r="AY24" i="11"/>
  <c r="AY27" i="11" s="1"/>
  <c r="AX27" i="11"/>
  <c r="AV24" i="11"/>
  <c r="AT24" i="11"/>
  <c r="AS24" i="11"/>
  <c r="AR24" i="11"/>
  <c r="AQ24" i="11"/>
  <c r="AP24" i="11"/>
  <c r="AN24" i="11"/>
  <c r="AM24" i="11"/>
  <c r="AK24" i="11"/>
  <c r="AJ24" i="11"/>
  <c r="AG24" i="11"/>
  <c r="AE24" i="11"/>
  <c r="AC24" i="11"/>
  <c r="AB24" i="11"/>
  <c r="AA24" i="11"/>
  <c r="Z24" i="11"/>
  <c r="Y24" i="11"/>
  <c r="X24" i="11"/>
  <c r="W24" i="11"/>
  <c r="V24" i="11"/>
  <c r="U24" i="11"/>
  <c r="T24" i="11"/>
  <c r="S23" i="11"/>
  <c r="R23" i="11"/>
  <c r="Q23" i="11"/>
  <c r="P23" i="11"/>
  <c r="O23" i="11"/>
  <c r="N23" i="11"/>
  <c r="M23" i="11"/>
  <c r="L23" i="11"/>
  <c r="K23" i="11"/>
  <c r="J23" i="11"/>
  <c r="I23" i="11"/>
  <c r="H23" i="11"/>
  <c r="G23" i="11"/>
  <c r="F23" i="11"/>
  <c r="H22" i="14" s="1"/>
  <c r="E22" i="14" s="1"/>
  <c r="E23" i="11"/>
  <c r="D23" i="11"/>
  <c r="C23" i="11"/>
  <c r="C11" i="10"/>
  <c r="C13" i="10"/>
  <c r="D13" i="10" s="1"/>
  <c r="B15" i="10"/>
  <c r="B11" i="10"/>
  <c r="B12" i="10"/>
  <c r="B21" i="10"/>
  <c r="B110" i="31"/>
  <c r="B111" i="31" s="1"/>
  <c r="C110" i="31"/>
  <c r="D110" i="31"/>
  <c r="D111" i="31" s="1"/>
  <c r="E110" i="31"/>
  <c r="F110" i="31"/>
  <c r="G110" i="31"/>
  <c r="H110" i="31"/>
  <c r="I58" i="3"/>
  <c r="I54" i="3"/>
  <c r="H8" i="27"/>
  <c r="AF36" i="27"/>
  <c r="O28" i="27"/>
  <c r="D27" i="31" s="1"/>
  <c r="N137" i="31" s="1"/>
  <c r="B29" i="32"/>
  <c r="B28" i="32"/>
  <c r="B8" i="32"/>
  <c r="B7" i="32"/>
  <c r="I56" i="27"/>
  <c r="J39" i="27"/>
  <c r="B38" i="31" s="1"/>
  <c r="L93" i="31" s="1"/>
  <c r="J40" i="27"/>
  <c r="J41" i="27"/>
  <c r="J42" i="27"/>
  <c r="J43" i="27"/>
  <c r="J44" i="27"/>
  <c r="J45" i="27"/>
  <c r="J46" i="27"/>
  <c r="J47" i="27"/>
  <c r="J48" i="27"/>
  <c r="J51" i="27"/>
  <c r="J9" i="27"/>
  <c r="B8" i="31" s="1"/>
  <c r="B34" i="32"/>
  <c r="O35" i="27"/>
  <c r="D34" i="31" s="1"/>
  <c r="N144" i="31" s="1"/>
  <c r="O29" i="27"/>
  <c r="O23" i="27"/>
  <c r="D30" i="15"/>
  <c r="E30" i="15"/>
  <c r="G30" i="15"/>
  <c r="C158" i="29"/>
  <c r="B158" i="29"/>
  <c r="N19" i="7"/>
  <c r="N27" i="7"/>
  <c r="F24" i="7" s="1"/>
  <c r="C90" i="31"/>
  <c r="D90" i="31"/>
  <c r="E90" i="31"/>
  <c r="E111" i="31" s="1"/>
  <c r="F90" i="31"/>
  <c r="F111" i="31" s="1"/>
  <c r="G90" i="31"/>
  <c r="G111" i="31" s="1"/>
  <c r="H90" i="31"/>
  <c r="L69" i="31"/>
  <c r="M69" i="31"/>
  <c r="N69" i="31"/>
  <c r="O69" i="31"/>
  <c r="P69" i="31"/>
  <c r="Q69" i="31"/>
  <c r="R69" i="31"/>
  <c r="S69" i="31"/>
  <c r="L70" i="31"/>
  <c r="M70" i="31"/>
  <c r="N70" i="31"/>
  <c r="O70" i="31"/>
  <c r="P70" i="31"/>
  <c r="Q70" i="31"/>
  <c r="R70" i="31"/>
  <c r="S70" i="31"/>
  <c r="M71" i="31"/>
  <c r="N71" i="31"/>
  <c r="O71" i="31"/>
  <c r="P71" i="31"/>
  <c r="Q71" i="31"/>
  <c r="R71" i="31"/>
  <c r="S71" i="31"/>
  <c r="S93" i="31"/>
  <c r="L126" i="31"/>
  <c r="M126" i="31"/>
  <c r="N126" i="31"/>
  <c r="O126" i="31"/>
  <c r="P126" i="31"/>
  <c r="Q126" i="31"/>
  <c r="R126" i="31"/>
  <c r="S126" i="31"/>
  <c r="S148" i="31"/>
  <c r="I163" i="31"/>
  <c r="I156" i="31"/>
  <c r="C145" i="31"/>
  <c r="D145" i="31"/>
  <c r="E145" i="31"/>
  <c r="F145" i="31"/>
  <c r="F166" i="31" s="1"/>
  <c r="G145" i="31"/>
  <c r="G166" i="31" s="1"/>
  <c r="H145" i="31"/>
  <c r="I150" i="31"/>
  <c r="I151" i="31"/>
  <c r="I152" i="31"/>
  <c r="I153" i="31"/>
  <c r="I154" i="31"/>
  <c r="I155" i="31"/>
  <c r="I157" i="31"/>
  <c r="I158" i="31"/>
  <c r="I159" i="31"/>
  <c r="I160" i="31"/>
  <c r="I161" i="31"/>
  <c r="I162" i="31"/>
  <c r="I164" i="31"/>
  <c r="I149" i="31"/>
  <c r="I117" i="31"/>
  <c r="I118" i="31"/>
  <c r="I119" i="31"/>
  <c r="I120" i="31"/>
  <c r="I121" i="31"/>
  <c r="I122" i="31"/>
  <c r="I123" i="31"/>
  <c r="I127" i="31"/>
  <c r="I128" i="31"/>
  <c r="I129" i="31"/>
  <c r="I130" i="31"/>
  <c r="I131" i="31"/>
  <c r="I132" i="31"/>
  <c r="I133" i="31"/>
  <c r="I134" i="31"/>
  <c r="I135" i="31"/>
  <c r="I136" i="31"/>
  <c r="I137" i="31"/>
  <c r="I138" i="31"/>
  <c r="I139" i="31"/>
  <c r="I140" i="31"/>
  <c r="I141" i="31"/>
  <c r="I142" i="31"/>
  <c r="I143" i="31"/>
  <c r="I144" i="31"/>
  <c r="I116" i="31"/>
  <c r="I90" i="31"/>
  <c r="I110" i="31"/>
  <c r="I111" i="31" s="1"/>
  <c r="C166" i="31"/>
  <c r="B145" i="31"/>
  <c r="B166" i="31" s="1"/>
  <c r="B90" i="31"/>
  <c r="H111" i="31"/>
  <c r="D7" i="31"/>
  <c r="N62" i="31" s="1"/>
  <c r="F7" i="31"/>
  <c r="P62" i="31" s="1"/>
  <c r="G7" i="31"/>
  <c r="Q117" i="31" s="1"/>
  <c r="C8" i="31"/>
  <c r="M118" i="31" s="1"/>
  <c r="F8" i="31"/>
  <c r="P63" i="31" s="1"/>
  <c r="G8" i="31"/>
  <c r="Q118" i="31" s="1"/>
  <c r="C9" i="31"/>
  <c r="M119" i="31" s="1"/>
  <c r="D9" i="31"/>
  <c r="N64" i="31" s="1"/>
  <c r="F9" i="31"/>
  <c r="P64" i="31" s="1"/>
  <c r="G9" i="31"/>
  <c r="Q119" i="31" s="1"/>
  <c r="D10" i="31"/>
  <c r="N65" i="31" s="1"/>
  <c r="F10" i="31"/>
  <c r="P120" i="31" s="1"/>
  <c r="G10" i="31"/>
  <c r="Q65" i="31" s="1"/>
  <c r="D11" i="31"/>
  <c r="N121" i="31" s="1"/>
  <c r="F11" i="31"/>
  <c r="P66" i="31" s="1"/>
  <c r="G11" i="31"/>
  <c r="Q121" i="31" s="1"/>
  <c r="D12" i="31"/>
  <c r="N122" i="31" s="1"/>
  <c r="F12" i="31"/>
  <c r="P122" i="31" s="1"/>
  <c r="G12" i="31"/>
  <c r="Q122" i="31" s="1"/>
  <c r="C13" i="31"/>
  <c r="M123" i="31" s="1"/>
  <c r="D13" i="31"/>
  <c r="N68" i="31" s="1"/>
  <c r="C17" i="31"/>
  <c r="M72" i="31" s="1"/>
  <c r="D17" i="31"/>
  <c r="N127" i="31" s="1"/>
  <c r="E17" i="31"/>
  <c r="C18" i="31"/>
  <c r="M73" i="31" s="1"/>
  <c r="D18" i="31"/>
  <c r="N73" i="31" s="1"/>
  <c r="E18" i="31"/>
  <c r="O73" i="31" s="1"/>
  <c r="C19" i="31"/>
  <c r="M129" i="31" s="1"/>
  <c r="D19" i="31"/>
  <c r="N74" i="31" s="1"/>
  <c r="E19" i="31"/>
  <c r="O129" i="31" s="1"/>
  <c r="C20" i="31"/>
  <c r="M130" i="31" s="1"/>
  <c r="E20" i="31"/>
  <c r="O130" i="31" s="1"/>
  <c r="D21" i="31"/>
  <c r="N76" i="31" s="1"/>
  <c r="E21" i="31"/>
  <c r="O131" i="31" s="1"/>
  <c r="C22" i="31"/>
  <c r="M77" i="31" s="1"/>
  <c r="E22" i="31"/>
  <c r="O132" i="31" s="1"/>
  <c r="D23" i="31"/>
  <c r="N133" i="31" s="1"/>
  <c r="E23" i="31"/>
  <c r="O133" i="31" s="1"/>
  <c r="C24" i="31"/>
  <c r="M79" i="31" s="1"/>
  <c r="E24" i="31"/>
  <c r="O79" i="31" s="1"/>
  <c r="C25" i="31"/>
  <c r="M135" i="31" s="1"/>
  <c r="E25" i="31"/>
  <c r="O80" i="31" s="1"/>
  <c r="D26" i="31"/>
  <c r="N81" i="31" s="1"/>
  <c r="E26" i="31"/>
  <c r="O81" i="31" s="1"/>
  <c r="E27" i="31"/>
  <c r="O137" i="31" s="1"/>
  <c r="E28" i="31"/>
  <c r="O138" i="31" s="1"/>
  <c r="C29" i="31"/>
  <c r="M84" i="31" s="1"/>
  <c r="D29" i="31"/>
  <c r="N139" i="31" s="1"/>
  <c r="F29" i="31"/>
  <c r="P84" i="31" s="1"/>
  <c r="C30" i="31"/>
  <c r="D30" i="31"/>
  <c r="E30" i="31"/>
  <c r="O140" i="31" s="1"/>
  <c r="F30" i="31"/>
  <c r="P140" i="31" s="1"/>
  <c r="C31" i="31"/>
  <c r="M86" i="31" s="1"/>
  <c r="D31" i="31"/>
  <c r="N86" i="31" s="1"/>
  <c r="F31" i="31"/>
  <c r="P141" i="31" s="1"/>
  <c r="C32" i="31"/>
  <c r="M87" i="31" s="1"/>
  <c r="D32" i="31"/>
  <c r="N142" i="31" s="1"/>
  <c r="E32" i="31"/>
  <c r="C33" i="31"/>
  <c r="M143" i="31" s="1"/>
  <c r="D33" i="31"/>
  <c r="N88" i="31" s="1"/>
  <c r="F33" i="31"/>
  <c r="P143" i="31" s="1"/>
  <c r="C34" i="31"/>
  <c r="M144" i="31" s="1"/>
  <c r="E34" i="31"/>
  <c r="O144" i="31" s="1"/>
  <c r="F34" i="31"/>
  <c r="P144" i="31" s="1"/>
  <c r="C38" i="31"/>
  <c r="M148" i="31" s="1"/>
  <c r="D38" i="31"/>
  <c r="N148" i="31" s="1"/>
  <c r="E38" i="31"/>
  <c r="O93" i="31" s="1"/>
  <c r="F38" i="31"/>
  <c r="P93" i="31" s="1"/>
  <c r="G38" i="31"/>
  <c r="Q93" i="31" s="1"/>
  <c r="D39" i="31"/>
  <c r="N94" i="31" s="1"/>
  <c r="F39" i="31"/>
  <c r="P94" i="31" s="1"/>
  <c r="D40" i="31"/>
  <c r="N95" i="31" s="1"/>
  <c r="F40" i="31"/>
  <c r="P95" i="31" s="1"/>
  <c r="C41" i="31"/>
  <c r="D41" i="31"/>
  <c r="N151" i="31" s="1"/>
  <c r="F41" i="31"/>
  <c r="P96" i="31" s="1"/>
  <c r="D42" i="31"/>
  <c r="N97" i="31" s="1"/>
  <c r="F42" i="31"/>
  <c r="P97" i="31" s="1"/>
  <c r="D43" i="31"/>
  <c r="N98" i="31" s="1"/>
  <c r="F43" i="31"/>
  <c r="P153" i="31" s="1"/>
  <c r="D44" i="31"/>
  <c r="E44" i="31"/>
  <c r="F44" i="31"/>
  <c r="P99" i="31" s="1"/>
  <c r="C45" i="31"/>
  <c r="M155" i="31" s="1"/>
  <c r="D45" i="31"/>
  <c r="N100" i="31" s="1"/>
  <c r="F45" i="31"/>
  <c r="P155" i="31" s="1"/>
  <c r="C46" i="31"/>
  <c r="M156" i="31" s="1"/>
  <c r="D46" i="31"/>
  <c r="N101" i="31" s="1"/>
  <c r="C47" i="31"/>
  <c r="D47" i="31"/>
  <c r="F47" i="31"/>
  <c r="P157" i="31" s="1"/>
  <c r="C48" i="31"/>
  <c r="M158" i="31" s="1"/>
  <c r="D48" i="31"/>
  <c r="N103" i="31" s="1"/>
  <c r="F48" i="31"/>
  <c r="P103" i="31" s="1"/>
  <c r="D49" i="31"/>
  <c r="N104" i="31" s="1"/>
  <c r="F49" i="31"/>
  <c r="P159" i="31" s="1"/>
  <c r="C50" i="31"/>
  <c r="D50" i="31"/>
  <c r="F50" i="31"/>
  <c r="P105" i="31" s="1"/>
  <c r="C51" i="31"/>
  <c r="M106" i="31" s="1"/>
  <c r="D51" i="31"/>
  <c r="N106" i="31" s="1"/>
  <c r="F51" i="31"/>
  <c r="P106" i="31" s="1"/>
  <c r="C52" i="31"/>
  <c r="M162" i="31" s="1"/>
  <c r="D52" i="31"/>
  <c r="N162" i="31" s="1"/>
  <c r="C53" i="31"/>
  <c r="M108" i="31" s="1"/>
  <c r="D53" i="31"/>
  <c r="N163" i="31" s="1"/>
  <c r="F53" i="31"/>
  <c r="P108" i="31" s="1"/>
  <c r="C54" i="31"/>
  <c r="M109" i="31" s="1"/>
  <c r="D54" i="31"/>
  <c r="N109" i="31" s="1"/>
  <c r="F54" i="31"/>
  <c r="P164" i="31" s="1"/>
  <c r="G6" i="31"/>
  <c r="Q61" i="31" s="1"/>
  <c r="F6" i="31"/>
  <c r="P116" i="31" s="1"/>
  <c r="D6" i="31"/>
  <c r="N61" i="31" s="1"/>
  <c r="O76" i="31"/>
  <c r="O127" i="31"/>
  <c r="O72" i="31"/>
  <c r="N156" i="31"/>
  <c r="N99" i="31"/>
  <c r="N154" i="31"/>
  <c r="N152" i="31"/>
  <c r="M88" i="31"/>
  <c r="P89" i="31"/>
  <c r="P100" i="31"/>
  <c r="R119" i="31"/>
  <c r="Q64" i="31"/>
  <c r="P109" i="31"/>
  <c r="M160" i="31"/>
  <c r="M105" i="31"/>
  <c r="M142" i="31"/>
  <c r="M140" i="31"/>
  <c r="M85" i="31"/>
  <c r="N128" i="31"/>
  <c r="M107" i="31"/>
  <c r="M102" i="31"/>
  <c r="M157" i="31"/>
  <c r="P86" i="31"/>
  <c r="P139" i="31"/>
  <c r="M75" i="31"/>
  <c r="N116" i="31"/>
  <c r="P150" i="31"/>
  <c r="N28" i="7"/>
  <c r="H31" i="27"/>
  <c r="H34" i="27"/>
  <c r="I37" i="3"/>
  <c r="F38" i="3"/>
  <c r="H38" i="3"/>
  <c r="I32" i="3"/>
  <c r="I33" i="3"/>
  <c r="N67" i="7"/>
  <c r="C21" i="27"/>
  <c r="U22" i="33" s="1"/>
  <c r="N74" i="7"/>
  <c r="F42" i="7" s="1"/>
  <c r="G6" i="23"/>
  <c r="G7" i="23"/>
  <c r="G8" i="23"/>
  <c r="G9" i="23"/>
  <c r="G10" i="23"/>
  <c r="G11" i="23"/>
  <c r="G12" i="23"/>
  <c r="G14" i="23"/>
  <c r="G16" i="23"/>
  <c r="G17" i="23"/>
  <c r="G19" i="23"/>
  <c r="G20" i="23"/>
  <c r="G21" i="23"/>
  <c r="G23" i="23"/>
  <c r="N29" i="7"/>
  <c r="I31" i="3"/>
  <c r="N23" i="7"/>
  <c r="F45" i="13"/>
  <c r="C53" i="27"/>
  <c r="J53" i="27" s="1"/>
  <c r="I29" i="3"/>
  <c r="I30" i="3"/>
  <c r="G36" i="27"/>
  <c r="J16" i="13"/>
  <c r="J12" i="13"/>
  <c r="J11" i="13"/>
  <c r="J9" i="13"/>
  <c r="H55" i="27"/>
  <c r="J55" i="27" s="1"/>
  <c r="N90" i="7"/>
  <c r="M90" i="7" s="1"/>
  <c r="N98" i="7"/>
  <c r="M98" i="7" s="1"/>
  <c r="N92" i="7"/>
  <c r="AL56" i="27"/>
  <c r="N25" i="7"/>
  <c r="N52" i="7"/>
  <c r="F16" i="7" s="1"/>
  <c r="I50" i="3"/>
  <c r="I51" i="3" s="1"/>
  <c r="L21" i="3"/>
  <c r="C26" i="27"/>
  <c r="C34" i="27"/>
  <c r="U35" i="33" s="1"/>
  <c r="W35" i="33" s="1"/>
  <c r="AG34" i="27" s="1"/>
  <c r="C28" i="27"/>
  <c r="I23" i="3"/>
  <c r="F42" i="3"/>
  <c r="M36" i="13" s="1"/>
  <c r="M44" i="13"/>
  <c r="N28" i="13"/>
  <c r="N20" i="7"/>
  <c r="N59" i="7"/>
  <c r="N69" i="7"/>
  <c r="N65" i="7"/>
  <c r="F43" i="7" s="1"/>
  <c r="N61" i="7"/>
  <c r="R61" i="7" s="1"/>
  <c r="N47" i="7"/>
  <c r="N24" i="7"/>
  <c r="AH52" i="11"/>
  <c r="N22" i="7"/>
  <c r="M41" i="27"/>
  <c r="C22" i="5" s="1"/>
  <c r="N60" i="7"/>
  <c r="N94" i="7"/>
  <c r="F8" i="7" s="1"/>
  <c r="M50" i="27"/>
  <c r="C49" i="31" s="1"/>
  <c r="U14" i="27"/>
  <c r="E13" i="31" s="1"/>
  <c r="F22" i="15"/>
  <c r="H54" i="27"/>
  <c r="H52" i="27"/>
  <c r="H50" i="27"/>
  <c r="J50" i="27" s="1"/>
  <c r="H49" i="27"/>
  <c r="O25" i="27"/>
  <c r="O21" i="27"/>
  <c r="D22" i="31"/>
  <c r="N132" i="31" s="1"/>
  <c r="D25" i="31"/>
  <c r="N80" i="31" s="1"/>
  <c r="D24" i="31"/>
  <c r="N79" i="31" s="1"/>
  <c r="N26" i="7"/>
  <c r="N51" i="7"/>
  <c r="N35" i="7"/>
  <c r="F11" i="7" s="1"/>
  <c r="N34" i="7"/>
  <c r="F13" i="7" s="1"/>
  <c r="AL36" i="27"/>
  <c r="F19" i="15"/>
  <c r="F15" i="15"/>
  <c r="J19" i="15"/>
  <c r="B6" i="15"/>
  <c r="I6" i="15"/>
  <c r="AE8" i="27"/>
  <c r="AE9" i="27" s="1"/>
  <c r="H8" i="31" s="1"/>
  <c r="G6" i="11"/>
  <c r="F27" i="18"/>
  <c r="G27" i="18"/>
  <c r="H27" i="18"/>
  <c r="E27" i="18"/>
  <c r="G5" i="23"/>
  <c r="K28" i="10"/>
  <c r="Q28" i="10"/>
  <c r="C6" i="11"/>
  <c r="C7" i="11"/>
  <c r="C8" i="11"/>
  <c r="C9" i="11"/>
  <c r="C11" i="11"/>
  <c r="C12" i="11"/>
  <c r="C13" i="11"/>
  <c r="C15" i="11"/>
  <c r="C16" i="11"/>
  <c r="C17" i="11"/>
  <c r="C19" i="11"/>
  <c r="C20" i="11"/>
  <c r="E6" i="11"/>
  <c r="F6" i="11"/>
  <c r="E7" i="11"/>
  <c r="F7" i="11"/>
  <c r="E8" i="11"/>
  <c r="F8" i="11"/>
  <c r="E9" i="11"/>
  <c r="F9" i="11"/>
  <c r="E11" i="11"/>
  <c r="F11" i="11"/>
  <c r="E12" i="11"/>
  <c r="F12" i="11"/>
  <c r="E13" i="11"/>
  <c r="F13" i="11"/>
  <c r="E15" i="11"/>
  <c r="F15" i="11"/>
  <c r="E16" i="11"/>
  <c r="F16" i="11"/>
  <c r="E17" i="11"/>
  <c r="F17" i="11"/>
  <c r="E19" i="11"/>
  <c r="F19" i="11"/>
  <c r="E20" i="11"/>
  <c r="F20" i="11"/>
  <c r="C26" i="11"/>
  <c r="H6" i="11"/>
  <c r="I6" i="11"/>
  <c r="H7" i="11"/>
  <c r="I7" i="11"/>
  <c r="H8" i="11"/>
  <c r="I8" i="11"/>
  <c r="H9" i="11"/>
  <c r="I9" i="11"/>
  <c r="H11" i="11"/>
  <c r="I11" i="11"/>
  <c r="H12" i="11"/>
  <c r="I12" i="11"/>
  <c r="H13" i="11"/>
  <c r="I13" i="11"/>
  <c r="H15" i="11"/>
  <c r="I15" i="11"/>
  <c r="H16" i="11"/>
  <c r="I16" i="11"/>
  <c r="H17" i="11"/>
  <c r="I17" i="11"/>
  <c r="H19" i="11"/>
  <c r="I19" i="11"/>
  <c r="H20" i="11"/>
  <c r="I20" i="11"/>
  <c r="K6" i="11"/>
  <c r="L6" i="11"/>
  <c r="K7" i="11"/>
  <c r="L7" i="11"/>
  <c r="K8" i="11"/>
  <c r="L8" i="11"/>
  <c r="K9" i="11"/>
  <c r="L9" i="11"/>
  <c r="K11" i="11"/>
  <c r="L11" i="11"/>
  <c r="K12" i="11"/>
  <c r="L12" i="11"/>
  <c r="K13" i="11"/>
  <c r="L13" i="11"/>
  <c r="K15" i="11"/>
  <c r="L15" i="11"/>
  <c r="K16" i="11"/>
  <c r="L16" i="11"/>
  <c r="K17" i="11"/>
  <c r="L17" i="11"/>
  <c r="K19" i="11"/>
  <c r="I18" i="14" s="1"/>
  <c r="F18" i="14" s="1"/>
  <c r="L19" i="11"/>
  <c r="K20" i="11"/>
  <c r="L20" i="11"/>
  <c r="N6" i="11"/>
  <c r="O6" i="11"/>
  <c r="N7" i="11"/>
  <c r="O7" i="11"/>
  <c r="N8" i="11"/>
  <c r="O8" i="11"/>
  <c r="N9" i="11"/>
  <c r="O9" i="11"/>
  <c r="N11" i="11"/>
  <c r="O11" i="11"/>
  <c r="N12" i="11"/>
  <c r="O12" i="11"/>
  <c r="N13" i="11"/>
  <c r="O13" i="11"/>
  <c r="N15" i="11"/>
  <c r="O15" i="11"/>
  <c r="N16" i="11"/>
  <c r="O16" i="11"/>
  <c r="N17" i="11"/>
  <c r="O17" i="11"/>
  <c r="N19" i="11"/>
  <c r="O19" i="11"/>
  <c r="N20" i="11"/>
  <c r="O20" i="11"/>
  <c r="Q6" i="11"/>
  <c r="R6" i="11"/>
  <c r="Q7" i="11"/>
  <c r="R7" i="11"/>
  <c r="Q8" i="11"/>
  <c r="R8" i="11"/>
  <c r="Q9" i="11"/>
  <c r="R9" i="11"/>
  <c r="Q11" i="11"/>
  <c r="R11" i="11"/>
  <c r="Q12" i="11"/>
  <c r="R12" i="11"/>
  <c r="J11" i="14" s="1"/>
  <c r="G11" i="14" s="1"/>
  <c r="Q13" i="11"/>
  <c r="J12" i="14" s="1"/>
  <c r="G12" i="14" s="1"/>
  <c r="R13" i="11"/>
  <c r="Q15" i="11"/>
  <c r="R15" i="11"/>
  <c r="Q16" i="11"/>
  <c r="R16" i="11"/>
  <c r="Q17" i="11"/>
  <c r="R17" i="11"/>
  <c r="Q19" i="11"/>
  <c r="R19" i="11"/>
  <c r="Q20" i="11"/>
  <c r="R20" i="11"/>
  <c r="F45" i="23"/>
  <c r="F50" i="23" s="1"/>
  <c r="B18" i="13"/>
  <c r="O16" i="14" s="1"/>
  <c r="B10" i="13"/>
  <c r="B14" i="13"/>
  <c r="B13" i="13"/>
  <c r="O11" i="14" s="1"/>
  <c r="B22" i="13"/>
  <c r="B21" i="13"/>
  <c r="B15" i="13"/>
  <c r="B11" i="13"/>
  <c r="O9" i="14" s="1"/>
  <c r="N18" i="7"/>
  <c r="N42" i="7"/>
  <c r="N32" i="7"/>
  <c r="F12" i="7" s="1"/>
  <c r="I12" i="13"/>
  <c r="I16" i="13"/>
  <c r="I11" i="13"/>
  <c r="I9" i="13"/>
  <c r="I28" i="13" s="1"/>
  <c r="B17" i="13"/>
  <c r="O15" i="14" s="1"/>
  <c r="AO36" i="27"/>
  <c r="AO56" i="27"/>
  <c r="S7" i="11"/>
  <c r="S8" i="11"/>
  <c r="S9" i="11"/>
  <c r="S11" i="11"/>
  <c r="S12" i="11"/>
  <c r="S13" i="11"/>
  <c r="S15" i="11"/>
  <c r="S16" i="11"/>
  <c r="S17" i="11"/>
  <c r="S19" i="11"/>
  <c r="S20" i="11"/>
  <c r="S6" i="11"/>
  <c r="P7" i="11"/>
  <c r="P8" i="11"/>
  <c r="P9" i="11"/>
  <c r="P11" i="11"/>
  <c r="P12" i="11"/>
  <c r="P13" i="11"/>
  <c r="P15" i="11"/>
  <c r="P16" i="11"/>
  <c r="P17" i="11"/>
  <c r="P19" i="11"/>
  <c r="P20" i="11"/>
  <c r="P6" i="11"/>
  <c r="M7" i="11"/>
  <c r="M8" i="11"/>
  <c r="M9" i="11"/>
  <c r="M11" i="11"/>
  <c r="M12" i="11"/>
  <c r="M13" i="11"/>
  <c r="M15" i="11"/>
  <c r="M16" i="11"/>
  <c r="M17" i="11"/>
  <c r="M19" i="11"/>
  <c r="M20" i="11"/>
  <c r="M6" i="11"/>
  <c r="J7" i="11"/>
  <c r="J8" i="11"/>
  <c r="J9" i="11"/>
  <c r="J11" i="11"/>
  <c r="J12" i="11"/>
  <c r="J13" i="11"/>
  <c r="J15" i="11"/>
  <c r="S14" i="14" s="1"/>
  <c r="J16" i="11"/>
  <c r="J17" i="11"/>
  <c r="J19" i="11"/>
  <c r="J20" i="11"/>
  <c r="J6" i="11"/>
  <c r="G8" i="11"/>
  <c r="G9" i="11"/>
  <c r="G11" i="11"/>
  <c r="G12" i="11"/>
  <c r="G13" i="11"/>
  <c r="G15" i="11"/>
  <c r="G16" i="11"/>
  <c r="G17" i="11"/>
  <c r="G19" i="11"/>
  <c r="G20" i="11"/>
  <c r="D7" i="11"/>
  <c r="D8" i="11"/>
  <c r="D9" i="11"/>
  <c r="D11" i="11"/>
  <c r="D12" i="11"/>
  <c r="D13" i="11"/>
  <c r="D15" i="11"/>
  <c r="D16" i="11"/>
  <c r="D17" i="11"/>
  <c r="D19" i="11"/>
  <c r="D20" i="11"/>
  <c r="D6" i="11"/>
  <c r="N72" i="7"/>
  <c r="F41" i="7" s="1"/>
  <c r="N68" i="7"/>
  <c r="F25" i="15"/>
  <c r="I25" i="15" s="1"/>
  <c r="F16" i="15"/>
  <c r="J16" i="15"/>
  <c r="M40" i="27"/>
  <c r="F20" i="15"/>
  <c r="I20" i="15" s="1"/>
  <c r="M29" i="27"/>
  <c r="C28" i="31" s="1"/>
  <c r="M83" i="31" s="1"/>
  <c r="M28" i="27"/>
  <c r="C27" i="31" s="1"/>
  <c r="M137" i="31" s="1"/>
  <c r="F16" i="10"/>
  <c r="E25" i="27" s="1"/>
  <c r="F18" i="10"/>
  <c r="E27" i="27" s="1"/>
  <c r="F23" i="10"/>
  <c r="E31" i="27" s="1"/>
  <c r="F24" i="10"/>
  <c r="F25" i="10"/>
  <c r="F26" i="10"/>
  <c r="E34" i="27" s="1"/>
  <c r="F27" i="10"/>
  <c r="N93" i="7"/>
  <c r="M15" i="7"/>
  <c r="I23" i="18"/>
  <c r="I22" i="18"/>
  <c r="I21" i="18"/>
  <c r="I20" i="18"/>
  <c r="E18" i="27"/>
  <c r="F47" i="3"/>
  <c r="I47" i="3" s="1"/>
  <c r="J28" i="10"/>
  <c r="F27" i="15"/>
  <c r="H11" i="13"/>
  <c r="H12" i="13"/>
  <c r="H9" i="13"/>
  <c r="B8" i="13"/>
  <c r="B16" i="13"/>
  <c r="O14" i="14" s="1"/>
  <c r="B9" i="13"/>
  <c r="I18" i="18"/>
  <c r="B24" i="18"/>
  <c r="P21" i="14" s="1"/>
  <c r="B15" i="18"/>
  <c r="P12" i="14" s="1"/>
  <c r="B19" i="18"/>
  <c r="B22" i="18"/>
  <c r="P19" i="14" s="1"/>
  <c r="Y29" i="27" s="1"/>
  <c r="F28" i="31" s="1"/>
  <c r="P138" i="31" s="1"/>
  <c r="B9" i="18"/>
  <c r="B17" i="18"/>
  <c r="P14" i="14" s="1"/>
  <c r="B14" i="18"/>
  <c r="P11" i="14" s="1"/>
  <c r="B13" i="18"/>
  <c r="B18" i="18"/>
  <c r="P15" i="14" s="1"/>
  <c r="B11" i="18"/>
  <c r="P8" i="14" s="1"/>
  <c r="B10" i="18"/>
  <c r="B12" i="18"/>
  <c r="P9" i="14" s="1"/>
  <c r="B8" i="18"/>
  <c r="P5" i="14" s="1"/>
  <c r="M24" i="27"/>
  <c r="M21" i="7"/>
  <c r="I10" i="15"/>
  <c r="F17" i="15"/>
  <c r="F18" i="15"/>
  <c r="I18" i="15" s="1"/>
  <c r="F21" i="15"/>
  <c r="F23" i="15"/>
  <c r="F26" i="15"/>
  <c r="F28" i="15"/>
  <c r="F29" i="15"/>
  <c r="I29" i="15" s="1"/>
  <c r="J20" i="15"/>
  <c r="J28" i="15"/>
  <c r="N64" i="7"/>
  <c r="F37" i="7" s="1"/>
  <c r="N33" i="7"/>
  <c r="F28" i="7" s="1"/>
  <c r="N57" i="7"/>
  <c r="N44" i="7"/>
  <c r="N43" i="7"/>
  <c r="N45" i="7"/>
  <c r="N46" i="7"/>
  <c r="N49" i="7"/>
  <c r="N50" i="7"/>
  <c r="N36" i="7"/>
  <c r="C20" i="27"/>
  <c r="U21" i="33" s="1"/>
  <c r="W21" i="33" s="1"/>
  <c r="AG20" i="27" s="1"/>
  <c r="E32" i="27"/>
  <c r="J32" i="27" s="1"/>
  <c r="E33" i="27"/>
  <c r="J33" i="27" s="1"/>
  <c r="E35" i="27"/>
  <c r="J35" i="27" s="1"/>
  <c r="C4" i="27"/>
  <c r="F4" i="27"/>
  <c r="B45" i="27" s="1"/>
  <c r="K19" i="15" s="1"/>
  <c r="G4" i="27"/>
  <c r="AL6" i="27"/>
  <c r="I56" i="3"/>
  <c r="AC7" i="27"/>
  <c r="AC8" i="27"/>
  <c r="AC9" i="27"/>
  <c r="AC10" i="27"/>
  <c r="AC11" i="27"/>
  <c r="AC12" i="27"/>
  <c r="AC13" i="27"/>
  <c r="L36" i="27"/>
  <c r="L56" i="27"/>
  <c r="M22" i="27"/>
  <c r="C21" i="31" s="1"/>
  <c r="M131" i="31" s="1"/>
  <c r="M27" i="27"/>
  <c r="N36" i="27"/>
  <c r="O56" i="27"/>
  <c r="D55" i="31" s="1"/>
  <c r="N110" i="31" s="1"/>
  <c r="E56" i="27"/>
  <c r="O19" i="14"/>
  <c r="O13" i="14"/>
  <c r="E45" i="23"/>
  <c r="E50" i="23" s="1"/>
  <c r="D45" i="23"/>
  <c r="D50" i="23" s="1"/>
  <c r="I53" i="3"/>
  <c r="L39" i="3"/>
  <c r="U41" i="27"/>
  <c r="E40" i="31"/>
  <c r="O95" i="31" s="1"/>
  <c r="O18" i="14"/>
  <c r="U40" i="27"/>
  <c r="E39" i="31" s="1"/>
  <c r="O149" i="31" s="1"/>
  <c r="U43" i="27"/>
  <c r="E42" i="31" s="1"/>
  <c r="O97" i="31" s="1"/>
  <c r="U44" i="27"/>
  <c r="E43" i="31" s="1"/>
  <c r="O98" i="31" s="1"/>
  <c r="AE36" i="27"/>
  <c r="AE56" i="27"/>
  <c r="AF56" i="27"/>
  <c r="AF8" i="27" s="1"/>
  <c r="AF57" i="27" s="1"/>
  <c r="U11" i="27"/>
  <c r="E10" i="31" s="1"/>
  <c r="O120" i="31" s="1"/>
  <c r="U12" i="27"/>
  <c r="E11" i="31" s="1"/>
  <c r="O121" i="31" s="1"/>
  <c r="U13" i="27"/>
  <c r="E12" i="31" s="1"/>
  <c r="U10" i="27"/>
  <c r="E9" i="31" s="1"/>
  <c r="G56" i="27"/>
  <c r="F39" i="7"/>
  <c r="I49" i="3"/>
  <c r="I55" i="3"/>
  <c r="I59" i="3" s="1"/>
  <c r="B52" i="11"/>
  <c r="U52" i="11"/>
  <c r="V52" i="11"/>
  <c r="W52" i="11"/>
  <c r="X52" i="11"/>
  <c r="Y52" i="11"/>
  <c r="T52" i="11"/>
  <c r="D26" i="11"/>
  <c r="T6" i="14"/>
  <c r="R6" i="14" s="1"/>
  <c r="T7" i="14"/>
  <c r="R7" i="14" s="1"/>
  <c r="T8" i="14"/>
  <c r="R8" i="14" s="1"/>
  <c r="T9" i="14"/>
  <c r="R9" i="14" s="1"/>
  <c r="T10" i="14"/>
  <c r="R10" i="14"/>
  <c r="T11" i="14"/>
  <c r="R11" i="14"/>
  <c r="T12" i="14"/>
  <c r="R12" i="14" s="1"/>
  <c r="T13" i="14"/>
  <c r="R13" i="14"/>
  <c r="T14" i="14"/>
  <c r="R14" i="14" s="1"/>
  <c r="T15" i="14"/>
  <c r="R15" i="14"/>
  <c r="T16" i="14"/>
  <c r="R16" i="14" s="1"/>
  <c r="T17" i="14"/>
  <c r="T18" i="14"/>
  <c r="R18" i="14"/>
  <c r="T19" i="14"/>
  <c r="R19" i="14" s="1"/>
  <c r="T20" i="14"/>
  <c r="R20" i="14" s="1"/>
  <c r="T21" i="14"/>
  <c r="R21" i="14" s="1"/>
  <c r="T5" i="14"/>
  <c r="AI52" i="11"/>
  <c r="AJ52" i="11"/>
  <c r="AK52" i="11"/>
  <c r="AC52" i="11"/>
  <c r="AD52" i="11"/>
  <c r="AE52" i="11"/>
  <c r="AF52" i="11"/>
  <c r="AG52" i="11"/>
  <c r="AB5" i="14"/>
  <c r="Z5" i="14" s="1"/>
  <c r="AB6" i="14"/>
  <c r="AB7" i="14"/>
  <c r="Z7" i="14" s="1"/>
  <c r="AB8" i="14"/>
  <c r="Y8" i="14" s="1"/>
  <c r="AB9" i="14"/>
  <c r="AA9" i="14" s="1"/>
  <c r="AB10" i="14"/>
  <c r="AB11" i="14"/>
  <c r="Z11" i="14" s="1"/>
  <c r="AB12" i="14"/>
  <c r="Z12" i="14" s="1"/>
  <c r="AB13" i="14"/>
  <c r="Z13" i="14"/>
  <c r="AB14" i="14"/>
  <c r="Z14" i="14" s="1"/>
  <c r="AB15" i="14"/>
  <c r="Z15" i="14" s="1"/>
  <c r="AB16" i="14"/>
  <c r="AB17" i="14"/>
  <c r="Z17" i="14" s="1"/>
  <c r="AB18" i="14"/>
  <c r="Z18" i="14" s="1"/>
  <c r="AB19" i="14"/>
  <c r="Z19" i="14"/>
  <c r="AB20" i="14"/>
  <c r="AB21" i="14"/>
  <c r="Z21" i="14" s="1"/>
  <c r="AD5" i="14"/>
  <c r="AC5" i="14"/>
  <c r="AD6" i="14"/>
  <c r="AC6" i="14"/>
  <c r="AD7" i="14"/>
  <c r="AC7" i="14"/>
  <c r="X7" i="14" s="1"/>
  <c r="AD8" i="14"/>
  <c r="AC8" i="14"/>
  <c r="AD9" i="14"/>
  <c r="AC9" i="14"/>
  <c r="AD10" i="14"/>
  <c r="AC10" i="14"/>
  <c r="AC11" i="14"/>
  <c r="AD12" i="14"/>
  <c r="X12" i="14" s="1"/>
  <c r="AC12" i="14"/>
  <c r="AD13" i="14"/>
  <c r="Y13" i="14"/>
  <c r="AC13" i="14"/>
  <c r="AD14" i="14"/>
  <c r="AC14" i="14"/>
  <c r="AD15" i="14"/>
  <c r="AC15" i="14"/>
  <c r="X15" i="14" s="1"/>
  <c r="AD16" i="14"/>
  <c r="AC16" i="14"/>
  <c r="AD17" i="14"/>
  <c r="AC17" i="14"/>
  <c r="AD18" i="14"/>
  <c r="X18" i="14" s="1"/>
  <c r="AC18" i="14"/>
  <c r="AD19" i="14"/>
  <c r="AC19" i="14"/>
  <c r="X19" i="14" s="1"/>
  <c r="AD20" i="14"/>
  <c r="AC20" i="14"/>
  <c r="AD21" i="14"/>
  <c r="AC21" i="14"/>
  <c r="O17" i="14"/>
  <c r="H52" i="11"/>
  <c r="D36" i="27"/>
  <c r="T36" i="27"/>
  <c r="S36" i="27"/>
  <c r="R36" i="27"/>
  <c r="AB52" i="11"/>
  <c r="AA52" i="11"/>
  <c r="Z52" i="11"/>
  <c r="S52" i="11"/>
  <c r="R52" i="11"/>
  <c r="Q52" i="11"/>
  <c r="P52" i="11"/>
  <c r="O52" i="11"/>
  <c r="N52" i="11"/>
  <c r="M52" i="11"/>
  <c r="L52" i="11"/>
  <c r="K52" i="11"/>
  <c r="J52" i="11"/>
  <c r="I52" i="11"/>
  <c r="G52" i="11"/>
  <c r="F52" i="11"/>
  <c r="E52" i="11"/>
  <c r="D52" i="11"/>
  <c r="D54" i="11" s="1"/>
  <c r="C52" i="11"/>
  <c r="C54" i="11" s="1"/>
  <c r="O28" i="10"/>
  <c r="N28" i="10"/>
  <c r="I28" i="10"/>
  <c r="H28" i="10"/>
  <c r="P16" i="14"/>
  <c r="P10" i="14"/>
  <c r="P7" i="14"/>
  <c r="G28" i="13"/>
  <c r="F28" i="13"/>
  <c r="N91" i="7"/>
  <c r="N66" i="7"/>
  <c r="F38" i="7" s="1"/>
  <c r="N5" i="7"/>
  <c r="M5" i="7"/>
  <c r="L5" i="7"/>
  <c r="F4" i="7"/>
  <c r="F18" i="5"/>
  <c r="B17" i="5"/>
  <c r="C8" i="5"/>
  <c r="F6" i="5"/>
  <c r="H51" i="3"/>
  <c r="H59" i="3"/>
  <c r="F59" i="3"/>
  <c r="I57" i="3"/>
  <c r="G51" i="3"/>
  <c r="F51" i="3"/>
  <c r="M51" i="3"/>
  <c r="F43" i="3" s="1"/>
  <c r="M46" i="3"/>
  <c r="F41" i="3" s="1"/>
  <c r="I41" i="3" s="1"/>
  <c r="H45" i="3"/>
  <c r="I27" i="3"/>
  <c r="I26" i="3"/>
  <c r="I25" i="3"/>
  <c r="I24" i="3"/>
  <c r="I22" i="3"/>
  <c r="I21" i="3"/>
  <c r="I20" i="3"/>
  <c r="I19" i="3"/>
  <c r="I18" i="3"/>
  <c r="I17" i="3"/>
  <c r="I16" i="3"/>
  <c r="H14" i="3"/>
  <c r="H39" i="3"/>
  <c r="H61" i="3" s="1"/>
  <c r="G14" i="3"/>
  <c r="G39" i="3" s="1"/>
  <c r="F14" i="3"/>
  <c r="F1" i="3"/>
  <c r="C51" i="1"/>
  <c r="B35" i="1"/>
  <c r="AD11" i="14"/>
  <c r="X11" i="14" s="1"/>
  <c r="A1" i="1"/>
  <c r="Y17" i="14"/>
  <c r="I28" i="15"/>
  <c r="I23" i="15"/>
  <c r="J23" i="15"/>
  <c r="J21" i="15"/>
  <c r="I26" i="15"/>
  <c r="J26" i="15"/>
  <c r="J18" i="15"/>
  <c r="I17" i="15"/>
  <c r="X9" i="14"/>
  <c r="AE57" i="27"/>
  <c r="O152" i="31"/>
  <c r="C26" i="31"/>
  <c r="M136" i="31" s="1"/>
  <c r="O94" i="31"/>
  <c r="J11" i="15"/>
  <c r="J17" i="15"/>
  <c r="J15" i="14"/>
  <c r="G15" i="14" s="1"/>
  <c r="X20" i="14"/>
  <c r="AA15" i="14"/>
  <c r="I21" i="14"/>
  <c r="F21" i="14" s="1"/>
  <c r="H13" i="14"/>
  <c r="E13" i="14" s="1"/>
  <c r="AA21" i="14"/>
  <c r="X17" i="14"/>
  <c r="S11" i="14"/>
  <c r="X16" i="14"/>
  <c r="X14" i="14"/>
  <c r="X6" i="14"/>
  <c r="J5" i="14"/>
  <c r="I7" i="14"/>
  <c r="F7" i="14"/>
  <c r="I17" i="14"/>
  <c r="F17" i="14" s="1"/>
  <c r="H16" i="14"/>
  <c r="E16" i="14" s="1"/>
  <c r="H15" i="14"/>
  <c r="E15" i="14" s="1"/>
  <c r="I10" i="14"/>
  <c r="F10" i="14" s="1"/>
  <c r="I20" i="14"/>
  <c r="F20" i="14"/>
  <c r="I15" i="14"/>
  <c r="F15" i="14" s="1"/>
  <c r="S21" i="14"/>
  <c r="Y18" i="14"/>
  <c r="AA17" i="14"/>
  <c r="AA11" i="14"/>
  <c r="X10" i="14"/>
  <c r="X8" i="14"/>
  <c r="S20" i="14"/>
  <c r="J20" i="14"/>
  <c r="G20" i="14" s="1"/>
  <c r="J9" i="14"/>
  <c r="G9" i="14" s="1"/>
  <c r="I13" i="14"/>
  <c r="F13" i="14" s="1"/>
  <c r="H21" i="14"/>
  <c r="E21" i="14" s="1"/>
  <c r="H11" i="14"/>
  <c r="E11" i="14" s="1"/>
  <c r="J13" i="14"/>
  <c r="G13" i="14" s="1"/>
  <c r="AA13" i="14"/>
  <c r="H8" i="14"/>
  <c r="E8" i="14" s="1"/>
  <c r="H20" i="14"/>
  <c r="E20" i="14" s="1"/>
  <c r="H17" i="14"/>
  <c r="E17" i="14" s="1"/>
  <c r="Y16" i="14"/>
  <c r="AA16" i="14"/>
  <c r="S13" i="14"/>
  <c r="X21" i="14"/>
  <c r="X5" i="14"/>
  <c r="Y5" i="14"/>
  <c r="Z10" i="14"/>
  <c r="Y10" i="14"/>
  <c r="Z6" i="14"/>
  <c r="J21" i="14"/>
  <c r="G21" i="14" s="1"/>
  <c r="R5" i="14"/>
  <c r="H9" i="14"/>
  <c r="E9" i="14" s="1"/>
  <c r="AA20" i="14"/>
  <c r="AA12" i="14"/>
  <c r="Z20" i="14"/>
  <c r="Z16" i="14"/>
  <c r="R17" i="14"/>
  <c r="S17" i="14"/>
  <c r="H18" i="14"/>
  <c r="E18" i="14" s="1"/>
  <c r="Y20" i="14"/>
  <c r="Y6" i="14"/>
  <c r="I9" i="14"/>
  <c r="F9" i="14" s="1"/>
  <c r="Y19" i="14"/>
  <c r="Y15" i="14"/>
  <c r="Y7" i="14"/>
  <c r="S15" i="14"/>
  <c r="Y21" i="14"/>
  <c r="J17" i="14"/>
  <c r="G17" i="14" s="1"/>
  <c r="M56" i="27"/>
  <c r="O12" i="14"/>
  <c r="O8" i="14"/>
  <c r="O20" i="14"/>
  <c r="O7" i="14"/>
  <c r="F9" i="7"/>
  <c r="N43" i="27"/>
  <c r="C42" i="31" s="1"/>
  <c r="G5" i="14"/>
  <c r="F11" i="29"/>
  <c r="O6" i="14"/>
  <c r="P28" i="10"/>
  <c r="O10" i="14"/>
  <c r="C11" i="31"/>
  <c r="M121" i="31" s="1"/>
  <c r="F22" i="5"/>
  <c r="C21" i="5" s="1"/>
  <c r="B28" i="18"/>
  <c r="N13" i="7" s="1"/>
  <c r="M13" i="7" s="1"/>
  <c r="M53" i="3"/>
  <c r="F12" i="5"/>
  <c r="G12" i="5" s="1"/>
  <c r="F22" i="7"/>
  <c r="N9" i="7"/>
  <c r="F34" i="7" s="1"/>
  <c r="N73" i="7"/>
  <c r="I42" i="3"/>
  <c r="C6" i="31"/>
  <c r="M61" i="31" s="1"/>
  <c r="N48" i="7"/>
  <c r="C12" i="31"/>
  <c r="M67" i="31" s="1"/>
  <c r="F23" i="5"/>
  <c r="C18" i="5" s="1"/>
  <c r="N70" i="7"/>
  <c r="C7" i="31"/>
  <c r="M117" i="31" s="1"/>
  <c r="L54" i="3"/>
  <c r="S55" i="27" l="1"/>
  <c r="S56" i="27" s="1"/>
  <c r="S57" i="27" s="1"/>
  <c r="I30" i="15"/>
  <c r="M89" i="31"/>
  <c r="F10" i="7"/>
  <c r="F7" i="7"/>
  <c r="B18" i="7"/>
  <c r="D10" i="27" s="1"/>
  <c r="J10" i="27" s="1"/>
  <c r="F15" i="7"/>
  <c r="F39" i="3"/>
  <c r="M33" i="13"/>
  <c r="B31" i="13" s="1"/>
  <c r="N35" i="13"/>
  <c r="M54" i="3"/>
  <c r="B8" i="7"/>
  <c r="G14" i="27"/>
  <c r="G57" i="27"/>
  <c r="M36" i="27"/>
  <c r="C35" i="31" s="1"/>
  <c r="M145" i="31" s="1"/>
  <c r="C40" i="31"/>
  <c r="M95" i="31" s="1"/>
  <c r="M103" i="31"/>
  <c r="B39" i="32"/>
  <c r="B32" i="27"/>
  <c r="K10" i="15" s="1"/>
  <c r="R93" i="31"/>
  <c r="N143" i="31"/>
  <c r="M161" i="31"/>
  <c r="M66" i="31"/>
  <c r="C23" i="31"/>
  <c r="M78" i="31" s="1"/>
  <c r="J14" i="27"/>
  <c r="B13" i="31" s="1"/>
  <c r="L68" i="31" s="1"/>
  <c r="N93" i="31"/>
  <c r="P160" i="31"/>
  <c r="P102" i="31"/>
  <c r="P85" i="31"/>
  <c r="W20" i="33"/>
  <c r="AG19" i="27" s="1"/>
  <c r="B43" i="27"/>
  <c r="K17" i="15" s="1"/>
  <c r="O153" i="31"/>
  <c r="B41" i="27"/>
  <c r="B40" i="31" s="1"/>
  <c r="L150" i="31" s="1"/>
  <c r="N96" i="31"/>
  <c r="P118" i="31"/>
  <c r="B47" i="27"/>
  <c r="K21" i="15" s="1"/>
  <c r="N78" i="31"/>
  <c r="C56" i="27"/>
  <c r="M133" i="31"/>
  <c r="M100" i="31"/>
  <c r="P151" i="31"/>
  <c r="M127" i="31"/>
  <c r="N72" i="31"/>
  <c r="P148" i="31"/>
  <c r="M64" i="31"/>
  <c r="N141" i="31"/>
  <c r="B51" i="27"/>
  <c r="K25" i="15" s="1"/>
  <c r="B53" i="27"/>
  <c r="B52" i="31" s="1"/>
  <c r="L107" i="31" s="1"/>
  <c r="P152" i="31"/>
  <c r="M134" i="31"/>
  <c r="R116" i="31"/>
  <c r="N149" i="31"/>
  <c r="N66" i="31"/>
  <c r="N158" i="31"/>
  <c r="M141" i="31"/>
  <c r="M164" i="31"/>
  <c r="F61" i="7"/>
  <c r="B28" i="7" s="1"/>
  <c r="M139" i="31"/>
  <c r="B33" i="27"/>
  <c r="B32" i="31" s="1"/>
  <c r="M138" i="31"/>
  <c r="B48" i="27"/>
  <c r="K22" i="15" s="1"/>
  <c r="P121" i="31"/>
  <c r="P158" i="31"/>
  <c r="O78" i="31"/>
  <c r="O74" i="31"/>
  <c r="L148" i="31"/>
  <c r="P161" i="31"/>
  <c r="N155" i="31"/>
  <c r="O83" i="31"/>
  <c r="Q63" i="31"/>
  <c r="O36" i="27"/>
  <c r="D35" i="31" s="1"/>
  <c r="Q148" i="31"/>
  <c r="L118" i="31"/>
  <c r="L63" i="31"/>
  <c r="W25" i="33"/>
  <c r="AG24" i="27" s="1"/>
  <c r="P104" i="31"/>
  <c r="N153" i="31"/>
  <c r="O134" i="31"/>
  <c r="P149" i="31"/>
  <c r="Q66" i="31"/>
  <c r="N131" i="31"/>
  <c r="N159" i="31"/>
  <c r="M128" i="31"/>
  <c r="P119" i="31"/>
  <c r="N67" i="31"/>
  <c r="P98" i="31"/>
  <c r="N119" i="31"/>
  <c r="N107" i="31"/>
  <c r="O89" i="31"/>
  <c r="N117" i="31"/>
  <c r="N150" i="31"/>
  <c r="M122" i="31"/>
  <c r="O150" i="31"/>
  <c r="N134" i="31"/>
  <c r="O75" i="31"/>
  <c r="M101" i="31"/>
  <c r="M80" i="31"/>
  <c r="N161" i="31"/>
  <c r="N89" i="31"/>
  <c r="N84" i="31"/>
  <c r="I14" i="3"/>
  <c r="J54" i="27"/>
  <c r="F45" i="3"/>
  <c r="F61" i="3" s="1"/>
  <c r="I43" i="3"/>
  <c r="I45" i="3"/>
  <c r="H6" i="14"/>
  <c r="E6" i="14" s="1"/>
  <c r="J16" i="14"/>
  <c r="G16" i="14" s="1"/>
  <c r="I16" i="14"/>
  <c r="F16" i="14" s="1"/>
  <c r="D24" i="11"/>
  <c r="H12" i="14"/>
  <c r="E12" i="14" s="1"/>
  <c r="J7" i="14"/>
  <c r="J6" i="14"/>
  <c r="G6" i="14" s="1"/>
  <c r="L24" i="11"/>
  <c r="I6" i="14"/>
  <c r="F6" i="14" s="1"/>
  <c r="I22" i="14"/>
  <c r="F22" i="14" s="1"/>
  <c r="D17" i="10"/>
  <c r="E17" i="10" s="1"/>
  <c r="F17" i="10" s="1"/>
  <c r="E26" i="27" s="1"/>
  <c r="B26" i="27" s="1"/>
  <c r="D14" i="10"/>
  <c r="I27" i="15"/>
  <c r="I16" i="15"/>
  <c r="T42" i="27"/>
  <c r="U42" i="27" s="1"/>
  <c r="E41" i="31" s="1"/>
  <c r="O151" i="31" s="1"/>
  <c r="Q34" i="27"/>
  <c r="U34" i="27" s="1"/>
  <c r="E33" i="31" s="1"/>
  <c r="O88" i="31" s="1"/>
  <c r="R53" i="27"/>
  <c r="U53" i="27" s="1"/>
  <c r="E52" i="31" s="1"/>
  <c r="O107" i="31" s="1"/>
  <c r="Q51" i="27"/>
  <c r="U51" i="27" s="1"/>
  <c r="E50" i="31" s="1"/>
  <c r="O105" i="31" s="1"/>
  <c r="N44" i="27"/>
  <c r="C43" i="31" s="1"/>
  <c r="M98" i="31" s="1"/>
  <c r="F158" i="29"/>
  <c r="F159" i="29" s="1"/>
  <c r="F14" i="7"/>
  <c r="F6" i="7" s="1"/>
  <c r="F27" i="7"/>
  <c r="F26" i="7" s="1"/>
  <c r="B23" i="7" s="1"/>
  <c r="I105" i="7"/>
  <c r="F36" i="7"/>
  <c r="F23" i="7"/>
  <c r="Y27" i="27"/>
  <c r="F26" i="31" s="1"/>
  <c r="P81" i="31" s="1"/>
  <c r="B20" i="18"/>
  <c r="P17" i="14" s="1"/>
  <c r="Y23" i="27"/>
  <c r="F22" i="31" s="1"/>
  <c r="P132" i="31" s="1"/>
  <c r="Y21" i="27"/>
  <c r="F20" i="31" s="1"/>
  <c r="P130" i="31" s="1"/>
  <c r="I27" i="18"/>
  <c r="Y20" i="27"/>
  <c r="F19" i="31" s="1"/>
  <c r="P74" i="31" s="1"/>
  <c r="Y22" i="27"/>
  <c r="F21" i="31" s="1"/>
  <c r="P76" i="31" s="1"/>
  <c r="Y26" i="27"/>
  <c r="B9" i="32" s="1"/>
  <c r="B14" i="32" s="1"/>
  <c r="B17" i="32" s="1"/>
  <c r="Y33" i="27"/>
  <c r="F32" i="31" s="1"/>
  <c r="P87" i="31" s="1"/>
  <c r="H28" i="13"/>
  <c r="O23" i="14"/>
  <c r="B24" i="13"/>
  <c r="B25" i="13" s="1"/>
  <c r="D37" i="1" s="1"/>
  <c r="F44" i="13"/>
  <c r="F57" i="13" s="1"/>
  <c r="B33" i="13"/>
  <c r="S9" i="14"/>
  <c r="Z8" i="14"/>
  <c r="Y12" i="14"/>
  <c r="Y47" i="27"/>
  <c r="F46" i="31" s="1"/>
  <c r="B31" i="27"/>
  <c r="Y14" i="14"/>
  <c r="AA14" i="14"/>
  <c r="X13" i="14"/>
  <c r="X23" i="14" s="1"/>
  <c r="B47" i="31"/>
  <c r="Y24" i="27"/>
  <c r="F23" i="31" s="1"/>
  <c r="P133" i="31" s="1"/>
  <c r="S7" i="14"/>
  <c r="Y18" i="27"/>
  <c r="F17" i="31" s="1"/>
  <c r="P127" i="31" s="1"/>
  <c r="AL57" i="27"/>
  <c r="U54" i="33"/>
  <c r="W54" i="33" s="1"/>
  <c r="AG53" i="27" s="1"/>
  <c r="AG56" i="27" s="1"/>
  <c r="B52" i="27"/>
  <c r="J31" i="27"/>
  <c r="H36" i="27"/>
  <c r="J52" i="27"/>
  <c r="C111" i="31"/>
  <c r="I165" i="31"/>
  <c r="E166" i="31"/>
  <c r="AO57" i="27"/>
  <c r="G45" i="23"/>
  <c r="C21" i="23" s="1"/>
  <c r="M97" i="31"/>
  <c r="M152" i="31"/>
  <c r="R23" i="14"/>
  <c r="B16" i="18"/>
  <c r="P13" i="14" s="1"/>
  <c r="Y28" i="27" s="1"/>
  <c r="O96" i="31"/>
  <c r="B23" i="18"/>
  <c r="P20" i="14" s="1"/>
  <c r="Y53" i="27" s="1"/>
  <c r="Y9" i="15"/>
  <c r="J15" i="33"/>
  <c r="M11" i="33" s="1"/>
  <c r="F43" i="13"/>
  <c r="F56" i="13" s="1"/>
  <c r="J10" i="15"/>
  <c r="Y9" i="14"/>
  <c r="Z9" i="14"/>
  <c r="Z23" i="14" s="1"/>
  <c r="B18" i="27"/>
  <c r="I22" i="15"/>
  <c r="N108" i="31"/>
  <c r="I49" i="13"/>
  <c r="I48" i="13"/>
  <c r="G21" i="34"/>
  <c r="J21" i="34" s="1"/>
  <c r="H21" i="34"/>
  <c r="W19" i="33"/>
  <c r="AG18" i="27" s="1"/>
  <c r="M26" i="34"/>
  <c r="P27" i="33"/>
  <c r="P19" i="33"/>
  <c r="S19" i="33" s="1"/>
  <c r="M18" i="34"/>
  <c r="V19" i="33" s="1"/>
  <c r="B46" i="27"/>
  <c r="B44" i="27"/>
  <c r="B42" i="27"/>
  <c r="B40" i="27"/>
  <c r="B50" i="27"/>
  <c r="B55" i="27"/>
  <c r="B54" i="31" s="1"/>
  <c r="L109" i="31" s="1"/>
  <c r="I15" i="15"/>
  <c r="N40" i="27" s="1"/>
  <c r="P28" i="33"/>
  <c r="S28" i="33" s="1"/>
  <c r="M27" i="34"/>
  <c r="V28" i="33" s="1"/>
  <c r="W28" i="33" s="1"/>
  <c r="AG27" i="27" s="1"/>
  <c r="J43" i="33"/>
  <c r="M43" i="33" s="1"/>
  <c r="I57" i="33"/>
  <c r="E15" i="33"/>
  <c r="E58" i="33"/>
  <c r="H29" i="34"/>
  <c r="G29" i="34"/>
  <c r="J29" i="34" s="1"/>
  <c r="P6" i="14"/>
  <c r="Y11" i="14"/>
  <c r="L31" i="18"/>
  <c r="B30" i="18" s="1"/>
  <c r="L30" i="18"/>
  <c r="J18" i="14"/>
  <c r="G18" i="14" s="1"/>
  <c r="R24" i="11"/>
  <c r="AA18" i="14"/>
  <c r="O24" i="11"/>
  <c r="I12" i="14"/>
  <c r="F12" i="14" s="1"/>
  <c r="S18" i="14"/>
  <c r="S12" i="14"/>
  <c r="F24" i="11"/>
  <c r="H19" i="14"/>
  <c r="E19" i="14" s="1"/>
  <c r="I19" i="15"/>
  <c r="N45" i="27" s="1"/>
  <c r="C44" i="31" s="1"/>
  <c r="M159" i="31"/>
  <c r="M104" i="31"/>
  <c r="I145" i="31"/>
  <c r="N165" i="31"/>
  <c r="M28" i="13"/>
  <c r="I38" i="3"/>
  <c r="R46" i="27"/>
  <c r="U46" i="27" s="1"/>
  <c r="E45" i="31" s="1"/>
  <c r="N24" i="11"/>
  <c r="H14" i="14"/>
  <c r="E14" i="14" s="1"/>
  <c r="B49" i="27"/>
  <c r="J49" i="27"/>
  <c r="H56" i="27"/>
  <c r="P29" i="33"/>
  <c r="M28" i="34"/>
  <c r="N160" i="31"/>
  <c r="N105" i="31"/>
  <c r="N157" i="31"/>
  <c r="N102" i="31"/>
  <c r="O99" i="31"/>
  <c r="O154" i="31"/>
  <c r="M151" i="31"/>
  <c r="M96" i="31"/>
  <c r="O87" i="31"/>
  <c r="O142" i="31"/>
  <c r="N140" i="31"/>
  <c r="N85" i="31"/>
  <c r="J20" i="33"/>
  <c r="I37" i="33"/>
  <c r="I58" i="33" s="1"/>
  <c r="G25" i="34"/>
  <c r="J25" i="34" s="1"/>
  <c r="H25" i="34"/>
  <c r="F24" i="15"/>
  <c r="C30" i="15"/>
  <c r="M116" i="31"/>
  <c r="F9" i="5"/>
  <c r="G9" i="5" s="1"/>
  <c r="I21" i="15"/>
  <c r="R47" i="27" s="1"/>
  <c r="U47" i="27" s="1"/>
  <c r="E46" i="31" s="1"/>
  <c r="M150" i="31"/>
  <c r="J28" i="13"/>
  <c r="F13" i="5"/>
  <c r="G13" i="5" s="1"/>
  <c r="O9" i="27"/>
  <c r="D8" i="31" s="1"/>
  <c r="N63" i="31" s="1"/>
  <c r="P154" i="31"/>
  <c r="M93" i="31"/>
  <c r="M163" i="31"/>
  <c r="O148" i="31"/>
  <c r="P163" i="31"/>
  <c r="B28" i="27"/>
  <c r="J19" i="14"/>
  <c r="G19" i="14" s="1"/>
  <c r="J14" i="14"/>
  <c r="G14" i="14" s="1"/>
  <c r="J8" i="14"/>
  <c r="G8" i="14" s="1"/>
  <c r="AA19" i="14"/>
  <c r="AA8" i="14"/>
  <c r="I19" i="14"/>
  <c r="F19" i="14" s="1"/>
  <c r="I14" i="14"/>
  <c r="F14" i="14" s="1"/>
  <c r="I8" i="14"/>
  <c r="F8" i="14" s="1"/>
  <c r="S19" i="14"/>
  <c r="H24" i="11"/>
  <c r="E24" i="11"/>
  <c r="H10" i="14"/>
  <c r="E10" i="14" s="1"/>
  <c r="G24" i="11"/>
  <c r="S28" i="10"/>
  <c r="D18" i="10"/>
  <c r="AA22" i="14"/>
  <c r="W24" i="33"/>
  <c r="AG23" i="27" s="1"/>
  <c r="P24" i="11"/>
  <c r="I24" i="11"/>
  <c r="C24" i="11"/>
  <c r="D28" i="31"/>
  <c r="F57" i="27"/>
  <c r="H7" i="14"/>
  <c r="E7" i="14" s="1"/>
  <c r="J24" i="11"/>
  <c r="I11" i="14"/>
  <c r="F11" i="14" s="1"/>
  <c r="S24" i="11"/>
  <c r="AA6" i="14"/>
  <c r="S16" i="14"/>
  <c r="P88" i="31"/>
  <c r="O85" i="31"/>
  <c r="P67" i="31"/>
  <c r="O135" i="31"/>
  <c r="J22" i="14"/>
  <c r="G22" i="14" s="1"/>
  <c r="J57" i="33"/>
  <c r="M57" i="33" s="1"/>
  <c r="M24" i="11"/>
  <c r="N77" i="31"/>
  <c r="N164" i="31"/>
  <c r="N87" i="31"/>
  <c r="D22" i="10"/>
  <c r="E22" i="10" s="1"/>
  <c r="F22" i="10" s="1"/>
  <c r="E30" i="27" s="1"/>
  <c r="B30" i="27" s="1"/>
  <c r="D16" i="10"/>
  <c r="J10" i="14"/>
  <c r="G10" i="14" s="1"/>
  <c r="AA10" i="14"/>
  <c r="AA5" i="14"/>
  <c r="K24" i="11"/>
  <c r="S10" i="14"/>
  <c r="S5" i="14"/>
  <c r="D20" i="31"/>
  <c r="C36" i="27"/>
  <c r="C57" i="27" s="1"/>
  <c r="C63" i="27" s="1"/>
  <c r="H166" i="31"/>
  <c r="P21" i="33"/>
  <c r="S21" i="33" s="1"/>
  <c r="U36" i="33"/>
  <c r="W36" i="33" s="1"/>
  <c r="AG35" i="27" s="1"/>
  <c r="B54" i="27"/>
  <c r="B35" i="27"/>
  <c r="B34" i="31" s="1"/>
  <c r="G7" i="14"/>
  <c r="S8" i="14"/>
  <c r="I5" i="14"/>
  <c r="AA7" i="14"/>
  <c r="H5" i="14"/>
  <c r="Q24" i="11"/>
  <c r="S6" i="14"/>
  <c r="W57" i="33"/>
  <c r="D166" i="31"/>
  <c r="O64" i="31"/>
  <c r="O119" i="31"/>
  <c r="O66" i="31"/>
  <c r="N136" i="31"/>
  <c r="P65" i="31"/>
  <c r="M68" i="31"/>
  <c r="M63" i="31"/>
  <c r="Q67" i="31"/>
  <c r="O128" i="31"/>
  <c r="O136" i="31"/>
  <c r="B44" i="31"/>
  <c r="P83" i="31"/>
  <c r="N120" i="31"/>
  <c r="B46" i="31"/>
  <c r="O77" i="31"/>
  <c r="O122" i="31"/>
  <c r="O67" i="31"/>
  <c r="O123" i="31"/>
  <c r="O68" i="31"/>
  <c r="R63" i="31"/>
  <c r="R118" i="31"/>
  <c r="M57" i="27"/>
  <c r="F21" i="5" s="1"/>
  <c r="C20" i="5" s="1"/>
  <c r="O65" i="31"/>
  <c r="N82" i="31"/>
  <c r="Q62" i="31"/>
  <c r="P61" i="31"/>
  <c r="R65" i="31"/>
  <c r="M132" i="31"/>
  <c r="O82" i="31"/>
  <c r="Q120" i="31"/>
  <c r="N129" i="31"/>
  <c r="M62" i="31"/>
  <c r="M76" i="31"/>
  <c r="R121" i="31"/>
  <c r="Q116" i="31"/>
  <c r="M81" i="31"/>
  <c r="M82" i="31"/>
  <c r="N135" i="31"/>
  <c r="N123" i="31"/>
  <c r="R68" i="31"/>
  <c r="M74" i="31"/>
  <c r="P117" i="31"/>
  <c r="R122" i="31"/>
  <c r="B34" i="27"/>
  <c r="J34" i="27"/>
  <c r="J27" i="27"/>
  <c r="B27" i="27"/>
  <c r="B25" i="27"/>
  <c r="J25" i="27"/>
  <c r="E20" i="10"/>
  <c r="F20" i="10" s="1"/>
  <c r="E14" i="10"/>
  <c r="F14" i="10" s="1"/>
  <c r="E23" i="27" s="1"/>
  <c r="J23" i="27" s="1"/>
  <c r="J18" i="27"/>
  <c r="C10" i="10"/>
  <c r="C28" i="10" s="1"/>
  <c r="D12" i="10"/>
  <c r="D11" i="10"/>
  <c r="E11" i="10" s="1"/>
  <c r="E13" i="10"/>
  <c r="F13" i="10" s="1"/>
  <c r="E22" i="27" s="1"/>
  <c r="B10" i="10"/>
  <c r="D21" i="10"/>
  <c r="E21" i="10" s="1"/>
  <c r="D15" i="10"/>
  <c r="E15" i="10" s="1"/>
  <c r="F15" i="10" s="1"/>
  <c r="E24" i="27" s="1"/>
  <c r="U55" i="27" l="1"/>
  <c r="E54" i="31" s="1"/>
  <c r="O164" i="31" s="1"/>
  <c r="M90" i="31"/>
  <c r="B17" i="7"/>
  <c r="D8" i="27" s="1"/>
  <c r="J8" i="27" s="1"/>
  <c r="B7" i="31" s="1"/>
  <c r="L62" i="31" s="1"/>
  <c r="B9" i="31"/>
  <c r="L119" i="31" s="1"/>
  <c r="AJ10" i="27"/>
  <c r="AM10" i="27" s="1"/>
  <c r="D12" i="27"/>
  <c r="J12" i="27" s="1"/>
  <c r="B11" i="31" s="1"/>
  <c r="L121" i="31" s="1"/>
  <c r="B11" i="7"/>
  <c r="F33" i="7"/>
  <c r="D7" i="27"/>
  <c r="J7" i="27" s="1"/>
  <c r="B6" i="31" s="1"/>
  <c r="G19" i="5"/>
  <c r="Q7" i="27"/>
  <c r="U7" i="27" s="1"/>
  <c r="H19" i="5"/>
  <c r="U57" i="33"/>
  <c r="B31" i="31"/>
  <c r="K26" i="15"/>
  <c r="L95" i="31"/>
  <c r="P129" i="31"/>
  <c r="L123" i="31"/>
  <c r="G63" i="27"/>
  <c r="B42" i="31"/>
  <c r="K27" i="15"/>
  <c r="B50" i="31"/>
  <c r="B14" i="7"/>
  <c r="D13" i="27" s="1"/>
  <c r="B29" i="18"/>
  <c r="L162" i="31"/>
  <c r="L164" i="31"/>
  <c r="K29" i="15"/>
  <c r="N145" i="31"/>
  <c r="N90" i="31"/>
  <c r="F63" i="27"/>
  <c r="P72" i="31"/>
  <c r="P77" i="31"/>
  <c r="I39" i="3"/>
  <c r="P136" i="31"/>
  <c r="F40" i="13"/>
  <c r="F39" i="13"/>
  <c r="O143" i="31"/>
  <c r="H11" i="27"/>
  <c r="N14" i="7" s="1"/>
  <c r="F20" i="7" s="1"/>
  <c r="G23" i="14"/>
  <c r="AA23" i="14"/>
  <c r="V14" i="14" s="1"/>
  <c r="I166" i="31"/>
  <c r="O109" i="31"/>
  <c r="M153" i="31"/>
  <c r="O160" i="31"/>
  <c r="O162" i="31"/>
  <c r="P131" i="31"/>
  <c r="P142" i="31"/>
  <c r="L27" i="18"/>
  <c r="B21" i="18"/>
  <c r="P18" i="14" s="1"/>
  <c r="Y25" i="27" s="1"/>
  <c r="F24" i="31" s="1"/>
  <c r="P134" i="31" s="1"/>
  <c r="P75" i="31"/>
  <c r="F25" i="31"/>
  <c r="P135" i="31" s="1"/>
  <c r="P78" i="31"/>
  <c r="B51" i="31"/>
  <c r="L106" i="31" s="1"/>
  <c r="B48" i="31"/>
  <c r="L158" i="31" s="1"/>
  <c r="J23" i="14"/>
  <c r="B30" i="31"/>
  <c r="L85" i="31" s="1"/>
  <c r="L102" i="31"/>
  <c r="L157" i="31"/>
  <c r="U37" i="33"/>
  <c r="U58" i="33" s="1"/>
  <c r="F47" i="13"/>
  <c r="F49" i="13" s="1"/>
  <c r="F58" i="13" s="1"/>
  <c r="I53" i="13"/>
  <c r="K23" i="15"/>
  <c r="J56" i="27"/>
  <c r="O57" i="27"/>
  <c r="O63" i="27" s="1"/>
  <c r="N118" i="31"/>
  <c r="C9" i="23"/>
  <c r="C20" i="23"/>
  <c r="C35" i="23"/>
  <c r="C33" i="23"/>
  <c r="C8" i="23"/>
  <c r="C39" i="23"/>
  <c r="C10" i="23"/>
  <c r="C13" i="23"/>
  <c r="C30" i="23"/>
  <c r="C36" i="23"/>
  <c r="C31" i="23"/>
  <c r="C5" i="23"/>
  <c r="C37" i="23"/>
  <c r="C42" i="23"/>
  <c r="C16" i="23"/>
  <c r="C12" i="23"/>
  <c r="C40" i="23"/>
  <c r="C41" i="23"/>
  <c r="C28" i="23"/>
  <c r="C15" i="23"/>
  <c r="C34" i="23"/>
  <c r="C38" i="23"/>
  <c r="C7" i="23"/>
  <c r="C43" i="23"/>
  <c r="C29" i="23"/>
  <c r="C18" i="23"/>
  <c r="C23" i="23"/>
  <c r="C11" i="23"/>
  <c r="C22" i="23"/>
  <c r="C6" i="23"/>
  <c r="C19" i="23"/>
  <c r="C32" i="23"/>
  <c r="C17" i="23"/>
  <c r="C14" i="23"/>
  <c r="E12" i="10"/>
  <c r="F12" i="10" s="1"/>
  <c r="E21" i="27" s="1"/>
  <c r="F52" i="31"/>
  <c r="Y56" i="27"/>
  <c r="F55" i="31" s="1"/>
  <c r="I11" i="31"/>
  <c r="S121" i="31" s="1"/>
  <c r="I24" i="15"/>
  <c r="M99" i="31"/>
  <c r="M154" i="31"/>
  <c r="Q30" i="27"/>
  <c r="I26" i="27"/>
  <c r="J26" i="27" s="1"/>
  <c r="B25" i="31" s="1"/>
  <c r="C39" i="31"/>
  <c r="N56" i="27"/>
  <c r="P22" i="33"/>
  <c r="S22" i="33" s="1"/>
  <c r="M21" i="34"/>
  <c r="V22" i="33" s="1"/>
  <c r="W22" i="33" s="1"/>
  <c r="AG21" i="27" s="1"/>
  <c r="Y23" i="14"/>
  <c r="W21" i="14" s="1"/>
  <c r="B43" i="31"/>
  <c r="K18" i="15"/>
  <c r="N18" i="15" s="1"/>
  <c r="B17" i="31"/>
  <c r="L72" i="31" s="1"/>
  <c r="B23" i="27"/>
  <c r="B24" i="31"/>
  <c r="L79" i="31" s="1"/>
  <c r="I9" i="31"/>
  <c r="S119" i="31" s="1"/>
  <c r="N130" i="31"/>
  <c r="N75" i="31"/>
  <c r="M25" i="34"/>
  <c r="V26" i="33" s="1"/>
  <c r="W26" i="33" s="1"/>
  <c r="AG25" i="27" s="1"/>
  <c r="P26" i="33"/>
  <c r="S26" i="33" s="1"/>
  <c r="S37" i="33"/>
  <c r="S58" i="33" s="1"/>
  <c r="J30" i="15"/>
  <c r="F160" i="29" s="1"/>
  <c r="Q32" i="27"/>
  <c r="U32" i="27" s="1"/>
  <c r="E31" i="31" s="1"/>
  <c r="Y19" i="27"/>
  <c r="O100" i="31"/>
  <c r="O155" i="31"/>
  <c r="M29" i="34"/>
  <c r="V30" i="33" s="1"/>
  <c r="W30" i="33" s="1"/>
  <c r="AG29" i="27" s="1"/>
  <c r="P30" i="33"/>
  <c r="S30" i="33" s="1"/>
  <c r="L64" i="31"/>
  <c r="B56" i="27"/>
  <c r="O101" i="31"/>
  <c r="O156" i="31"/>
  <c r="K24" i="15"/>
  <c r="B49" i="31"/>
  <c r="B45" i="31"/>
  <c r="K20" i="15"/>
  <c r="S23" i="14"/>
  <c r="M20" i="33"/>
  <c r="J37" i="33"/>
  <c r="B39" i="31"/>
  <c r="K15" i="15"/>
  <c r="F27" i="31"/>
  <c r="B30" i="32"/>
  <c r="B35" i="32" s="1"/>
  <c r="B36" i="32" s="1"/>
  <c r="B37" i="32" s="1"/>
  <c r="B40" i="32" s="1"/>
  <c r="I28" i="27" s="1"/>
  <c r="J28" i="27" s="1"/>
  <c r="B27" i="31" s="1"/>
  <c r="L82" i="31" s="1"/>
  <c r="N83" i="31"/>
  <c r="N138" i="31"/>
  <c r="B41" i="31"/>
  <c r="K16" i="15"/>
  <c r="B25" i="18"/>
  <c r="D38" i="1" s="1"/>
  <c r="P101" i="31"/>
  <c r="P156" i="31"/>
  <c r="K28" i="15"/>
  <c r="B53" i="31"/>
  <c r="I23" i="14"/>
  <c r="F5" i="14"/>
  <c r="F23" i="14" s="1"/>
  <c r="V12" i="14"/>
  <c r="V22" i="14"/>
  <c r="V8" i="14"/>
  <c r="E5" i="14"/>
  <c r="H23" i="14"/>
  <c r="V15" i="14"/>
  <c r="V20" i="14"/>
  <c r="V17" i="14"/>
  <c r="V13" i="14"/>
  <c r="V11" i="14"/>
  <c r="V21" i="14"/>
  <c r="V9" i="14"/>
  <c r="V19" i="14"/>
  <c r="V5" i="14"/>
  <c r="V7" i="14"/>
  <c r="V10" i="14"/>
  <c r="V6" i="14"/>
  <c r="V16" i="14"/>
  <c r="L101" i="31"/>
  <c r="L156" i="31"/>
  <c r="L152" i="31"/>
  <c r="L97" i="31"/>
  <c r="L154" i="31"/>
  <c r="L99" i="31"/>
  <c r="D56" i="31"/>
  <c r="B26" i="31"/>
  <c r="F21" i="10"/>
  <c r="E29" i="27" s="1"/>
  <c r="B29" i="27" s="1"/>
  <c r="J30" i="27"/>
  <c r="B29" i="31" s="1"/>
  <c r="K11" i="15"/>
  <c r="B33" i="31"/>
  <c r="L144" i="31"/>
  <c r="L89" i="31"/>
  <c r="L87" i="31"/>
  <c r="L142" i="31"/>
  <c r="F11" i="10"/>
  <c r="E20" i="27" s="1"/>
  <c r="J20" i="27" s="1"/>
  <c r="J22" i="27"/>
  <c r="B22" i="27"/>
  <c r="B28" i="10"/>
  <c r="D10" i="10"/>
  <c r="D28" i="10" s="1"/>
  <c r="B24" i="27"/>
  <c r="J24" i="27"/>
  <c r="AJ12" i="27" l="1"/>
  <c r="I109" i="7"/>
  <c r="L117" i="31"/>
  <c r="L66" i="31"/>
  <c r="I61" i="3"/>
  <c r="AJ7" i="27"/>
  <c r="AM7" i="27" s="1"/>
  <c r="E6" i="31"/>
  <c r="L116" i="31"/>
  <c r="L61" i="31"/>
  <c r="L141" i="31"/>
  <c r="L86" i="31"/>
  <c r="L160" i="31"/>
  <c r="L105" i="31"/>
  <c r="J13" i="27"/>
  <c r="D57" i="27"/>
  <c r="H57" i="27"/>
  <c r="M14" i="7"/>
  <c r="L103" i="31"/>
  <c r="K9" i="15"/>
  <c r="L161" i="31"/>
  <c r="P80" i="31"/>
  <c r="B55" i="31"/>
  <c r="L165" i="31" s="1"/>
  <c r="V18" i="14"/>
  <c r="V23" i="14" s="1"/>
  <c r="K9" i="31"/>
  <c r="P23" i="14"/>
  <c r="P79" i="31"/>
  <c r="B32" i="18"/>
  <c r="L35" i="18" s="1"/>
  <c r="F41" i="13"/>
  <c r="F51" i="13"/>
  <c r="F53" i="13" s="1"/>
  <c r="F59" i="13" s="1"/>
  <c r="H59" i="13" s="1"/>
  <c r="L140" i="31"/>
  <c r="L127" i="31"/>
  <c r="AG36" i="27"/>
  <c r="AG8" i="27" s="1"/>
  <c r="AG57" i="27" s="1"/>
  <c r="S66" i="31"/>
  <c r="K11" i="31"/>
  <c r="S64" i="31"/>
  <c r="W5" i="14"/>
  <c r="W20" i="14"/>
  <c r="C45" i="23"/>
  <c r="J21" i="27"/>
  <c r="B21" i="27"/>
  <c r="Q36" i="27"/>
  <c r="U30" i="27"/>
  <c r="B22" i="31"/>
  <c r="L77" i="31" s="1"/>
  <c r="L151" i="31"/>
  <c r="L96" i="31"/>
  <c r="W19" i="14"/>
  <c r="W10" i="14"/>
  <c r="W37" i="33"/>
  <c r="W58" i="33" s="1"/>
  <c r="V37" i="33"/>
  <c r="V58" i="33" s="1"/>
  <c r="W6" i="14"/>
  <c r="W14" i="14"/>
  <c r="W18" i="14"/>
  <c r="W7" i="14"/>
  <c r="L134" i="31"/>
  <c r="L94" i="31"/>
  <c r="L149" i="31"/>
  <c r="L155" i="31"/>
  <c r="L100" i="31"/>
  <c r="F18" i="31"/>
  <c r="Y36" i="27"/>
  <c r="L153" i="31"/>
  <c r="L98" i="31"/>
  <c r="C55" i="31"/>
  <c r="N57" i="27"/>
  <c r="F24" i="5" s="1"/>
  <c r="C19" i="5" s="1"/>
  <c r="W13" i="14"/>
  <c r="W16" i="14"/>
  <c r="W17" i="14"/>
  <c r="AM12" i="27"/>
  <c r="J58" i="33"/>
  <c r="M58" i="33" s="1"/>
  <c r="M37" i="33"/>
  <c r="O141" i="31"/>
  <c r="O86" i="31"/>
  <c r="W15" i="14"/>
  <c r="M149" i="31"/>
  <c r="M94" i="31"/>
  <c r="W12" i="14"/>
  <c r="P110" i="31"/>
  <c r="P165" i="31"/>
  <c r="L104" i="31"/>
  <c r="L159" i="31"/>
  <c r="W8" i="14"/>
  <c r="P107" i="31"/>
  <c r="P162" i="31"/>
  <c r="P137" i="31"/>
  <c r="P82" i="31"/>
  <c r="W9" i="14"/>
  <c r="W22" i="14"/>
  <c r="W11" i="14"/>
  <c r="L108" i="31"/>
  <c r="L163" i="31"/>
  <c r="E23" i="14"/>
  <c r="D5" i="14" s="1"/>
  <c r="G20" i="5"/>
  <c r="H20" i="5"/>
  <c r="L81" i="31"/>
  <c r="L136" i="31"/>
  <c r="N166" i="31"/>
  <c r="N111" i="31"/>
  <c r="L137" i="31"/>
  <c r="I36" i="27"/>
  <c r="I57" i="27" s="1"/>
  <c r="J29" i="27"/>
  <c r="B28" i="31" s="1"/>
  <c r="L84" i="31"/>
  <c r="L139" i="31"/>
  <c r="K30" i="15"/>
  <c r="L88" i="31"/>
  <c r="L143" i="31"/>
  <c r="B20" i="27"/>
  <c r="L135" i="31"/>
  <c r="L80" i="31"/>
  <c r="E10" i="10"/>
  <c r="B21" i="31"/>
  <c r="B23" i="31"/>
  <c r="I62" i="3" l="1"/>
  <c r="O116" i="31"/>
  <c r="O61" i="31"/>
  <c r="I6" i="31"/>
  <c r="H63" i="27"/>
  <c r="B12" i="31"/>
  <c r="AJ13" i="27"/>
  <c r="AM13" i="27" s="1"/>
  <c r="F54" i="13"/>
  <c r="F60" i="13" s="1"/>
  <c r="M34" i="13" s="1"/>
  <c r="L110" i="31"/>
  <c r="L132" i="31"/>
  <c r="AQ2" i="27"/>
  <c r="W23" i="14"/>
  <c r="B20" i="31"/>
  <c r="L75" i="31" s="1"/>
  <c r="E29" i="31"/>
  <c r="U36" i="27"/>
  <c r="E35" i="31" s="1"/>
  <c r="P73" i="31"/>
  <c r="P128" i="31"/>
  <c r="M165" i="31"/>
  <c r="M110" i="31"/>
  <c r="Y14" i="27"/>
  <c r="F13" i="31" s="1"/>
  <c r="F35" i="31"/>
  <c r="D17" i="14"/>
  <c r="D8" i="14"/>
  <c r="D13" i="14"/>
  <c r="D15" i="14"/>
  <c r="D16" i="14"/>
  <c r="D10" i="14"/>
  <c r="D6" i="14"/>
  <c r="D21" i="14"/>
  <c r="D11" i="14"/>
  <c r="D22" i="14"/>
  <c r="D9" i="14"/>
  <c r="D14" i="14"/>
  <c r="D19" i="14"/>
  <c r="D20" i="14"/>
  <c r="D18" i="14"/>
  <c r="D12" i="14"/>
  <c r="D7" i="14"/>
  <c r="B19" i="31"/>
  <c r="L129" i="31" s="1"/>
  <c r="F10" i="10"/>
  <c r="E19" i="27" s="1"/>
  <c r="E36" i="27" s="1"/>
  <c r="E28" i="10"/>
  <c r="F5" i="10" s="1"/>
  <c r="L131" i="31"/>
  <c r="L76" i="31"/>
  <c r="L138" i="31"/>
  <c r="L83" i="31"/>
  <c r="L133" i="31"/>
  <c r="L78" i="31"/>
  <c r="B32" i="13" l="1"/>
  <c r="F61" i="13"/>
  <c r="K6" i="31"/>
  <c r="S116" i="31"/>
  <c r="S61" i="31"/>
  <c r="L122" i="31"/>
  <c r="I12" i="31"/>
  <c r="L67" i="31"/>
  <c r="L130" i="31"/>
  <c r="M16" i="7"/>
  <c r="P90" i="31"/>
  <c r="P145" i="31"/>
  <c r="P123" i="31"/>
  <c r="P68" i="31"/>
  <c r="O145" i="31"/>
  <c r="O90" i="31"/>
  <c r="J19" i="27"/>
  <c r="J36" i="27" s="1"/>
  <c r="Y57" i="27"/>
  <c r="O84" i="31"/>
  <c r="O139" i="31"/>
  <c r="B30" i="13"/>
  <c r="N12" i="7"/>
  <c r="M37" i="13"/>
  <c r="D23" i="14"/>
  <c r="B19" i="27"/>
  <c r="B36" i="27" s="1"/>
  <c r="L74" i="31"/>
  <c r="F19" i="7" l="1"/>
  <c r="N96" i="7"/>
  <c r="N100" i="7" s="1"/>
  <c r="S122" i="31"/>
  <c r="K12" i="31"/>
  <c r="S67" i="31"/>
  <c r="F28" i="10"/>
  <c r="E11" i="27"/>
  <c r="E57" i="27" s="1"/>
  <c r="E63" i="27" s="1"/>
  <c r="F56" i="31"/>
  <c r="Y63" i="27"/>
  <c r="F18" i="7"/>
  <c r="M12" i="7"/>
  <c r="M96" i="7" s="1"/>
  <c r="F8" i="5"/>
  <c r="B18" i="31"/>
  <c r="L128" i="31" s="1"/>
  <c r="B57" i="27"/>
  <c r="B35" i="31"/>
  <c r="F58" i="7" l="1"/>
  <c r="F63" i="7" s="1"/>
  <c r="B20" i="7"/>
  <c r="M100" i="7"/>
  <c r="N108" i="7"/>
  <c r="J11" i="27"/>
  <c r="B10" i="31" s="1"/>
  <c r="B25" i="7"/>
  <c r="B29" i="7" s="1"/>
  <c r="N105" i="7" s="1"/>
  <c r="N110" i="7"/>
  <c r="L73" i="31"/>
  <c r="P166" i="31"/>
  <c r="P111" i="31"/>
  <c r="F7" i="5"/>
  <c r="F15" i="5" s="1"/>
  <c r="G8" i="5"/>
  <c r="R48" i="27"/>
  <c r="M23" i="15"/>
  <c r="G2" i="15"/>
  <c r="T54" i="27"/>
  <c r="M26" i="15"/>
  <c r="M28" i="15"/>
  <c r="M22" i="15"/>
  <c r="Q52" i="27"/>
  <c r="U52" i="27" s="1"/>
  <c r="M24" i="15"/>
  <c r="Q49" i="27"/>
  <c r="Q50" i="27"/>
  <c r="U50" i="27" s="1"/>
  <c r="L145" i="31"/>
  <c r="L90" i="31"/>
  <c r="N106" i="7" l="1"/>
  <c r="AJ67" i="27"/>
  <c r="AJ63" i="27"/>
  <c r="J57" i="27"/>
  <c r="C9" i="5" s="1"/>
  <c r="C12" i="5" s="1"/>
  <c r="C13" i="5"/>
  <c r="L65" i="31"/>
  <c r="L120" i="31"/>
  <c r="M30" i="15"/>
  <c r="I2" i="15" s="1"/>
  <c r="R56" i="27"/>
  <c r="R57" i="27" s="1"/>
  <c r="U48" i="27"/>
  <c r="T56" i="27"/>
  <c r="T57" i="27" s="1"/>
  <c r="U54" i="27"/>
  <c r="E49" i="31"/>
  <c r="Q56" i="27"/>
  <c r="U49" i="27"/>
  <c r="E51" i="31"/>
  <c r="B56" i="31" l="1"/>
  <c r="L166" i="31" s="1"/>
  <c r="C17" i="5"/>
  <c r="C56" i="1" s="1"/>
  <c r="L11" i="27"/>
  <c r="N109" i="7"/>
  <c r="C15" i="5"/>
  <c r="O161" i="31"/>
  <c r="O106" i="31"/>
  <c r="O104" i="31"/>
  <c r="O159" i="31"/>
  <c r="E48" i="31"/>
  <c r="E47" i="31"/>
  <c r="U56" i="27"/>
  <c r="E53" i="31"/>
  <c r="F25" i="5" l="1"/>
  <c r="F26" i="5" s="1"/>
  <c r="L111" i="31"/>
  <c r="C25" i="5"/>
  <c r="C23" i="5"/>
  <c r="D41" i="1"/>
  <c r="D36" i="1"/>
  <c r="D48" i="1"/>
  <c r="D30" i="1"/>
  <c r="D42" i="1"/>
  <c r="D31" i="1"/>
  <c r="D29" i="1"/>
  <c r="D22" i="1"/>
  <c r="D28" i="1"/>
  <c r="L57" i="27"/>
  <c r="C56" i="31" s="1"/>
  <c r="C10" i="31"/>
  <c r="AJ66" i="27"/>
  <c r="AJ68" i="27" s="1"/>
  <c r="AJ69" i="27" s="1"/>
  <c r="AJ11" i="27"/>
  <c r="O157" i="31"/>
  <c r="O102" i="31"/>
  <c r="O108" i="31"/>
  <c r="O163" i="31"/>
  <c r="O158" i="31"/>
  <c r="O103" i="31"/>
  <c r="U63" i="27"/>
  <c r="E55" i="31"/>
  <c r="U62" i="27"/>
  <c r="H25" i="5" l="1"/>
  <c r="C20" i="14"/>
  <c r="C19" i="14"/>
  <c r="C17" i="14"/>
  <c r="C13" i="14"/>
  <c r="C5" i="14"/>
  <c r="C9" i="14"/>
  <c r="D51" i="1"/>
  <c r="C10" i="14"/>
  <c r="C6" i="14"/>
  <c r="C12" i="14"/>
  <c r="C21" i="14"/>
  <c r="C14" i="14"/>
  <c r="C11" i="14"/>
  <c r="C16" i="14"/>
  <c r="C15" i="14"/>
  <c r="C8" i="14"/>
  <c r="C7" i="14"/>
  <c r="C18" i="14"/>
  <c r="C22" i="14"/>
  <c r="AM11" i="27"/>
  <c r="M9" i="14"/>
  <c r="L11" i="14"/>
  <c r="L12" i="14"/>
  <c r="K19" i="14"/>
  <c r="L18" i="14"/>
  <c r="K14" i="14"/>
  <c r="L14" i="14"/>
  <c r="M15" i="14"/>
  <c r="M18" i="14"/>
  <c r="K8" i="14"/>
  <c r="L21" i="14"/>
  <c r="L20" i="14"/>
  <c r="K15" i="14"/>
  <c r="M16" i="14"/>
  <c r="K12" i="14"/>
  <c r="L15" i="14"/>
  <c r="L16" i="14"/>
  <c r="M19" i="14"/>
  <c r="K7" i="14"/>
  <c r="K20" i="14"/>
  <c r="M14" i="14"/>
  <c r="L17" i="14"/>
  <c r="M10" i="14"/>
  <c r="K18" i="14"/>
  <c r="L8" i="14"/>
  <c r="K10" i="14"/>
  <c r="L7" i="14"/>
  <c r="L9" i="14"/>
  <c r="M6" i="14"/>
  <c r="M8" i="14"/>
  <c r="L10" i="14"/>
  <c r="M7" i="14"/>
  <c r="L5" i="14"/>
  <c r="K6" i="14"/>
  <c r="L13" i="14"/>
  <c r="M13" i="14"/>
  <c r="K13" i="14"/>
  <c r="M17" i="14"/>
  <c r="K9" i="14"/>
  <c r="K5" i="14"/>
  <c r="M12" i="14"/>
  <c r="M5" i="14"/>
  <c r="L19" i="14"/>
  <c r="K21" i="14"/>
  <c r="M21" i="14"/>
  <c r="K16" i="14"/>
  <c r="K17" i="14"/>
  <c r="M20" i="14"/>
  <c r="K11" i="14"/>
  <c r="M11" i="14"/>
  <c r="L6" i="14"/>
  <c r="Q13" i="14"/>
  <c r="X28" i="27" s="1"/>
  <c r="Q20" i="14"/>
  <c r="Q7" i="14"/>
  <c r="X23" i="27" s="1"/>
  <c r="Q19" i="14"/>
  <c r="X29" i="27" s="1"/>
  <c r="Q16" i="14"/>
  <c r="X25" i="27" s="1"/>
  <c r="Q5" i="14"/>
  <c r="Q8" i="14"/>
  <c r="X21" i="27" s="1"/>
  <c r="Q14" i="14"/>
  <c r="X20" i="27" s="1"/>
  <c r="Q17" i="14"/>
  <c r="Q22" i="14"/>
  <c r="X45" i="27" s="1"/>
  <c r="Q6" i="14"/>
  <c r="X19" i="27" s="1"/>
  <c r="Q18" i="14"/>
  <c r="X53" i="27" s="1"/>
  <c r="Q12" i="14"/>
  <c r="X24" i="27" s="1"/>
  <c r="Q9" i="14"/>
  <c r="X26" i="27" s="1"/>
  <c r="Q11" i="14"/>
  <c r="X33" i="27" s="1"/>
  <c r="Q15" i="14"/>
  <c r="X22" i="27" s="1"/>
  <c r="Q21" i="14"/>
  <c r="Q10" i="14"/>
  <c r="X27" i="27" s="1"/>
  <c r="M120" i="31"/>
  <c r="M65" i="31"/>
  <c r="I10" i="31"/>
  <c r="N22" i="14"/>
  <c r="AA45" i="27" s="1"/>
  <c r="N17" i="14"/>
  <c r="N9" i="14"/>
  <c r="N19" i="14"/>
  <c r="N16" i="14"/>
  <c r="N8" i="14"/>
  <c r="N12" i="14"/>
  <c r="N18" i="14"/>
  <c r="N6" i="14"/>
  <c r="N7" i="14"/>
  <c r="N14" i="14"/>
  <c r="N15" i="14"/>
  <c r="N13" i="14"/>
  <c r="N5" i="14"/>
  <c r="N11" i="14"/>
  <c r="N21" i="14"/>
  <c r="N10" i="14"/>
  <c r="N20" i="14"/>
  <c r="M166" i="31"/>
  <c r="M111" i="31"/>
  <c r="U13" i="14"/>
  <c r="AB28" i="27" s="1"/>
  <c r="U15" i="14"/>
  <c r="AB22" i="27" s="1"/>
  <c r="U11" i="14"/>
  <c r="AB33" i="27" s="1"/>
  <c r="U17" i="14"/>
  <c r="U8" i="14"/>
  <c r="AB21" i="27" s="1"/>
  <c r="U6" i="14"/>
  <c r="AB19" i="27" s="1"/>
  <c r="U16" i="14"/>
  <c r="AB25" i="27" s="1"/>
  <c r="U10" i="14"/>
  <c r="AB27" i="27" s="1"/>
  <c r="U19" i="14"/>
  <c r="AB29" i="27" s="1"/>
  <c r="U14" i="14"/>
  <c r="AB20" i="27" s="1"/>
  <c r="U20" i="14"/>
  <c r="U12" i="14"/>
  <c r="AB24" i="27" s="1"/>
  <c r="U18" i="14"/>
  <c r="U9" i="14"/>
  <c r="AB26" i="27" s="1"/>
  <c r="U22" i="14"/>
  <c r="AB45" i="27" s="1"/>
  <c r="AB56" i="27" s="1"/>
  <c r="U7" i="14"/>
  <c r="AB23" i="27" s="1"/>
  <c r="U21" i="14"/>
  <c r="U5" i="14"/>
  <c r="B9" i="14"/>
  <c r="B11" i="14"/>
  <c r="B6" i="14"/>
  <c r="B22" i="14"/>
  <c r="B17" i="14"/>
  <c r="B21" i="14"/>
  <c r="B8" i="14"/>
  <c r="B16" i="14"/>
  <c r="B20" i="14"/>
  <c r="B19" i="14"/>
  <c r="B5" i="14"/>
  <c r="B10" i="14"/>
  <c r="B13" i="14"/>
  <c r="B18" i="14"/>
  <c r="B15" i="14"/>
  <c r="B7" i="14"/>
  <c r="B12" i="14"/>
  <c r="B14" i="14"/>
  <c r="W20" i="27" s="1"/>
  <c r="B35" i="23"/>
  <c r="Z47" i="27" s="1"/>
  <c r="B11" i="23"/>
  <c r="Z24" i="27" s="1"/>
  <c r="B32" i="23"/>
  <c r="Z44" i="27" s="1"/>
  <c r="B19" i="23"/>
  <c r="Z31" i="27" s="1"/>
  <c r="B21" i="23"/>
  <c r="Z33" i="27" s="1"/>
  <c r="B13" i="23"/>
  <c r="Z26" i="27" s="1"/>
  <c r="B23" i="23"/>
  <c r="Z35" i="27" s="1"/>
  <c r="B5" i="23"/>
  <c r="B33" i="23"/>
  <c r="Z45" i="27" s="1"/>
  <c r="B15" i="23"/>
  <c r="Z28" i="27" s="1"/>
  <c r="B16" i="23"/>
  <c r="B39" i="23"/>
  <c r="Z51" i="27" s="1"/>
  <c r="B14" i="23"/>
  <c r="Z27" i="27" s="1"/>
  <c r="B17" i="23"/>
  <c r="Z29" i="27" s="1"/>
  <c r="B6" i="23"/>
  <c r="Z19" i="27" s="1"/>
  <c r="B28" i="23"/>
  <c r="Z40" i="27" s="1"/>
  <c r="B43" i="23"/>
  <c r="Z55" i="27" s="1"/>
  <c r="B9" i="23"/>
  <c r="Z22" i="27" s="1"/>
  <c r="B18" i="23"/>
  <c r="Z30" i="27" s="1"/>
  <c r="B34" i="23"/>
  <c r="Z46" i="27" s="1"/>
  <c r="B22" i="23"/>
  <c r="Z34" i="27" s="1"/>
  <c r="B38" i="23"/>
  <c r="Z50" i="27" s="1"/>
  <c r="B7" i="23"/>
  <c r="Z20" i="27" s="1"/>
  <c r="B12" i="23"/>
  <c r="Z25" i="27" s="1"/>
  <c r="B37" i="23"/>
  <c r="Z49" i="27" s="1"/>
  <c r="B10" i="23"/>
  <c r="Z23" i="27" s="1"/>
  <c r="B36" i="23"/>
  <c r="Z48" i="27" s="1"/>
  <c r="B29" i="23"/>
  <c r="Z41" i="27" s="1"/>
  <c r="B20" i="23"/>
  <c r="Z32" i="27" s="1"/>
  <c r="B42" i="23"/>
  <c r="Z54" i="27" s="1"/>
  <c r="B8" i="23"/>
  <c r="Z21" i="27" s="1"/>
  <c r="B41" i="23"/>
  <c r="Z53" i="27" s="1"/>
  <c r="B31" i="23"/>
  <c r="Z43" i="27" s="1"/>
  <c r="B40" i="23"/>
  <c r="Z52" i="27" s="1"/>
  <c r="B30" i="23"/>
  <c r="Z42" i="27" s="1"/>
  <c r="O165" i="31"/>
  <c r="O110" i="31"/>
  <c r="W28" i="27" l="1"/>
  <c r="W33" i="27"/>
  <c r="W47" i="27"/>
  <c r="W19" i="27"/>
  <c r="W53" i="27"/>
  <c r="W23" i="27"/>
  <c r="W29" i="27"/>
  <c r="W24" i="27"/>
  <c r="W45" i="27"/>
  <c r="AC45" i="27" s="1"/>
  <c r="L19" i="15" s="1"/>
  <c r="N19" i="15" s="1"/>
  <c r="AA27" i="27"/>
  <c r="AA21" i="27"/>
  <c r="W27" i="27"/>
  <c r="AA19" i="27"/>
  <c r="W21" i="27"/>
  <c r="M23" i="14"/>
  <c r="L23" i="14"/>
  <c r="AC42" i="27"/>
  <c r="G41" i="31"/>
  <c r="G47" i="31"/>
  <c r="AC48" i="27"/>
  <c r="G29" i="31"/>
  <c r="AC30" i="27"/>
  <c r="AC44" i="27"/>
  <c r="G43" i="31"/>
  <c r="AA23" i="27"/>
  <c r="AC40" i="27"/>
  <c r="Z56" i="27"/>
  <c r="G39" i="31"/>
  <c r="B45" i="23"/>
  <c r="Z18" i="27"/>
  <c r="Z36" i="27" s="1"/>
  <c r="K10" i="31"/>
  <c r="S120" i="31"/>
  <c r="S65" i="31"/>
  <c r="AA18" i="27"/>
  <c r="K23" i="14"/>
  <c r="C23" i="14"/>
  <c r="G42" i="31"/>
  <c r="AC43" i="27"/>
  <c r="G34" i="31"/>
  <c r="AC35" i="27"/>
  <c r="W26" i="27"/>
  <c r="AA26" i="27"/>
  <c r="AA24" i="27"/>
  <c r="G51" i="31"/>
  <c r="AC52" i="27"/>
  <c r="AC49" i="27"/>
  <c r="G48" i="31"/>
  <c r="Q23" i="14"/>
  <c r="X18" i="27"/>
  <c r="X36" i="27" s="1"/>
  <c r="AC54" i="27"/>
  <c r="G53" i="31"/>
  <c r="G49" i="31"/>
  <c r="AC50" i="27"/>
  <c r="W25" i="27"/>
  <c r="U23" i="14"/>
  <c r="AB18" i="27"/>
  <c r="AB36" i="27" s="1"/>
  <c r="AB14" i="27" s="1"/>
  <c r="AB57" i="27" s="1"/>
  <c r="AB63" i="27" s="1"/>
  <c r="N23" i="14"/>
  <c r="AA25" i="27"/>
  <c r="AA20" i="27"/>
  <c r="AC55" i="27"/>
  <c r="G54" i="31"/>
  <c r="G31" i="31"/>
  <c r="AC32" i="27"/>
  <c r="G33" i="31"/>
  <c r="AC34" i="27"/>
  <c r="W22" i="27"/>
  <c r="X56" i="27"/>
  <c r="AA28" i="27"/>
  <c r="AA22" i="27"/>
  <c r="W18" i="27"/>
  <c r="B23" i="14"/>
  <c r="AA33" i="27"/>
  <c r="AC41" i="27"/>
  <c r="AH41" i="27" s="1"/>
  <c r="H40" i="31" s="1"/>
  <c r="R150" i="31" s="1"/>
  <c r="G40" i="31"/>
  <c r="G45" i="31"/>
  <c r="AC46" i="27"/>
  <c r="G50" i="31"/>
  <c r="AC51" i="27"/>
  <c r="AC31" i="27"/>
  <c r="G30" i="31"/>
  <c r="AA47" i="27"/>
  <c r="AA53" i="27"/>
  <c r="AA29" i="27"/>
  <c r="AC28" i="27" l="1"/>
  <c r="AH28" i="27" s="1"/>
  <c r="AJ28" i="27" s="1"/>
  <c r="G18" i="31"/>
  <c r="Q128" i="31" s="1"/>
  <c r="AC33" i="27"/>
  <c r="AH33" i="27" s="1"/>
  <c r="H32" i="31" s="1"/>
  <c r="AC23" i="27"/>
  <c r="AH23" i="27" s="1"/>
  <c r="H22" i="31" s="1"/>
  <c r="R77" i="31" s="1"/>
  <c r="W56" i="27"/>
  <c r="G52" i="31"/>
  <c r="Q162" i="31" s="1"/>
  <c r="G44" i="31"/>
  <c r="Q154" i="31" s="1"/>
  <c r="G23" i="31"/>
  <c r="Q78" i="31" s="1"/>
  <c r="AC24" i="27"/>
  <c r="AC27" i="27"/>
  <c r="AC19" i="27"/>
  <c r="G26" i="31"/>
  <c r="G20" i="31"/>
  <c r="Q75" i="31" s="1"/>
  <c r="AH45" i="27"/>
  <c r="H44" i="31" s="1"/>
  <c r="AC21" i="27"/>
  <c r="R95" i="31"/>
  <c r="Z14" i="27"/>
  <c r="Z57" i="27" s="1"/>
  <c r="Z63" i="27" s="1"/>
  <c r="AA56" i="27"/>
  <c r="I40" i="31"/>
  <c r="S150" i="31" s="1"/>
  <c r="G22" i="31"/>
  <c r="AC53" i="27"/>
  <c r="L27" i="15" s="1"/>
  <c r="N27" i="15" s="1"/>
  <c r="X14" i="27"/>
  <c r="X57" i="27" s="1"/>
  <c r="X63" i="27" s="1"/>
  <c r="G32" i="31"/>
  <c r="Q87" i="31" s="1"/>
  <c r="Q160" i="31"/>
  <c r="Q105" i="31"/>
  <c r="AC18" i="27"/>
  <c r="AH18" i="27" s="1"/>
  <c r="G17" i="31"/>
  <c r="W36" i="27"/>
  <c r="Q86" i="31"/>
  <c r="Q141" i="31"/>
  <c r="AA36" i="27"/>
  <c r="AH40" i="27"/>
  <c r="L15" i="15"/>
  <c r="N15" i="15" s="1"/>
  <c r="L22" i="15"/>
  <c r="N22" i="15" s="1"/>
  <c r="AH48" i="27"/>
  <c r="G27" i="31"/>
  <c r="AH46" i="27"/>
  <c r="H45" i="31" s="1"/>
  <c r="L20" i="15"/>
  <c r="N20" i="15" s="1"/>
  <c r="AC26" i="27"/>
  <c r="G25" i="31"/>
  <c r="AJ41" i="27"/>
  <c r="G28" i="31"/>
  <c r="AC29" i="27"/>
  <c r="Q100" i="31"/>
  <c r="Q155" i="31"/>
  <c r="AH35" i="27"/>
  <c r="Q96" i="31"/>
  <c r="Q151" i="31"/>
  <c r="Q102" i="31"/>
  <c r="Q157" i="31"/>
  <c r="Q95" i="31"/>
  <c r="Q150" i="31"/>
  <c r="Q164" i="31"/>
  <c r="Q109" i="31"/>
  <c r="G24" i="31"/>
  <c r="AC25" i="27"/>
  <c r="Q103" i="31"/>
  <c r="Q158" i="31"/>
  <c r="Q89" i="31"/>
  <c r="Q144" i="31"/>
  <c r="AH42" i="27"/>
  <c r="L16" i="15"/>
  <c r="N16" i="15" s="1"/>
  <c r="AC22" i="27"/>
  <c r="G21" i="31"/>
  <c r="L29" i="15"/>
  <c r="N29" i="15" s="1"/>
  <c r="AH55" i="27"/>
  <c r="L24" i="15"/>
  <c r="N24" i="15" s="1"/>
  <c r="AH50" i="27"/>
  <c r="L23" i="15"/>
  <c r="N23" i="15" s="1"/>
  <c r="AH49" i="27"/>
  <c r="L17" i="15"/>
  <c r="N17" i="15" s="1"/>
  <c r="AH43" i="27"/>
  <c r="H42" i="31" s="1"/>
  <c r="Q98" i="31"/>
  <c r="Q153" i="31"/>
  <c r="G46" i="31"/>
  <c r="Q85" i="31"/>
  <c r="Q140" i="31"/>
  <c r="AH34" i="27"/>
  <c r="L11" i="15"/>
  <c r="N11" i="15" s="1"/>
  <c r="Q159" i="31"/>
  <c r="Q104" i="31"/>
  <c r="L26" i="15"/>
  <c r="N26" i="15" s="1"/>
  <c r="AH52" i="27"/>
  <c r="Q97" i="31"/>
  <c r="Q152" i="31"/>
  <c r="P18" i="15"/>
  <c r="AH44" i="27"/>
  <c r="AH31" i="27"/>
  <c r="Q88" i="31"/>
  <c r="Q143" i="31"/>
  <c r="G19" i="31"/>
  <c r="AC20" i="27"/>
  <c r="Q108" i="31"/>
  <c r="Q163" i="31"/>
  <c r="Q161" i="31"/>
  <c r="Q106" i="31"/>
  <c r="Q149" i="31"/>
  <c r="Q94" i="31"/>
  <c r="AH30" i="27"/>
  <c r="L9" i="15"/>
  <c r="AC47" i="27"/>
  <c r="L25" i="15"/>
  <c r="N25" i="15" s="1"/>
  <c r="AH51" i="27"/>
  <c r="AH32" i="27"/>
  <c r="L10" i="15"/>
  <c r="N10" i="15" s="1"/>
  <c r="L28" i="15"/>
  <c r="N28" i="15" s="1"/>
  <c r="AH54" i="27"/>
  <c r="Q84" i="31"/>
  <c r="Q139" i="31"/>
  <c r="P19" i="15"/>
  <c r="AM28" i="27" l="1"/>
  <c r="AM41" i="27"/>
  <c r="Q73" i="31"/>
  <c r="N9" i="15"/>
  <c r="P9" i="15" s="1"/>
  <c r="I32" i="31"/>
  <c r="S87" i="31" s="1"/>
  <c r="G55" i="31"/>
  <c r="Q165" i="31" s="1"/>
  <c r="Q99" i="31"/>
  <c r="Q133" i="31"/>
  <c r="Q107" i="31"/>
  <c r="I44" i="31"/>
  <c r="S154" i="31" s="1"/>
  <c r="AA14" i="27"/>
  <c r="AA57" i="27" s="1"/>
  <c r="AA63" i="27" s="1"/>
  <c r="AH27" i="27"/>
  <c r="H26" i="31" s="1"/>
  <c r="I26" i="31" s="1"/>
  <c r="R87" i="31"/>
  <c r="Q130" i="31"/>
  <c r="AJ33" i="27"/>
  <c r="R142" i="31"/>
  <c r="Q142" i="31"/>
  <c r="AH24" i="27"/>
  <c r="H23" i="31" s="1"/>
  <c r="I23" i="31" s="1"/>
  <c r="S133" i="31" s="1"/>
  <c r="R99" i="31"/>
  <c r="AJ45" i="27"/>
  <c r="Q136" i="31"/>
  <c r="Q81" i="31"/>
  <c r="R154" i="31"/>
  <c r="AH19" i="27"/>
  <c r="AH21" i="27"/>
  <c r="H20" i="31" s="1"/>
  <c r="I20" i="31" s="1"/>
  <c r="S75" i="31" s="1"/>
  <c r="R132" i="31"/>
  <c r="AJ23" i="27"/>
  <c r="I22" i="31"/>
  <c r="S95" i="31"/>
  <c r="B43" i="32"/>
  <c r="H27" i="31"/>
  <c r="I27" i="31" s="1"/>
  <c r="S137" i="31" s="1"/>
  <c r="B41" i="32"/>
  <c r="B42" i="32" s="1"/>
  <c r="B44" i="32" s="1"/>
  <c r="P27" i="15"/>
  <c r="K40" i="31"/>
  <c r="AH53" i="27"/>
  <c r="H52" i="31" s="1"/>
  <c r="I52" i="31" s="1"/>
  <c r="S162" i="31" s="1"/>
  <c r="AJ46" i="27"/>
  <c r="Q132" i="31"/>
  <c r="Q77" i="31"/>
  <c r="P25" i="15"/>
  <c r="P29" i="15"/>
  <c r="Q82" i="31"/>
  <c r="Q137" i="31"/>
  <c r="G35" i="31"/>
  <c r="W14" i="27"/>
  <c r="H47" i="31"/>
  <c r="AJ48" i="27"/>
  <c r="H53" i="31"/>
  <c r="AJ54" i="27"/>
  <c r="AH47" i="27"/>
  <c r="H46" i="31" s="1"/>
  <c r="I46" i="31" s="1"/>
  <c r="L21" i="15"/>
  <c r="AJ43" i="27"/>
  <c r="P17" i="15"/>
  <c r="AH22" i="27"/>
  <c r="AH25" i="27"/>
  <c r="Q138" i="31"/>
  <c r="Q83" i="31"/>
  <c r="P22" i="15"/>
  <c r="AC36" i="27"/>
  <c r="P28" i="15"/>
  <c r="H51" i="31"/>
  <c r="AJ52" i="27"/>
  <c r="H48" i="31"/>
  <c r="AJ49" i="27"/>
  <c r="AC56" i="27"/>
  <c r="Q79" i="31"/>
  <c r="Q134" i="31"/>
  <c r="P15" i="15"/>
  <c r="H33" i="31"/>
  <c r="AJ34" i="27"/>
  <c r="Q131" i="31"/>
  <c r="Q76" i="31"/>
  <c r="Q72" i="31"/>
  <c r="Q127" i="31"/>
  <c r="P10" i="15"/>
  <c r="AH20" i="27"/>
  <c r="P26" i="15"/>
  <c r="P23" i="15"/>
  <c r="P16" i="15"/>
  <c r="Q80" i="31"/>
  <c r="Q135" i="31"/>
  <c r="AJ40" i="27"/>
  <c r="H39" i="31"/>
  <c r="I42" i="31"/>
  <c r="R97" i="31"/>
  <c r="R152" i="31"/>
  <c r="H29" i="31"/>
  <c r="AJ30" i="27"/>
  <c r="Q74" i="31"/>
  <c r="Q129" i="31"/>
  <c r="H49" i="31"/>
  <c r="AJ50" i="27"/>
  <c r="H41" i="31"/>
  <c r="AJ42" i="27"/>
  <c r="AH26" i="27"/>
  <c r="B19" i="32" s="1"/>
  <c r="H30" i="31"/>
  <c r="AJ31" i="27"/>
  <c r="AH29" i="27"/>
  <c r="H28" i="31" s="1"/>
  <c r="H31" i="31"/>
  <c r="AJ32" i="27"/>
  <c r="Q101" i="31"/>
  <c r="Q156" i="31"/>
  <c r="P24" i="15"/>
  <c r="H34" i="31"/>
  <c r="AJ35" i="27"/>
  <c r="P20" i="15"/>
  <c r="H50" i="31"/>
  <c r="AJ51" i="27"/>
  <c r="H43" i="31"/>
  <c r="AJ44" i="27"/>
  <c r="P11" i="15"/>
  <c r="H54" i="31"/>
  <c r="AJ55" i="27"/>
  <c r="I45" i="31"/>
  <c r="R100" i="31"/>
  <c r="R155" i="31"/>
  <c r="AM23" i="27" l="1"/>
  <c r="AM46" i="27"/>
  <c r="Z9" i="15"/>
  <c r="S142" i="31"/>
  <c r="K32" i="31"/>
  <c r="Q110" i="31"/>
  <c r="S99" i="31"/>
  <c r="K44" i="31"/>
  <c r="R136" i="31"/>
  <c r="R81" i="31"/>
  <c r="AJ27" i="27"/>
  <c r="S82" i="31"/>
  <c r="AM45" i="27"/>
  <c r="K22" i="31"/>
  <c r="R133" i="31"/>
  <c r="AJ24" i="27"/>
  <c r="AM33" i="27"/>
  <c r="S78" i="31"/>
  <c r="S81" i="31"/>
  <c r="S136" i="31"/>
  <c r="R78" i="31"/>
  <c r="H18" i="31"/>
  <c r="AJ19" i="27"/>
  <c r="S130" i="31"/>
  <c r="AJ21" i="27"/>
  <c r="R75" i="31"/>
  <c r="R130" i="31"/>
  <c r="AH56" i="27"/>
  <c r="H55" i="31" s="1"/>
  <c r="R165" i="31" s="1"/>
  <c r="R137" i="31"/>
  <c r="R82" i="31"/>
  <c r="K27" i="31"/>
  <c r="R162" i="31"/>
  <c r="S77" i="31"/>
  <c r="S132" i="31"/>
  <c r="S107" i="31"/>
  <c r="R107" i="31"/>
  <c r="AJ53" i="27"/>
  <c r="AJ47" i="27"/>
  <c r="AM35" i="27"/>
  <c r="I31" i="31"/>
  <c r="R141" i="31"/>
  <c r="R86" i="31"/>
  <c r="I41" i="31"/>
  <c r="R151" i="31"/>
  <c r="R96" i="31"/>
  <c r="AM43" i="27"/>
  <c r="AC14" i="27"/>
  <c r="G13" i="31"/>
  <c r="W57" i="27"/>
  <c r="AM50" i="27"/>
  <c r="Q90" i="31"/>
  <c r="Q145" i="31"/>
  <c r="I43" i="31"/>
  <c r="K43" i="31" s="1"/>
  <c r="R98" i="31"/>
  <c r="R153" i="31"/>
  <c r="I49" i="31"/>
  <c r="R159" i="31"/>
  <c r="R104" i="31"/>
  <c r="S152" i="31"/>
  <c r="S97" i="31"/>
  <c r="K42" i="31"/>
  <c r="H24" i="31"/>
  <c r="AJ25" i="27"/>
  <c r="N21" i="15"/>
  <c r="L30" i="15"/>
  <c r="AC64" i="27" s="1"/>
  <c r="AM51" i="27"/>
  <c r="AM31" i="27"/>
  <c r="I39" i="31"/>
  <c r="R149" i="31"/>
  <c r="R94" i="31"/>
  <c r="AJ18" i="27"/>
  <c r="H17" i="31"/>
  <c r="AH36" i="27"/>
  <c r="R156" i="31"/>
  <c r="R101" i="31"/>
  <c r="I34" i="31"/>
  <c r="R144" i="31"/>
  <c r="R89" i="31"/>
  <c r="S155" i="31"/>
  <c r="S100" i="31"/>
  <c r="K45" i="31"/>
  <c r="I50" i="31"/>
  <c r="R160" i="31"/>
  <c r="R105" i="31"/>
  <c r="S101" i="31"/>
  <c r="S156" i="31"/>
  <c r="I30" i="31"/>
  <c r="R85" i="31"/>
  <c r="R140" i="31"/>
  <c r="AM40" i="27"/>
  <c r="AM49" i="27"/>
  <c r="H21" i="31"/>
  <c r="AJ22" i="27"/>
  <c r="AM54" i="27"/>
  <c r="AM55" i="27"/>
  <c r="AJ29" i="27"/>
  <c r="AJ26" i="27"/>
  <c r="H25" i="31"/>
  <c r="B21" i="32"/>
  <c r="AM30" i="27"/>
  <c r="AM34" i="27"/>
  <c r="R158" i="31"/>
  <c r="R103" i="31"/>
  <c r="I48" i="31"/>
  <c r="R108" i="31"/>
  <c r="I53" i="31"/>
  <c r="R163" i="31"/>
  <c r="AM44" i="27"/>
  <c r="I54" i="31"/>
  <c r="R109" i="31"/>
  <c r="R164" i="31"/>
  <c r="I29" i="31"/>
  <c r="R139" i="31"/>
  <c r="R84" i="31"/>
  <c r="H19" i="31"/>
  <c r="AJ20" i="27"/>
  <c r="I33" i="31"/>
  <c r="R88" i="31"/>
  <c r="R143" i="31"/>
  <c r="AM52" i="27"/>
  <c r="AM48" i="27"/>
  <c r="I28" i="31"/>
  <c r="R138" i="31"/>
  <c r="R83" i="31"/>
  <c r="AM32" i="27"/>
  <c r="AM42" i="27"/>
  <c r="I51" i="31"/>
  <c r="K51" i="31" s="1"/>
  <c r="R106" i="31"/>
  <c r="R161" i="31"/>
  <c r="R102" i="31"/>
  <c r="R157" i="31"/>
  <c r="I47" i="31"/>
  <c r="AM47" i="27" l="1"/>
  <c r="AM20" i="27"/>
  <c r="AM21" i="27"/>
  <c r="AM27" i="27"/>
  <c r="K26" i="31"/>
  <c r="AM24" i="27"/>
  <c r="K23" i="31"/>
  <c r="K20" i="31"/>
  <c r="AM19" i="27"/>
  <c r="I18" i="31"/>
  <c r="R128" i="31"/>
  <c r="R73" i="31"/>
  <c r="AJ56" i="27"/>
  <c r="I55" i="31"/>
  <c r="R110" i="31"/>
  <c r="K46" i="31"/>
  <c r="AM53" i="27"/>
  <c r="K52" i="31"/>
  <c r="AM26" i="27"/>
  <c r="P21" i="15"/>
  <c r="N30" i="15"/>
  <c r="S104" i="31"/>
  <c r="S159" i="31"/>
  <c r="K49" i="31"/>
  <c r="S151" i="31"/>
  <c r="S96" i="31"/>
  <c r="K41" i="31"/>
  <c r="S98" i="31"/>
  <c r="S153" i="31"/>
  <c r="AJ14" i="27"/>
  <c r="AC57" i="27"/>
  <c r="S86" i="31"/>
  <c r="S141" i="31"/>
  <c r="K31" i="31"/>
  <c r="Q68" i="31"/>
  <c r="Q123" i="31"/>
  <c r="I13" i="31"/>
  <c r="S160" i="31"/>
  <c r="S105" i="31"/>
  <c r="K50" i="31"/>
  <c r="S102" i="31"/>
  <c r="S157" i="31"/>
  <c r="K47" i="31"/>
  <c r="G56" i="31"/>
  <c r="W63" i="27"/>
  <c r="S94" i="31"/>
  <c r="S149" i="31"/>
  <c r="K39" i="31"/>
  <c r="S83" i="31"/>
  <c r="S138" i="31"/>
  <c r="S88" i="31"/>
  <c r="S143" i="31"/>
  <c r="K33" i="31"/>
  <c r="S164" i="31"/>
  <c r="S109" i="31"/>
  <c r="K54" i="31"/>
  <c r="K53" i="31"/>
  <c r="S108" i="31"/>
  <c r="S163" i="31"/>
  <c r="H35" i="31"/>
  <c r="AH8" i="27"/>
  <c r="S89" i="31"/>
  <c r="S144" i="31"/>
  <c r="S161" i="31"/>
  <c r="S106" i="31"/>
  <c r="B22" i="32"/>
  <c r="AM22" i="27"/>
  <c r="S85" i="31"/>
  <c r="S140" i="31"/>
  <c r="K30" i="31"/>
  <c r="I17" i="31"/>
  <c r="R72" i="31"/>
  <c r="R127" i="31"/>
  <c r="K34" i="31"/>
  <c r="K28" i="31"/>
  <c r="AM29" i="27"/>
  <c r="AM25" i="27"/>
  <c r="S139" i="31"/>
  <c r="S84" i="31"/>
  <c r="K29" i="31"/>
  <c r="I24" i="31"/>
  <c r="R134" i="31"/>
  <c r="R79" i="31"/>
  <c r="I19" i="31"/>
  <c r="R129" i="31"/>
  <c r="R74" i="31"/>
  <c r="K48" i="31"/>
  <c r="S158" i="31"/>
  <c r="S103" i="31"/>
  <c r="I25" i="31"/>
  <c r="R80" i="31"/>
  <c r="R135" i="31"/>
  <c r="I21" i="31"/>
  <c r="K21" i="31" s="1"/>
  <c r="R131" i="31"/>
  <c r="R76" i="31"/>
  <c r="AM18" i="27"/>
  <c r="AJ36" i="27"/>
  <c r="AM56" i="27" l="1"/>
  <c r="AM36" i="27"/>
  <c r="K55" i="31"/>
  <c r="S73" i="31"/>
  <c r="S128" i="31"/>
  <c r="K18" i="31"/>
  <c r="AP56" i="27"/>
  <c r="S165" i="31"/>
  <c r="S110" i="31"/>
  <c r="S135" i="31"/>
  <c r="S80" i="31"/>
  <c r="K25" i="31"/>
  <c r="G1" i="15"/>
  <c r="AC63" i="27"/>
  <c r="S123" i="31"/>
  <c r="K13" i="31"/>
  <c r="S68" i="31"/>
  <c r="AP36" i="27"/>
  <c r="R90" i="31"/>
  <c r="R145" i="31"/>
  <c r="Q111" i="31"/>
  <c r="Q166" i="31"/>
  <c r="S134" i="31"/>
  <c r="S79" i="31"/>
  <c r="K24" i="31"/>
  <c r="AM14" i="27"/>
  <c r="H7" i="31"/>
  <c r="AH57" i="27"/>
  <c r="H56" i="31" s="1"/>
  <c r="S72" i="31"/>
  <c r="S127" i="31"/>
  <c r="I35" i="31"/>
  <c r="K17" i="31"/>
  <c r="S74" i="31"/>
  <c r="S129" i="31"/>
  <c r="K19" i="31"/>
  <c r="S76" i="31"/>
  <c r="S131" i="31"/>
  <c r="R62" i="31" l="1"/>
  <c r="R117" i="31"/>
  <c r="J1" i="15"/>
  <c r="I1" i="15"/>
  <c r="G3" i="15"/>
  <c r="H24" i="5"/>
  <c r="S90" i="31"/>
  <c r="S145" i="31"/>
  <c r="K35" i="31"/>
  <c r="R166" i="31"/>
  <c r="R111" i="31"/>
  <c r="Q8" i="27" l="1"/>
  <c r="Q9" i="27" l="1"/>
  <c r="Q57" i="27" s="1"/>
  <c r="U8" i="27"/>
  <c r="AJ8" i="27" l="1"/>
  <c r="E7" i="31"/>
  <c r="U9" i="27"/>
  <c r="I3" i="15"/>
  <c r="E8" i="31" l="1"/>
  <c r="AJ9" i="27"/>
  <c r="AJ62" i="27" s="1"/>
  <c r="AJ64" i="27" s="1"/>
  <c r="AQ4" i="27" s="1"/>
  <c r="O117" i="31"/>
  <c r="O62" i="31"/>
  <c r="I7" i="31"/>
  <c r="U57" i="27"/>
  <c r="E56" i="31" s="1"/>
  <c r="AM8" i="27"/>
  <c r="N6" i="7"/>
  <c r="N107" i="7" s="1"/>
  <c r="S117" i="31" l="1"/>
  <c r="S62" i="31"/>
  <c r="K7" i="31"/>
  <c r="N101" i="7"/>
  <c r="M6" i="7"/>
  <c r="M101" i="7" s="1"/>
  <c r="AP57" i="27"/>
  <c r="AM9" i="27"/>
  <c r="I56" i="31"/>
  <c r="S166" i="31" s="1"/>
  <c r="O111" i="31"/>
  <c r="O166" i="31"/>
  <c r="AJ57" i="27"/>
  <c r="I8" i="31"/>
  <c r="O63" i="31"/>
  <c r="O118" i="31"/>
  <c r="S63" i="31" l="1"/>
  <c r="S118" i="31"/>
  <c r="K8" i="31"/>
  <c r="S111" i="31"/>
  <c r="K56" i="31"/>
  <c r="AJ61" i="27"/>
  <c r="AM57" i="27"/>
  <c r="AQ3" i="27"/>
</calcChain>
</file>

<file path=xl/comments1.xml><?xml version="1.0" encoding="utf-8"?>
<comments xmlns="http://schemas.openxmlformats.org/spreadsheetml/2006/main">
  <authors>
    <author>Campbell, Kayla Nicole</author>
    <author>tc={113689A6-50CC-4665-9E2E-347BAF53AB8C}</author>
    <author>tc={6F423C9C-CE33-4BEC-A857-D82592B958EB}</author>
  </authors>
  <commentList>
    <comment ref="B16" authorId="0" shapeId="0">
      <text>
        <r>
          <rPr>
            <b/>
            <sz val="9"/>
            <color indexed="81"/>
            <rFont val="Tahoma"/>
            <family val="2"/>
          </rPr>
          <t>Campbell, Kayla Nicole:</t>
        </r>
        <r>
          <rPr>
            <sz val="9"/>
            <color indexed="81"/>
            <rFont val="Tahoma"/>
            <family val="2"/>
          </rPr>
          <t xml:space="preserve">
Formerly ETIC (Engineering Technology Industry Council).
Now ETSF (Engineering Technology Sustaining Funds)</t>
        </r>
      </text>
    </comment>
    <comment ref="H19" authorId="1" shapeId="0">
      <text>
        <r>
          <rPr>
            <sz val="11"/>
            <color theme="1"/>
            <rFont val="Calibri"/>
            <family val="2"/>
            <scheme val="minor"/>
          </rPr>
          <t xml:space="preserve">[Threaded comment]
Your version of Excel allows you to read this threaded comment; however, any edits to it will get removed if the file is opened in a newer version of Excel. Learn more: https://go.microsoft.com/fwlink/?linkid=870924
Comment:
    </t>
        </r>
      </text>
    </comment>
    <comment ref="H21" authorId="2"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=186563+127500 (new funding)</t>
        </r>
      </text>
    </comment>
    <comment ref="H35" authorId="0" shapeId="0">
      <text>
        <r>
          <rPr>
            <b/>
            <sz val="9"/>
            <color indexed="81"/>
            <rFont val="Tahoma"/>
            <family val="2"/>
          </rPr>
          <t>Campbell, Kayla Nicole:</t>
        </r>
        <r>
          <rPr>
            <sz val="9"/>
            <color indexed="81"/>
            <rFont val="Tahoma"/>
            <family val="2"/>
          </rPr>
          <t xml:space="preserve">
HB 5202 OSU repair/maintenance of research vessel  $350,000</t>
        </r>
      </text>
    </comment>
    <comment ref="L49" authorId="0" shapeId="0">
      <text>
        <r>
          <rPr>
            <b/>
            <sz val="9"/>
            <color rgb="FF000000"/>
            <rFont val="Tahoma"/>
            <family val="2"/>
          </rPr>
          <t>Campbell, Kayla Nicole:</t>
        </r>
        <r>
          <rPr>
            <sz val="9"/>
            <color rgb="FF000000"/>
            <rFont val="Tahoma"/>
            <family val="2"/>
          </rPr>
          <t xml:space="preserve">
Average 23.70% (2017-2022)</t>
        </r>
      </text>
    </comment>
    <comment ref="L50" authorId="0" shapeId="0">
      <text>
        <r>
          <rPr>
            <b/>
            <sz val="9"/>
            <color indexed="81"/>
            <rFont val="Tahoma"/>
            <family val="2"/>
          </rPr>
          <t>Campbell, Kayla Nicole:</t>
        </r>
        <r>
          <rPr>
            <sz val="9"/>
            <color indexed="81"/>
            <rFont val="Tahoma"/>
            <family val="2"/>
          </rPr>
          <t xml:space="preserve">
Average FY17-FY22 = 8.22%</t>
        </r>
      </text>
    </comment>
    <comment ref="F53" authorId="0" shapeId="0">
      <text>
        <r>
          <rPr>
            <b/>
            <sz val="9"/>
            <color indexed="81"/>
            <rFont val="Tahoma"/>
            <family val="2"/>
          </rPr>
          <t>Campbell, Kayla Nicole:</t>
        </r>
        <r>
          <rPr>
            <sz val="9"/>
            <color indexed="81"/>
            <rFont val="Tahoma"/>
            <family val="2"/>
          </rPr>
          <t xml:space="preserve">
$200K for Uninsured Risk Pool. Had to add here otherwise cell H43 is carried via formulas. $200k set aside in IM.</t>
        </r>
      </text>
    </comment>
    <comment ref="F56" authorId="0" shapeId="0">
      <text>
        <r>
          <rPr>
            <b/>
            <sz val="9"/>
            <color indexed="81"/>
            <rFont val="Tahoma"/>
            <family val="2"/>
          </rPr>
          <t>Campbell, Kayla Nicole:</t>
        </r>
        <r>
          <rPr>
            <sz val="9"/>
            <color indexed="81"/>
            <rFont val="Tahoma"/>
            <family val="2"/>
          </rPr>
          <t xml:space="preserve">
Always $650,000</t>
        </r>
      </text>
    </comment>
    <comment ref="H56" authorId="0" shapeId="0">
      <text>
        <r>
          <rPr>
            <b/>
            <sz val="9"/>
            <color indexed="81"/>
            <rFont val="Tahoma"/>
            <family val="2"/>
          </rPr>
          <t>Campbell, Kayla Nicole:</t>
        </r>
        <r>
          <rPr>
            <sz val="9"/>
            <color indexed="81"/>
            <rFont val="Tahoma"/>
            <family val="2"/>
          </rPr>
          <t xml:space="preserve">
Reduce the Misc Income by $650,000</t>
        </r>
      </text>
    </comment>
  </commentList>
</comments>
</file>

<file path=xl/comments2.xml><?xml version="1.0" encoding="utf-8"?>
<comments xmlns="http://schemas.openxmlformats.org/spreadsheetml/2006/main">
  <authors>
    <author>Campbell, Kayla Nicole</author>
    <author>Terri Cook</author>
    <author>Real, Nicole</author>
    <author>Support</author>
    <author>Sherm Bloomer</author>
  </authors>
  <commentList>
    <comment ref="G6" authorId="0" shapeId="0">
      <text>
        <r>
          <rPr>
            <b/>
            <sz val="9"/>
            <color indexed="81"/>
            <rFont val="Tahoma"/>
            <family val="2"/>
          </rPr>
          <t>Campbell, Kayla Nicole:</t>
        </r>
        <r>
          <rPr>
            <sz val="9"/>
            <color indexed="81"/>
            <rFont val="Tahoma"/>
            <family val="2"/>
          </rPr>
          <t xml:space="preserve">
Phased out schedule:
FY24: 80%
FY25: 60%
FY26: 40%
FY24: 20%</t>
        </r>
      </text>
    </comment>
    <comment ref="H6" authorId="0" shapeId="0">
      <text>
        <r>
          <rPr>
            <b/>
            <sz val="9"/>
            <color indexed="81"/>
            <rFont val="Tahoma"/>
            <family val="2"/>
          </rPr>
          <t>Campbell, Kayla Nicole:</t>
        </r>
        <r>
          <rPr>
            <sz val="9"/>
            <color indexed="81"/>
            <rFont val="Tahoma"/>
            <family val="2"/>
          </rPr>
          <t xml:space="preserve">
 RERF 8%
BUC 4%
Libraries 6%
Info Services 6%
Grad School 1%
Research Admin 8%
F&amp;A 4%
BCs 4%
Facilities Services 11%
Capital Planning 2%
Energy Operations 10%
Central Reserves 5%</t>
        </r>
      </text>
    </comment>
    <comment ref="AG6" authorId="0" shapeId="0">
      <text>
        <r>
          <rPr>
            <b/>
            <sz val="9"/>
            <color indexed="81"/>
            <rFont val="Tahoma"/>
            <family val="2"/>
          </rPr>
          <t>Campbell, Kayla Nicole:</t>
        </r>
        <r>
          <rPr>
            <sz val="9"/>
            <color indexed="81"/>
            <rFont val="Tahoma"/>
            <family val="2"/>
          </rPr>
          <t xml:space="preserve">
Currently just 7.4% of estimated dedicated resources + Grad Health Adj</t>
        </r>
      </text>
    </comment>
    <comment ref="H8" authorId="0" shapeId="0">
      <text>
        <r>
          <rPr>
            <b/>
            <sz val="9"/>
            <color indexed="81"/>
            <rFont val="Tahoma"/>
            <family val="2"/>
          </rPr>
          <t>Campbell, Kayla Nicole:</t>
        </r>
        <r>
          <rPr>
            <sz val="9"/>
            <color indexed="81"/>
            <rFont val="Tahoma"/>
            <family val="2"/>
          </rPr>
          <t xml:space="preserve">
Includes additional $200K for uninsured risk pool</t>
        </r>
      </text>
    </comment>
    <comment ref="F21" authorId="0" shapeId="0">
      <text>
        <r>
          <rPr>
            <b/>
            <sz val="9"/>
            <color indexed="81"/>
            <rFont val="Tahoma"/>
            <family val="2"/>
          </rPr>
          <t>Campbell, Kayla Nicole:</t>
        </r>
        <r>
          <rPr>
            <sz val="9"/>
            <color indexed="81"/>
            <rFont val="Tahoma"/>
            <family val="2"/>
          </rPr>
          <t xml:space="preserve">
  Included the 04xxx Revenue</t>
        </r>
      </text>
    </comment>
    <comment ref="M22" authorId="1" shapeId="0">
      <text>
        <r>
          <rPr>
            <b/>
            <sz val="8"/>
            <color rgb="FF000000"/>
            <rFont val="Tahoma"/>
            <family val="2"/>
          </rPr>
          <t xml:space="preserve">Commitment to Nieto hire for duration of his tenure as Dean; from original startup commitment
</t>
        </r>
        <r>
          <rPr>
            <sz val="8"/>
            <color rgb="FF000000"/>
            <rFont val="Tahoma"/>
            <family val="2"/>
          </rPr>
          <t xml:space="preserve">
</t>
        </r>
      </text>
    </comment>
    <comment ref="AF22" authorId="0" shapeId="0">
      <text>
        <r>
          <rPr>
            <b/>
            <sz val="9"/>
            <color indexed="81"/>
            <rFont val="Tahoma"/>
            <family val="2"/>
          </rPr>
          <t>Campbell, Kayla Nicole:</t>
        </r>
        <r>
          <rPr>
            <sz val="9"/>
            <color indexed="81"/>
            <rFont val="Tahoma"/>
            <family val="2"/>
          </rPr>
          <t xml:space="preserve">
Was 2,161,000. Reduced to current floor amount.
Added $127,589.</t>
        </r>
      </text>
    </comment>
    <comment ref="M24" authorId="2" shapeId="0">
      <text>
        <r>
          <rPr>
            <b/>
            <sz val="9"/>
            <color rgb="FF000000"/>
            <rFont val="Tahoma"/>
            <family val="2"/>
          </rPr>
          <t xml:space="preserve">Real, Nicole:
</t>
        </r>
        <r>
          <rPr>
            <sz val="9"/>
            <color rgb="FF000000"/>
            <rFont val="Tahoma"/>
            <family val="2"/>
          </rPr>
          <t>Per Sherm's email 8/13/2019 and 8/7/2019 for Public Policy Search Yr2 (FY21) for 5 years</t>
        </r>
      </text>
    </comment>
    <comment ref="O24" authorId="0" shapeId="0">
      <text>
        <r>
          <rPr>
            <b/>
            <sz val="9"/>
            <color indexed="81"/>
            <rFont val="Tahoma"/>
            <family val="2"/>
          </rPr>
          <t>Campbell, Kayla Nicole:</t>
        </r>
        <r>
          <rPr>
            <sz val="9"/>
            <color indexed="81"/>
            <rFont val="Tahoma"/>
            <family val="2"/>
          </rPr>
          <t xml:space="preserve">
Add 55,000 to CLA for Center for Humanities.</t>
        </r>
      </text>
    </comment>
    <comment ref="M25" authorId="3" shapeId="0">
      <text>
        <r>
          <rPr>
            <b/>
            <sz val="9"/>
            <color rgb="FF000000"/>
            <rFont val="Tahoma"/>
            <family val="2"/>
          </rPr>
          <t>Support:</t>
        </r>
        <r>
          <rPr>
            <sz val="9"/>
            <color rgb="FF000000"/>
            <rFont val="Tahoma"/>
            <family val="2"/>
          </rPr>
          <t xml:space="preserve">
</t>
        </r>
        <r>
          <rPr>
            <sz val="9"/>
            <color rgb="FF000000"/>
            <rFont val="Tahoma"/>
            <family val="2"/>
          </rPr>
          <t xml:space="preserve">Support for EVM position
</t>
        </r>
        <r>
          <rPr>
            <sz val="9"/>
            <color rgb="FF000000"/>
            <rFont val="Tahoma"/>
            <family val="2"/>
          </rPr>
          <t>to end of RVRV, SHB 6/19</t>
        </r>
      </text>
    </comment>
    <comment ref="M27" authorId="1" shapeId="0">
      <text>
        <r>
          <rPr>
            <b/>
            <sz val="9"/>
            <color rgb="FF000000"/>
            <rFont val="Tahoma"/>
            <family val="2"/>
          </rPr>
          <t>Terri Cook:</t>
        </r>
        <r>
          <rPr>
            <sz val="9"/>
            <color rgb="FF000000"/>
            <rFont val="Tahoma"/>
            <family val="2"/>
          </rPr>
          <t xml:space="preserve">
$550,000 support for Valley Chairs positions
$200,000 Higgenbotham support
$19,226 Pantula summer salary support
-19226 end of summer support
              </t>
        </r>
      </text>
    </comment>
    <comment ref="O29" authorId="0" shapeId="0">
      <text>
        <r>
          <rPr>
            <b/>
            <sz val="9"/>
            <color indexed="81"/>
            <rFont val="Tahoma"/>
            <family val="2"/>
          </rPr>
          <t>Campbell, Kayla Nicole:</t>
        </r>
        <r>
          <rPr>
            <sz val="9"/>
            <color indexed="81"/>
            <rFont val="Tahoma"/>
            <family val="2"/>
          </rPr>
          <t xml:space="preserve">
230,000 - community support   
+ 350k from provost bridge funding to community support.
+ Recurring Adjustment to true up the 1.9% benchmark Toni Doolen &amp; Sherm Bloomer reviewed (20,445). Documented via Email: October 2019.
- 46,245 7.7% reduction rounded
+ $80,000 for Honrs College prestigious scholarships
+ $6,315 for raise rollup
+ $30,000 FY22 Technical</t>
        </r>
      </text>
    </comment>
    <comment ref="H31" authorId="0" shapeId="0">
      <text>
        <r>
          <rPr>
            <b/>
            <sz val="9"/>
            <color indexed="81"/>
            <rFont val="Tahoma"/>
            <family val="2"/>
          </rPr>
          <t>Campbell, Kayla Nicole:</t>
        </r>
        <r>
          <rPr>
            <sz val="9"/>
            <color indexed="81"/>
            <rFont val="Tahoma"/>
            <family val="2"/>
          </rPr>
          <t xml:space="preserve">
 Per Cindy (4% BUC, 8% RERF +300k Cascades ROH)</t>
        </r>
      </text>
    </comment>
    <comment ref="N35" authorId="2" shapeId="0">
      <text>
        <r>
          <rPr>
            <b/>
            <sz val="9"/>
            <color indexed="81"/>
            <rFont val="Tahoma"/>
            <family val="2"/>
          </rPr>
          <t>Real, Nicole:</t>
        </r>
        <r>
          <rPr>
            <sz val="9"/>
            <color indexed="81"/>
            <rFont val="Tahoma"/>
            <family val="2"/>
          </rPr>
          <t xml:space="preserve">
Funds for HMSC Security from MSI on Executive Detail $225,000
MSI MSI O&amp;M starting Feb 2020 (72,000sqft x $12 monthly) $864,000
</t>
        </r>
      </text>
    </comment>
    <comment ref="O35" authorId="0" shapeId="0">
      <text>
        <r>
          <rPr>
            <b/>
            <sz val="9"/>
            <color indexed="81"/>
            <rFont val="Tahoma"/>
            <family val="2"/>
          </rPr>
          <t>Campbell, Kayla Nicole:</t>
        </r>
        <r>
          <rPr>
            <sz val="9"/>
            <color indexed="81"/>
            <rFont val="Tahoma"/>
            <family val="2"/>
          </rPr>
          <t xml:space="preserve">
7,753,200
46,207 raise rollup
40,000 FY22 Technical</t>
        </r>
      </text>
    </comment>
    <comment ref="M40" authorId="1" shapeId="0">
      <text>
        <r>
          <rPr>
            <b/>
            <sz val="9"/>
            <color rgb="FF000000"/>
            <rFont val="Tahoma"/>
            <family val="2"/>
          </rPr>
          <t xml:space="preserve">Terri Cook:
$300,000 -5th year of 5 years - Equity &amp; Inclusion - ADA 
   Assessment - FY18 is last year
-300,000 - Deferring FY18 amount to FY19
$300,000 - Funding FY19 based on FY18 Deferral above
$20,000 - Eastern Promise Replication Grant
-$300,000-end of ADA commitment
-$20,000 end EOU replication grant
</t>
        </r>
      </text>
    </comment>
    <comment ref="M41" authorId="4" shapeId="0">
      <text>
        <r>
          <rPr>
            <b/>
            <sz val="10"/>
            <color rgb="FF000000"/>
            <rFont val="Calibri"/>
            <family val="2"/>
          </rPr>
          <t>Sherm Bloomer:</t>
        </r>
        <r>
          <rPr>
            <sz val="10"/>
            <color rgb="FF000000"/>
            <rFont val="Calibri"/>
            <family val="2"/>
          </rPr>
          <t xml:space="preserve">
FY20 balance of commitment to $8M
6/20/19 - Per Ed and Mike reduce by $250k
6/8/2020 freeze at FY20 SHB
FY22: Added $250,000 Athletics Increment Per Sherm Bloomers FY22 Tuition Budget Planning Document emailed 11.24.2020 (kc)</t>
        </r>
      </text>
    </comment>
    <comment ref="F49" authorId="2" shapeId="0">
      <text>
        <r>
          <rPr>
            <b/>
            <sz val="9"/>
            <color indexed="81"/>
            <rFont val="Tahoma"/>
            <family val="2"/>
          </rPr>
          <t>Real, Nicole:</t>
        </r>
        <r>
          <rPr>
            <sz val="9"/>
            <color indexed="81"/>
            <rFont val="Tahoma"/>
            <family val="2"/>
          </rPr>
          <t xml:space="preserve">
Need E&amp;G/TCF breakdown</t>
        </r>
      </text>
    </comment>
    <comment ref="M50" authorId="1" shapeId="0">
      <text>
        <r>
          <rPr>
            <b/>
            <sz val="8"/>
            <color rgb="FF000000"/>
            <rFont val="Tahoma"/>
            <family val="2"/>
          </rPr>
          <t>Terri Cook:</t>
        </r>
        <r>
          <rPr>
            <sz val="8"/>
            <color rgb="FF000000"/>
            <rFont val="Tahoma"/>
            <family val="2"/>
          </rPr>
          <t xml:space="preserve">
950,000 - new Graduate Fellowship &amp; Scholarship program
FY20 proportional reduction from FY19 budget recission
total: $930,050</t>
        </r>
      </text>
    </comment>
  </commentList>
</comments>
</file>

<file path=xl/comments3.xml><?xml version="1.0" encoding="utf-8"?>
<comments xmlns="http://schemas.openxmlformats.org/spreadsheetml/2006/main">
  <authors>
    <author>Nicole Dolan</author>
    <author>Campbell, Kayla Nicole</author>
    <author>Real, Nicole</author>
  </authors>
  <commentList>
    <comment ref="M9" authorId="0" shapeId="0">
      <text>
        <r>
          <rPr>
            <b/>
            <sz val="9"/>
            <color indexed="81"/>
            <rFont val="Tahoma"/>
            <family val="2"/>
          </rPr>
          <t>Nicole Dolan:</t>
        </r>
        <r>
          <rPr>
            <sz val="9"/>
            <color indexed="81"/>
            <rFont val="Tahoma"/>
            <family val="2"/>
          </rPr>
          <t xml:space="preserve">
The total increase between CIR, Debt Service - Various and SELP should be $3.5M for a total of $30,315,058 for all three in central</t>
        </r>
      </text>
    </comment>
    <comment ref="N15" authorId="1" shapeId="0">
      <text>
        <r>
          <rPr>
            <b/>
            <sz val="9"/>
            <color indexed="81"/>
            <rFont val="Tahoma"/>
            <family val="2"/>
          </rPr>
          <t xml:space="preserve">Campbell, Kayla Nicole:
</t>
        </r>
        <r>
          <rPr>
            <sz val="9"/>
            <color indexed="81"/>
            <rFont val="Tahoma"/>
            <family val="2"/>
          </rPr>
          <t xml:space="preserve">Estimated based on previous year broth (FY19-FY22)
</t>
        </r>
      </text>
    </comment>
    <comment ref="M57" authorId="2" shapeId="0">
      <text>
        <r>
          <rPr>
            <b/>
            <sz val="9"/>
            <color rgb="FF000000"/>
            <rFont val="Tahoma"/>
            <family val="2"/>
          </rPr>
          <t>Dolan, Nicole:</t>
        </r>
        <r>
          <rPr>
            <sz val="9"/>
            <color rgb="FF000000"/>
            <rFont val="Tahoma"/>
            <family val="2"/>
          </rPr>
          <t xml:space="preserve">
HP:
 $        207,782.00   OpEx 
 $        329,068.00   Utilities
 $     1,158,492.00   Debt Service
 $     1,695,342.00   subtotal  
 $       (904,130.00) space leases received, highly volatile
 $       </t>
        </r>
        <r>
          <rPr>
            <u/>
            <sz val="9"/>
            <color rgb="FF000000"/>
            <rFont val="Tahoma"/>
            <family val="2"/>
          </rPr>
          <t>(300,000.00</t>
        </r>
        <r>
          <rPr>
            <sz val="9"/>
            <color rgb="FF000000"/>
            <rFont val="Tahoma"/>
            <family val="2"/>
          </rPr>
          <t xml:space="preserve">) Engineering support
 $        491,212.00  Total 
UP: 
 $        420,525.00  Base Rent 
 $          85,439.00  Amort Cap Improvements
 $        505,964.00   subtotal 
 $     </t>
        </r>
        <r>
          <rPr>
            <u/>
            <sz val="9"/>
            <color rgb="FF000000"/>
            <rFont val="Tahoma"/>
            <family val="2"/>
          </rPr>
          <t xml:space="preserve">  (390,815.00)</t>
        </r>
        <r>
          <rPr>
            <sz val="9"/>
            <color rgb="FF000000"/>
            <rFont val="Tahoma"/>
            <family val="2"/>
          </rPr>
          <t xml:space="preserve">  space leases received 
 $        115,149.00  Total 
Total of HP &amp; UP = $606,360
</t>
        </r>
      </text>
    </comment>
    <comment ref="M58" authorId="1" shapeId="0">
      <text>
        <r>
          <rPr>
            <b/>
            <sz val="9"/>
            <color indexed="81"/>
            <rFont val="Tahoma"/>
            <family val="2"/>
          </rPr>
          <t>Campbell, Kayla Nicole:</t>
        </r>
        <r>
          <rPr>
            <sz val="9"/>
            <color indexed="81"/>
            <rFont val="Tahoma"/>
            <family val="2"/>
          </rPr>
          <t xml:space="preserve">
$700,000 added for support for OHSU waterfront facilities in COP per Sherm Bloomer - Preliminary Budget Strategy 4/5/2022</t>
        </r>
      </text>
    </comment>
    <comment ref="M59" authorId="2" shapeId="0">
      <text>
        <r>
          <rPr>
            <b/>
            <sz val="9"/>
            <color indexed="81"/>
            <rFont val="Tahoma"/>
            <family val="2"/>
          </rPr>
          <t>Dolan, Nicole:</t>
        </r>
        <r>
          <rPr>
            <sz val="9"/>
            <color indexed="81"/>
            <rFont val="Tahoma"/>
            <family val="2"/>
          </rPr>
          <t xml:space="preserve">
FY23 Rent: 
1 mo @ $125,935
12 mo @ $129,688.29
= $1,552,506/yr
Annual operating expenses = $383,603/yr
Total Annual Expense = $1,936,109
Lease income to OSU:
OSUF = $299,203
Beaver Sports Property = $40,752
Total income = $339,955
Total Expense less income = ($1,596,155)</t>
        </r>
      </text>
    </comment>
    <comment ref="M60" authorId="0" shapeId="0">
      <text>
        <r>
          <rPr>
            <b/>
            <sz val="9"/>
            <color indexed="81"/>
            <rFont val="Tahoma"/>
            <family val="2"/>
          </rPr>
          <t>Nicole Dolan:</t>
        </r>
        <r>
          <rPr>
            <sz val="9"/>
            <color indexed="81"/>
            <rFont val="Tahoma"/>
            <family val="2"/>
          </rPr>
          <t xml:space="preserve">
The total increase between CIR, Debt Service - Various and SELP should be $3.5M for a total of $30,315,058 for all three in central</t>
        </r>
      </text>
    </comment>
    <comment ref="M61" authorId="0" shapeId="0">
      <text>
        <r>
          <rPr>
            <b/>
            <sz val="9"/>
            <color indexed="81"/>
            <rFont val="Tahoma"/>
            <family val="2"/>
          </rPr>
          <t>Nicole Dolan:</t>
        </r>
        <r>
          <rPr>
            <sz val="9"/>
            <color indexed="81"/>
            <rFont val="Tahoma"/>
            <family val="2"/>
          </rPr>
          <t xml:space="preserve">
The total increase between CIR, Debt Service - Various and SELP should be $3.5M for a total of $30,315,058 for all three in central
FY24
KC: per meeting about IM FY22 ~ 1.2M.</t>
        </r>
      </text>
    </comment>
    <comment ref="M62" authorId="1" shapeId="0">
      <text>
        <r>
          <rPr>
            <b/>
            <sz val="9"/>
            <color indexed="81"/>
            <rFont val="Tahoma"/>
            <family val="2"/>
          </rPr>
          <t>Campbell, Kayla Nicole:</t>
        </r>
        <r>
          <rPr>
            <sz val="9"/>
            <color indexed="81"/>
            <rFont val="Tahoma"/>
            <family val="2"/>
          </rPr>
          <t xml:space="preserve">
First year of AMP project work per Sherm Bloomer budget strategy document 4/5/2023</t>
        </r>
      </text>
    </comment>
    <comment ref="M65" authorId="1" shapeId="0">
      <text>
        <r>
          <rPr>
            <b/>
            <sz val="9"/>
            <color indexed="81"/>
            <rFont val="Tahoma"/>
            <family val="2"/>
          </rPr>
          <t>Campbell, Kayla Nicole:</t>
        </r>
        <r>
          <rPr>
            <sz val="9"/>
            <color indexed="81"/>
            <rFont val="Tahoma"/>
            <family val="2"/>
          </rPr>
          <t xml:space="preserve">
increase ~5% (rounded)</t>
        </r>
      </text>
    </comment>
    <comment ref="M67" authorId="1" shapeId="0">
      <text>
        <r>
          <rPr>
            <b/>
            <sz val="9"/>
            <color indexed="81"/>
            <rFont val="Tahoma"/>
            <family val="2"/>
          </rPr>
          <t>Campbell, Kayla Nicole:</t>
        </r>
        <r>
          <rPr>
            <sz val="9"/>
            <color indexed="81"/>
            <rFont val="Tahoma"/>
            <family val="2"/>
          </rPr>
          <t xml:space="preserve">
Added 500,000 per Sherm Bloomers FY22 Tuition Budget Planning Doc emailed 11/24/2020</t>
        </r>
      </text>
    </comment>
    <comment ref="L73" authorId="1" shapeId="0">
      <text>
        <r>
          <rPr>
            <b/>
            <sz val="9"/>
            <color indexed="81"/>
            <rFont val="Tahoma"/>
            <family val="2"/>
          </rPr>
          <t>Campbell, Kayla Nicole:</t>
        </r>
        <r>
          <rPr>
            <sz val="9"/>
            <color indexed="81"/>
            <rFont val="Tahoma"/>
            <family val="2"/>
          </rPr>
          <t xml:space="preserve">
Per email from Cindy Alexis on 11/18/2020: I don’t know how this will affect your starting numbers for FY22 but UFIO “returned” $36,400 of the $40,000 provided to Transportation Options for Linn-Benton Loop &amp; Philomath Connection contracts. I added this back to IM under the General Resources/Community Support Funding column.</t>
        </r>
      </text>
    </comment>
    <comment ref="M87" authorId="1" shapeId="0">
      <text>
        <r>
          <rPr>
            <b/>
            <sz val="9"/>
            <color indexed="81"/>
            <rFont val="Tahoma"/>
            <family val="2"/>
          </rPr>
          <t>Campbell, Kayla Nicole:</t>
        </r>
        <r>
          <rPr>
            <sz val="9"/>
            <color indexed="81"/>
            <rFont val="Tahoma"/>
            <family val="2"/>
          </rPr>
          <t xml:space="preserve">
GA Insurance to Grad Fellows (1,022,600 to 50,0000) = 972,600 </t>
        </r>
      </text>
    </comment>
    <comment ref="M93" authorId="1" shapeId="0">
      <text>
        <r>
          <rPr>
            <b/>
            <sz val="9"/>
            <color indexed="81"/>
            <rFont val="Tahoma"/>
            <family val="2"/>
          </rPr>
          <t>Campbell, Kayla Nicole:</t>
        </r>
        <r>
          <rPr>
            <sz val="9"/>
            <color indexed="81"/>
            <rFont val="Tahoma"/>
            <family val="2"/>
          </rPr>
          <t xml:space="preserve">
FY24 increase ~3.5%</t>
        </r>
      </text>
    </comment>
    <comment ref="M94" authorId="1" shapeId="0">
      <text>
        <r>
          <rPr>
            <b/>
            <sz val="9"/>
            <color indexed="81"/>
            <rFont val="Tahoma"/>
            <family val="2"/>
          </rPr>
          <t>Campbell, Kayla Nicole:</t>
        </r>
        <r>
          <rPr>
            <sz val="9"/>
            <color indexed="81"/>
            <rFont val="Tahoma"/>
            <family val="2"/>
          </rPr>
          <t xml:space="preserve">
FY24 increase ~ 3.5%</t>
        </r>
      </text>
    </comment>
  </commentList>
</comments>
</file>

<file path=xl/comments4.xml><?xml version="1.0" encoding="utf-8"?>
<comments xmlns="http://schemas.openxmlformats.org/spreadsheetml/2006/main">
  <authors>
    <author>Campbell, Kayla Nicole</author>
  </authors>
  <commentList>
    <comment ref="G11" authorId="0" shapeId="0">
      <text>
        <r>
          <rPr>
            <b/>
            <sz val="9"/>
            <color indexed="81"/>
            <rFont val="Tahoma"/>
            <family val="2"/>
          </rPr>
          <t>Campbell, Kayla Nicole:</t>
        </r>
        <r>
          <rPr>
            <sz val="9"/>
            <color indexed="81"/>
            <rFont val="Tahoma"/>
            <family val="2"/>
          </rPr>
          <t xml:space="preserve">
Reverse FY23 F&amp;A Adjustment</t>
        </r>
      </text>
    </comment>
    <comment ref="G23" authorId="0" shapeId="0">
      <text>
        <r>
          <rPr>
            <b/>
            <sz val="9"/>
            <color indexed="81"/>
            <rFont val="Tahoma"/>
            <family val="2"/>
          </rPr>
          <t>Campbell, Kayla Nicole:</t>
        </r>
        <r>
          <rPr>
            <sz val="9"/>
            <color indexed="81"/>
            <rFont val="Tahoma"/>
            <family val="2"/>
          </rPr>
          <t xml:space="preserve">
Reverse FY23 F&amp;A Adjustment</t>
        </r>
      </text>
    </comment>
    <comment ref="C24" authorId="0" shapeId="0">
      <text>
        <r>
          <rPr>
            <b/>
            <sz val="9"/>
            <color indexed="81"/>
            <rFont val="Tahoma"/>
            <family val="2"/>
          </rPr>
          <t>Campbell, Kayla Nicole:</t>
        </r>
        <r>
          <rPr>
            <sz val="9"/>
            <color indexed="81"/>
            <rFont val="Tahoma"/>
            <family val="2"/>
          </rPr>
          <t xml:space="preserve">
$1,356,000- Dedicated Resources net
$930,050 - Strategic Funding for Provost's Fellowships. 
Per Sherm - It should stay at this level. Added it to this so it will be removed. THEN it is added again on the FINAL tab under Strategic Funding. 
(Email 11/18/2020). It nets out to be included. </t>
        </r>
      </text>
    </comment>
    <comment ref="G28" authorId="0" shapeId="0">
      <text>
        <r>
          <rPr>
            <b/>
            <sz val="9"/>
            <color indexed="81"/>
            <rFont val="Tahoma"/>
            <family val="2"/>
          </rPr>
          <t>Campbell, Kayla Nicole:</t>
        </r>
        <r>
          <rPr>
            <sz val="9"/>
            <color indexed="81"/>
            <rFont val="Tahoma"/>
            <family val="2"/>
          </rPr>
          <t xml:space="preserve">
Reverse FY23 F&amp;A Adjustment</t>
        </r>
      </text>
    </comment>
    <comment ref="B29" authorId="0" shapeId="0">
      <text>
        <r>
          <rPr>
            <b/>
            <sz val="9"/>
            <color indexed="81"/>
            <rFont val="Tahoma"/>
            <family val="2"/>
          </rPr>
          <t>Campbell, Kayla Nicole:</t>
        </r>
        <r>
          <rPr>
            <sz val="9"/>
            <color indexed="81"/>
            <rFont val="Tahoma"/>
            <family val="2"/>
          </rPr>
          <t xml:space="preserve">
Per Cindy Alexis email on 11/18/2020 - I don’t know how this will affect your starting numbers for FY22 but UFIO “returned” $36,400 of the $40,000 provided to Transportation Options for Linn-Benton Loop &amp; Philomath Connection contracts. I added this back to IM under the General Resources/Community Support Funding column.</t>
        </r>
      </text>
    </comment>
    <comment ref="G29" authorId="0" shapeId="0">
      <text>
        <r>
          <rPr>
            <b/>
            <sz val="9"/>
            <color indexed="81"/>
            <rFont val="Tahoma"/>
            <family val="2"/>
          </rPr>
          <t>Campbell, Kayla Nicole:</t>
        </r>
        <r>
          <rPr>
            <sz val="9"/>
            <color indexed="81"/>
            <rFont val="Tahoma"/>
            <family val="2"/>
          </rPr>
          <t xml:space="preserve">
Reverse FY23 F&amp;A Adjustment</t>
        </r>
      </text>
    </comment>
  </commentList>
</comments>
</file>

<file path=xl/comments5.xml><?xml version="1.0" encoding="utf-8"?>
<comments xmlns="http://schemas.openxmlformats.org/spreadsheetml/2006/main">
  <authors>
    <author>Campbell, Kayla Nicole</author>
  </authors>
  <commentList>
    <comment ref="C108" authorId="0" shapeId="0">
      <text>
        <r>
          <rPr>
            <b/>
            <sz val="9"/>
            <color indexed="81"/>
            <rFont val="Tahoma"/>
            <family val="2"/>
          </rPr>
          <t>Campbell, Kayla Nicole:</t>
        </r>
        <r>
          <rPr>
            <sz val="9"/>
            <color indexed="81"/>
            <rFont val="Tahoma"/>
            <family val="2"/>
          </rPr>
          <t xml:space="preserve">
Nicci to verify amount</t>
        </r>
      </text>
    </comment>
    <comment ref="E135" authorId="0" shapeId="0">
      <text>
        <r>
          <rPr>
            <b/>
            <sz val="9"/>
            <color indexed="81"/>
            <rFont val="Tahoma"/>
            <family val="2"/>
          </rPr>
          <t>Campbell, Kayla Nicole:</t>
        </r>
        <r>
          <rPr>
            <sz val="9"/>
            <color indexed="81"/>
            <rFont val="Tahoma"/>
            <family val="2"/>
          </rPr>
          <t xml:space="preserve">
Research Way, Magruder, FSC, Cascade West, Campus Ops, Gilkey, etc.</t>
        </r>
      </text>
    </comment>
  </commentList>
</comments>
</file>

<file path=xl/comments6.xml><?xml version="1.0" encoding="utf-8"?>
<comments xmlns="http://schemas.openxmlformats.org/spreadsheetml/2006/main">
  <authors>
    <author>tc={BF784CDD-C0F9-457B-A68E-34E6EC4F6D6E}</author>
    <author>Campbell, Kayla Nicole</author>
  </authors>
  <commentList>
    <comment ref="F5"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Increased 10k for forestry.</t>
        </r>
      </text>
    </comment>
    <comment ref="F11" authorId="1" shapeId="0">
      <text>
        <r>
          <rPr>
            <b/>
            <sz val="9"/>
            <color indexed="81"/>
            <rFont val="Tahoma"/>
            <family val="2"/>
          </rPr>
          <t>Campbell, Kayla Nicole:</t>
        </r>
        <r>
          <rPr>
            <sz val="9"/>
            <color indexed="81"/>
            <rFont val="Tahoma"/>
            <family val="2"/>
          </rPr>
          <t xml:space="preserve">
Shaun Bromagem okayed.</t>
        </r>
      </text>
    </comment>
  </commentList>
</comments>
</file>

<file path=xl/comments7.xml><?xml version="1.0" encoding="utf-8"?>
<comments xmlns="http://schemas.openxmlformats.org/spreadsheetml/2006/main">
  <authors>
    <author>Campbell, Kayla Nicole</author>
  </authors>
  <commentList>
    <comment ref="M32" authorId="0" shapeId="0">
      <text>
        <r>
          <rPr>
            <b/>
            <sz val="9"/>
            <color indexed="81"/>
            <rFont val="Tahoma"/>
            <family val="2"/>
          </rPr>
          <t>Campbell, Kayla Nicole:</t>
        </r>
        <r>
          <rPr>
            <sz val="9"/>
            <color indexed="81"/>
            <rFont val="Tahoma"/>
            <family val="2"/>
          </rPr>
          <t xml:space="preserve">
Adjusted settle-up amount. </t>
        </r>
      </text>
    </comment>
  </commentList>
</comments>
</file>

<file path=xl/sharedStrings.xml><?xml version="1.0" encoding="utf-8"?>
<sst xmlns="http://schemas.openxmlformats.org/spreadsheetml/2006/main" count="1822" uniqueCount="895">
  <si>
    <t>Summary Settings in Model:</t>
  </si>
  <si>
    <t>yes</t>
  </si>
  <si>
    <t>FY17</t>
  </si>
  <si>
    <t>Community Support Fund Reserve:</t>
  </si>
  <si>
    <t>Strategic Investment Reserves:</t>
  </si>
  <si>
    <t>% Overhead on Dedicated Funds:</t>
  </si>
  <si>
    <t>Distribution of academic productivity pools</t>
  </si>
  <si>
    <t>Strategic Area</t>
  </si>
  <si>
    <t>Measure</t>
  </si>
  <si>
    <t>% of Academic Pool</t>
  </si>
  <si>
    <t>Total Allocation</t>
  </si>
  <si>
    <t>Degree Foundations</t>
  </si>
  <si>
    <t xml:space="preserve">LD SCH </t>
  </si>
  <si>
    <t>UD Service SCH</t>
  </si>
  <si>
    <t>Grad Service SCH</t>
  </si>
  <si>
    <t>Honors SCH</t>
  </si>
  <si>
    <t>Undergraduate completions</t>
  </si>
  <si>
    <t>UG Degrees</t>
  </si>
  <si>
    <t>UD SCH</t>
  </si>
  <si>
    <t>Graduate Completions</t>
  </si>
  <si>
    <t>Grad Degrees</t>
  </si>
  <si>
    <t>Graduate SCH</t>
  </si>
  <si>
    <t>Alternate Delivery and new participants</t>
  </si>
  <si>
    <t>by actuals</t>
  </si>
  <si>
    <t>Ecampus academic support operations</t>
  </si>
  <si>
    <t>Off-site/other delivery SCH?</t>
  </si>
  <si>
    <t>Externally funded research</t>
  </si>
  <si>
    <t>Combined Research Metric</t>
  </si>
  <si>
    <t>Strategic growth areas</t>
  </si>
  <si>
    <t>(weight for strategic areas:)</t>
  </si>
  <si>
    <t>Degrees to International Students.</t>
  </si>
  <si>
    <t>Degrees to Pell Recipients</t>
  </si>
  <si>
    <t>Cascades Participation by SCH</t>
  </si>
  <si>
    <t>Totals:</t>
  </si>
  <si>
    <t>Service and support allocations</t>
  </si>
  <si>
    <t>These are currently allocated by incremental commitments; detail on Service-Support Detail tab</t>
  </si>
  <si>
    <t>Total allocated by Service, Support, and Management Measures:</t>
  </si>
  <si>
    <t>For Fiscal Year</t>
  </si>
  <si>
    <t>Oregon State University</t>
  </si>
  <si>
    <t xml:space="preserve">Revenue Detail </t>
  </si>
  <si>
    <t>Distributed</t>
  </si>
  <si>
    <t>Departmental</t>
  </si>
  <si>
    <t>Resources</t>
  </si>
  <si>
    <t>Total</t>
  </si>
  <si>
    <t>Public University Support Fund</t>
  </si>
  <si>
    <t>Outcomes Funding Allocation</t>
  </si>
  <si>
    <t>SCH Funding Allocation</t>
  </si>
  <si>
    <t>Tuition Buydown Phase #2</t>
  </si>
  <si>
    <t>Stop Loss/Stop gain</t>
  </si>
  <si>
    <t>Mission  Differentiation Funds</t>
  </si>
  <si>
    <t>Pharmacy Differential</t>
  </si>
  <si>
    <t>Vet Med Differential</t>
  </si>
  <si>
    <t>Vet Diagnostic Lab</t>
  </si>
  <si>
    <t>Subtotal Public University Support Fund</t>
  </si>
  <si>
    <t>State Programs Funding</t>
  </si>
  <si>
    <t>Fermentation Science</t>
  </si>
  <si>
    <t>Signature Research Centers</t>
  </si>
  <si>
    <t>Ocean Vessels Research</t>
  </si>
  <si>
    <t>Natural Resource Institute</t>
  </si>
  <si>
    <t>Oregon Climate Change Research Institute</t>
  </si>
  <si>
    <t>TallWood Design Institute</t>
  </si>
  <si>
    <t>Molluscan Brood Stock</t>
  </si>
  <si>
    <t>Ocean Acidification</t>
  </si>
  <si>
    <t>Subtotal State Program &amp; Other Funding</t>
  </si>
  <si>
    <t>Subtotal -  State Appropriation</t>
  </si>
  <si>
    <t>Tuition:</t>
  </si>
  <si>
    <t xml:space="preserve">  OSU - Corvallis </t>
  </si>
  <si>
    <t xml:space="preserve">  Extended Campus</t>
  </si>
  <si>
    <t xml:space="preserve">  Summer Term</t>
  </si>
  <si>
    <t>Subtotal -  Tuition</t>
  </si>
  <si>
    <t>Tuition Waivers</t>
  </si>
  <si>
    <t>Student Fees:</t>
  </si>
  <si>
    <t xml:space="preserve">  Resource Fees </t>
  </si>
  <si>
    <t xml:space="preserve">Other Student Fees </t>
  </si>
  <si>
    <t>Subtotal -  Student Fees</t>
  </si>
  <si>
    <t>Other Resources:</t>
  </si>
  <si>
    <t>F&amp;A Rate Recovery/Returned Overhead</t>
  </si>
  <si>
    <t>BUC Portion of IDC (included in budgeted allocations)</t>
  </si>
  <si>
    <t xml:space="preserve">Sales &amp; Services </t>
  </si>
  <si>
    <t>Miscellaneous income</t>
  </si>
  <si>
    <t xml:space="preserve"> </t>
  </si>
  <si>
    <t>Interest Revenue</t>
  </si>
  <si>
    <t>Debt Service Support on SELP Loans</t>
  </si>
  <si>
    <t>Subtotal -  Other Resources</t>
  </si>
  <si>
    <t xml:space="preserve">Total  Revenue </t>
  </si>
  <si>
    <t>Subtotal Res Undergraduate</t>
  </si>
  <si>
    <t>Subtotal NR Undergraduate</t>
  </si>
  <si>
    <t>Subtotal Res Graduate</t>
  </si>
  <si>
    <t>Subtotal NR Graduate</t>
  </si>
  <si>
    <t>Subtotal VetMed</t>
  </si>
  <si>
    <t>Subtotal Pharmacy</t>
  </si>
  <si>
    <t>Subtotal Miscellaneous</t>
  </si>
  <si>
    <t>Ecampus tuition</t>
  </si>
  <si>
    <t>Ecampus fee (approx)</t>
  </si>
  <si>
    <t>Summer</t>
  </si>
  <si>
    <t>Waivers*</t>
  </si>
  <si>
    <t>Total Net Tuition</t>
  </si>
  <si>
    <t>Total:</t>
  </si>
  <si>
    <t>OREGON STATE UNIVERSITY</t>
  </si>
  <si>
    <t>Initial Budget:</t>
  </si>
  <si>
    <t>Overhead:</t>
  </si>
  <si>
    <t>Remaining:</t>
  </si>
  <si>
    <t>Central Pools and Reserves and Executive</t>
  </si>
  <si>
    <t>Management and Support Operations</t>
  </si>
  <si>
    <t>Academic Ops</t>
  </si>
  <si>
    <t>Dedicated Purpose Funds</t>
  </si>
  <si>
    <t>Budget Unit</t>
  </si>
  <si>
    <t>Central pools and reserves</t>
  </si>
  <si>
    <t>Executive Funding</t>
  </si>
  <si>
    <t>Academic Support Operations</t>
  </si>
  <si>
    <t>Student and Faculty Support</t>
  </si>
  <si>
    <t>Plant and Facilities Operations</t>
  </si>
  <si>
    <t>Institutional Operations</t>
  </si>
  <si>
    <t>Overhead on dedicated funds, except F&amp;A</t>
  </si>
  <si>
    <t>Targeted state funding</t>
  </si>
  <si>
    <t>Capital Renewal Funding</t>
  </si>
  <si>
    <t>AY Differential and prof. tuition over base</t>
  </si>
  <si>
    <t>Fees, sales, and services</t>
  </si>
  <si>
    <t>Endowment Match</t>
  </si>
  <si>
    <t>F&amp;A recovery allocation</t>
  </si>
  <si>
    <t xml:space="preserve">Enrollment Projection Reserve Pool </t>
  </si>
  <si>
    <t>Contingency Funds or Strategic Funds</t>
  </si>
  <si>
    <t>Community Support Fund</t>
  </si>
  <si>
    <t>Capital Renewal and Depreciation Funds</t>
  </si>
  <si>
    <t>Overhead percentage components</t>
  </si>
  <si>
    <t>Pools For Academic Unit Distribution</t>
  </si>
  <si>
    <t>Original</t>
  </si>
  <si>
    <t>Share</t>
  </si>
  <si>
    <t>Pools for Salary and Benefit Increases</t>
  </si>
  <si>
    <t>Contractual obligations</t>
  </si>
  <si>
    <t>Information Services</t>
  </si>
  <si>
    <t>Graduate School</t>
  </si>
  <si>
    <t>Instruction &amp;  Research</t>
  </si>
  <si>
    <t>Research</t>
  </si>
  <si>
    <t>Bridge and Settleup Reserve</t>
  </si>
  <si>
    <t>Business Centers</t>
  </si>
  <si>
    <t xml:space="preserve">    Agricultural Sciences</t>
  </si>
  <si>
    <t>Business Affairs, F&amp;A</t>
  </si>
  <si>
    <t xml:space="preserve">    Business</t>
  </si>
  <si>
    <t>Business Services</t>
  </si>
  <si>
    <t xml:space="preserve">    Engineering</t>
  </si>
  <si>
    <t xml:space="preserve">    Forestry</t>
  </si>
  <si>
    <t xml:space="preserve">    Public Health &amp; Human Sciences</t>
  </si>
  <si>
    <t xml:space="preserve">    Education</t>
  </si>
  <si>
    <t xml:space="preserve">    Liberal Arts</t>
  </si>
  <si>
    <t xml:space="preserve">    Earth, Oceanic &amp; Atmospheric Sciences</t>
  </si>
  <si>
    <t xml:space="preserve">    Pharmacy</t>
  </si>
  <si>
    <t xml:space="preserve">    Science</t>
  </si>
  <si>
    <t xml:space="preserve">    Veterinary Medicine</t>
  </si>
  <si>
    <t xml:space="preserve">    Summer Session</t>
  </si>
  <si>
    <t xml:space="preserve">    Extended Campus</t>
  </si>
  <si>
    <t xml:space="preserve">    International Programs </t>
  </si>
  <si>
    <t>Interdisciplinary Graduate Programs</t>
  </si>
  <si>
    <t xml:space="preserve">    University Libraries</t>
  </si>
  <si>
    <t xml:space="preserve">    Research (Centers / Institutes / Programs)</t>
  </si>
  <si>
    <t xml:space="preserve">   Instruction &amp; Research Total</t>
  </si>
  <si>
    <t>Service, Support, and Management:</t>
  </si>
  <si>
    <t xml:space="preserve">    Office of the President</t>
  </si>
  <si>
    <t>Athletics</t>
  </si>
  <si>
    <t xml:space="preserve">    University Relations &amp; Marketing</t>
  </si>
  <si>
    <t xml:space="preserve">    Provost</t>
  </si>
  <si>
    <t xml:space="preserve">    Provost - Pass-through</t>
  </si>
  <si>
    <t xml:space="preserve">    Enrollment Management</t>
  </si>
  <si>
    <t xml:space="preserve">    Faculty Affairs</t>
  </si>
  <si>
    <t xml:space="preserve">    Research Administration</t>
  </si>
  <si>
    <t xml:space="preserve">    Student Affairs</t>
  </si>
  <si>
    <t>Ecampus</t>
  </si>
  <si>
    <t xml:space="preserve">    Finance and Administration</t>
  </si>
  <si>
    <t xml:space="preserve">    Facilities Services</t>
  </si>
  <si>
    <t>Service, Support, and Management Total</t>
  </si>
  <si>
    <t xml:space="preserve">      Total Educational and General  Budget</t>
  </si>
  <si>
    <t>Undergraduate Differential Tuition</t>
  </si>
  <si>
    <t>Graduate Differential Tuition</t>
  </si>
  <si>
    <t>Net Allocation</t>
  </si>
  <si>
    <t>Institutional Management:</t>
  </si>
  <si>
    <t xml:space="preserve">    Research Equipment Reserve</t>
  </si>
  <si>
    <t>Academic unit settle-up reserves:</t>
  </si>
  <si>
    <t>Remaining pooled tuition and public university support fund dollars after Dedicated Funds and Capital Renewal Funds (including debt and insurance increments)  are allocated</t>
  </si>
  <si>
    <t>Tuition settleups (Ecampus, Summer, differential)</t>
  </si>
  <si>
    <t>Revenues after Dedicated Funds including Capital Renewal</t>
  </si>
  <si>
    <t>Differental and ROH on dedicated funds page</t>
  </si>
  <si>
    <t>Portion of funds to Academic Pool:</t>
  </si>
  <si>
    <t>Faculty positions to distribute</t>
  </si>
  <si>
    <t>Other reserves to distribute to academic units</t>
  </si>
  <si>
    <t>Graduate Cost Reserves (GTA/GRA health insurance)</t>
  </si>
  <si>
    <t>Community Support Funds for Colleges</t>
  </si>
  <si>
    <t>Grad remission reserves, PhD subsidy, Visa fees</t>
  </si>
  <si>
    <t>Academic productivity pool</t>
  </si>
  <si>
    <t>Portion of funds to "central" or institutional management (contracts, reserves, debt etc.) and service, support, and executive functions:</t>
  </si>
  <si>
    <t>Institutional Management Pool</t>
  </si>
  <si>
    <t>Enrollment projection reserve</t>
  </si>
  <si>
    <t>Executive funding</t>
  </si>
  <si>
    <t>Contingency funding</t>
  </si>
  <si>
    <t>Contingency, strategic and other funding</t>
  </si>
  <si>
    <t>Strategic funding</t>
  </si>
  <si>
    <t>Salary raise pool</t>
  </si>
  <si>
    <t>Mid-year raise pool</t>
  </si>
  <si>
    <t>Service, support, administrative balance</t>
  </si>
  <si>
    <t>*enrollment reserve, contingency are zeroed out elsewhere</t>
  </si>
  <si>
    <t>Productivity Split</t>
  </si>
  <si>
    <t>Degree Foundations plus Honors</t>
  </si>
  <si>
    <t xml:space="preserve">Undergrad Completions </t>
  </si>
  <si>
    <t>Alternative Delivery (Ecampus plus Summer)</t>
  </si>
  <si>
    <t>Strategic Populations and Cascades</t>
  </si>
  <si>
    <t xml:space="preserve">Graduate Completions </t>
  </si>
  <si>
    <t>Total Dedicated Purpose Funds</t>
  </si>
  <si>
    <t>Lower Divison</t>
  </si>
  <si>
    <t>Upper Division</t>
  </si>
  <si>
    <t xml:space="preserve">Graduate and Professional </t>
  </si>
  <si>
    <t>MJR</t>
  </si>
  <si>
    <t>OTH</t>
  </si>
  <si>
    <t>Agricultural Sciences</t>
  </si>
  <si>
    <t>Business</t>
  </si>
  <si>
    <t>Education</t>
  </si>
  <si>
    <t>Forestry</t>
  </si>
  <si>
    <t>Pharmacy</t>
  </si>
  <si>
    <t>Science</t>
  </si>
  <si>
    <t>Liberal Arts</t>
  </si>
  <si>
    <t>Veterinary Medicine</t>
  </si>
  <si>
    <t>Engineering</t>
  </si>
  <si>
    <t>PHHS</t>
  </si>
  <si>
    <t>CEOAS</t>
  </si>
  <si>
    <t>Defense Education</t>
  </si>
  <si>
    <t>ID Programs</t>
  </si>
  <si>
    <t>Honors College</t>
  </si>
  <si>
    <t>ALS</t>
  </si>
  <si>
    <t>Overseas Study</t>
  </si>
  <si>
    <t>PAC Hours</t>
  </si>
  <si>
    <t>Academic Year, Cascades</t>
  </si>
  <si>
    <t>Degrees Awarded</t>
  </si>
  <si>
    <t>all sites except Cascades</t>
  </si>
  <si>
    <t>Undergraduate</t>
  </si>
  <si>
    <t>PhD</t>
  </si>
  <si>
    <t>Masters and Professional</t>
  </si>
  <si>
    <t>Certificates &amp; Other - Graduate</t>
  </si>
  <si>
    <t>Certificates &amp; Other - Undergrad</t>
  </si>
  <si>
    <t>Degrees Awarded - Special Populations</t>
  </si>
  <si>
    <t>International</t>
  </si>
  <si>
    <t>Pell</t>
  </si>
  <si>
    <t>UD DEGREES</t>
  </si>
  <si>
    <t>Strategic Growth Areas</t>
  </si>
  <si>
    <t>All Levels</t>
  </si>
  <si>
    <t>Weights</t>
  </si>
  <si>
    <t>First Minors Awarded</t>
  </si>
  <si>
    <t>Central Pools by Type:</t>
  </si>
  <si>
    <t>Unit</t>
  </si>
  <si>
    <t>Description</t>
  </si>
  <si>
    <t>Index</t>
  </si>
  <si>
    <t>Inst Mgmt</t>
  </si>
  <si>
    <t>Budget Reserve</t>
  </si>
  <si>
    <t>ZARR91</t>
  </si>
  <si>
    <t>Contractual costs</t>
  </si>
  <si>
    <t>Hold out Tuition Reserve:</t>
  </si>
  <si>
    <t>Debt/Lease</t>
  </si>
  <si>
    <t>1.0% of undergraduate &amp; Ecampus  tuition revenue</t>
  </si>
  <si>
    <t>Capital Renewal and Repair Funds</t>
  </si>
  <si>
    <t>Net assessments/USSE</t>
  </si>
  <si>
    <t>Capital &amp; Repair Fund</t>
  </si>
  <si>
    <t>ZARR11</t>
  </si>
  <si>
    <t>Foundation</t>
  </si>
  <si>
    <t>Contingency and reserve funds</t>
  </si>
  <si>
    <t>INTO/International</t>
  </si>
  <si>
    <t>Pools and Reserves to distribute to Units:</t>
  </si>
  <si>
    <t>Bad debt increase</t>
  </si>
  <si>
    <t>Reserve for Ecampus Tuition Settle-up</t>
  </si>
  <si>
    <t>ZARN18</t>
  </si>
  <si>
    <t>Vacation liability increase</t>
  </si>
  <si>
    <t>Reserve for Summer Tuition Settle-up</t>
  </si>
  <si>
    <t>ZARN13</t>
  </si>
  <si>
    <t>Research audit disallowance reserve</t>
  </si>
  <si>
    <t>Contractual, debt, other costs</t>
  </si>
  <si>
    <t>ZARR40</t>
  </si>
  <si>
    <t>Institution wide costs</t>
  </si>
  <si>
    <t>Academic Units</t>
  </si>
  <si>
    <t>Reserve for differential revenue settle-ups</t>
  </si>
  <si>
    <t>ZARR71</t>
  </si>
  <si>
    <t>Risk premiums increase</t>
  </si>
  <si>
    <t>Strategic/Policy Distributions (reserves for non-recurring commitments):</t>
  </si>
  <si>
    <t>ZARP10</t>
  </si>
  <si>
    <t>Strategic allocations</t>
  </si>
  <si>
    <t>Grad Fee Remission for PhD candidacy program</t>
  </si>
  <si>
    <t>ZARR50</t>
  </si>
  <si>
    <t>Distributed to Academic Units:</t>
  </si>
  <si>
    <t>Capital renewal and repair</t>
  </si>
  <si>
    <t>Int'l Assistant Visa fees (distr as Grad Rem)</t>
  </si>
  <si>
    <t>Tuition settleups (Ecampus, Summer,differential, INTO)</t>
  </si>
  <si>
    <t>Reserves to be distributed to Academic Units</t>
  </si>
  <si>
    <t>ROH Settleup</t>
  </si>
  <si>
    <t>Academic reserve funds (tuition, ROH, etc.)</t>
  </si>
  <si>
    <t>Graduate Cost Reserves</t>
  </si>
  <si>
    <t>Salary and Benefit Pools to be distributed</t>
  </si>
  <si>
    <t>Salary and Benefit Pools</t>
  </si>
  <si>
    <t>Community Support Funding</t>
  </si>
  <si>
    <t>Total Institutional Management Pools and Reserves:</t>
  </si>
  <si>
    <t>Management Reserves for Business Costs</t>
  </si>
  <si>
    <t xml:space="preserve">Salary Raise  Reserve Pools </t>
  </si>
  <si>
    <t>Compensated Absence Liability</t>
  </si>
  <si>
    <t>ZARN11</t>
  </si>
  <si>
    <t>Classified insurance subsidy</t>
  </si>
  <si>
    <t>Insurance subsidy for classified employees</t>
  </si>
  <si>
    <t>Sales and Service Revenue Shown Elsewhere</t>
  </si>
  <si>
    <t>Initital redistributions to units</t>
  </si>
  <si>
    <t>Total Original IM :</t>
  </si>
  <si>
    <t>Bad Debt Expense</t>
  </si>
  <si>
    <t>ZARN10</t>
  </si>
  <si>
    <t>ZARA10</t>
  </si>
  <si>
    <t>TouchNet Costs</t>
  </si>
  <si>
    <t>Contingency and strategic funds</t>
  </si>
  <si>
    <t>Finance &amp; Admin</t>
  </si>
  <si>
    <t>Boli Fees</t>
  </si>
  <si>
    <t>Capital Renewal and Repair</t>
  </si>
  <si>
    <t>Net Contingency/Uncommitted funds</t>
  </si>
  <si>
    <t>Contracts, Fees to External Agencies:</t>
  </si>
  <si>
    <t>Strategic allocations (MSI and Student Success)</t>
  </si>
  <si>
    <t>Foundation Obligation</t>
  </si>
  <si>
    <t>Foundation Obligation (Alumni Assoc)</t>
  </si>
  <si>
    <t>Net Portland, Gateway, Innovation hub</t>
  </si>
  <si>
    <t>INTO Fees - Matriculants from Pathway Program</t>
  </si>
  <si>
    <t>ZARR30</t>
  </si>
  <si>
    <t>PMECS contract position from added F&amp;A</t>
  </si>
  <si>
    <t>INTO Fees - Direct Source</t>
  </si>
  <si>
    <t>International  Admissions</t>
  </si>
  <si>
    <t>Corvallis</t>
  </si>
  <si>
    <t>Grant to City (URM)</t>
  </si>
  <si>
    <t>INTO</t>
  </si>
  <si>
    <t>MOU w/H&amp;D for use of space in Int'l LL Center</t>
  </si>
  <si>
    <t>EOU</t>
  </si>
  <si>
    <t>Eastern Oregon University Settle-up</t>
  </si>
  <si>
    <t>CMLC</t>
  </si>
  <si>
    <t>Total Institutional Management</t>
  </si>
  <si>
    <t>Debt Service and Leases</t>
  </si>
  <si>
    <t>Oregon-wide Leases</t>
  </si>
  <si>
    <t>ZARB10</t>
  </si>
  <si>
    <t>Sales and service revenues (put elsewhere)</t>
  </si>
  <si>
    <t>OSU Portland Center</t>
  </si>
  <si>
    <t>Debt Service - Various</t>
  </si>
  <si>
    <t>ZARIOU</t>
  </si>
  <si>
    <t>Debt Service - SELP Loan Repayment (Facilities)</t>
  </si>
  <si>
    <t>Strategic Initiatives Funded Centrally</t>
  </si>
  <si>
    <t>Various</t>
  </si>
  <si>
    <t>Portland Hub, Innovation Studio, Gateway</t>
  </si>
  <si>
    <t>Provost</t>
  </si>
  <si>
    <t>Student Affairs</t>
  </si>
  <si>
    <t>MSI</t>
  </si>
  <si>
    <t>MSI O&amp;M starting Feb 2020 (72,000sqft x $12 monthly)</t>
  </si>
  <si>
    <t>Contingency and Reserve Funding</t>
  </si>
  <si>
    <t>Contingency Fund</t>
  </si>
  <si>
    <t>F&amp;A Recovery kept centrally</t>
  </si>
  <si>
    <t>F&amp;A Recovery contrib - central reserve</t>
  </si>
  <si>
    <t>Assessments to be received from Aux, SWPS, INTO</t>
  </si>
  <si>
    <t>ZARC99</t>
  </si>
  <si>
    <t>Assessments to be received for Business Centers</t>
  </si>
  <si>
    <t xml:space="preserve">Total Institutional Management Allocation </t>
  </si>
  <si>
    <t>Sales &amp; Service Revenue</t>
  </si>
  <si>
    <t>Estimated Institutional Management (Centrally Held Reserves, pools, and obligations)</t>
  </si>
  <si>
    <t>Pool remaining before adjustments:</t>
  </si>
  <si>
    <t>Tax pool resources</t>
  </si>
  <si>
    <t>Excess commitments over pool:</t>
  </si>
  <si>
    <t>Incremental Commitments</t>
  </si>
  <si>
    <t>Raise Rollup</t>
  </si>
  <si>
    <t>Notes</t>
  </si>
  <si>
    <t xml:space="preserve">    Research (Centers / Institutes)</t>
  </si>
  <si>
    <t xml:space="preserve">    Graduate School Administration</t>
  </si>
  <si>
    <t xml:space="preserve">UFIO </t>
  </si>
  <si>
    <t>TOTALS</t>
  </si>
  <si>
    <t>Academic Support, Plant, Institutional Operations</t>
  </si>
  <si>
    <t>Academic Productivity Allocations</t>
  </si>
  <si>
    <t>Provost's Bridge Funding</t>
  </si>
  <si>
    <t>VPFA, Provost  Adjustments</t>
  </si>
  <si>
    <t>Distributed For reserve</t>
  </si>
  <si>
    <t>Gross differential tuition revenue (Corvallis courses; Ecampus differentials distributed with Ecampus revenues)</t>
  </si>
  <si>
    <t>Gross Differential</t>
  </si>
  <si>
    <t>Undergrad</t>
  </si>
  <si>
    <t>Graduate</t>
  </si>
  <si>
    <t>Forestry, Business, Engineering, MPH by credit hours times charge</t>
  </si>
  <si>
    <t>MPH prior to FY19 adjusted for graduate plateau</t>
  </si>
  <si>
    <t>Honors by headcount times charge per term</t>
  </si>
  <si>
    <t>Vet Med and Pharmacy by total tuition revenue less base tuition for graduate students</t>
  </si>
  <si>
    <t>Academic Year*, On Campus - Differential Tuition</t>
  </si>
  <si>
    <t>Interdisciplinary Grad Degrees</t>
  </si>
  <si>
    <t>Additional Weighting</t>
  </si>
  <si>
    <t>Ecampus  credit hour allocation (summer and academic year)</t>
  </si>
  <si>
    <t>This is the allocation by actual amounts, in the exact way it has been done previously.</t>
  </si>
  <si>
    <t>These allocations include the differential tuition component</t>
  </si>
  <si>
    <t>Ecampus Actual allocations after settle ups</t>
  </si>
  <si>
    <t>Ecampus Actual Dollar Allocation Total</t>
  </si>
  <si>
    <t>COLLEGE</t>
  </si>
  <si>
    <t>FY18 Actual</t>
  </si>
  <si>
    <t>Earth,Ocean &amp;Atmos Sci</t>
  </si>
  <si>
    <t xml:space="preserve">Forestry </t>
  </si>
  <si>
    <t>Public Health &amp; Human Sci</t>
  </si>
  <si>
    <t xml:space="preserve">Graduate School                     </t>
  </si>
  <si>
    <t xml:space="preserve"> Research Office </t>
  </si>
  <si>
    <t xml:space="preserve">  Outreach &amp; Engagement</t>
  </si>
  <si>
    <t xml:space="preserve"> Library</t>
  </si>
  <si>
    <t>Honors</t>
  </si>
  <si>
    <t>Central Admin</t>
  </si>
  <si>
    <t>Settleup fund</t>
  </si>
  <si>
    <t>Financial aid</t>
  </si>
  <si>
    <t>Net tuition to central</t>
  </si>
  <si>
    <t>Fee portion</t>
  </si>
  <si>
    <t>Fee</t>
  </si>
  <si>
    <t>Total Tuition Revenue</t>
  </si>
  <si>
    <t>Alternative Delivery</t>
  </si>
  <si>
    <t>Summer Credit Hour Allocation</t>
  </si>
  <si>
    <t>Summer Actual allocations after settle ups</t>
  </si>
  <si>
    <t>Summer Actual Dollar Allocation Total</t>
  </si>
  <si>
    <t>overseas studies</t>
  </si>
  <si>
    <t>Reserve</t>
  </si>
  <si>
    <t>Allocation</t>
  </si>
  <si>
    <t>3 Year Total SCH</t>
  </si>
  <si>
    <t>Weighted Aggregate</t>
  </si>
  <si>
    <t>LD</t>
  </si>
  <si>
    <t>UD</t>
  </si>
  <si>
    <t>Grad</t>
  </si>
  <si>
    <t>Share of SCH Pool</t>
  </si>
  <si>
    <t>PAC Discount</t>
  </si>
  <si>
    <t>Ratios to Eight Upper Division CIPs (1.00), capped for differential tuition contribution</t>
  </si>
  <si>
    <t>Lower Division</t>
  </si>
  <si>
    <t>Master's</t>
  </si>
  <si>
    <t xml:space="preserve">Doctoral </t>
  </si>
  <si>
    <t>DVM PharmD</t>
  </si>
  <si>
    <t>All by CIP Level</t>
  </si>
  <si>
    <t>All Ratioed to Lower Division</t>
  </si>
  <si>
    <t>Updated for FY20 with Major Counts and Updated Weights (Outliers removed) WITH Kinesiology Change</t>
  </si>
  <si>
    <t>*</t>
  </si>
  <si>
    <t>Grad SCH</t>
  </si>
  <si>
    <t>Weighted</t>
  </si>
  <si>
    <t>Degrees Awarded - Interdisciplinary</t>
  </si>
  <si>
    <t>Doctorate</t>
  </si>
  <si>
    <t>Master/Pro</t>
  </si>
  <si>
    <t>Certificate</t>
  </si>
  <si>
    <t>Provided by the Graduate School</t>
  </si>
  <si>
    <t>Weighted Degree</t>
  </si>
  <si>
    <t>Cert</t>
  </si>
  <si>
    <t>Proportion to College of Major Professor</t>
  </si>
  <si>
    <t>Proportion to Interdisciplinary Program</t>
  </si>
  <si>
    <t>TOTAL</t>
  </si>
  <si>
    <t>Cascades</t>
  </si>
  <si>
    <t>Research Activity Allocation:</t>
  </si>
  <si>
    <t>Total F&amp;A Recovery</t>
  </si>
  <si>
    <t>Average</t>
  </si>
  <si>
    <t>Master/Profession</t>
  </si>
  <si>
    <t>Doc Degree</t>
  </si>
  <si>
    <t>Interdisciplinary</t>
  </si>
  <si>
    <t>Share of Degree</t>
  </si>
  <si>
    <t>Share of SCH</t>
  </si>
  <si>
    <t>*PHHS includes PAC Courses (no yes/no qualifier)</t>
  </si>
  <si>
    <t>Foundations</t>
  </si>
  <si>
    <t>SCH</t>
  </si>
  <si>
    <t>Cascades SCH*</t>
  </si>
  <si>
    <t>Completions</t>
  </si>
  <si>
    <t>Financial Aid</t>
  </si>
  <si>
    <t>Net Tuition (Cental)</t>
  </si>
  <si>
    <t>Initial Institutional management by estimated distribution in major categories</t>
  </si>
  <si>
    <t>Initial Institutional management detailed allocation (Budget reserve net is treated elsewhere in this model approach)</t>
  </si>
  <si>
    <t>Input</t>
  </si>
  <si>
    <t>Input/Formula</t>
  </si>
  <si>
    <t>Formula</t>
  </si>
  <si>
    <t>STEP 1</t>
  </si>
  <si>
    <t>STEP 3</t>
  </si>
  <si>
    <t>STEP 5</t>
  </si>
  <si>
    <t>STEP 1 &amp; 6</t>
  </si>
  <si>
    <t>Step 4</t>
  </si>
  <si>
    <t>Step 0</t>
  </si>
  <si>
    <t>Step 1</t>
  </si>
  <si>
    <t>Step 2</t>
  </si>
  <si>
    <t>Step 3</t>
  </si>
  <si>
    <t>Step 5</t>
  </si>
  <si>
    <t>Step 6</t>
  </si>
  <si>
    <t>Step 7</t>
  </si>
  <si>
    <t>Refer to Process Tab:</t>
  </si>
  <si>
    <t>STEP 2 in Process Tab</t>
  </si>
  <si>
    <t>General Resource Budget (formerly base budget)</t>
  </si>
  <si>
    <t>Dedicated Resources</t>
  </si>
  <si>
    <t>INITIAL BUDGET</t>
  </si>
  <si>
    <t>LAST YEAR</t>
  </si>
  <si>
    <t>BUDGET MODEL</t>
  </si>
  <si>
    <t>Faculty Affairs</t>
  </si>
  <si>
    <t>*Grad Completion</t>
  </si>
  <si>
    <t>*Foundations</t>
  </si>
  <si>
    <t>*Undergrad Completion</t>
  </si>
  <si>
    <t>Health Science weight</t>
  </si>
  <si>
    <t xml:space="preserve">It's important to note that the resources are distributed at the College or Divison level not the School or Department level. </t>
  </si>
  <si>
    <t>^^^^^   Select the Pluses (+) above to see the expanded detail.   ^^^^^</t>
  </si>
  <si>
    <t>Dashboard</t>
  </si>
  <si>
    <t>Change Log</t>
  </si>
  <si>
    <t>Step 0 Revenue Detail</t>
  </si>
  <si>
    <t>Final-Distributed E&amp;G Budget</t>
  </si>
  <si>
    <t>Add the Revenue Detail in the STEP 0 REVENUE DETAIL tab.</t>
  </si>
  <si>
    <t>Input the dedicated purpose funds in the FINAL-DISTRIBUTED E&amp;G BUDGET tab.  The Differential Data is the only dedicated fund that pulls from another tab (DIFFERENTIAL tab). The Overhead will calculate and be distributed to the Service &amp; Support Units based on the Overhead Percentage Components on the FINAL-DISTRIBUTED E&amp;G BUDGET tab. The overhead being distributed to the Service &amp; Support units will be under the Academic Support, Plant, Institutional Operations area (under General Resource Budget).</t>
  </si>
  <si>
    <t>Input the community support funding on the FINAL-DISTRIBUTED E&amp;G BUDGET tab. The total must match the community support funding on the PRODUCTIVITY SPLIT tab.</t>
  </si>
  <si>
    <t>Differential</t>
  </si>
  <si>
    <t>Productivity Calc</t>
  </si>
  <si>
    <t>Data-Credit &amp; Degree</t>
  </si>
  <si>
    <t>IM</t>
  </si>
  <si>
    <t>Service Support &amp; Mgmt</t>
  </si>
  <si>
    <t>Floor Calc</t>
  </si>
  <si>
    <t>Revenues after Dedicated Funds (including Capital Renewal) are split via % on the PRODUCTIVITY SPLIT tab.</t>
  </si>
  <si>
    <t>Estimated Institutional Management (Centrally Held Reserves, pools, and obligations) are entered on the IM tab. Formulas will pull the data from the IM tab to the FINAL-DISTRIBUTED E&amp;G BUDGET tab.</t>
  </si>
  <si>
    <t>Budget Model Steps for Allocating the E&amp;G Budget</t>
  </si>
  <si>
    <t>Tabs</t>
  </si>
  <si>
    <t>Information boxes can be found on many of the tabs.</t>
  </si>
  <si>
    <r>
      <rPr>
        <b/>
        <sz val="11"/>
        <color theme="1"/>
        <rFont val="Calibri"/>
        <family val="2"/>
        <scheme val="minor"/>
      </rPr>
      <t xml:space="preserve">Information:  </t>
    </r>
    <r>
      <rPr>
        <sz val="11"/>
        <color theme="1"/>
        <rFont val="Calibri"/>
        <family val="2"/>
        <scheme val="minor"/>
      </rPr>
      <t>The change log tab tracks adjustments made to the budget model workbook.</t>
    </r>
  </si>
  <si>
    <r>
      <rPr>
        <b/>
        <sz val="11"/>
        <color theme="1"/>
        <rFont val="Calibri"/>
        <family val="2"/>
        <scheme val="minor"/>
      </rPr>
      <t xml:space="preserve">Information:  </t>
    </r>
    <r>
      <rPr>
        <sz val="11"/>
        <color theme="1"/>
        <rFont val="Calibri"/>
        <family val="2"/>
        <scheme val="minor"/>
      </rPr>
      <t>The productivity split was moved to the second step, rather than after setting aside central commitments to contractual obligations, raise pools, and contingency funds.  This insures that the academic productivity pool grows by at least the same proportion of overall revenue growth and that it does not shrink because too much is taken "off the top".  Over the last three years of the model the proportion to academic units correspondes to 57.6% to 60.4% of the available pool.  FY19 is set at 59% (the average of the three years).</t>
    </r>
  </si>
  <si>
    <t>Provides FY16 and FY17 base for the Adjustment to Floor calculation on the FINAL-DISTRIBUTED E&amp;G BUDGET tab.</t>
  </si>
  <si>
    <t>Distribute Community Fund, Adjust to Floor (yes/no)</t>
  </si>
  <si>
    <t>Correct for PAC Fee? (yes/no)</t>
  </si>
  <si>
    <t>Use Health Sciences weight for Pharm and Vet Med (no = professional school weights) (yes/no)</t>
  </si>
  <si>
    <t>Undergrad Completions - Use Desciplinary Weights? (yes/no)</t>
  </si>
  <si>
    <t>Graduate Completion - Use Desciplinary Weights? (yes/no)</t>
  </si>
  <si>
    <t>Provides a log of changes to the model</t>
  </si>
  <si>
    <t>This tab provides the E&amp;G revenue estimate that is distributed. Additions or subtractions to the total revenue on this tab will adjust the amount that is distributed.</t>
  </si>
  <si>
    <t>This is where the initial budget can be found! This page includes numbers directly input onto the page and formulas that pull totals from other pages. For example, many of the dedicated purpose funds are entered directly onto this tab. However, the Academic Productivity Allocation pulls its data from the Productivity Calc tab. This is because the Productive Calc tab has formulas that distribute the academic productivity areas based on the measures provided on the DASHBOARD tab and the weights on the WEIGHT tab. There are three pluses at the top of the page that can be clicked to expand detail on the dedicated purpose funds, Academic Support/Plant/Institutional Operations, and Academic Productivity Allocations. There are steps under the table that can be reference to the processes described above.</t>
  </si>
  <si>
    <t xml:space="preserve">This is step 2 in the process above. The pooled tuition and the public university support fund dollars (Total Revenue from the STEP 0 REVENUE DETAIL tab) less the Dedicated Funds and Capital Renewal Funds (including dept and insurance increments) entered under the dedicated funds area on the FINAL-DISTRIBUTED E&amp;G BUDGET tab is split between the funds to the Academic Pool and the portion of funds to "central" or institutional management (contracts, reserves, debts etc) and service, support, and executive functions. </t>
  </si>
  <si>
    <t>The Ecampus credit hour allocation (summer and academic year) is by actual amounts in the same way it has been done in previous years. These allocations include the differential tuition component. This data will feed to the PRODUCTIVITY CALC tab.</t>
  </si>
  <si>
    <t>The Summer credit hour allocation is the allocation by actual amounts in the same way it has been done in previous years. These allocations include the differential component. This data will feed to the PRODUCTIVITY CALC tab.</t>
  </si>
  <si>
    <t>This tab allocates the amount set aside from the Academic Productivity Pool for the Strategic Area  - Externally Funded Research. This data will feed to the FINAL-DISTRIBUTED E&amp;G BUDGET tab under the Academic Productivity area.</t>
  </si>
  <si>
    <t>The Estimated Institutional Magement (Centrally Held Reserves, Pools, and Obligations) are listed on the IM tab. This data will feed to FINAL-DISTRIBUTED E&amp;G BUDGET tab.</t>
  </si>
  <si>
    <t>Strategic Areas</t>
  </si>
  <si>
    <t>Graduate and Professional</t>
  </si>
  <si>
    <t>CALCULATION</t>
  </si>
  <si>
    <t>PROVIDED BY BIOLOGY</t>
  </si>
  <si>
    <t>Biology Taught by Others (OTH)</t>
  </si>
  <si>
    <t>This is the credit and degree data used to calculate and distribute the academic productivity pool on the PRODUCTIVITY CALC tab. The Credits Attempted that flows to the PRODUCTIVITY CALC tab takes into account various corrections (Biology classes taught by others, Honors correction, and Pre/Pro change (Pre classes are now counted as Majors for example a Pre-Forestry students taking a Forestry class is considered a 'taught to major' or 'MJR')).</t>
  </si>
  <si>
    <t>Difference</t>
  </si>
  <si>
    <t>President's</t>
  </si>
  <si>
    <t>President's Residence O&amp;M</t>
  </si>
  <si>
    <t>Checks</t>
  </si>
  <si>
    <t>The Academic Productivity Allocation on the FINAL-DISTRIBUTED E&amp;G BUDGET tab will populate based on the data in the green tabs (Productivity Calc, Ecampus, Summer, Research, Data-Credit &amp; Degree, Weights)</t>
  </si>
  <si>
    <t xml:space="preserve">Final Adjustments are made in Step 7. Adjust to floor is a formula in the FINAL-DISTRIBUTED E&amp;G BUDGET tab is based on data in the FLOOR CALC tab. Provost's Bridge Funding &amp; VPFA Provost Adjustments are input on the FINAL-DISTRIBUTED E&amp;G BUDGET tab.  Distributed for Reserve is a formula. </t>
  </si>
  <si>
    <t>The dashboard provides options to adjust the model by choosing to adjust to the floor, choosing what floor to adjust to, adjusting the measures related to the academic productivity pools, etc. It also shows how much is being distributed at the different strategic areas in the academic productivity pool.  The items in the Dashboard are set by the Office of Budget &amp; Resource Planning. Changes to this tab will result in changes to various formulas throughout the workbook and would change the FINAL allocation number on the FINAL-DISTRIBUTED E&amp;G BUDGET tab.</t>
  </si>
  <si>
    <t>The differential tab show the Gross Differential for several years and the projected amount for the new fiscal year. The projection then has an amount held back for Financial Aid and as a reserve. The Initial Budget Column feeds to the FINAL-DISTRIBUTED E&amp;G BUDGET tab under the dedicated resources (differential).  This tab does not include Ecampus or Summer differential tuition which is included on the ECAMPUS and Summer tab.</t>
  </si>
  <si>
    <t>This tab calculates the distributions for the academic productivity pools. This uses the data from most of the green tabs (ECAMPUS, SUMMER, DATA-CREDIT &amp; DEGREE, WEIGHTS) and the DASHBOARD tab. There are several pluses that will show expanded detail of the calculations. This data will feed to the FINAL-DISTRIBUTED E&amp;G BUDGET tab under the Academic Productivity area.</t>
  </si>
  <si>
    <t>The weights used in the PRODUCTIVITY CALC tab formulas.</t>
  </si>
  <si>
    <r>
      <rPr>
        <b/>
        <sz val="11"/>
        <color theme="1"/>
        <rFont val="Calibri"/>
        <family val="2"/>
        <scheme val="minor"/>
      </rPr>
      <t xml:space="preserve">Information:  </t>
    </r>
    <r>
      <rPr>
        <sz val="11"/>
        <color theme="1"/>
        <rFont val="Calibri"/>
        <family val="2"/>
        <scheme val="minor"/>
      </rPr>
      <t xml:space="preserve">The items in the Dashboard tab are set by the Office of Budget &amp; Resource Planning. Changes to this tab will result in changes to various formulas throughout the workbook and would adjust the allocations. </t>
    </r>
  </si>
  <si>
    <r>
      <rPr>
        <b/>
        <sz val="11"/>
        <color theme="1"/>
        <rFont val="Calibri"/>
        <family val="2"/>
        <scheme val="minor"/>
      </rPr>
      <t xml:space="preserve">Information:  </t>
    </r>
    <r>
      <rPr>
        <sz val="11"/>
        <color theme="1"/>
        <rFont val="Calibri"/>
        <family val="2"/>
        <scheme val="minor"/>
      </rPr>
      <t xml:space="preserve">The Revenue detail on this page is what funds the E&amp;G budget. These are resources allocated to the University. Some of these resources are provided by the State of Oregon. Others are revenue projections  that have not been earned such as tuition revenue that is realized once enrollment goals are met. The Total Revenue amount is distributed throughout the shared responsibility budget model process. </t>
    </r>
  </si>
  <si>
    <t>Red Boxes are Check Sum or Error Boxes. Used by the Office of Budget &amp; Resource Planning</t>
  </si>
  <si>
    <t>PacWave Energy Test Site</t>
  </si>
  <si>
    <t>Ag Channel Habitat Study</t>
  </si>
  <si>
    <t xml:space="preserve">    Research Equipment Reserve &amp; BUC &amp; Casc</t>
  </si>
  <si>
    <t>Less 10% Undergraduate, 10% Graduate Financial Aid</t>
  </si>
  <si>
    <t>Difference from Prior Year</t>
  </si>
  <si>
    <t>IM Page</t>
  </si>
  <si>
    <t>Central university memberships</t>
  </si>
  <si>
    <t>Service &amp; Support &amp; Research Supplements</t>
  </si>
  <si>
    <t>Mid-year Rescission (-) or Adj to Base from IM (+)</t>
  </si>
  <si>
    <t>Productivity Tab</t>
  </si>
  <si>
    <t>enrollment &amp; contingency zeroed out else where</t>
  </si>
  <si>
    <t>Academic</t>
  </si>
  <si>
    <t>Check 1</t>
  </si>
  <si>
    <t>Check 2</t>
  </si>
  <si>
    <t>F&amp;A Recovery</t>
  </si>
  <si>
    <t>FY19 Actual</t>
  </si>
  <si>
    <t>From Rev Page</t>
  </si>
  <si>
    <t>FY18</t>
  </si>
  <si>
    <t>FY19</t>
  </si>
  <si>
    <t>FY21 Budget Allocation</t>
  </si>
  <si>
    <t>FY17 Actual</t>
  </si>
  <si>
    <t>From Revenue Tab</t>
  </si>
  <si>
    <t>Grey Above</t>
  </si>
  <si>
    <t>TREND</t>
  </si>
  <si>
    <t>FY20</t>
  </si>
  <si>
    <t>Financial aid -10 %</t>
  </si>
  <si>
    <t>Net tuition to central -18 %</t>
  </si>
  <si>
    <t>10% After Removing Fee</t>
  </si>
  <si>
    <t>Outreach &amp; Engagement</t>
  </si>
  <si>
    <t>Check</t>
  </si>
  <si>
    <t>(Total Revenue - Fee - Financial Aid) *.2</t>
  </si>
  <si>
    <t>Remainder</t>
  </si>
  <si>
    <t>Undergrad Studies</t>
  </si>
  <si>
    <t>Acad Svcs for Student Athletes</t>
  </si>
  <si>
    <t>Undergrad Studies (OSU Go)</t>
  </si>
  <si>
    <t>President's Residence O&amp;M / New Presidental Costs</t>
  </si>
  <si>
    <t>USSE Assessments</t>
  </si>
  <si>
    <t>Returned Overhead Rsv Cascades</t>
  </si>
  <si>
    <t>Total with Sales &amp; Service Revenue</t>
  </si>
  <si>
    <t>Total with Sales &amp; Service Revenue and Budget Reserve</t>
  </si>
  <si>
    <t>Total to Unit</t>
  </si>
  <si>
    <t>Based on Incremental Adjustments to current budgets</t>
  </si>
  <si>
    <t>Research Audit Disallowance Reserve (.5% of Recovery)</t>
  </si>
  <si>
    <t>Initial Budget- 3% Held Back (Rounded to Nearest 1000)</t>
  </si>
  <si>
    <t>New buildings</t>
  </si>
  <si>
    <t>Date</t>
  </si>
  <si>
    <t>Department or Tab</t>
  </si>
  <si>
    <t>Description of Change</t>
  </si>
  <si>
    <t>Executive Offices</t>
  </si>
  <si>
    <t>EM - Annual Bonus</t>
  </si>
  <si>
    <t>BUD0500 with BEE, PRE/PRO, and Honors Correction</t>
  </si>
  <si>
    <t>Academic Year,all sites except Ecampus (including PDX) &amp; Cascades</t>
  </si>
  <si>
    <t>Degrees to Students of Color:</t>
  </si>
  <si>
    <t>Students of Colors - Degrees</t>
  </si>
  <si>
    <t>International - Degrees</t>
  </si>
  <si>
    <t>Pell - Degrees</t>
  </si>
  <si>
    <t>Students of Color</t>
  </si>
  <si>
    <t>Data Pulled:</t>
  </si>
  <si>
    <t>FY20 Actual</t>
  </si>
  <si>
    <t>* Budget Reserve</t>
  </si>
  <si>
    <t>Distance Education Fee - From Ecampus Rev Estimate (matches Step 0 in Budget Model).</t>
  </si>
  <si>
    <t>FY22 Allocation</t>
  </si>
  <si>
    <t>FY22 Unit Share</t>
  </si>
  <si>
    <t>FY22 Budget Allocation</t>
  </si>
  <si>
    <t>One-time Funding</t>
  </si>
  <si>
    <t>Increments to Base</t>
  </si>
  <si>
    <t>Orange is Executive Funding</t>
  </si>
  <si>
    <t>Total Initial Budget From Final Tab</t>
  </si>
  <si>
    <t>Productivity</t>
  </si>
  <si>
    <t>Tax Allocation</t>
  </si>
  <si>
    <t>Base</t>
  </si>
  <si>
    <t>Strategic, Dedicated, Other</t>
  </si>
  <si>
    <t>Base (Prior Yr Base + Adj to Base from IM)</t>
  </si>
  <si>
    <t xml:space="preserve">Initial Budget </t>
  </si>
  <si>
    <t>Service/Support Unit and Executive Office Increments (Detail)</t>
  </si>
  <si>
    <t>Provost - Pass-through (Marine Studies Initiative)</t>
  </si>
  <si>
    <t>Support &amp; Exec Detail</t>
  </si>
  <si>
    <t>Pulls from FINAL tab</t>
  </si>
  <si>
    <t>From Detail tab</t>
  </si>
  <si>
    <t>^This does not include the Executive Offices^</t>
  </si>
  <si>
    <t xml:space="preserve">Support &amp; Executive Office Allocations:  </t>
  </si>
  <si>
    <t>Overcommitted</t>
  </si>
  <si>
    <t>Dashboard set by the Office of Budget &amp; Resouce Planning.</t>
  </si>
  <si>
    <t xml:space="preserve">Input the OSU Strategic Funding &amp; Executive Funding on the FINAL-DISTRIBUTED E&amp;G BUDGET tab. Detail on the Executive Funding can be found on the SUPPORT &amp; EXEC DETAIL tab. Once the incremental detail is added, it will populate the Service Support &amp; Mgmt tab. This tab then populates the FINAL tab. </t>
  </si>
  <si>
    <t>Input the Service &amp; Support incremental budget detail on the SERVICE &amp; EXEC detail tab. Formulas will pull the data to the Service, Support, &amp; Management units on the FINAL tab. Some information such as the Strategic Dedicated Other, Productivity, and Tax allocation will pull from the FINAL-DISTRIBUTED E&amp;G BUDGET tab to the SERVICE SUPPORT &amp; MGMT tab.</t>
  </si>
  <si>
    <t>Service and Support Units allocations are based on incremental adjustments to the current budgets. The historical (current budget information) and incremental adjustments are input on this tab. Some information (The new fiscal year Strategic Dedicated, Other, Productivity, and Tax Allocation) pull from the FINAL-DISTRIBUTED E&amp;G BUDGET tab. The Balance General Resources column will feed into the FINAL-DISTRIBUTED E&amp;G BUDGET tab. Details on the incremental commitments can be found on the Support &amp; Exec detail tab.</t>
  </si>
  <si>
    <t>Displays the incremental detail for the Service Support &amp; Mgmt and Executive Offices.  This information goes to the Service Support &amp; Mgmt tab.</t>
  </si>
  <si>
    <t>x</t>
  </si>
  <si>
    <t xml:space="preserve">    Finance and Administration (&amp; Business Ctrs)</t>
  </si>
  <si>
    <t>Budget Model Rounding (Remainder)</t>
  </si>
  <si>
    <t>Check 3</t>
  </si>
  <si>
    <t>UFIO</t>
  </si>
  <si>
    <t>Returned 36,400 provided for Transporation Options for Linn-Benton Loop &amp; Philomath Connection Contracts</t>
  </si>
  <si>
    <t>FY22 Classified Mid-year Step &amp; COLA</t>
  </si>
  <si>
    <t xml:space="preserve">    Provost - MSI</t>
  </si>
  <si>
    <t>FY21</t>
  </si>
  <si>
    <t>Base $ Unit</t>
  </si>
  <si>
    <t>Estimated Break Out</t>
  </si>
  <si>
    <t>Differential (Net)</t>
  </si>
  <si>
    <t>To Unit</t>
  </si>
  <si>
    <t>Total Ecampus</t>
  </si>
  <si>
    <t>Fees</t>
  </si>
  <si>
    <t>Differential (Gross)</t>
  </si>
  <si>
    <t>Differential Gross</t>
  </si>
  <si>
    <t>Waiver for Tuition Portion</t>
  </si>
  <si>
    <t>Waiver for Diff</t>
  </si>
  <si>
    <t>Total for 80/20 Split</t>
  </si>
  <si>
    <t>To Units (80%)</t>
  </si>
  <si>
    <t>To Units (Net Diff)</t>
  </si>
  <si>
    <t>To Central (20%)</t>
  </si>
  <si>
    <t>Waivers</t>
  </si>
  <si>
    <t>To Unit (Base &amp; Diff)</t>
  </si>
  <si>
    <t>Settle-up</t>
  </si>
  <si>
    <t xml:space="preserve">To Central </t>
  </si>
  <si>
    <t>Refunds</t>
  </si>
  <si>
    <t>Global Affairs</t>
  </si>
  <si>
    <t>Summer Settle-up should increase based on PY Actuals</t>
  </si>
  <si>
    <t>363k</t>
  </si>
  <si>
    <t>121k</t>
  </si>
  <si>
    <t>798k</t>
  </si>
  <si>
    <t>672k</t>
  </si>
  <si>
    <t>Delta</t>
  </si>
  <si>
    <t>Ecampus differentials</t>
  </si>
  <si>
    <t>Public Service</t>
  </si>
  <si>
    <t>Orbis</t>
  </si>
  <si>
    <t>Services to Students with Disabilities</t>
  </si>
  <si>
    <t>SWPS Facilities</t>
  </si>
  <si>
    <t>No Longer from State Funded (Targeted Resources)</t>
  </si>
  <si>
    <t>Childcare Subsidy to Student Affairs (hold in IM for now)</t>
  </si>
  <si>
    <t>Distributed for Reserve</t>
  </si>
  <si>
    <t>Unclassified Salary Increase Reserve</t>
  </si>
  <si>
    <t>Leave/Benfit Cost Reserve</t>
  </si>
  <si>
    <t>Childcare contract subsidy</t>
  </si>
  <si>
    <t xml:space="preserve">    Global Affairs </t>
  </si>
  <si>
    <t>Adjustments</t>
  </si>
  <si>
    <t>Other Academic Productivity</t>
  </si>
  <si>
    <t>Ecampus &amp; Summer</t>
  </si>
  <si>
    <t>Support and Admin</t>
  </si>
  <si>
    <t>Pools, Reserves, Strategic, Executive Funding</t>
  </si>
  <si>
    <t>Net Dedicated Purpose Funds</t>
  </si>
  <si>
    <t>*Rounding Difference</t>
  </si>
  <si>
    <t>F&amp;A Uninsured Risk Pool</t>
  </si>
  <si>
    <t>University Facilities, Infastructure, and Operations</t>
  </si>
  <si>
    <t>FY21 Actual</t>
  </si>
  <si>
    <t xml:space="preserve">Cooperative Institute for Marine Resources Studies in augmentation of sampling along the Newport Hydrographic Line; </t>
  </si>
  <si>
    <t>Clark Meat Center Upgrades</t>
  </si>
  <si>
    <t>Avian Study</t>
  </si>
  <si>
    <t>Graduate Student Hardship Fund</t>
  </si>
  <si>
    <t>Contingency - Unclassified</t>
  </si>
  <si>
    <t>2021 Actual</t>
  </si>
  <si>
    <t>Distributed to Academic Units Less Differential &amp; ROH Settleup (including Cascades ROH)</t>
  </si>
  <si>
    <t>Wildfire Risk Map-INR</t>
  </si>
  <si>
    <t>Wildfire Risk Map-FOR</t>
  </si>
  <si>
    <t>Research Way, Magruder, FSC, Cascade West, Campus Ops, Gilkey?</t>
  </si>
  <si>
    <t>Grad Hardship Fund</t>
  </si>
  <si>
    <t>Engineering - ETSF</t>
  </si>
  <si>
    <t>Salary Pool Off Top</t>
  </si>
  <si>
    <t>CHANGE SUMMARY</t>
  </si>
  <si>
    <t>Total Difference</t>
  </si>
  <si>
    <t>Academic Affairs</t>
  </si>
  <si>
    <t>University Information &amp; Technology</t>
  </si>
  <si>
    <t xml:space="preserve">    Extension &amp; Engagement</t>
  </si>
  <si>
    <t>Vet Med</t>
  </si>
  <si>
    <t>Strategic Mission Funding (formerly Community Support)</t>
  </si>
  <si>
    <t>OSU Limited Term Strategic Funding (formerly OSU Strategic)</t>
  </si>
  <si>
    <t>Vet Med &amp; Pharmacy Block Funding Calculation</t>
  </si>
  <si>
    <t>VER21</t>
  </si>
  <si>
    <t>Zero out - moved off the top</t>
  </si>
  <si>
    <t>PHARMACY</t>
  </si>
  <si>
    <t>FY22</t>
  </si>
  <si>
    <t>Total Initial budget:</t>
  </si>
  <si>
    <t>Fees, Sales</t>
  </si>
  <si>
    <t>Central OHSU Ops &amp; Debt</t>
  </si>
  <si>
    <t>10% to Overhead costs</t>
  </si>
  <si>
    <t>Total Resources</t>
  </si>
  <si>
    <t>State VDL</t>
  </si>
  <si>
    <t>Strategic mission Support</t>
  </si>
  <si>
    <t>Target Budget</t>
  </si>
  <si>
    <t>Final Adjustments</t>
  </si>
  <si>
    <t>Vet Med &amp; Pharmacy Block Funding</t>
  </si>
  <si>
    <t>Pulls from another tab</t>
  </si>
  <si>
    <t>FY23 Unclassified Mid-Year Raise</t>
  </si>
  <si>
    <t>FY23 Classified Mid-year Step &amp; COLA</t>
  </si>
  <si>
    <t>Returned Overhead Rsv (Dept Admin on $44.2 million base)</t>
  </si>
  <si>
    <t>pulls from ecampus tab</t>
  </si>
  <si>
    <t>calculated from rev/final/im tab</t>
  </si>
  <si>
    <t>calculated from differential tab</t>
  </si>
  <si>
    <t>pulls from summer tab</t>
  </si>
  <si>
    <t>Budget Model - Revised</t>
  </si>
  <si>
    <t>VET MED</t>
  </si>
  <si>
    <t>MAST</t>
  </si>
  <si>
    <t>Used Liberal Arts Weights</t>
  </si>
  <si>
    <t>Overseas Studies</t>
  </si>
  <si>
    <t>Prior to FY23</t>
  </si>
  <si>
    <t>Pharmacy &amp; Vet Med include Summer (all other differential is academic year only</t>
  </si>
  <si>
    <t>Pharmacy &amp; Vet Med include Summer - FY23 Projection is now the full tuition estimate pulled from the block funding tab.</t>
  </si>
  <si>
    <t>Launch of OSU Access</t>
  </si>
  <si>
    <t>P/T project manager</t>
  </si>
  <si>
    <t>Monroe redesign project</t>
  </si>
  <si>
    <t>Impact Studio - Sustain &amp; transition strategy for Impact Studio</t>
  </si>
  <si>
    <t>Debt Service for FY23 financing of $9.5</t>
  </si>
  <si>
    <t>FY22 Technical Fix (initial budget) admin tab</t>
  </si>
  <si>
    <t>FY22 Technical Fix (initial budget) final tab</t>
  </si>
  <si>
    <t>Technical Fix Adj - Admin Tab</t>
  </si>
  <si>
    <t>Budget for Reserve FY22 FINAL</t>
  </si>
  <si>
    <t>Budget for Reserve FY22 Technical Change</t>
  </si>
  <si>
    <t>Difference of Budget Reserve</t>
  </si>
  <si>
    <t>All units</t>
  </si>
  <si>
    <t>FY23 Incremental</t>
  </si>
  <si>
    <t>FY22 Technical Fix Calculations &amp; Checks</t>
  </si>
  <si>
    <t>FOR REFERENCE ONLY</t>
  </si>
  <si>
    <t>^^EXPAND FOR MORE INFO ON FY22 TECHNICAL FIX</t>
  </si>
  <si>
    <t>FY22 with Budget Model Adjustments</t>
  </si>
  <si>
    <t>Grad Health - FY21 distribution (estimated)</t>
  </si>
  <si>
    <t>7.4% restore</t>
  </si>
  <si>
    <t>Productivity Remove Support units</t>
  </si>
  <si>
    <t>Eliminate floor funding replace as bridge funding</t>
  </si>
  <si>
    <t xml:space="preserve">True up for adjustments </t>
  </si>
  <si>
    <t>Target FY22 Budget before CN, Telecom change</t>
  </si>
  <si>
    <t>Modified FY22 SRBM</t>
  </si>
  <si>
    <t>Restore Tax Distribution</t>
  </si>
  <si>
    <t>Grad Health Adjustment (see TECH CHANGE - Grad Health tab)</t>
  </si>
  <si>
    <t>FY22 Technical Fix (Applied to Support &amp; Exec Detail tab)</t>
  </si>
  <si>
    <t>FY22 FINAL Budget</t>
  </si>
  <si>
    <t>excluded</t>
  </si>
  <si>
    <t>No central grad health</t>
  </si>
  <si>
    <t>This adjustment is applied within the modified SRBM.</t>
  </si>
  <si>
    <t>Budget Reerve</t>
  </si>
  <si>
    <t>Graduate Health Costs</t>
  </si>
  <si>
    <t>By Model</t>
  </si>
  <si>
    <t>Actual</t>
  </si>
  <si>
    <t>Miss</t>
  </si>
  <si>
    <t>Model to Actual</t>
  </si>
  <si>
    <t>SRBM Adjust for FY22 and FY23</t>
  </si>
  <si>
    <t>FY22 Classified Full Year Raise Increment</t>
  </si>
  <si>
    <t>FY22 Unclassified Full Year Raise Increment</t>
  </si>
  <si>
    <t>College of Ag</t>
  </si>
  <si>
    <t>Grad Fellows</t>
  </si>
  <si>
    <t>FY23 ADJUSTMENT</t>
  </si>
  <si>
    <t>FY22 TECHNICAL FIX BUDGET MODEL</t>
  </si>
  <si>
    <t>FY23 FINAL ADJUSTMENT</t>
  </si>
  <si>
    <t>FY23 7.4% Tax</t>
  </si>
  <si>
    <t>Grad Health Adjustment</t>
  </si>
  <si>
    <t xml:space="preserve">FY22 Technical Fix (7.4% Tax + Grad Health for Academic) - Applied to FINAL tab in  Revised Model. </t>
  </si>
  <si>
    <t>Technical Adjustment</t>
  </si>
  <si>
    <t>Dean Start-Ups - Simonich (AGA $350K) + DeLuca (FOR $50K)</t>
  </si>
  <si>
    <t>OHSU Waterfront Facilities</t>
  </si>
  <si>
    <t>Extension &amp; Engagement</t>
  </si>
  <si>
    <t>F&amp;A - EPPMO</t>
  </si>
  <si>
    <t>Gross Tuition - professional</t>
  </si>
  <si>
    <t>Gross tution estimate - non professional</t>
  </si>
  <si>
    <t>Estimate</t>
  </si>
  <si>
    <t>Provost Adjustments</t>
  </si>
  <si>
    <t>Total Initial Budget</t>
  </si>
  <si>
    <t>Distributed for Reserves</t>
  </si>
  <si>
    <t>FY22 FINAL BUDGET MODEL</t>
  </si>
  <si>
    <t>FY23</t>
  </si>
  <si>
    <t>Health Insurance Premium Reserve</t>
  </si>
  <si>
    <t>Remains flat from FY22 Technical Fix</t>
  </si>
  <si>
    <t>Check 4</t>
  </si>
  <si>
    <t>FINAL</t>
  </si>
  <si>
    <t>Revenue</t>
  </si>
  <si>
    <t>FY22 Actual</t>
  </si>
  <si>
    <t xml:space="preserve">    Honors College</t>
  </si>
  <si>
    <t>ATAMI</t>
  </si>
  <si>
    <t>E. Ray Support</t>
  </si>
  <si>
    <t>Credit Type: Attempted</t>
  </si>
  <si>
    <t>Data Pulled: 7/18/2022</t>
  </si>
  <si>
    <t>Environmental Justice Mapping Tool-INR</t>
  </si>
  <si>
    <t>2022 Actual</t>
  </si>
  <si>
    <t>Data Pulled: 7/26/2022</t>
  </si>
  <si>
    <t>FY23 FINAL BUDGET MODEL</t>
  </si>
  <si>
    <t>Pacific Storm</t>
  </si>
  <si>
    <t>Modernization of OR Ag Research Ctr</t>
  </si>
  <si>
    <t>Change log starting 11/15/2022 for the Prospective Budget Model</t>
  </si>
  <si>
    <t>Updated Last Fiscal Years information</t>
  </si>
  <si>
    <t>Change Summary</t>
  </si>
  <si>
    <t>Credit &amp; Degree Data</t>
  </si>
  <si>
    <t>For Degrees Awarded, Minors, interdisciplinary, special populations, and</t>
  </si>
  <si>
    <t>Credits, Biology Credits, Honors Credits, &amp; Cascades Credits</t>
  </si>
  <si>
    <t>Updated last years initial budget information with FY23</t>
  </si>
  <si>
    <t>Removed Floor toggle. Reference to this was removed in the FY22 Technical Change</t>
  </si>
  <si>
    <t>Update FY22 Actuals and add estimate for FY23 and FY24</t>
  </si>
  <si>
    <t>FY23 Estimate</t>
  </si>
  <si>
    <t>FY24 Estimate</t>
  </si>
  <si>
    <t>Update FY22 Actuals and add estimate for FY23</t>
  </si>
  <si>
    <t>2023 Estimate</t>
  </si>
  <si>
    <t>Update IM with last year numbers</t>
  </si>
  <si>
    <t xml:space="preserve">Removed increments from prior year. </t>
  </si>
  <si>
    <t>3rd year of three year increments</t>
  </si>
  <si>
    <t>2024 Estimate</t>
  </si>
  <si>
    <t>Added estimate for FY23 and FY24</t>
  </si>
  <si>
    <t>these were non-recurring</t>
  </si>
  <si>
    <t>Update titles and amounts</t>
  </si>
  <si>
    <t>FY24 Prospective BUDGET MODEL</t>
  </si>
  <si>
    <t>FY24 Prospective BUDGET MODEL LESS FY22 FINAL BUDGET MODEL</t>
  </si>
  <si>
    <t>FY24 Prospective BUDGET MODEL LESS FY23 FINAL BUDGET MODEL</t>
  </si>
  <si>
    <t/>
  </si>
  <si>
    <t>Update with actuals and estimate for 2023</t>
  </si>
  <si>
    <t>Update tuition with Sherm's Revenue estimates 11/16/2022</t>
  </si>
  <si>
    <t>Prorated Sherm's Resources (31%) and Student Fees (69%) of total $8,199,590</t>
  </si>
  <si>
    <t>Per Sherm's estimate updated F&amp;A.</t>
  </si>
  <si>
    <t>Estimated Incremental Increase.</t>
  </si>
  <si>
    <t>Added a placeholder increment estimate of 3.9%</t>
  </si>
  <si>
    <t xml:space="preserve">added 3,500,000 capital renewal increment per Sherm's FY23 Budget Estimate </t>
  </si>
  <si>
    <t>Provost Match Commitment I</t>
  </si>
  <si>
    <t>Estimated New building O&amp;M</t>
  </si>
  <si>
    <t>Estimated Research Impact Academy</t>
  </si>
  <si>
    <t>Human Resources</t>
  </si>
  <si>
    <t>Estimated Background Check Program</t>
  </si>
  <si>
    <t>Added estimates per Sherm's FY23 Budget Forecast</t>
  </si>
  <si>
    <t>Bad Debt &amp; Vacation Liability</t>
  </si>
  <si>
    <t xml:space="preserve">added increment per Sherm's FY23 Budget Estimate </t>
  </si>
  <si>
    <t>University Arts Program</t>
  </si>
  <si>
    <t>Faculty Excellence Hiring Initiative</t>
  </si>
  <si>
    <t>Bad debt &amp; Vacation liability</t>
  </si>
  <si>
    <t>added increment per Sherm's FY23 Budget Estimate (AMP financing)</t>
  </si>
  <si>
    <t>Prorated Sherm's Total State Funding estimate based on the FY23 Budget Model Amounts</t>
  </si>
  <si>
    <t xml:space="preserve">Some of the one-time items might disappear. </t>
  </si>
  <si>
    <t>Prorated Sales, Misc, Investment Income based FY23 Final Budget Model amounts.</t>
  </si>
  <si>
    <t>Used Sherm's estimate from his FY23 Budget Forecast</t>
  </si>
  <si>
    <t>Prorated Fees Sales &amp; Services based on Sherm's revenue estimate. Prorated based on FY23 FINAL Budget Model Amounts</t>
  </si>
  <si>
    <t>has not posted yet</t>
  </si>
  <si>
    <t>Moved to Unit Per Sherm</t>
  </si>
  <si>
    <t>Remove from IM to Unit.</t>
  </si>
  <si>
    <t xml:space="preserve">Childcare Subsidy to Student Affairs (from IM) estimate. </t>
  </si>
  <si>
    <t>CMLC Year 5 of 5 - done in FY23</t>
  </si>
  <si>
    <t>Update strategic funding comment for Science per Mark Johnsons email 10/14/2022 - $550k for Valely chairs and 200k. No change in total</t>
  </si>
  <si>
    <t>Faculty Support from Endowment Match</t>
  </si>
  <si>
    <t>Reduce endowment match by 80% per proposed changes for the endowment match</t>
  </si>
  <si>
    <t>Created a Faculty Support from Endowment Match for the 20% that was reduced from units</t>
  </si>
  <si>
    <t>Reserve check - ok</t>
  </si>
  <si>
    <t>PCMM</t>
  </si>
  <si>
    <t>MOVED TO SUPPORT tab</t>
  </si>
  <si>
    <t>added increment per Sherm's FY23 Budget Estimate</t>
  </si>
  <si>
    <t>Energy Reserve</t>
  </si>
  <si>
    <t>Budget Office Review of IM</t>
  </si>
  <si>
    <t>Update Revenue Forecast per Sherm Jan 2023</t>
  </si>
  <si>
    <t>Grad Fellows Insurance Funds</t>
  </si>
  <si>
    <t>Update IM and Clean-up Notes</t>
  </si>
  <si>
    <t>Vet Med &amp; Pharmacy</t>
  </si>
  <si>
    <t>Pharmacy: round non professional tuition estimate from 413,000 to 450,000.</t>
  </si>
  <si>
    <t>After adjusting the revenue forecast, adjusted the settle-up funds in IM to be ~6M (same as prior to updating revenue)</t>
  </si>
  <si>
    <t>added 500,000 increment per Sherm's FY23 Budget Estimate (and rounded to 1000)</t>
  </si>
  <si>
    <t>Reserve for differential revenue settle-ups (Vet Med &amp; Pharm)</t>
  </si>
  <si>
    <t>Provost Contingency Fund</t>
  </si>
  <si>
    <t>Delete Misc Comments</t>
  </si>
  <si>
    <t>Workbook</t>
  </si>
  <si>
    <t>New Buildings - moved from IM</t>
  </si>
  <si>
    <t>Commitments-Susan</t>
  </si>
  <si>
    <t>MOVED TO SUPPORT tab (UFIO)</t>
  </si>
  <si>
    <t>MOVED TO FINAL tab (Executive Funding for C/I)</t>
  </si>
  <si>
    <t>Sherm SSCM Estimate</t>
  </si>
  <si>
    <t>Target State Funding (SSCM)</t>
  </si>
  <si>
    <t>F&amp;A Adjustment</t>
  </si>
  <si>
    <t>Deleted tab.</t>
  </si>
  <si>
    <t>Added Adjustment to changes column. Reverse FY23 adjustment to F&amp;A.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</si>
</sst>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quot;$&quot;* #,##0_);_(&quot;$&quot;* \(#,##0\);_(&quot;$&quot;* &quot;-&quot;??_);_(@_)"/>
    <numFmt numFmtId="166" formatCode="0.0"/>
    <numFmt numFmtId="167" formatCode="_(* #,##0_);_(* \(#,##0\);_(* &quot;-&quot;??_);_(@_)"/>
    <numFmt numFmtId="168" formatCode="0.000"/>
    <numFmt numFmtId="169" formatCode="[$-10409]#,##0;\(#,##0\)"/>
    <numFmt numFmtId="170" formatCode="_(* #,##0.0000_);_(* \(#,##0.0000\);_(* &quot;-&quot;??_);_(@_)"/>
    <numFmt numFmtId="171" formatCode="_(* #,##0.000_);_(* \(#,##0.000\);_(* &quot;-&quot;??_);_(@_)"/>
  </numFmts>
  <fonts count="90">
    <font>
      <sz val="11"/>
      <color theme="1"/>
      <name val="Calibri"/>
      <family val="2"/>
      <scheme val="minor"/>
    </font>
    <font>
      <sz val="11"/>
      <color theme="1"/>
      <name val="Calibri"/>
      <family val="2"/>
      <scheme val="minor"/>
    </font>
    <font>
      <sz val="11"/>
      <color rgb="FF3F3F76"/>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b/>
      <sz val="12"/>
      <color theme="1"/>
      <name val="Calibri"/>
      <family val="2"/>
      <charset val="238"/>
      <scheme val="minor"/>
    </font>
    <font>
      <sz val="12"/>
      <color rgb="FF000000"/>
      <name val="Calibri"/>
      <family val="2"/>
      <charset val="238"/>
      <scheme val="minor"/>
    </font>
    <font>
      <sz val="16"/>
      <name val="Trebuchet MS"/>
      <family val="2"/>
    </font>
    <font>
      <b/>
      <sz val="12"/>
      <name val="Trebuchet MS"/>
      <family val="2"/>
    </font>
    <font>
      <b/>
      <sz val="10"/>
      <name val="Trebuchet MS"/>
      <family val="2"/>
    </font>
    <font>
      <b/>
      <sz val="14"/>
      <name val="Trebuchet MS"/>
      <family val="2"/>
    </font>
    <font>
      <sz val="10"/>
      <name val="Trebuchet MS"/>
      <family val="2"/>
    </font>
    <font>
      <b/>
      <sz val="12"/>
      <color rgb="FFFF0000"/>
      <name val="Trebuchet MS"/>
      <family val="2"/>
    </font>
    <font>
      <sz val="10"/>
      <name val="Arial"/>
      <family val="2"/>
    </font>
    <font>
      <b/>
      <u/>
      <sz val="12"/>
      <name val="Trebuchet MS"/>
      <family val="2"/>
    </font>
    <font>
      <sz val="12"/>
      <name val="Trebuchet MS"/>
      <family val="2"/>
    </font>
    <font>
      <sz val="12"/>
      <color rgb="FFFF0000"/>
      <name val="Trebuchet MS"/>
      <family val="2"/>
    </font>
    <font>
      <sz val="12"/>
      <name val="Arial"/>
      <family val="2"/>
    </font>
    <font>
      <b/>
      <sz val="9"/>
      <color rgb="FF000000"/>
      <name val="Tahoma"/>
      <family val="2"/>
    </font>
    <font>
      <sz val="9"/>
      <color rgb="FF000000"/>
      <name val="Tahoma"/>
      <family val="2"/>
    </font>
    <font>
      <sz val="10"/>
      <color theme="1"/>
      <name val="Calibri"/>
      <family val="2"/>
      <scheme val="minor"/>
    </font>
    <font>
      <b/>
      <sz val="10"/>
      <color theme="1"/>
      <name val="Calibri"/>
      <family val="2"/>
      <scheme val="minor"/>
    </font>
    <font>
      <b/>
      <sz val="9"/>
      <color indexed="81"/>
      <name val="Tahoma"/>
      <family val="2"/>
    </font>
    <font>
      <sz val="9"/>
      <color indexed="81"/>
      <name val="Tahoma"/>
      <family val="2"/>
    </font>
    <font>
      <b/>
      <sz val="12"/>
      <name val="Arial"/>
      <family val="2"/>
    </font>
    <font>
      <sz val="12"/>
      <color theme="1"/>
      <name val="Arial"/>
      <family val="2"/>
    </font>
    <font>
      <b/>
      <sz val="11"/>
      <name val="Arial"/>
      <family val="2"/>
    </font>
    <font>
      <sz val="11"/>
      <name val="Arial"/>
      <family val="2"/>
    </font>
    <font>
      <b/>
      <sz val="10"/>
      <name val="Arial"/>
      <family val="2"/>
    </font>
    <font>
      <sz val="10"/>
      <color theme="1"/>
      <name val="Arial"/>
      <family val="2"/>
    </font>
    <font>
      <b/>
      <u/>
      <sz val="10"/>
      <name val="Arial"/>
      <family val="2"/>
    </font>
    <font>
      <b/>
      <sz val="10"/>
      <color theme="1"/>
      <name val="Arial"/>
      <family val="2"/>
    </font>
    <font>
      <sz val="10"/>
      <color rgb="FF000000"/>
      <name val="Calibri"/>
      <family val="2"/>
      <scheme val="minor"/>
    </font>
    <font>
      <sz val="10"/>
      <color theme="0"/>
      <name val="Arial"/>
      <family val="2"/>
    </font>
    <font>
      <b/>
      <sz val="10"/>
      <color rgb="FF000000"/>
      <name val="Calibri"/>
      <family val="2"/>
    </font>
    <font>
      <sz val="10"/>
      <color rgb="FF000000"/>
      <name val="Calibri"/>
      <family val="2"/>
    </font>
    <font>
      <b/>
      <u/>
      <sz val="10"/>
      <color theme="1"/>
      <name val="Arial"/>
      <family val="2"/>
    </font>
    <font>
      <sz val="9"/>
      <name val="Geneva"/>
      <family val="2"/>
    </font>
    <font>
      <sz val="9"/>
      <name val="Trebuchet MS"/>
      <family val="2"/>
    </font>
    <font>
      <sz val="12"/>
      <color rgb="FF000000"/>
      <name val="Calibri"/>
      <family val="2"/>
      <scheme val="minor"/>
    </font>
    <font>
      <sz val="10"/>
      <color rgb="FF000000"/>
      <name val="Arial"/>
      <family val="2"/>
    </font>
    <font>
      <sz val="11"/>
      <color rgb="FF006100"/>
      <name val="Calibri"/>
      <family val="2"/>
      <scheme val="minor"/>
    </font>
    <font>
      <sz val="11"/>
      <color rgb="FF9C0006"/>
      <name val="Calibri"/>
      <family val="2"/>
      <scheme val="minor"/>
    </font>
    <font>
      <b/>
      <sz val="11"/>
      <color rgb="FFFA7D00"/>
      <name val="Calibri"/>
      <family val="2"/>
      <scheme val="minor"/>
    </font>
    <font>
      <sz val="10"/>
      <color rgb="FFFF0000"/>
      <name val="Arial"/>
      <family val="2"/>
    </font>
    <font>
      <b/>
      <sz val="10"/>
      <color indexed="8"/>
      <name val="Trebuchet MS"/>
      <family val="2"/>
    </font>
    <font>
      <b/>
      <sz val="10"/>
      <color indexed="8"/>
      <name val="Arial"/>
      <family val="2"/>
    </font>
    <font>
      <sz val="10"/>
      <name val="Calibri"/>
      <family val="2"/>
      <scheme val="minor"/>
    </font>
    <font>
      <b/>
      <sz val="10"/>
      <color rgb="FF000000"/>
      <name val="Calibri"/>
      <family val="2"/>
      <scheme val="minor"/>
    </font>
    <font>
      <i/>
      <sz val="12"/>
      <color theme="1"/>
      <name val="Calibri"/>
      <family val="2"/>
      <scheme val="minor"/>
    </font>
    <font>
      <i/>
      <sz val="10"/>
      <color rgb="FF000000"/>
      <name val="Calibri"/>
      <family val="2"/>
      <scheme val="minor"/>
    </font>
    <font>
      <sz val="10"/>
      <color theme="1"/>
      <name val="Trebuchet MS"/>
      <family val="2"/>
    </font>
    <font>
      <b/>
      <sz val="8"/>
      <color rgb="FF000000"/>
      <name val="Tahoma"/>
      <family val="2"/>
    </font>
    <font>
      <sz val="8"/>
      <color rgb="FF000000"/>
      <name val="Tahoma"/>
      <family val="2"/>
    </font>
    <font>
      <b/>
      <i/>
      <sz val="10"/>
      <color theme="1"/>
      <name val="Arial"/>
      <family val="2"/>
    </font>
    <font>
      <i/>
      <sz val="10"/>
      <name val="Arial"/>
      <family val="2"/>
    </font>
    <font>
      <sz val="11"/>
      <name val="Calibri"/>
      <family val="2"/>
      <scheme val="minor"/>
    </font>
    <font>
      <b/>
      <sz val="12"/>
      <name val="Calibri"/>
      <family val="2"/>
      <scheme val="minor"/>
    </font>
    <font>
      <i/>
      <sz val="10"/>
      <color theme="1"/>
      <name val="Calibri"/>
      <family val="2"/>
      <scheme val="minor"/>
    </font>
    <font>
      <b/>
      <i/>
      <sz val="10"/>
      <color theme="1"/>
      <name val="Calibri"/>
      <family val="2"/>
      <scheme val="minor"/>
    </font>
    <font>
      <sz val="11"/>
      <color theme="1"/>
      <name val="Calibri"/>
      <family val="2"/>
    </font>
    <font>
      <sz val="11"/>
      <color rgb="FF7030A0"/>
      <name val="Calibri"/>
      <family val="2"/>
    </font>
    <font>
      <b/>
      <sz val="11"/>
      <color theme="1"/>
      <name val="Calibri"/>
      <family val="2"/>
    </font>
    <font>
      <sz val="12"/>
      <color theme="1"/>
      <name val="Calibri"/>
      <family val="2"/>
      <scheme val="minor"/>
    </font>
    <font>
      <b/>
      <sz val="16"/>
      <color theme="1"/>
      <name val="Calibri"/>
      <family val="2"/>
      <scheme val="minor"/>
    </font>
    <font>
      <sz val="11"/>
      <color indexed="8"/>
      <name val="Calibri"/>
      <family val="2"/>
      <scheme val="minor"/>
    </font>
    <font>
      <i/>
      <sz val="10"/>
      <color rgb="FFFF0000"/>
      <name val="Arial"/>
      <family val="2"/>
    </font>
    <font>
      <i/>
      <sz val="12"/>
      <color rgb="FFFF0000"/>
      <name val="Calibri"/>
      <family val="2"/>
      <scheme val="minor"/>
    </font>
    <font>
      <b/>
      <i/>
      <sz val="11"/>
      <color rgb="FFFF0000"/>
      <name val="Calibri"/>
      <family val="2"/>
      <scheme val="minor"/>
    </font>
    <font>
      <b/>
      <sz val="12"/>
      <color theme="1"/>
      <name val="Calibri"/>
      <family val="2"/>
      <scheme val="minor"/>
    </font>
    <font>
      <b/>
      <sz val="12"/>
      <color theme="1"/>
      <name val="Arial"/>
      <family val="2"/>
    </font>
    <font>
      <sz val="11"/>
      <color rgb="FF9C6500"/>
      <name val="Calibri"/>
      <family val="2"/>
      <scheme val="minor"/>
    </font>
    <font>
      <sz val="16"/>
      <color theme="1"/>
      <name val="Trebuchet MS"/>
      <family val="2"/>
    </font>
    <font>
      <b/>
      <sz val="16"/>
      <name val="Trebuchet MS"/>
      <family val="2"/>
    </font>
    <font>
      <b/>
      <sz val="12"/>
      <color rgb="FFFF0000"/>
      <name val="Calibri"/>
      <family val="2"/>
      <charset val="238"/>
      <scheme val="minor"/>
    </font>
    <font>
      <sz val="11"/>
      <name val="Calibri"/>
      <family val="2"/>
    </font>
    <font>
      <i/>
      <sz val="11"/>
      <color theme="1"/>
      <name val="Calibri"/>
      <family val="2"/>
      <scheme val="minor"/>
    </font>
    <font>
      <b/>
      <sz val="10"/>
      <color theme="1"/>
      <name val="Trebuchet MS"/>
      <family val="2"/>
    </font>
    <font>
      <u/>
      <sz val="9"/>
      <color rgb="FF000000"/>
      <name val="Tahoma"/>
      <family val="2"/>
    </font>
    <font>
      <b/>
      <sz val="11"/>
      <color rgb="FF006100"/>
      <name val="Calibri"/>
      <family val="2"/>
      <scheme val="minor"/>
    </font>
    <font>
      <sz val="11"/>
      <color theme="0"/>
      <name val="Calibri"/>
      <family val="2"/>
      <scheme val="minor"/>
    </font>
    <font>
      <sz val="11"/>
      <color rgb="FF7030A0"/>
      <name val="Calibri"/>
      <family val="2"/>
      <scheme val="minor"/>
    </font>
    <font>
      <sz val="11"/>
      <color theme="1"/>
      <name val="Arial"/>
      <family val="2"/>
    </font>
    <font>
      <sz val="12"/>
      <color rgb="FF006100"/>
      <name val="Calibri"/>
      <family val="2"/>
      <scheme val="minor"/>
    </font>
    <font>
      <b/>
      <sz val="11"/>
      <color theme="1"/>
      <name val="Arial"/>
      <family val="2"/>
    </font>
    <font>
      <b/>
      <sz val="10"/>
      <color rgb="FF7030A0"/>
      <name val="Trebuchet MS"/>
      <family val="2"/>
    </font>
    <font>
      <sz val="11"/>
      <color theme="4"/>
      <name val="Calibri"/>
      <family val="2"/>
      <scheme val="minor"/>
    </font>
    <font>
      <b/>
      <sz val="12"/>
      <name val="Calibri"/>
      <family val="2"/>
      <charset val="238"/>
      <scheme val="minor"/>
    </font>
    <font>
      <i/>
      <sz val="11"/>
      <color rgb="FF006100"/>
      <name val="Calibri"/>
      <family val="2"/>
      <scheme val="minor"/>
    </font>
  </fonts>
  <fills count="51">
    <fill>
      <patternFill patternType="none"/>
    </fill>
    <fill>
      <patternFill patternType="gray125"/>
    </fill>
    <fill>
      <patternFill patternType="solid">
        <fgColor rgb="FFFFCC99"/>
      </patternFill>
    </fill>
    <fill>
      <patternFill patternType="solid">
        <fgColor theme="0" tint="-0.14999847407452621"/>
        <bgColor indexed="64"/>
      </patternFill>
    </fill>
    <fill>
      <patternFill patternType="solid">
        <fgColor theme="6" tint="0.39997558519241921"/>
        <bgColor indexed="64"/>
      </patternFill>
    </fill>
    <fill>
      <patternFill patternType="solid">
        <fgColor theme="3" tint="0.79998168889431442"/>
        <bgColor indexed="64"/>
      </patternFill>
    </fill>
    <fill>
      <patternFill patternType="solid">
        <fgColor theme="9" tint="0.59999389629810485"/>
        <bgColor indexed="64"/>
      </patternFill>
    </fill>
    <fill>
      <patternFill patternType="solid">
        <fgColor theme="1"/>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indexed="43"/>
        <bgColor indexed="64"/>
      </patternFill>
    </fill>
    <fill>
      <patternFill patternType="solid">
        <fgColor rgb="FF92D050"/>
        <bgColor indexed="64"/>
      </patternFill>
    </fill>
    <fill>
      <patternFill patternType="solid">
        <fgColor rgb="FFFFC000"/>
        <bgColor indexed="64"/>
      </patternFill>
    </fill>
    <fill>
      <patternFill patternType="solid">
        <fgColor theme="9"/>
        <bgColor indexed="64"/>
      </patternFill>
    </fill>
    <fill>
      <patternFill patternType="solid">
        <fgColor theme="3" tint="0.59999389629810485"/>
        <bgColor indexed="64"/>
      </patternFill>
    </fill>
    <fill>
      <patternFill patternType="solid">
        <fgColor rgb="FFFFFF00"/>
        <bgColor indexed="64"/>
      </patternFill>
    </fill>
    <fill>
      <patternFill patternType="solid">
        <fgColor rgb="FFFF6600"/>
        <bgColor indexed="64"/>
      </patternFill>
    </fill>
    <fill>
      <patternFill patternType="solid">
        <fgColor indexed="22"/>
        <bgColor indexed="64"/>
      </patternFill>
    </fill>
    <fill>
      <patternFill patternType="solid">
        <fgColor theme="0" tint="-0.249977111117893"/>
        <bgColor indexed="64"/>
      </patternFill>
    </fill>
    <fill>
      <patternFill patternType="solid">
        <fgColor theme="1" tint="0.14999847407452621"/>
        <bgColor indexed="64"/>
      </patternFill>
    </fill>
    <fill>
      <patternFill patternType="solid">
        <fgColor rgb="FFC0C0C0"/>
        <bgColor rgb="FF000000"/>
      </patternFill>
    </fill>
    <fill>
      <patternFill patternType="solid">
        <fgColor rgb="FFFFFF00"/>
        <bgColor rgb="FF000000"/>
      </patternFill>
    </fill>
    <fill>
      <patternFill patternType="solid">
        <fgColor theme="5" tint="0.79998168889431442"/>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rgb="FFC6EFCE"/>
      </patternFill>
    </fill>
    <fill>
      <patternFill patternType="solid">
        <fgColor rgb="FFFFC7CE"/>
      </patternFill>
    </fill>
    <fill>
      <patternFill patternType="solid">
        <fgColor rgb="FFF2F2F2"/>
      </patternFill>
    </fill>
    <fill>
      <patternFill patternType="solid">
        <fgColor theme="4" tint="0.39997558519241921"/>
        <bgColor indexed="64"/>
      </patternFill>
    </fill>
    <fill>
      <patternFill patternType="solid">
        <fgColor theme="7" tint="0.39997558519241921"/>
        <bgColor indexed="64"/>
      </patternFill>
    </fill>
    <fill>
      <patternFill patternType="solid">
        <fgColor rgb="FFD9D9D9"/>
        <bgColor rgb="FF000000"/>
      </patternFill>
    </fill>
    <fill>
      <patternFill patternType="solid">
        <fgColor theme="5"/>
        <bgColor indexed="64"/>
      </patternFill>
    </fill>
    <fill>
      <patternFill patternType="solid">
        <fgColor theme="4"/>
        <bgColor indexed="64"/>
      </patternFill>
    </fill>
    <fill>
      <patternFill patternType="solid">
        <fgColor theme="0" tint="-0.499984740745262"/>
        <bgColor indexed="64"/>
      </patternFill>
    </fill>
    <fill>
      <patternFill patternType="solid">
        <fgColor rgb="FFFFEB9C"/>
      </patternFill>
    </fill>
    <fill>
      <patternFill patternType="solid">
        <fgColor theme="5"/>
        <bgColor rgb="FF000000"/>
      </patternFill>
    </fill>
    <fill>
      <patternFill patternType="solid">
        <fgColor rgb="FFFFFFCC"/>
      </patternFill>
    </fill>
    <fill>
      <patternFill patternType="solid">
        <fgColor theme="2" tint="-0.249977111117893"/>
        <bgColor indexed="64"/>
      </patternFill>
    </fill>
    <fill>
      <patternFill patternType="solid">
        <fgColor rgb="FFBFBFBF"/>
        <bgColor rgb="FF000000"/>
      </patternFill>
    </fill>
    <fill>
      <patternFill patternType="solid">
        <fgColor theme="5" tint="0.59999389629810485"/>
        <bgColor indexed="65"/>
      </patternFill>
    </fill>
    <fill>
      <patternFill patternType="lightUp">
        <bgColor theme="5" tint="0.79998168889431442"/>
      </patternFill>
    </fill>
    <fill>
      <patternFill patternType="lightUp">
        <bgColor theme="5" tint="0.59999389629810485"/>
      </patternFill>
    </fill>
    <fill>
      <patternFill patternType="lightUp">
        <bgColor theme="5" tint="0.39997558519241921"/>
      </patternFill>
    </fill>
    <fill>
      <patternFill patternType="lightUp">
        <bgColor theme="1"/>
      </patternFill>
    </fill>
    <fill>
      <patternFill patternType="lightUp"/>
    </fill>
    <fill>
      <patternFill patternType="lightUp">
        <bgColor indexed="22"/>
      </patternFill>
    </fill>
    <fill>
      <patternFill patternType="lightUp">
        <bgColor rgb="FFC6EFCE"/>
      </patternFill>
    </fill>
    <fill>
      <patternFill patternType="solid">
        <fgColor indexed="65"/>
        <bgColor indexed="64"/>
      </patternFill>
    </fill>
    <fill>
      <patternFill patternType="solid">
        <fgColor theme="7"/>
      </patternFill>
    </fill>
  </fills>
  <borders count="57">
    <border>
      <left/>
      <right/>
      <top/>
      <bottom/>
      <diagonal/>
    </border>
    <border>
      <left style="thin">
        <color rgb="FF7F7F7F"/>
      </left>
      <right style="thin">
        <color rgb="FF7F7F7F"/>
      </right>
      <top style="thin">
        <color rgb="FF7F7F7F"/>
      </top>
      <bottom style="thin">
        <color rgb="FF7F7F7F"/>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style="thin">
        <color auto="1"/>
      </right>
      <top style="medium">
        <color auto="1"/>
      </top>
      <bottom/>
      <diagonal/>
    </border>
    <border>
      <left style="thin">
        <color auto="1"/>
      </left>
      <right style="thin">
        <color auto="1"/>
      </right>
      <top style="medium">
        <color auto="1"/>
      </top>
      <bottom/>
      <diagonal/>
    </border>
    <border>
      <left/>
      <right style="thin">
        <color auto="1"/>
      </right>
      <top/>
      <bottom/>
      <diagonal/>
    </border>
    <border>
      <left style="thin">
        <color auto="1"/>
      </left>
      <right style="thin">
        <color auto="1"/>
      </right>
      <top/>
      <bottom/>
      <diagonal/>
    </border>
    <border>
      <left style="thin">
        <color auto="1"/>
      </left>
      <right style="thin">
        <color auto="1"/>
      </right>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diagonal/>
    </border>
    <border>
      <left style="medium">
        <color auto="1"/>
      </left>
      <right style="thin">
        <color auto="1"/>
      </right>
      <top/>
      <bottom/>
      <diagonal/>
    </border>
    <border>
      <left style="thin">
        <color auto="1"/>
      </left>
      <right style="thin">
        <color auto="1"/>
      </right>
      <top style="thin">
        <color auto="1"/>
      </top>
      <bottom style="thin">
        <color auto="1"/>
      </bottom>
      <diagonal/>
    </border>
    <border>
      <left style="thin">
        <color auto="1"/>
      </left>
      <right style="medium">
        <color auto="1"/>
      </right>
      <top/>
      <bottom/>
      <diagonal/>
    </border>
    <border>
      <left style="thin">
        <color auto="1"/>
      </left>
      <right style="medium">
        <color auto="1"/>
      </right>
      <top/>
      <bottom style="medium">
        <color auto="1"/>
      </bottom>
      <diagonal/>
    </border>
    <border>
      <left style="medium">
        <color auto="1"/>
      </left>
      <right style="thin">
        <color auto="1"/>
      </right>
      <top/>
      <bottom style="thin">
        <color auto="1"/>
      </bottom>
      <diagonal/>
    </border>
    <border>
      <left style="medium">
        <color auto="1"/>
      </left>
      <right style="thin">
        <color auto="1"/>
      </right>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style="thin">
        <color auto="1"/>
      </left>
      <right/>
      <top/>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right style="thin">
        <color auto="1"/>
      </right>
      <top/>
      <bottom style="thin">
        <color auto="1"/>
      </bottom>
      <diagonal/>
    </border>
    <border>
      <left style="thin">
        <color auto="1"/>
      </left>
      <right style="thin">
        <color auto="1"/>
      </right>
      <top/>
      <bottom style="thin">
        <color auto="1"/>
      </bottom>
      <diagonal/>
    </border>
    <border>
      <left/>
      <right/>
      <top style="thin">
        <color auto="1"/>
      </top>
      <bottom style="double">
        <color auto="1"/>
      </bottom>
      <diagonal/>
    </border>
    <border>
      <left/>
      <right style="medium">
        <color auto="1"/>
      </right>
      <top style="thin">
        <color indexed="64"/>
      </top>
      <bottom style="double">
        <color indexed="64"/>
      </bottom>
      <diagonal/>
    </border>
    <border>
      <left/>
      <right style="medium">
        <color auto="1"/>
      </right>
      <top style="thin">
        <color indexed="64"/>
      </top>
      <bottom style="medium">
        <color indexed="64"/>
      </bottom>
      <diagonal/>
    </border>
    <border>
      <left/>
      <right/>
      <top/>
      <bottom style="double">
        <color auto="1"/>
      </bottom>
      <diagonal/>
    </border>
    <border>
      <left/>
      <right/>
      <top/>
      <bottom style="thin">
        <color rgb="FFD3D3D3"/>
      </bottom>
      <diagonal/>
    </border>
    <border>
      <left style="thin">
        <color rgb="FF7F7F7F"/>
      </left>
      <right style="thin">
        <color rgb="FF7F7F7F"/>
      </right>
      <top style="medium">
        <color indexed="64"/>
      </top>
      <bottom style="thin">
        <color rgb="FF7F7F7F"/>
      </bottom>
      <diagonal/>
    </border>
    <border>
      <left style="thin">
        <color rgb="FF7F7F7F"/>
      </left>
      <right style="thin">
        <color rgb="FF7F7F7F"/>
      </right>
      <top style="thin">
        <color rgb="FF7F7F7F"/>
      </top>
      <bottom style="medium">
        <color indexed="64"/>
      </bottom>
      <diagonal/>
    </border>
    <border>
      <left/>
      <right/>
      <top style="double">
        <color auto="1"/>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auto="1"/>
      </left>
      <right/>
      <top style="thin">
        <color indexed="64"/>
      </top>
      <bottom style="double">
        <color indexed="64"/>
      </bottom>
      <diagonal/>
    </border>
    <border>
      <left/>
      <right style="thin">
        <color auto="1"/>
      </right>
      <top style="thin">
        <color indexed="64"/>
      </top>
      <bottom style="double">
        <color indexed="64"/>
      </bottom>
      <diagonal/>
    </border>
    <border>
      <left style="thin">
        <color rgb="FFB2B2B2"/>
      </left>
      <right style="thin">
        <color rgb="FFB2B2B2"/>
      </right>
      <top style="thin">
        <color rgb="FFB2B2B2"/>
      </top>
      <bottom style="thin">
        <color rgb="FFB2B2B2"/>
      </bottom>
      <diagonal/>
    </border>
  </borders>
  <cellStyleXfs count="22">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2" borderId="1" applyNumberFormat="0" applyAlignment="0" applyProtection="0"/>
    <xf numFmtId="43" fontId="14" fillId="0" borderId="0" applyFont="0" applyFill="0" applyBorder="0" applyAlignment="0" applyProtection="0"/>
    <xf numFmtId="0" fontId="14" fillId="0" borderId="0"/>
    <xf numFmtId="0" fontId="38" fillId="0" borderId="0"/>
    <xf numFmtId="0" fontId="42" fillId="27" borderId="0" applyNumberFormat="0" applyBorder="0" applyAlignment="0" applyProtection="0"/>
    <xf numFmtId="0" fontId="43" fillId="28" borderId="0" applyNumberFormat="0" applyBorder="0" applyAlignment="0" applyProtection="0"/>
    <xf numFmtId="0" fontId="44" fillId="29" borderId="1" applyNumberFormat="0" applyAlignment="0" applyProtection="0"/>
    <xf numFmtId="0" fontId="38" fillId="0" borderId="0"/>
    <xf numFmtId="0" fontId="1" fillId="0" borderId="0"/>
    <xf numFmtId="0" fontId="1" fillId="38" borderId="56" applyNumberFormat="0" applyFont="0" applyAlignment="0" applyProtection="0"/>
    <xf numFmtId="0" fontId="72" fillId="36" borderId="0" applyNumberFormat="0" applyBorder="0" applyAlignment="0" applyProtection="0"/>
    <xf numFmtId="0" fontId="64" fillId="0" borderId="0"/>
    <xf numFmtId="43" fontId="64" fillId="0" borderId="0" applyFont="0" applyFill="0" applyBorder="0" applyAlignment="0" applyProtection="0"/>
    <xf numFmtId="0" fontId="84" fillId="27" borderId="0" applyNumberFormat="0" applyBorder="0" applyAlignment="0" applyProtection="0"/>
    <xf numFmtId="0" fontId="1" fillId="41" borderId="0" applyNumberFormat="0" applyBorder="0" applyAlignment="0" applyProtection="0"/>
    <xf numFmtId="0" fontId="81" fillId="50" borderId="0" applyNumberFormat="0" applyBorder="0" applyAlignment="0" applyProtection="0"/>
    <xf numFmtId="9" fontId="64" fillId="0" borderId="0" applyFont="0" applyFill="0" applyBorder="0" applyAlignment="0" applyProtection="0"/>
    <xf numFmtId="0" fontId="14" fillId="0" borderId="0"/>
  </cellStyleXfs>
  <cellXfs count="1295">
    <xf numFmtId="0" fontId="0" fillId="0" borderId="0" xfId="0"/>
    <xf numFmtId="0" fontId="5" fillId="0" borderId="0" xfId="0" applyFont="1" applyAlignment="1" applyProtection="1">
      <alignment vertical="center"/>
      <protection locked="0"/>
    </xf>
    <xf numFmtId="15" fontId="0" fillId="0" borderId="0" xfId="0" applyNumberFormat="1" applyFont="1" applyAlignment="1" applyProtection="1">
      <alignment horizontal="center" vertical="center"/>
      <protection locked="0"/>
    </xf>
    <xf numFmtId="15" fontId="0" fillId="0" borderId="0" xfId="0" applyNumberFormat="1" applyFont="1" applyProtection="1">
      <protection locked="0"/>
    </xf>
    <xf numFmtId="0" fontId="6" fillId="0" borderId="0" xfId="0" applyFont="1" applyProtection="1">
      <protection locked="0"/>
    </xf>
    <xf numFmtId="0" fontId="2" fillId="2" borderId="1" xfId="4" applyAlignment="1" applyProtection="1">
      <alignment horizontal="center" vertical="center"/>
      <protection locked="0"/>
    </xf>
    <xf numFmtId="0" fontId="0" fillId="0" borderId="8" xfId="0" applyFont="1" applyBorder="1" applyProtection="1">
      <protection locked="0"/>
    </xf>
    <xf numFmtId="0" fontId="0" fillId="0" borderId="11" xfId="0" applyFont="1" applyBorder="1" applyProtection="1">
      <protection locked="0"/>
    </xf>
    <xf numFmtId="0" fontId="0" fillId="0" borderId="11" xfId="0" applyFont="1" applyFill="1" applyBorder="1" applyProtection="1">
      <protection locked="0"/>
    </xf>
    <xf numFmtId="0" fontId="6" fillId="0" borderId="13" xfId="0" applyFont="1" applyBorder="1" applyProtection="1">
      <protection locked="0"/>
    </xf>
    <xf numFmtId="0" fontId="6" fillId="0" borderId="14" xfId="0" applyFont="1" applyBorder="1" applyProtection="1">
      <protection locked="0"/>
    </xf>
    <xf numFmtId="0" fontId="6" fillId="0" borderId="14" xfId="0" applyFont="1" applyBorder="1" applyAlignment="1" applyProtection="1">
      <alignment horizontal="center"/>
      <protection locked="0"/>
    </xf>
    <xf numFmtId="0" fontId="6" fillId="0" borderId="8" xfId="0" applyFont="1" applyBorder="1" applyAlignment="1" applyProtection="1">
      <alignment vertical="center"/>
      <protection locked="0"/>
    </xf>
    <xf numFmtId="0" fontId="7" fillId="0" borderId="9" xfId="0" applyFont="1" applyBorder="1" applyAlignment="1" applyProtection="1">
      <alignment horizontal="left" vertical="center" wrapText="1" indent="1"/>
      <protection locked="0"/>
    </xf>
    <xf numFmtId="0" fontId="6" fillId="0" borderId="11" xfId="0" applyFont="1" applyBorder="1" applyAlignment="1" applyProtection="1">
      <alignment vertical="center"/>
      <protection locked="0"/>
    </xf>
    <xf numFmtId="0" fontId="7" fillId="0" borderId="0" xfId="0" applyFont="1" applyBorder="1" applyAlignment="1" applyProtection="1">
      <alignment horizontal="left" vertical="center" wrapText="1" indent="1"/>
      <protection locked="0"/>
    </xf>
    <xf numFmtId="0" fontId="0" fillId="5" borderId="17" xfId="0" applyFont="1" applyFill="1" applyBorder="1" applyAlignment="1">
      <alignment horizontal="center" vertical="center"/>
    </xf>
    <xf numFmtId="165" fontId="0" fillId="6" borderId="18" xfId="2" applyNumberFormat="1" applyFont="1" applyFill="1" applyBorder="1" applyAlignment="1" applyProtection="1">
      <alignment horizontal="center" vertical="center"/>
      <protection locked="0"/>
    </xf>
    <xf numFmtId="0" fontId="6" fillId="0" borderId="5" xfId="0" applyFont="1" applyBorder="1" applyAlignment="1" applyProtection="1">
      <alignment vertical="center"/>
      <protection locked="0"/>
    </xf>
    <xf numFmtId="0" fontId="0" fillId="0" borderId="6" xfId="0" applyFont="1" applyBorder="1" applyAlignment="1" applyProtection="1">
      <alignment horizontal="left" vertical="center" indent="1"/>
      <protection locked="0"/>
    </xf>
    <xf numFmtId="10" fontId="0" fillId="5" borderId="19" xfId="3" applyNumberFormat="1" applyFont="1" applyFill="1" applyBorder="1" applyAlignment="1" applyProtection="1">
      <alignment horizontal="center" vertical="center"/>
      <protection locked="0"/>
    </xf>
    <xf numFmtId="165" fontId="0" fillId="6" borderId="19" xfId="2" applyNumberFormat="1" applyFont="1" applyFill="1" applyBorder="1" applyAlignment="1" applyProtection="1">
      <alignment horizontal="left" vertical="center"/>
      <protection locked="0"/>
    </xf>
    <xf numFmtId="10" fontId="0" fillId="5" borderId="16" xfId="0" applyNumberFormat="1" applyFont="1" applyFill="1" applyBorder="1" applyAlignment="1" applyProtection="1">
      <alignment horizontal="center" vertical="center"/>
      <protection locked="0"/>
    </xf>
    <xf numFmtId="0" fontId="7" fillId="0" borderId="6" xfId="0" applyFont="1" applyBorder="1" applyAlignment="1" applyProtection="1">
      <alignment horizontal="left" vertical="center" wrapText="1" indent="1"/>
      <protection locked="0"/>
    </xf>
    <xf numFmtId="10" fontId="0" fillId="5" borderId="16" xfId="3" applyNumberFormat="1" applyFont="1" applyFill="1" applyBorder="1" applyAlignment="1" applyProtection="1">
      <alignment horizontal="center" vertical="center"/>
      <protection locked="0"/>
    </xf>
    <xf numFmtId="10" fontId="0" fillId="5" borderId="18" xfId="3" applyNumberFormat="1" applyFont="1" applyFill="1" applyBorder="1" applyAlignment="1" applyProtection="1">
      <alignment horizontal="center" vertical="center"/>
      <protection locked="0"/>
    </xf>
    <xf numFmtId="165" fontId="0" fillId="6" borderId="18" xfId="2" applyNumberFormat="1" applyFont="1" applyFill="1" applyBorder="1" applyAlignment="1" applyProtection="1">
      <alignment horizontal="left" vertical="center"/>
      <protection locked="0"/>
    </xf>
    <xf numFmtId="10" fontId="0" fillId="7" borderId="19" xfId="0" applyNumberFormat="1" applyFont="1" applyFill="1" applyBorder="1" applyAlignment="1" applyProtection="1">
      <alignment horizontal="center" vertical="center"/>
      <protection locked="0"/>
    </xf>
    <xf numFmtId="165" fontId="0" fillId="7" borderId="19" xfId="2" applyNumberFormat="1" applyFont="1" applyFill="1" applyBorder="1" applyAlignment="1" applyProtection="1">
      <alignment horizontal="left" vertical="center"/>
      <protection locked="0"/>
    </xf>
    <xf numFmtId="0" fontId="6" fillId="0" borderId="2" xfId="0" applyFont="1" applyBorder="1" applyAlignment="1" applyProtection="1">
      <alignment horizontal="left"/>
      <protection locked="0"/>
    </xf>
    <xf numFmtId="0" fontId="7" fillId="0" borderId="3" xfId="0" applyFont="1" applyFill="1" applyBorder="1" applyAlignment="1" applyProtection="1">
      <alignment horizontal="left" vertical="center" wrapText="1" indent="1"/>
      <protection locked="0"/>
    </xf>
    <xf numFmtId="0" fontId="6" fillId="0" borderId="20" xfId="0" applyFont="1" applyBorder="1" applyAlignment="1" applyProtection="1">
      <alignment horizontal="left" vertical="center"/>
      <protection locked="0"/>
    </xf>
    <xf numFmtId="0" fontId="7" fillId="0" borderId="21" xfId="0" applyFont="1" applyFill="1" applyBorder="1" applyAlignment="1" applyProtection="1">
      <alignment horizontal="left" vertical="center" wrapText="1" indent="1"/>
      <protection locked="0"/>
    </xf>
    <xf numFmtId="0" fontId="0" fillId="0" borderId="23" xfId="0" applyFont="1" applyBorder="1" applyAlignment="1" applyProtection="1">
      <alignment horizontal="left" indent="1"/>
      <protection locked="0"/>
    </xf>
    <xf numFmtId="166" fontId="7" fillId="0" borderId="24" xfId="0" applyNumberFormat="1" applyFont="1" applyFill="1" applyBorder="1" applyAlignment="1" applyProtection="1">
      <alignment horizontal="left" vertical="center" wrapText="1" indent="3"/>
      <protection locked="0"/>
    </xf>
    <xf numFmtId="0" fontId="0" fillId="0" borderId="28" xfId="0" applyFont="1" applyBorder="1" applyAlignment="1" applyProtection="1">
      <alignment horizontal="left" indent="1"/>
      <protection locked="0"/>
    </xf>
    <xf numFmtId="166" fontId="7" fillId="0" borderId="29" xfId="0" applyNumberFormat="1" applyFont="1" applyFill="1" applyBorder="1" applyAlignment="1" applyProtection="1">
      <alignment horizontal="left" vertical="center" wrapText="1" indent="3"/>
      <protection locked="0"/>
    </xf>
    <xf numFmtId="10" fontId="0" fillId="8" borderId="30" xfId="0" applyNumberFormat="1" applyFont="1" applyFill="1" applyBorder="1" applyAlignment="1" applyProtection="1">
      <alignment horizontal="center" vertical="center"/>
      <protection locked="0"/>
    </xf>
    <xf numFmtId="0" fontId="0" fillId="0" borderId="0" xfId="0" applyFont="1"/>
    <xf numFmtId="0" fontId="0" fillId="0" borderId="0" xfId="0" applyFont="1" applyProtection="1">
      <protection locked="0"/>
    </xf>
    <xf numFmtId="0" fontId="6" fillId="6" borderId="0" xfId="0" applyFont="1" applyFill="1" applyProtection="1">
      <protection locked="0"/>
    </xf>
    <xf numFmtId="10" fontId="6" fillId="6" borderId="0" xfId="3" applyNumberFormat="1" applyFont="1" applyFill="1" applyAlignment="1" applyProtection="1">
      <alignment horizontal="center"/>
      <protection locked="0"/>
    </xf>
    <xf numFmtId="165" fontId="6" fillId="6" borderId="0" xfId="2" applyNumberFormat="1" applyFont="1" applyFill="1" applyProtection="1">
      <protection locked="0"/>
    </xf>
    <xf numFmtId="0" fontId="0" fillId="10" borderId="0" xfId="0" applyFont="1" applyFill="1" applyProtection="1">
      <protection locked="0"/>
    </xf>
    <xf numFmtId="0" fontId="6" fillId="3" borderId="2" xfId="0" applyFont="1" applyFill="1" applyBorder="1" applyAlignment="1" applyProtection="1">
      <alignment vertical="center" wrapText="1"/>
      <protection locked="0"/>
    </xf>
    <xf numFmtId="0" fontId="2" fillId="2" borderId="1" xfId="4"/>
    <xf numFmtId="0" fontId="9" fillId="0" borderId="0" xfId="0" applyFont="1" applyBorder="1" applyAlignment="1">
      <alignment horizontal="left"/>
    </xf>
    <xf numFmtId="0" fontId="0" fillId="0" borderId="18" xfId="0" applyBorder="1"/>
    <xf numFmtId="0" fontId="10" fillId="0" borderId="0" xfId="0" applyFont="1" applyFill="1" applyBorder="1"/>
    <xf numFmtId="0" fontId="0" fillId="0" borderId="0" xfId="0" applyBorder="1"/>
    <xf numFmtId="167" fontId="10" fillId="0" borderId="33" xfId="1" applyNumberFormat="1" applyFont="1" applyBorder="1" applyAlignment="1">
      <alignment horizontal="center"/>
    </xf>
    <xf numFmtId="0" fontId="10" fillId="0" borderId="34" xfId="0" applyFont="1" applyBorder="1"/>
    <xf numFmtId="0" fontId="10" fillId="0" borderId="34" xfId="0" applyFont="1" applyBorder="1" applyAlignment="1">
      <alignment horizontal="center"/>
    </xf>
    <xf numFmtId="0" fontId="13" fillId="0" borderId="0" xfId="0" applyFont="1"/>
    <xf numFmtId="0" fontId="9" fillId="0" borderId="0" xfId="0" applyFont="1"/>
    <xf numFmtId="0" fontId="12" fillId="0" borderId="0" xfId="0" applyFont="1"/>
    <xf numFmtId="167" fontId="10" fillId="0" borderId="35" xfId="1" applyNumberFormat="1" applyFont="1" applyBorder="1" applyAlignment="1">
      <alignment horizontal="center"/>
    </xf>
    <xf numFmtId="0" fontId="10" fillId="0" borderId="36" xfId="0" applyFont="1" applyBorder="1"/>
    <xf numFmtId="0" fontId="10" fillId="0" borderId="36" xfId="0" applyFont="1" applyBorder="1" applyAlignment="1">
      <alignment horizontal="center"/>
    </xf>
    <xf numFmtId="0" fontId="12" fillId="0" borderId="0" xfId="0" applyFont="1" applyFill="1" applyBorder="1"/>
    <xf numFmtId="0" fontId="12" fillId="0" borderId="33" xfId="0" applyFont="1" applyBorder="1" applyAlignment="1">
      <alignment horizontal="right"/>
    </xf>
    <xf numFmtId="0" fontId="12" fillId="0" borderId="0" xfId="0" applyFont="1" applyBorder="1" applyAlignment="1">
      <alignment horizontal="right"/>
    </xf>
    <xf numFmtId="0" fontId="14" fillId="0" borderId="0" xfId="0" applyFont="1" applyBorder="1"/>
    <xf numFmtId="0" fontId="15" fillId="0" borderId="0" xfId="0" applyFont="1"/>
    <xf numFmtId="0" fontId="16" fillId="0" borderId="0" xfId="0" applyFont="1"/>
    <xf numFmtId="0" fontId="12" fillId="0" borderId="37" xfId="0" applyFont="1" applyBorder="1" applyAlignment="1">
      <alignment horizontal="right"/>
    </xf>
    <xf numFmtId="167" fontId="16" fillId="0" borderId="0" xfId="1" applyNumberFormat="1" applyFont="1" applyFill="1" applyBorder="1"/>
    <xf numFmtId="167" fontId="16" fillId="0" borderId="37" xfId="1" applyNumberFormat="1" applyFont="1" applyFill="1" applyBorder="1"/>
    <xf numFmtId="167" fontId="16" fillId="0" borderId="0" xfId="1" applyNumberFormat="1" applyFont="1" applyBorder="1"/>
    <xf numFmtId="167" fontId="16" fillId="0" borderId="17" xfId="1" applyNumberFormat="1" applyFont="1" applyBorder="1"/>
    <xf numFmtId="167" fontId="16" fillId="0" borderId="17" xfId="1" applyNumberFormat="1" applyFont="1" applyFill="1" applyBorder="1"/>
    <xf numFmtId="0" fontId="16" fillId="0" borderId="0" xfId="0" applyFont="1" applyFill="1" applyBorder="1"/>
    <xf numFmtId="0" fontId="9" fillId="0" borderId="0" xfId="0" applyFont="1" applyFill="1" applyBorder="1"/>
    <xf numFmtId="167" fontId="16" fillId="0" borderId="38" xfId="1" applyNumberFormat="1" applyFont="1" applyFill="1" applyBorder="1"/>
    <xf numFmtId="167" fontId="16" fillId="0" borderId="31" xfId="1" applyNumberFormat="1" applyFont="1" applyFill="1" applyBorder="1"/>
    <xf numFmtId="167" fontId="16" fillId="0" borderId="32" xfId="1" applyNumberFormat="1" applyFont="1" applyFill="1" applyBorder="1"/>
    <xf numFmtId="0" fontId="15" fillId="0" borderId="0" xfId="0" applyFont="1" applyFill="1" applyBorder="1"/>
    <xf numFmtId="167" fontId="16" fillId="0" borderId="33" xfId="1" applyNumberFormat="1" applyFont="1" applyFill="1" applyBorder="1"/>
    <xf numFmtId="167" fontId="16" fillId="0" borderId="34" xfId="1" applyNumberFormat="1" applyFont="1" applyFill="1" applyBorder="1"/>
    <xf numFmtId="167" fontId="16" fillId="0" borderId="39" xfId="1" applyNumberFormat="1" applyFont="1" applyFill="1" applyBorder="1"/>
    <xf numFmtId="0" fontId="0" fillId="0" borderId="0" xfId="0" applyFill="1"/>
    <xf numFmtId="0" fontId="16" fillId="0" borderId="0" xfId="0" applyFont="1" applyBorder="1"/>
    <xf numFmtId="167" fontId="9" fillId="0" borderId="0" xfId="1" applyNumberFormat="1" applyFont="1" applyFill="1" applyBorder="1"/>
    <xf numFmtId="167" fontId="16" fillId="0" borderId="35" xfId="1" applyNumberFormat="1" applyFont="1" applyFill="1" applyBorder="1"/>
    <xf numFmtId="167" fontId="16" fillId="0" borderId="17" xfId="5" applyNumberFormat="1" applyFont="1" applyFill="1" applyBorder="1"/>
    <xf numFmtId="0" fontId="9" fillId="0" borderId="0" xfId="0" applyFont="1" applyBorder="1"/>
    <xf numFmtId="37" fontId="9" fillId="0" borderId="34" xfId="1" applyNumberFormat="1" applyFont="1" applyFill="1" applyBorder="1"/>
    <xf numFmtId="37" fontId="9" fillId="0" borderId="34" xfId="1" applyNumberFormat="1" applyFont="1" applyBorder="1"/>
    <xf numFmtId="0" fontId="9" fillId="12" borderId="38" xfId="0" applyFont="1" applyFill="1" applyBorder="1"/>
    <xf numFmtId="0" fontId="9" fillId="12" borderId="31" xfId="0" applyFont="1" applyFill="1" applyBorder="1"/>
    <xf numFmtId="0" fontId="16" fillId="12" borderId="31" xfId="0" applyFont="1" applyFill="1" applyBorder="1"/>
    <xf numFmtId="167" fontId="16" fillId="12" borderId="31" xfId="1" applyNumberFormat="1" applyFont="1" applyFill="1" applyBorder="1"/>
    <xf numFmtId="167" fontId="9" fillId="12" borderId="38" xfId="0" applyNumberFormat="1" applyFont="1" applyFill="1" applyBorder="1"/>
    <xf numFmtId="167" fontId="9" fillId="12" borderId="31" xfId="0" applyNumberFormat="1" applyFont="1" applyFill="1" applyBorder="1"/>
    <xf numFmtId="10" fontId="16" fillId="0" borderId="0" xfId="1" applyNumberFormat="1" applyFont="1" applyFill="1" applyBorder="1"/>
    <xf numFmtId="167" fontId="9" fillId="0" borderId="37" xfId="0" applyNumberFormat="1" applyFont="1" applyFill="1" applyBorder="1"/>
    <xf numFmtId="167" fontId="9" fillId="0" borderId="17" xfId="0" applyNumberFormat="1" applyFont="1" applyFill="1" applyBorder="1"/>
    <xf numFmtId="167" fontId="16" fillId="0" borderId="37" xfId="1" applyNumberFormat="1" applyFont="1" applyBorder="1"/>
    <xf numFmtId="0" fontId="0" fillId="0" borderId="17" xfId="0" applyBorder="1"/>
    <xf numFmtId="167" fontId="16" fillId="0" borderId="35" xfId="1" applyNumberFormat="1" applyFont="1" applyBorder="1"/>
    <xf numFmtId="167" fontId="16" fillId="0" borderId="36" xfId="1" applyNumberFormat="1" applyFont="1" applyBorder="1"/>
    <xf numFmtId="0" fontId="0" fillId="0" borderId="41" xfId="0" applyBorder="1"/>
    <xf numFmtId="0" fontId="16" fillId="0" borderId="0" xfId="0" applyFont="1" applyFill="1" applyBorder="1" applyAlignment="1">
      <alignment horizontal="left" indent="1"/>
    </xf>
    <xf numFmtId="0" fontId="16" fillId="12" borderId="38" xfId="0" applyFont="1" applyFill="1" applyBorder="1"/>
    <xf numFmtId="167" fontId="9" fillId="12" borderId="38" xfId="1" applyNumberFormat="1" applyFont="1" applyFill="1" applyBorder="1"/>
    <xf numFmtId="167" fontId="16" fillId="12" borderId="36" xfId="1" applyNumberFormat="1" applyFont="1" applyFill="1" applyBorder="1"/>
    <xf numFmtId="167" fontId="9" fillId="12" borderId="32" xfId="1" applyNumberFormat="1" applyFont="1" applyFill="1" applyBorder="1"/>
    <xf numFmtId="167" fontId="9" fillId="0" borderId="37" xfId="1" applyNumberFormat="1" applyFont="1" applyBorder="1"/>
    <xf numFmtId="167" fontId="9" fillId="0" borderId="17" xfId="1" applyNumberFormat="1" applyFont="1" applyBorder="1"/>
    <xf numFmtId="41" fontId="9" fillId="12" borderId="32" xfId="1" applyNumberFormat="1" applyFont="1" applyFill="1" applyBorder="1"/>
    <xf numFmtId="167" fontId="9" fillId="0" borderId="33" xfId="1" applyNumberFormat="1" applyFont="1" applyFill="1" applyBorder="1"/>
    <xf numFmtId="41" fontId="9" fillId="0" borderId="39" xfId="1" applyNumberFormat="1" applyFont="1" applyFill="1" applyBorder="1"/>
    <xf numFmtId="167" fontId="9" fillId="0" borderId="40" xfId="1" applyNumberFormat="1" applyFont="1" applyFill="1" applyBorder="1"/>
    <xf numFmtId="167" fontId="9" fillId="12" borderId="35" xfId="1" applyNumberFormat="1" applyFont="1" applyFill="1" applyBorder="1"/>
    <xf numFmtId="167" fontId="9" fillId="12" borderId="31" xfId="1" applyNumberFormat="1" applyFont="1" applyFill="1" applyBorder="1"/>
    <xf numFmtId="167" fontId="9" fillId="12" borderId="36" xfId="1" applyNumberFormat="1" applyFont="1" applyFill="1" applyBorder="1"/>
    <xf numFmtId="41" fontId="9" fillId="0" borderId="37" xfId="1" applyNumberFormat="1" applyFont="1" applyFill="1" applyBorder="1" applyAlignment="1">
      <alignment horizontal="left"/>
    </xf>
    <xf numFmtId="37" fontId="9" fillId="0" borderId="17" xfId="1" applyNumberFormat="1" applyFont="1" applyFill="1" applyBorder="1"/>
    <xf numFmtId="167" fontId="16" fillId="0" borderId="37" xfId="5" applyNumberFormat="1" applyFont="1" applyFill="1" applyBorder="1"/>
    <xf numFmtId="167" fontId="16" fillId="0" borderId="0" xfId="5" applyNumberFormat="1" applyFont="1" applyFill="1" applyBorder="1"/>
    <xf numFmtId="0" fontId="16" fillId="14" borderId="0" xfId="0" applyFont="1" applyFill="1" applyBorder="1"/>
    <xf numFmtId="167" fontId="16" fillId="14" borderId="0" xfId="1" applyNumberFormat="1" applyFont="1" applyFill="1" applyBorder="1"/>
    <xf numFmtId="167" fontId="16" fillId="14" borderId="37" xfId="0" applyNumberFormat="1" applyFont="1" applyFill="1" applyBorder="1"/>
    <xf numFmtId="167" fontId="16" fillId="14" borderId="0" xfId="5" applyNumberFormat="1" applyFont="1" applyFill="1" applyBorder="1"/>
    <xf numFmtId="167" fontId="12" fillId="0" borderId="0" xfId="1" applyNumberFormat="1" applyFont="1" applyFill="1" applyBorder="1"/>
    <xf numFmtId="0" fontId="0" fillId="0" borderId="0" xfId="0" applyFill="1" applyBorder="1"/>
    <xf numFmtId="167" fontId="0" fillId="0" borderId="0" xfId="0" applyNumberFormat="1"/>
    <xf numFmtId="0" fontId="18" fillId="0" borderId="0" xfId="0" applyFont="1" applyBorder="1"/>
    <xf numFmtId="167" fontId="18" fillId="0" borderId="0" xfId="1" applyNumberFormat="1" applyFont="1" applyBorder="1"/>
    <xf numFmtId="167" fontId="18" fillId="0" borderId="0" xfId="3" applyNumberFormat="1" applyFont="1" applyBorder="1"/>
    <xf numFmtId="0" fontId="12" fillId="0" borderId="39" xfId="0" applyFont="1" applyBorder="1"/>
    <xf numFmtId="0" fontId="10" fillId="0" borderId="41" xfId="0" applyFont="1" applyBorder="1" applyAlignment="1">
      <alignment horizontal="center"/>
    </xf>
    <xf numFmtId="167" fontId="9" fillId="13" borderId="32" xfId="0" applyNumberFormat="1" applyFont="1" applyFill="1" applyBorder="1"/>
    <xf numFmtId="167" fontId="9" fillId="0" borderId="18" xfId="0" applyNumberFormat="1" applyFont="1" applyFill="1" applyBorder="1"/>
    <xf numFmtId="167" fontId="9" fillId="13" borderId="24" xfId="1" applyNumberFormat="1" applyFont="1" applyFill="1" applyBorder="1"/>
    <xf numFmtId="167" fontId="9" fillId="0" borderId="18" xfId="1" applyNumberFormat="1" applyFont="1" applyBorder="1"/>
    <xf numFmtId="167" fontId="9" fillId="13" borderId="42" xfId="1" applyNumberFormat="1" applyFont="1" applyFill="1" applyBorder="1"/>
    <xf numFmtId="167" fontId="9" fillId="0" borderId="18" xfId="1" applyNumberFormat="1" applyFont="1" applyFill="1" applyBorder="1"/>
    <xf numFmtId="167" fontId="16" fillId="14" borderId="17" xfId="5" applyNumberFormat="1" applyFont="1" applyFill="1" applyBorder="1"/>
    <xf numFmtId="0" fontId="16" fillId="0" borderId="18" xfId="0" applyFont="1" applyBorder="1"/>
    <xf numFmtId="0" fontId="4" fillId="0" borderId="31" xfId="0" applyFont="1" applyBorder="1"/>
    <xf numFmtId="167" fontId="0" fillId="0" borderId="0" xfId="1" applyNumberFormat="1" applyFont="1"/>
    <xf numFmtId="0" fontId="1" fillId="0" borderId="43" xfId="0" applyFont="1" applyBorder="1" applyAlignment="1">
      <alignment horizontal="left"/>
    </xf>
    <xf numFmtId="167" fontId="4" fillId="0" borderId="43" xfId="0" applyNumberFormat="1" applyFont="1" applyBorder="1"/>
    <xf numFmtId="0" fontId="21" fillId="0" borderId="0" xfId="0" applyFont="1"/>
    <xf numFmtId="0" fontId="21" fillId="0" borderId="0" xfId="0" applyFont="1" applyFill="1"/>
    <xf numFmtId="167" fontId="21" fillId="0" borderId="0" xfId="0" applyNumberFormat="1" applyFont="1" applyFill="1"/>
    <xf numFmtId="164" fontId="2" fillId="2" borderId="1" xfId="4" applyNumberFormat="1"/>
    <xf numFmtId="0" fontId="21" fillId="0" borderId="31" xfId="0" applyFont="1" applyBorder="1" applyAlignment="1">
      <alignment horizontal="right"/>
    </xf>
    <xf numFmtId="0" fontId="25" fillId="0" borderId="0" xfId="0" applyFont="1" applyAlignment="1"/>
    <xf numFmtId="0" fontId="26" fillId="0" borderId="0" xfId="0" applyFont="1"/>
    <xf numFmtId="0" fontId="27" fillId="11" borderId="8" xfId="0" applyFont="1" applyFill="1" applyBorder="1" applyAlignment="1"/>
    <xf numFmtId="0" fontId="27" fillId="11" borderId="9" xfId="0" applyFont="1" applyFill="1" applyBorder="1" applyAlignment="1"/>
    <xf numFmtId="167" fontId="28" fillId="11" borderId="10" xfId="1" applyNumberFormat="1" applyFont="1" applyFill="1" applyBorder="1"/>
    <xf numFmtId="164" fontId="25" fillId="0" borderId="0" xfId="0" applyNumberFormat="1" applyFont="1" applyAlignment="1">
      <alignment horizontal="center"/>
    </xf>
    <xf numFmtId="0" fontId="27" fillId="11" borderId="5" xfId="0" applyFont="1" applyFill="1" applyBorder="1" applyAlignment="1"/>
    <xf numFmtId="0" fontId="27" fillId="11" borderId="6" xfId="0" applyFont="1" applyFill="1" applyBorder="1" applyAlignment="1"/>
    <xf numFmtId="167" fontId="27" fillId="11" borderId="7" xfId="0" applyNumberFormat="1" applyFont="1" applyFill="1" applyBorder="1" applyAlignment="1"/>
    <xf numFmtId="37" fontId="29" fillId="0" borderId="0" xfId="0" applyNumberFormat="1" applyFont="1" applyBorder="1" applyAlignment="1">
      <alignment vertical="center"/>
    </xf>
    <xf numFmtId="37" fontId="29" fillId="0" borderId="0" xfId="0" applyNumberFormat="1" applyFont="1" applyFill="1" applyBorder="1" applyAlignment="1">
      <alignment horizontal="center" vertical="center"/>
    </xf>
    <xf numFmtId="0" fontId="29" fillId="0" borderId="0" xfId="0" applyFont="1" applyAlignment="1">
      <alignment wrapText="1"/>
    </xf>
    <xf numFmtId="0" fontId="29" fillId="0" borderId="36" xfId="0" applyFont="1" applyFill="1" applyBorder="1" applyAlignment="1">
      <alignment horizontal="center" vertical="center" wrapText="1"/>
    </xf>
    <xf numFmtId="0" fontId="29" fillId="0" borderId="36" xfId="0" applyFont="1" applyBorder="1" applyAlignment="1">
      <alignment horizontal="center" vertical="center" wrapText="1"/>
    </xf>
    <xf numFmtId="0" fontId="0" fillId="0" borderId="0" xfId="0" applyAlignment="1">
      <alignment wrapText="1"/>
    </xf>
    <xf numFmtId="0" fontId="30" fillId="19" borderId="0" xfId="0" applyFont="1" applyFill="1"/>
    <xf numFmtId="167" fontId="14" fillId="19" borderId="0" xfId="1" applyNumberFormat="1" applyFont="1" applyFill="1"/>
    <xf numFmtId="167" fontId="14" fillId="19" borderId="0" xfId="1" applyNumberFormat="1" applyFont="1" applyFill="1" applyBorder="1"/>
    <xf numFmtId="0" fontId="30" fillId="0" borderId="0" xfId="0" applyFont="1"/>
    <xf numFmtId="167" fontId="14" fillId="19" borderId="0" xfId="5" applyNumberFormat="1" applyFont="1" applyFill="1"/>
    <xf numFmtId="167" fontId="14" fillId="20" borderId="0" xfId="1" applyNumberFormat="1" applyFont="1" applyFill="1"/>
    <xf numFmtId="167" fontId="6" fillId="0" borderId="0" xfId="0" applyNumberFormat="1" applyFont="1"/>
    <xf numFmtId="0" fontId="0" fillId="0" borderId="8" xfId="0" applyBorder="1"/>
    <xf numFmtId="10" fontId="0" fillId="0" borderId="9" xfId="0" applyNumberFormat="1" applyBorder="1"/>
    <xf numFmtId="10" fontId="0" fillId="0" borderId="10" xfId="0" applyNumberFormat="1" applyBorder="1"/>
    <xf numFmtId="0" fontId="0" fillId="0" borderId="11" xfId="0" applyBorder="1"/>
    <xf numFmtId="10" fontId="0" fillId="0" borderId="0" xfId="0" applyNumberFormat="1" applyBorder="1"/>
    <xf numFmtId="10" fontId="0" fillId="0" borderId="12" xfId="0" applyNumberFormat="1" applyBorder="1"/>
    <xf numFmtId="0" fontId="30" fillId="0" borderId="0" xfId="0" applyFont="1" applyFill="1"/>
    <xf numFmtId="167" fontId="14" fillId="0" borderId="0" xfId="1" applyNumberFormat="1" applyFont="1" applyFill="1"/>
    <xf numFmtId="0" fontId="30" fillId="0" borderId="0" xfId="0" applyFont="1" applyFill="1" applyBorder="1"/>
    <xf numFmtId="0" fontId="14" fillId="0" borderId="0" xfId="0" applyFont="1" applyFill="1"/>
    <xf numFmtId="0" fontId="31" fillId="0" borderId="0" xfId="0" applyFont="1"/>
    <xf numFmtId="0" fontId="14" fillId="0" borderId="0" xfId="0" applyFont="1"/>
    <xf numFmtId="167" fontId="30" fillId="0" borderId="0" xfId="0" applyNumberFormat="1" applyFont="1"/>
    <xf numFmtId="0" fontId="14" fillId="0" borderId="0" xfId="0" applyFont="1" applyFill="1" applyBorder="1" applyAlignment="1">
      <alignment horizontal="left" indent="1"/>
    </xf>
    <xf numFmtId="167" fontId="14" fillId="0" borderId="0" xfId="0" applyNumberFormat="1" applyFont="1"/>
    <xf numFmtId="0" fontId="30" fillId="19" borderId="0" xfId="0" applyFont="1" applyFill="1" applyBorder="1"/>
    <xf numFmtId="41" fontId="14" fillId="19" borderId="0" xfId="1" applyNumberFormat="1" applyFont="1" applyFill="1"/>
    <xf numFmtId="41" fontId="0" fillId="0" borderId="0" xfId="0" applyNumberFormat="1"/>
    <xf numFmtId="0" fontId="14" fillId="0" borderId="0" xfId="0" applyFont="1" applyFill="1" applyBorder="1"/>
    <xf numFmtId="167" fontId="14" fillId="0" borderId="0" xfId="1" applyNumberFormat="1" applyFont="1" applyFill="1" applyBorder="1"/>
    <xf numFmtId="0" fontId="6" fillId="4" borderId="5" xfId="0" applyFont="1" applyFill="1" applyBorder="1"/>
    <xf numFmtId="10" fontId="6" fillId="4" borderId="6" xfId="0" applyNumberFormat="1" applyFont="1" applyFill="1" applyBorder="1"/>
    <xf numFmtId="10" fontId="6" fillId="4" borderId="7" xfId="0" applyNumberFormat="1" applyFont="1" applyFill="1" applyBorder="1"/>
    <xf numFmtId="167" fontId="14" fillId="20" borderId="0" xfId="1" applyNumberFormat="1" applyFont="1" applyFill="1" applyBorder="1"/>
    <xf numFmtId="41" fontId="14" fillId="0" borderId="0" xfId="1" applyNumberFormat="1" applyFont="1" applyFill="1" applyBorder="1"/>
    <xf numFmtId="0" fontId="30" fillId="20" borderId="0" xfId="0" applyFont="1" applyFill="1" applyBorder="1"/>
    <xf numFmtId="0" fontId="30" fillId="0" borderId="0" xfId="0" applyFont="1" applyFill="1" applyBorder="1" applyAlignment="1">
      <alignment horizontal="left" indent="1"/>
    </xf>
    <xf numFmtId="167" fontId="14" fillId="0" borderId="0" xfId="6" applyNumberFormat="1" applyFont="1" applyFill="1" applyBorder="1"/>
    <xf numFmtId="167" fontId="30" fillId="20" borderId="0" xfId="0" applyNumberFormat="1" applyFont="1" applyFill="1" applyBorder="1"/>
    <xf numFmtId="0" fontId="14" fillId="5" borderId="0" xfId="0" applyFont="1" applyFill="1" applyBorder="1"/>
    <xf numFmtId="167" fontId="30" fillId="5" borderId="31" xfId="0" applyNumberFormat="1" applyFont="1" applyFill="1" applyBorder="1"/>
    <xf numFmtId="167" fontId="32" fillId="5" borderId="31" xfId="0" applyNumberFormat="1" applyFont="1" applyFill="1" applyBorder="1"/>
    <xf numFmtId="167" fontId="0" fillId="0" borderId="0" xfId="0" applyNumberFormat="1" applyFill="1"/>
    <xf numFmtId="167" fontId="30" fillId="0" borderId="0" xfId="1" applyNumberFormat="1" applyFont="1" applyFill="1"/>
    <xf numFmtId="167" fontId="14" fillId="19" borderId="0" xfId="6" applyNumberFormat="1" applyFont="1" applyFill="1" applyBorder="1"/>
    <xf numFmtId="167" fontId="14" fillId="19" borderId="0" xfId="5" applyNumberFormat="1" applyFont="1" applyFill="1" applyBorder="1"/>
    <xf numFmtId="167" fontId="30" fillId="0" borderId="0" xfId="0" applyNumberFormat="1" applyFont="1" applyFill="1" applyBorder="1"/>
    <xf numFmtId="167" fontId="0" fillId="0" borderId="0" xfId="5" applyNumberFormat="1" applyFont="1" applyFill="1"/>
    <xf numFmtId="167" fontId="14" fillId="0" borderId="0" xfId="5" applyNumberFormat="1" applyFont="1" applyFill="1" applyBorder="1"/>
    <xf numFmtId="0" fontId="30" fillId="5" borderId="0" xfId="0" applyFont="1" applyFill="1" applyBorder="1"/>
    <xf numFmtId="167" fontId="14" fillId="5" borderId="31" xfId="6" applyNumberFormat="1" applyFont="1" applyFill="1" applyBorder="1"/>
    <xf numFmtId="167" fontId="29" fillId="5" borderId="31" xfId="6" applyNumberFormat="1" applyFont="1" applyFill="1" applyBorder="1"/>
    <xf numFmtId="0" fontId="34" fillId="21" borderId="0" xfId="0" applyFont="1" applyFill="1" applyBorder="1"/>
    <xf numFmtId="167" fontId="34" fillId="21" borderId="43" xfId="1" applyNumberFormat="1" applyFont="1" applyFill="1" applyBorder="1"/>
    <xf numFmtId="167" fontId="34" fillId="21" borderId="0" xfId="1" applyNumberFormat="1" applyFont="1" applyFill="1" applyBorder="1"/>
    <xf numFmtId="41" fontId="30" fillId="0" borderId="0" xfId="0" applyNumberFormat="1" applyFont="1"/>
    <xf numFmtId="167" fontId="21" fillId="0" borderId="0" xfId="0" applyNumberFormat="1" applyFont="1"/>
    <xf numFmtId="43" fontId="0" fillId="0" borderId="0" xfId="0" applyNumberFormat="1"/>
    <xf numFmtId="44" fontId="0" fillId="0" borderId="0" xfId="0" applyNumberFormat="1"/>
    <xf numFmtId="0" fontId="29" fillId="0" borderId="0" xfId="0" applyFont="1" applyAlignment="1">
      <alignment vertical="center"/>
    </xf>
    <xf numFmtId="0" fontId="22" fillId="0" borderId="0" xfId="0" applyFont="1" applyAlignment="1">
      <alignment horizontal="center" vertical="center" wrapText="1"/>
    </xf>
    <xf numFmtId="0" fontId="14" fillId="22" borderId="0" xfId="0" applyFont="1" applyFill="1"/>
    <xf numFmtId="165" fontId="0" fillId="20" borderId="0" xfId="2" applyNumberFormat="1" applyFont="1" applyFill="1"/>
    <xf numFmtId="165" fontId="0" fillId="0" borderId="0" xfId="2" applyNumberFormat="1" applyFont="1"/>
    <xf numFmtId="0" fontId="37" fillId="0" borderId="0" xfId="0" applyFont="1"/>
    <xf numFmtId="0" fontId="0" fillId="20" borderId="0" xfId="0" applyFont="1" applyFill="1"/>
    <xf numFmtId="165" fontId="0" fillId="0" borderId="0" xfId="2" applyNumberFormat="1" applyFont="1" applyFill="1"/>
    <xf numFmtId="167" fontId="0" fillId="0" borderId="0" xfId="1" applyNumberFormat="1" applyFont="1" applyFill="1"/>
    <xf numFmtId="165" fontId="0" fillId="5" borderId="0" xfId="2" applyNumberFormat="1" applyFont="1" applyFill="1"/>
    <xf numFmtId="0" fontId="0" fillId="0" borderId="9" xfId="0" applyBorder="1"/>
    <xf numFmtId="0" fontId="0" fillId="0" borderId="10" xfId="0" applyBorder="1"/>
    <xf numFmtId="165" fontId="0" fillId="0" borderId="0" xfId="0" applyNumberFormat="1"/>
    <xf numFmtId="0" fontId="6" fillId="0" borderId="8" xfId="0" applyFont="1" applyBorder="1"/>
    <xf numFmtId="0" fontId="0" fillId="0" borderId="12" xfId="0" applyBorder="1"/>
    <xf numFmtId="0" fontId="6" fillId="0" borderId="12" xfId="0" applyFont="1" applyBorder="1" applyAlignment="1">
      <alignment horizontal="center"/>
    </xf>
    <xf numFmtId="0" fontId="39" fillId="0" borderId="11" xfId="7" applyFont="1" applyFill="1" applyBorder="1" applyAlignment="1">
      <alignment horizontal="left" indent="1"/>
    </xf>
    <xf numFmtId="41" fontId="16" fillId="9" borderId="12" xfId="7" applyNumberFormat="1" applyFont="1" applyFill="1" applyBorder="1"/>
    <xf numFmtId="0" fontId="6" fillId="0" borderId="11" xfId="0" applyFont="1" applyBorder="1"/>
    <xf numFmtId="0" fontId="6" fillId="0" borderId="0" xfId="0" applyFont="1" applyBorder="1"/>
    <xf numFmtId="0" fontId="39" fillId="0" borderId="11" xfId="7" applyFont="1" applyFill="1" applyBorder="1" applyAlignment="1">
      <alignment horizontal="left" indent="2"/>
    </xf>
    <xf numFmtId="41" fontId="39" fillId="9" borderId="12" xfId="7" applyNumberFormat="1" applyFont="1" applyFill="1" applyBorder="1"/>
    <xf numFmtId="165" fontId="6" fillId="0" borderId="12" xfId="2" applyNumberFormat="1" applyFont="1" applyBorder="1"/>
    <xf numFmtId="10" fontId="0" fillId="0" borderId="0" xfId="3" applyNumberFormat="1" applyFont="1"/>
    <xf numFmtId="0" fontId="6" fillId="0" borderId="11" xfId="0" applyFont="1" applyBorder="1" applyAlignment="1">
      <alignment horizontal="left" indent="1"/>
    </xf>
    <xf numFmtId="164" fontId="6" fillId="0" borderId="0" xfId="0" applyNumberFormat="1" applyFont="1" applyFill="1" applyBorder="1"/>
    <xf numFmtId="0" fontId="21" fillId="0" borderId="11" xfId="0" applyFont="1" applyBorder="1" applyAlignment="1">
      <alignment horizontal="left" indent="1"/>
    </xf>
    <xf numFmtId="167" fontId="40" fillId="9" borderId="12" xfId="0" applyNumberFormat="1" applyFont="1" applyFill="1" applyBorder="1"/>
    <xf numFmtId="0" fontId="39" fillId="0" borderId="5" xfId="7" applyFont="1" applyFill="1" applyBorder="1" applyAlignment="1">
      <alignment horizontal="left" indent="1"/>
    </xf>
    <xf numFmtId="41" fontId="6" fillId="0" borderId="7" xfId="0" applyNumberFormat="1" applyFont="1" applyBorder="1"/>
    <xf numFmtId="164" fontId="6" fillId="0" borderId="0" xfId="0" applyNumberFormat="1" applyFont="1" applyBorder="1"/>
    <xf numFmtId="0" fontId="6" fillId="0" borderId="11" xfId="0" applyFont="1" applyBorder="1" applyAlignment="1">
      <alignment wrapText="1"/>
    </xf>
    <xf numFmtId="0" fontId="6" fillId="0" borderId="11" xfId="0" applyFont="1" applyBorder="1" applyAlignment="1">
      <alignment horizontal="left" wrapText="1" indent="2"/>
    </xf>
    <xf numFmtId="0" fontId="6" fillId="0" borderId="11" xfId="0" applyFont="1" applyFill="1" applyBorder="1" applyAlignment="1">
      <alignment horizontal="left" wrapText="1" indent="2"/>
    </xf>
    <xf numFmtId="165" fontId="21" fillId="0" borderId="12" xfId="0" applyNumberFormat="1" applyFont="1" applyBorder="1"/>
    <xf numFmtId="0" fontId="0" fillId="0" borderId="5" xfId="0" applyBorder="1"/>
    <xf numFmtId="0" fontId="0" fillId="0" borderId="6" xfId="0" applyBorder="1"/>
    <xf numFmtId="0" fontId="0" fillId="0" borderId="7" xfId="0" applyBorder="1"/>
    <xf numFmtId="0" fontId="39" fillId="0" borderId="0" xfId="7" applyFont="1" applyFill="1" applyBorder="1" applyAlignment="1">
      <alignment horizontal="left" indent="1"/>
    </xf>
    <xf numFmtId="0" fontId="6" fillId="0" borderId="0" xfId="0" applyFont="1"/>
    <xf numFmtId="0" fontId="6" fillId="0" borderId="0" xfId="0" applyFont="1" applyFill="1" applyBorder="1"/>
    <xf numFmtId="0" fontId="6" fillId="0" borderId="10" xfId="0" applyFont="1" applyBorder="1" applyAlignment="1">
      <alignment horizontal="center"/>
    </xf>
    <xf numFmtId="0" fontId="7" fillId="0" borderId="15" xfId="0" applyFont="1" applyBorder="1" applyAlignment="1" applyProtection="1">
      <alignment horizontal="left" vertical="center" wrapText="1" indent="1"/>
      <protection locked="0"/>
    </xf>
    <xf numFmtId="0" fontId="7" fillId="0" borderId="17" xfId="0" applyFont="1" applyBorder="1" applyAlignment="1" applyProtection="1">
      <alignment horizontal="left" vertical="center" wrapText="1" indent="1"/>
      <protection locked="0"/>
    </xf>
    <xf numFmtId="165" fontId="6" fillId="0" borderId="44" xfId="0" applyNumberFormat="1" applyFont="1" applyBorder="1"/>
    <xf numFmtId="165" fontId="6" fillId="0" borderId="45" xfId="2" applyNumberFormat="1" applyFont="1" applyFill="1" applyBorder="1"/>
    <xf numFmtId="37" fontId="29" fillId="0" borderId="0" xfId="0" applyNumberFormat="1" applyFont="1" applyFill="1" applyBorder="1" applyAlignment="1">
      <alignment vertical="center"/>
    </xf>
    <xf numFmtId="167" fontId="14" fillId="0" borderId="0" xfId="5" applyNumberFormat="1" applyFont="1" applyFill="1"/>
    <xf numFmtId="167" fontId="14" fillId="20" borderId="0" xfId="5" applyNumberFormat="1" applyFont="1" applyFill="1"/>
    <xf numFmtId="0" fontId="30" fillId="0" borderId="0" xfId="0" applyFont="1" applyBorder="1"/>
    <xf numFmtId="167" fontId="30" fillId="0" borderId="0" xfId="0" applyNumberFormat="1" applyFont="1" applyBorder="1"/>
    <xf numFmtId="0" fontId="0" fillId="0" borderId="0" xfId="0" applyAlignment="1">
      <alignment horizontal="left"/>
    </xf>
    <xf numFmtId="0" fontId="4" fillId="0" borderId="0" xfId="0" applyFont="1"/>
    <xf numFmtId="167" fontId="0" fillId="24" borderId="43" xfId="1" applyNumberFormat="1" applyFont="1" applyFill="1" applyBorder="1"/>
    <xf numFmtId="167" fontId="0" fillId="25" borderId="43" xfId="1" applyNumberFormat="1" applyFont="1" applyFill="1" applyBorder="1"/>
    <xf numFmtId="167" fontId="0" fillId="26" borderId="43" xfId="1" applyNumberFormat="1" applyFont="1" applyFill="1" applyBorder="1"/>
    <xf numFmtId="167" fontId="0" fillId="0" borderId="43" xfId="1" applyNumberFormat="1" applyFont="1" applyBorder="1"/>
    <xf numFmtId="0" fontId="0" fillId="0" borderId="36" xfId="0" applyBorder="1"/>
    <xf numFmtId="44" fontId="0" fillId="6" borderId="19" xfId="2" applyNumberFormat="1" applyFont="1" applyFill="1" applyBorder="1" applyAlignment="1" applyProtection="1">
      <alignment horizontal="left" vertical="center"/>
      <protection locked="0"/>
    </xf>
    <xf numFmtId="44" fontId="0" fillId="6" borderId="16" xfId="2" applyNumberFormat="1" applyFont="1" applyFill="1" applyBorder="1" applyAlignment="1" applyProtection="1">
      <alignment horizontal="left" vertical="center"/>
      <protection locked="0"/>
    </xf>
    <xf numFmtId="0" fontId="0" fillId="0" borderId="0" xfId="0" applyAlignment="1">
      <alignment horizontal="center"/>
    </xf>
    <xf numFmtId="37" fontId="29" fillId="16" borderId="0" xfId="0" applyNumberFormat="1" applyFont="1" applyFill="1" applyBorder="1" applyAlignment="1">
      <alignment horizontal="center" vertical="center"/>
    </xf>
    <xf numFmtId="0" fontId="0" fillId="0" borderId="0" xfId="0" applyAlignment="1">
      <alignment horizontal="center"/>
    </xf>
    <xf numFmtId="167" fontId="0" fillId="0" borderId="43" xfId="1" applyNumberFormat="1" applyFont="1" applyFill="1" applyBorder="1"/>
    <xf numFmtId="168" fontId="0" fillId="0" borderId="0" xfId="0" applyNumberFormat="1"/>
    <xf numFmtId="43" fontId="0" fillId="0" borderId="0" xfId="1" applyFont="1"/>
    <xf numFmtId="168" fontId="7" fillId="0" borderId="24" xfId="0" applyNumberFormat="1" applyFont="1" applyFill="1" applyBorder="1" applyAlignment="1" applyProtection="1">
      <alignment horizontal="left" vertical="center" wrapText="1" indent="3"/>
      <protection locked="0"/>
    </xf>
    <xf numFmtId="168" fontId="7" fillId="9" borderId="24" xfId="0" applyNumberFormat="1" applyFont="1" applyFill="1" applyBorder="1" applyAlignment="1" applyProtection="1">
      <alignment horizontal="left" vertical="center" wrapText="1" indent="3"/>
      <protection locked="0"/>
    </xf>
    <xf numFmtId="167" fontId="45" fillId="0" borderId="0" xfId="1" applyNumberFormat="1" applyFont="1" applyFill="1" applyBorder="1"/>
    <xf numFmtId="0" fontId="22" fillId="0" borderId="0" xfId="0" applyFont="1" applyAlignment="1">
      <alignment horizontal="center"/>
    </xf>
    <xf numFmtId="0" fontId="21" fillId="0" borderId="43" xfId="0" applyFont="1" applyBorder="1"/>
    <xf numFmtId="0" fontId="46" fillId="0" borderId="38" xfId="7" applyFont="1" applyBorder="1" applyAlignment="1">
      <alignment horizontal="center"/>
    </xf>
    <xf numFmtId="0" fontId="46" fillId="0" borderId="31" xfId="7" applyFont="1" applyBorder="1" applyAlignment="1">
      <alignment horizontal="left"/>
    </xf>
    <xf numFmtId="0" fontId="10" fillId="0" borderId="32" xfId="7" applyFont="1" applyBorder="1" applyAlignment="1"/>
    <xf numFmtId="0" fontId="47" fillId="0" borderId="24" xfId="11" applyFont="1" applyBorder="1" applyAlignment="1">
      <alignment horizontal="center" wrapText="1"/>
    </xf>
    <xf numFmtId="0" fontId="47" fillId="0" borderId="24" xfId="11" applyFont="1" applyFill="1" applyBorder="1" applyAlignment="1">
      <alignment horizontal="center" wrapText="1"/>
    </xf>
    <xf numFmtId="0" fontId="38" fillId="19" borderId="24" xfId="5" applyNumberFormat="1" applyFont="1" applyFill="1" applyBorder="1" applyAlignment="1">
      <alignment horizontal="center" wrapText="1"/>
    </xf>
    <xf numFmtId="0" fontId="39" fillId="0" borderId="0" xfId="7" applyFont="1"/>
    <xf numFmtId="0" fontId="46" fillId="0" borderId="0" xfId="7" applyFont="1" applyBorder="1" applyAlignment="1">
      <alignment horizontal="center"/>
    </xf>
    <xf numFmtId="49" fontId="39" fillId="0" borderId="0" xfId="7" applyNumberFormat="1" applyFont="1" applyFill="1" applyAlignment="1">
      <alignment vertical="center"/>
    </xf>
    <xf numFmtId="0" fontId="12" fillId="0" borderId="0" xfId="7" applyFont="1" applyFill="1" applyAlignment="1">
      <alignment vertical="center"/>
    </xf>
    <xf numFmtId="41" fontId="10" fillId="0" borderId="0" xfId="7" applyNumberFormat="1" applyFont="1" applyFill="1" applyAlignment="1">
      <alignment vertical="center"/>
    </xf>
    <xf numFmtId="0" fontId="0" fillId="17" borderId="31" xfId="0" applyFill="1" applyBorder="1"/>
    <xf numFmtId="0" fontId="21" fillId="20" borderId="0" xfId="0" applyFont="1" applyFill="1"/>
    <xf numFmtId="167" fontId="33" fillId="20" borderId="0" xfId="0" applyNumberFormat="1" applyFont="1" applyFill="1"/>
    <xf numFmtId="0" fontId="39" fillId="0" borderId="0" xfId="7" applyFont="1" applyFill="1"/>
    <xf numFmtId="0" fontId="12" fillId="0" borderId="0" xfId="7" applyFont="1" applyFill="1" applyAlignment="1">
      <alignment horizontal="left" indent="2"/>
    </xf>
    <xf numFmtId="41" fontId="39" fillId="9" borderId="0" xfId="7" applyNumberFormat="1" applyFont="1" applyFill="1"/>
    <xf numFmtId="0" fontId="48" fillId="0" borderId="0" xfId="7" applyFont="1" applyAlignment="1">
      <alignment horizontal="left" indent="1"/>
    </xf>
    <xf numFmtId="167" fontId="49" fillId="11" borderId="0" xfId="0" applyNumberFormat="1" applyFont="1" applyFill="1"/>
    <xf numFmtId="167" fontId="33" fillId="0" borderId="0" xfId="0" applyNumberFormat="1" applyFont="1"/>
    <xf numFmtId="0" fontId="46" fillId="0" borderId="0" xfId="7" applyFont="1" applyBorder="1" applyAlignment="1">
      <alignment horizontal="left"/>
    </xf>
    <xf numFmtId="0" fontId="10" fillId="0" borderId="0" xfId="7" applyFont="1"/>
    <xf numFmtId="167" fontId="49" fillId="0" borderId="0" xfId="0" applyNumberFormat="1" applyFont="1" applyFill="1"/>
    <xf numFmtId="49" fontId="39" fillId="0" borderId="0" xfId="7" applyNumberFormat="1" applyFont="1" applyAlignment="1">
      <alignment vertical="center"/>
    </xf>
    <xf numFmtId="0" fontId="12" fillId="0" borderId="0" xfId="7" applyFont="1" applyAlignment="1">
      <alignment vertical="center"/>
    </xf>
    <xf numFmtId="0" fontId="21" fillId="0" borderId="0" xfId="0" applyFont="1" applyAlignment="1">
      <alignment horizontal="left" indent="1"/>
    </xf>
    <xf numFmtId="167" fontId="33" fillId="26" borderId="0" xfId="0" applyNumberFormat="1" applyFont="1" applyFill="1"/>
    <xf numFmtId="41" fontId="10" fillId="0" borderId="0" xfId="7" applyNumberFormat="1" applyFont="1" applyFill="1" applyBorder="1" applyAlignment="1">
      <alignment vertical="center"/>
    </xf>
    <xf numFmtId="41" fontId="10" fillId="20" borderId="0" xfId="7" applyNumberFormat="1" applyFont="1" applyFill="1" applyBorder="1" applyAlignment="1">
      <alignment vertical="center"/>
    </xf>
    <xf numFmtId="0" fontId="12" fillId="20" borderId="0" xfId="7" applyFont="1" applyFill="1"/>
    <xf numFmtId="0" fontId="48" fillId="0" borderId="0" xfId="7" applyFont="1" applyFill="1" applyAlignment="1">
      <alignment horizontal="left" indent="1"/>
    </xf>
    <xf numFmtId="167" fontId="49" fillId="30" borderId="0" xfId="0" applyNumberFormat="1" applyFont="1" applyFill="1"/>
    <xf numFmtId="0" fontId="12" fillId="0" borderId="0" xfId="0" applyFont="1" applyAlignment="1">
      <alignment horizontal="left" indent="2"/>
    </xf>
    <xf numFmtId="0" fontId="12" fillId="0" borderId="0" xfId="7" applyFont="1" applyFill="1" applyBorder="1" applyAlignment="1">
      <alignment vertical="center"/>
    </xf>
    <xf numFmtId="0" fontId="48" fillId="0" borderId="0" xfId="7" applyFont="1" applyFill="1" applyBorder="1" applyAlignment="1">
      <alignment horizontal="left" indent="1"/>
    </xf>
    <xf numFmtId="167" fontId="49" fillId="4" borderId="0" xfId="0" applyNumberFormat="1" applyFont="1" applyFill="1" applyBorder="1"/>
    <xf numFmtId="167" fontId="33" fillId="17" borderId="31" xfId="0" applyNumberFormat="1" applyFont="1" applyFill="1" applyBorder="1"/>
    <xf numFmtId="0" fontId="39" fillId="0" borderId="0" xfId="7" applyFont="1" applyFill="1" applyAlignment="1">
      <alignment horizontal="left" indent="1"/>
    </xf>
    <xf numFmtId="167" fontId="33" fillId="0" borderId="0" xfId="0" applyNumberFormat="1" applyFont="1" applyFill="1"/>
    <xf numFmtId="167" fontId="33" fillId="9" borderId="0" xfId="0" applyNumberFormat="1" applyFont="1" applyFill="1"/>
    <xf numFmtId="167" fontId="33" fillId="0" borderId="0" xfId="0" applyNumberFormat="1" applyFont="1" applyFill="1" applyBorder="1"/>
    <xf numFmtId="0" fontId="0" fillId="0" borderId="46" xfId="0" applyBorder="1"/>
    <xf numFmtId="0" fontId="22" fillId="0" borderId="0" xfId="0" applyFont="1"/>
    <xf numFmtId="0" fontId="39" fillId="0" borderId="0" xfId="0" applyFont="1" applyAlignment="1">
      <alignment horizontal="left" indent="1"/>
    </xf>
    <xf numFmtId="41" fontId="39" fillId="9" borderId="0" xfId="0" applyNumberFormat="1" applyFont="1" applyFill="1"/>
    <xf numFmtId="0" fontId="50" fillId="0" borderId="0" xfId="0" applyFont="1"/>
    <xf numFmtId="167" fontId="51" fillId="0" borderId="0" xfId="0" applyNumberFormat="1" applyFont="1" applyFill="1"/>
    <xf numFmtId="0" fontId="52" fillId="0" borderId="0" xfId="7" applyFont="1" applyAlignment="1">
      <alignment vertical="center"/>
    </xf>
    <xf numFmtId="0" fontId="12" fillId="0" borderId="0" xfId="7" applyFont="1" applyFill="1"/>
    <xf numFmtId="49" fontId="39" fillId="0" borderId="0" xfId="7" applyNumberFormat="1" applyFont="1" applyBorder="1" applyAlignment="1">
      <alignment vertical="center"/>
    </xf>
    <xf numFmtId="0" fontId="6" fillId="17" borderId="31" xfId="0" applyFont="1" applyFill="1" applyBorder="1"/>
    <xf numFmtId="167" fontId="49" fillId="17" borderId="31" xfId="0" applyNumberFormat="1" applyFont="1" applyFill="1" applyBorder="1"/>
    <xf numFmtId="167" fontId="10" fillId="0" borderId="31" xfId="5" applyNumberFormat="1" applyFont="1" applyFill="1" applyBorder="1" applyAlignment="1">
      <alignment vertical="center"/>
    </xf>
    <xf numFmtId="0" fontId="39" fillId="0" borderId="0" xfId="7" applyFont="1" applyFill="1" applyBorder="1" applyAlignment="1">
      <alignment vertical="center"/>
    </xf>
    <xf numFmtId="0" fontId="12" fillId="0" borderId="0" xfId="7" applyFont="1" applyFill="1" applyAlignment="1">
      <alignment horizontal="right" vertical="center"/>
    </xf>
    <xf numFmtId="167" fontId="10" fillId="0" borderId="0" xfId="5" applyNumberFormat="1" applyFont="1" applyFill="1" applyBorder="1" applyAlignment="1">
      <alignment vertical="center"/>
    </xf>
    <xf numFmtId="0" fontId="10" fillId="0" borderId="0" xfId="7" applyFont="1" applyFill="1"/>
    <xf numFmtId="49" fontId="12" fillId="0" borderId="0" xfId="7" applyNumberFormat="1" applyFont="1" applyAlignment="1">
      <alignment vertical="center"/>
    </xf>
    <xf numFmtId="49" fontId="10" fillId="0" borderId="0" xfId="7" applyNumberFormat="1" applyFont="1" applyAlignment="1">
      <alignment vertical="center"/>
    </xf>
    <xf numFmtId="0" fontId="14" fillId="0" borderId="0" xfId="6"/>
    <xf numFmtId="0" fontId="21" fillId="0" borderId="0" xfId="0" applyFont="1" applyFill="1" applyBorder="1"/>
    <xf numFmtId="167" fontId="49" fillId="0" borderId="0" xfId="0" applyNumberFormat="1" applyFont="1" applyFill="1" applyBorder="1"/>
    <xf numFmtId="0" fontId="25" fillId="0" borderId="0" xfId="0" applyFont="1" applyFill="1" applyAlignment="1"/>
    <xf numFmtId="0" fontId="32" fillId="0" borderId="0" xfId="0" applyFont="1"/>
    <xf numFmtId="0" fontId="30" fillId="0" borderId="2" xfId="0" applyFont="1" applyBorder="1"/>
    <xf numFmtId="0" fontId="30" fillId="0" borderId="3" xfId="0" applyFont="1" applyBorder="1"/>
    <xf numFmtId="167" fontId="32" fillId="0" borderId="4" xfId="1" applyNumberFormat="1" applyFont="1" applyBorder="1"/>
    <xf numFmtId="41" fontId="30" fillId="0" borderId="2" xfId="0" applyNumberFormat="1" applyFont="1" applyBorder="1"/>
    <xf numFmtId="167" fontId="30" fillId="20" borderId="0" xfId="1" applyNumberFormat="1" applyFont="1" applyFill="1"/>
    <xf numFmtId="167" fontId="30" fillId="0" borderId="0" xfId="1" applyNumberFormat="1" applyFont="1"/>
    <xf numFmtId="0" fontId="30" fillId="3" borderId="0" xfId="0" applyFont="1" applyFill="1" applyBorder="1"/>
    <xf numFmtId="0" fontId="30" fillId="5" borderId="0" xfId="0" applyFont="1" applyFill="1"/>
    <xf numFmtId="43" fontId="30" fillId="0" borderId="0" xfId="0" applyNumberFormat="1" applyFont="1"/>
    <xf numFmtId="164" fontId="30" fillId="0" borderId="0" xfId="3" applyNumberFormat="1" applyFont="1" applyFill="1"/>
    <xf numFmtId="167" fontId="30" fillId="0" borderId="0" xfId="1" applyNumberFormat="1" applyFont="1" applyBorder="1"/>
    <xf numFmtId="167" fontId="55" fillId="0" borderId="0" xfId="0" applyNumberFormat="1" applyFont="1"/>
    <xf numFmtId="41" fontId="26" fillId="0" borderId="0" xfId="0" applyNumberFormat="1" applyFont="1"/>
    <xf numFmtId="0" fontId="29" fillId="16" borderId="36" xfId="0" applyFont="1" applyFill="1" applyBorder="1" applyAlignment="1">
      <alignment horizontal="center" vertical="center" wrapText="1"/>
    </xf>
    <xf numFmtId="43" fontId="14" fillId="0" borderId="0" xfId="0" applyNumberFormat="1" applyFont="1"/>
    <xf numFmtId="167" fontId="30" fillId="0" borderId="0" xfId="1" applyNumberFormat="1" applyFont="1" applyFill="1" applyBorder="1"/>
    <xf numFmtId="167" fontId="30" fillId="20" borderId="0" xfId="1" applyNumberFormat="1" applyFont="1" applyFill="1" applyBorder="1"/>
    <xf numFmtId="0" fontId="7" fillId="0" borderId="31" xfId="0" applyFont="1" applyBorder="1"/>
    <xf numFmtId="0" fontId="49" fillId="32" borderId="31" xfId="0" applyFont="1" applyFill="1" applyBorder="1" applyAlignment="1" applyProtection="1">
      <alignment horizontal="center" vertical="top" wrapText="1"/>
      <protection locked="0"/>
    </xf>
    <xf numFmtId="0" fontId="4" fillId="0" borderId="31" xfId="12" applyFont="1" applyFill="1" applyBorder="1" applyAlignment="1">
      <alignment vertical="center"/>
    </xf>
    <xf numFmtId="0" fontId="49" fillId="0" borderId="47" xfId="0" applyFont="1" applyBorder="1" applyAlignment="1" applyProtection="1">
      <alignment horizontal="left" vertical="top" indent="1"/>
      <protection locked="0"/>
    </xf>
    <xf numFmtId="169" fontId="21" fillId="0" borderId="0" xfId="0" applyNumberFormat="1" applyFont="1" applyBorder="1" applyAlignment="1" applyProtection="1">
      <alignment vertical="top" wrapText="1"/>
      <protection locked="0"/>
    </xf>
    <xf numFmtId="169" fontId="59" fillId="0" borderId="0" xfId="0" applyNumberFormat="1" applyFont="1" applyBorder="1" applyAlignment="1" applyProtection="1">
      <alignment vertical="top" wrapText="1"/>
      <protection locked="0"/>
    </xf>
    <xf numFmtId="0" fontId="4" fillId="0" borderId="0" xfId="12" applyFont="1" applyFill="1" applyBorder="1" applyAlignment="1">
      <alignment vertical="center"/>
    </xf>
    <xf numFmtId="42" fontId="1" fillId="0" borderId="0" xfId="12" applyNumberFormat="1" applyFont="1" applyFill="1" applyBorder="1" applyAlignment="1"/>
    <xf numFmtId="42" fontId="21" fillId="0" borderId="0" xfId="0" applyNumberFormat="1" applyFont="1" applyBorder="1"/>
    <xf numFmtId="42" fontId="21" fillId="0" borderId="0" xfId="0" applyNumberFormat="1" applyFont="1" applyFill="1" applyBorder="1"/>
    <xf numFmtId="165" fontId="21" fillId="0" borderId="0" xfId="0" applyNumberFormat="1" applyFont="1" applyBorder="1"/>
    <xf numFmtId="0" fontId="49" fillId="32" borderId="47" xfId="0" applyFont="1" applyFill="1" applyBorder="1" applyAlignment="1" applyProtection="1">
      <alignment horizontal="left" vertical="top" indent="1"/>
      <protection locked="0"/>
    </xf>
    <xf numFmtId="42" fontId="1" fillId="0" borderId="0" xfId="12" applyNumberFormat="1" applyFont="1" applyFill="1" applyBorder="1" applyAlignment="1">
      <alignment wrapText="1"/>
    </xf>
    <xf numFmtId="42" fontId="59" fillId="0" borderId="0" xfId="0" applyNumberFormat="1" applyFont="1" applyFill="1" applyBorder="1"/>
    <xf numFmtId="0" fontId="49" fillId="0" borderId="0" xfId="0" applyFont="1" applyAlignment="1" applyProtection="1">
      <alignment horizontal="left" vertical="top" indent="1"/>
      <protection locked="0"/>
    </xf>
    <xf numFmtId="0" fontId="49" fillId="0" borderId="31" xfId="0" applyFont="1" applyBorder="1" applyAlignment="1" applyProtection="1">
      <alignment horizontal="left" vertical="top" wrapText="1" indent="1"/>
      <protection locked="0"/>
    </xf>
    <xf numFmtId="169" fontId="60" fillId="0" borderId="31" xfId="0" applyNumberFormat="1" applyFont="1" applyBorder="1" applyAlignment="1" applyProtection="1">
      <alignment vertical="top" wrapText="1"/>
      <protection locked="0"/>
    </xf>
    <xf numFmtId="169" fontId="50" fillId="0" borderId="0" xfId="0" applyNumberFormat="1" applyFont="1"/>
    <xf numFmtId="0" fontId="1" fillId="0" borderId="0" xfId="12" applyFill="1" applyBorder="1"/>
    <xf numFmtId="164" fontId="21" fillId="0" borderId="0" xfId="3" applyNumberFormat="1" applyFont="1" applyBorder="1"/>
    <xf numFmtId="164" fontId="21" fillId="0" borderId="0" xfId="3" applyNumberFormat="1" applyFont="1" applyFill="1" applyBorder="1"/>
    <xf numFmtId="42" fontId="1" fillId="0" borderId="34" xfId="12" applyNumberFormat="1" applyFont="1" applyFill="1" applyBorder="1" applyAlignment="1"/>
    <xf numFmtId="169" fontId="21" fillId="0" borderId="34" xfId="0" applyNumberFormat="1" applyFont="1" applyBorder="1" applyAlignment="1" applyProtection="1">
      <alignment vertical="top" wrapText="1"/>
      <protection locked="0"/>
    </xf>
    <xf numFmtId="169" fontId="59" fillId="0" borderId="34" xfId="0" applyNumberFormat="1" applyFont="1" applyBorder="1" applyAlignment="1" applyProtection="1">
      <alignment vertical="top" wrapText="1"/>
      <protection locked="0"/>
    </xf>
    <xf numFmtId="0" fontId="0" fillId="0" borderId="34" xfId="0" applyBorder="1"/>
    <xf numFmtId="169" fontId="22" fillId="0" borderId="0" xfId="0" applyNumberFormat="1" applyFont="1" applyBorder="1" applyAlignment="1" applyProtection="1">
      <alignment vertical="top" wrapText="1"/>
      <protection locked="0"/>
    </xf>
    <xf numFmtId="42" fontId="21" fillId="0" borderId="36" xfId="0" applyNumberFormat="1" applyFont="1" applyBorder="1"/>
    <xf numFmtId="0" fontId="6" fillId="0" borderId="36" xfId="0" applyFont="1" applyBorder="1"/>
    <xf numFmtId="169" fontId="22" fillId="0" borderId="36" xfId="0" applyNumberFormat="1" applyFont="1" applyBorder="1" applyAlignment="1" applyProtection="1">
      <alignment vertical="top" wrapText="1"/>
      <protection locked="0"/>
    </xf>
    <xf numFmtId="169" fontId="60" fillId="0" borderId="36" xfId="0" applyNumberFormat="1" applyFont="1" applyBorder="1" applyAlignment="1" applyProtection="1">
      <alignment vertical="top" wrapText="1"/>
      <protection locked="0"/>
    </xf>
    <xf numFmtId="167" fontId="61" fillId="0" borderId="0" xfId="1" applyNumberFormat="1" applyFont="1"/>
    <xf numFmtId="0" fontId="1" fillId="0" borderId="0" xfId="12" applyFont="1" applyFill="1" applyBorder="1"/>
    <xf numFmtId="167" fontId="63" fillId="0" borderId="43" xfId="1" applyNumberFormat="1" applyFont="1" applyBorder="1"/>
    <xf numFmtId="0" fontId="3" fillId="0" borderId="0" xfId="0" applyFont="1"/>
    <xf numFmtId="9" fontId="0" fillId="0" borderId="43" xfId="3" applyFont="1" applyBorder="1"/>
    <xf numFmtId="42" fontId="21" fillId="0" borderId="43" xfId="0" applyNumberFormat="1" applyFont="1" applyBorder="1"/>
    <xf numFmtId="42" fontId="21" fillId="0" borderId="43" xfId="0" applyNumberFormat="1" applyFont="1" applyFill="1" applyBorder="1"/>
    <xf numFmtId="167" fontId="3" fillId="0" borderId="0" xfId="1" applyNumberFormat="1" applyFont="1"/>
    <xf numFmtId="10" fontId="0" fillId="5" borderId="18" xfId="0" applyNumberFormat="1" applyFont="1" applyFill="1" applyBorder="1" applyAlignment="1" applyProtection="1">
      <alignment horizontal="center" vertical="center"/>
      <protection locked="0"/>
    </xf>
    <xf numFmtId="44" fontId="0" fillId="6" borderId="18" xfId="2" applyNumberFormat="1" applyFont="1" applyFill="1" applyBorder="1" applyAlignment="1" applyProtection="1">
      <alignment horizontal="left" vertical="center"/>
      <protection locked="0"/>
    </xf>
    <xf numFmtId="0" fontId="64" fillId="0" borderId="11" xfId="0" applyFont="1" applyBorder="1" applyAlignment="1" applyProtection="1">
      <alignment horizontal="left" vertical="center" indent="1"/>
      <protection locked="0"/>
    </xf>
    <xf numFmtId="0" fontId="5" fillId="0" borderId="0" xfId="0" applyFont="1"/>
    <xf numFmtId="0" fontId="65" fillId="0" borderId="0" xfId="0" applyFont="1"/>
    <xf numFmtId="0" fontId="66" fillId="0" borderId="43" xfId="0" applyFont="1" applyBorder="1"/>
    <xf numFmtId="0" fontId="6" fillId="0" borderId="43" xfId="0" applyFont="1" applyBorder="1" applyAlignment="1">
      <alignment horizontal="center" wrapText="1"/>
    </xf>
    <xf numFmtId="0" fontId="66" fillId="0" borderId="43" xfId="0" applyFont="1" applyBorder="1" applyAlignment="1">
      <alignment horizontal="center"/>
    </xf>
    <xf numFmtId="0" fontId="66" fillId="0" borderId="43" xfId="0" applyFont="1" applyBorder="1" applyAlignment="1">
      <alignment horizontal="center" wrapText="1"/>
    </xf>
    <xf numFmtId="167" fontId="67" fillId="0" borderId="0" xfId="1" applyNumberFormat="1" applyFont="1" applyFill="1" applyBorder="1"/>
    <xf numFmtId="167" fontId="67" fillId="5" borderId="31" xfId="0" applyNumberFormat="1" applyFont="1" applyFill="1" applyBorder="1"/>
    <xf numFmtId="0" fontId="68" fillId="0" borderId="0" xfId="0" applyFont="1" applyFill="1"/>
    <xf numFmtId="0" fontId="68" fillId="0" borderId="0" xfId="0" applyFont="1"/>
    <xf numFmtId="10" fontId="21" fillId="0" borderId="0" xfId="3" applyNumberFormat="1" applyFont="1"/>
    <xf numFmtId="167" fontId="21" fillId="0" borderId="0" xfId="1" applyNumberFormat="1" applyFont="1"/>
    <xf numFmtId="4" fontId="0" fillId="0" borderId="0" xfId="0" applyNumberFormat="1"/>
    <xf numFmtId="167" fontId="3" fillId="0" borderId="0" xfId="1" applyNumberFormat="1" applyFont="1" applyFill="1"/>
    <xf numFmtId="0" fontId="1" fillId="0" borderId="0" xfId="0" applyFont="1"/>
    <xf numFmtId="0" fontId="66" fillId="0" borderId="0" xfId="0" applyFont="1" applyBorder="1" applyAlignment="1">
      <alignment horizontal="center"/>
    </xf>
    <xf numFmtId="167" fontId="69" fillId="0" borderId="0" xfId="1" applyNumberFormat="1" applyFont="1"/>
    <xf numFmtId="167" fontId="3" fillId="0" borderId="0" xfId="1" applyNumberFormat="1" applyFont="1" applyBorder="1"/>
    <xf numFmtId="167" fontId="3" fillId="0" borderId="0" xfId="0" applyNumberFormat="1" applyFont="1"/>
    <xf numFmtId="10" fontId="14" fillId="19" borderId="0" xfId="3" applyNumberFormat="1" applyFont="1" applyFill="1"/>
    <xf numFmtId="10" fontId="14" fillId="0" borderId="0" xfId="3" applyNumberFormat="1" applyFont="1" applyFill="1"/>
    <xf numFmtId="10" fontId="14" fillId="0" borderId="0" xfId="3" applyNumberFormat="1" applyFont="1" applyFill="1" applyBorder="1"/>
    <xf numFmtId="10" fontId="14" fillId="20" borderId="0" xfId="3" applyNumberFormat="1" applyFont="1" applyFill="1"/>
    <xf numFmtId="10" fontId="14" fillId="5" borderId="31" xfId="3" applyNumberFormat="1" applyFont="1" applyFill="1" applyBorder="1"/>
    <xf numFmtId="10" fontId="34" fillId="21" borderId="43" xfId="3" applyNumberFormat="1" applyFont="1" applyFill="1" applyBorder="1"/>
    <xf numFmtId="164" fontId="44" fillId="29" borderId="1" xfId="10" applyNumberFormat="1"/>
    <xf numFmtId="43" fontId="30" fillId="0" borderId="0" xfId="1" applyFont="1"/>
    <xf numFmtId="37" fontId="29" fillId="17" borderId="0" xfId="0" applyNumberFormat="1" applyFont="1" applyFill="1" applyBorder="1" applyAlignment="1">
      <alignment vertical="center"/>
    </xf>
    <xf numFmtId="37" fontId="29" fillId="23" borderId="36" xfId="0" applyNumberFormat="1" applyFont="1" applyFill="1" applyBorder="1" applyAlignment="1">
      <alignment horizontal="center" vertical="center" wrapText="1"/>
    </xf>
    <xf numFmtId="0" fontId="29" fillId="0" borderId="0" xfId="0" applyFont="1" applyFill="1" applyBorder="1" applyAlignment="1">
      <alignment horizontal="center" vertical="center" wrapText="1"/>
    </xf>
    <xf numFmtId="0" fontId="42" fillId="27" borderId="0" xfId="8" applyAlignment="1"/>
    <xf numFmtId="0" fontId="30" fillId="0" borderId="46" xfId="0" applyFont="1" applyBorder="1"/>
    <xf numFmtId="41" fontId="30" fillId="0" borderId="43" xfId="0" applyNumberFormat="1" applyFont="1" applyBorder="1"/>
    <xf numFmtId="167" fontId="42" fillId="27" borderId="0" xfId="8" applyNumberFormat="1" applyAlignment="1"/>
    <xf numFmtId="167" fontId="34" fillId="0" borderId="0" xfId="1" applyNumberFormat="1" applyFont="1" applyFill="1" applyBorder="1"/>
    <xf numFmtId="0" fontId="25" fillId="0" borderId="0" xfId="0" applyFont="1" applyFill="1" applyBorder="1" applyAlignment="1"/>
    <xf numFmtId="0" fontId="0" fillId="0" borderId="0" xfId="0" applyFill="1" applyBorder="1" applyAlignment="1">
      <alignment wrapText="1"/>
    </xf>
    <xf numFmtId="167" fontId="32" fillId="0" borderId="0" xfId="0" applyNumberFormat="1" applyFont="1" applyFill="1" applyBorder="1"/>
    <xf numFmtId="167" fontId="29" fillId="0" borderId="0" xfId="6" applyNumberFormat="1" applyFont="1" applyFill="1" applyBorder="1"/>
    <xf numFmtId="0" fontId="8" fillId="0" borderId="0" xfId="0" applyFont="1" applyBorder="1" applyAlignment="1"/>
    <xf numFmtId="0" fontId="8" fillId="0" borderId="0" xfId="0" applyFont="1" applyFill="1" applyBorder="1" applyAlignment="1"/>
    <xf numFmtId="0" fontId="29" fillId="0" borderId="0" xfId="0" applyFont="1" applyFill="1" applyBorder="1" applyAlignment="1">
      <alignment wrapText="1"/>
    </xf>
    <xf numFmtId="0" fontId="31" fillId="0" borderId="0" xfId="0" applyFont="1" applyFill="1" applyBorder="1"/>
    <xf numFmtId="0" fontId="8" fillId="0" borderId="0" xfId="0" applyFont="1" applyAlignment="1"/>
    <xf numFmtId="0" fontId="0" fillId="0" borderId="0" xfId="0" applyFont="1" applyBorder="1" applyProtection="1">
      <protection locked="0"/>
    </xf>
    <xf numFmtId="0" fontId="0" fillId="0" borderId="0" xfId="0" applyFont="1" applyFill="1" applyBorder="1" applyProtection="1">
      <protection locked="0"/>
    </xf>
    <xf numFmtId="0" fontId="0" fillId="0" borderId="9" xfId="0" applyFont="1" applyBorder="1" applyProtection="1">
      <protection locked="0"/>
    </xf>
    <xf numFmtId="164" fontId="2" fillId="2" borderId="48" xfId="4" applyNumberFormat="1" applyBorder="1" applyAlignment="1" applyProtection="1">
      <alignment horizontal="center"/>
      <protection locked="0"/>
    </xf>
    <xf numFmtId="164" fontId="2" fillId="2" borderId="1" xfId="4" applyNumberFormat="1" applyBorder="1" applyAlignment="1" applyProtection="1">
      <alignment horizontal="center"/>
      <protection locked="0"/>
    </xf>
    <xf numFmtId="9" fontId="2" fillId="2" borderId="1" xfId="4" applyNumberFormat="1" applyBorder="1" applyAlignment="1" applyProtection="1">
      <alignment horizontal="center" vertical="center"/>
      <protection locked="0"/>
    </xf>
    <xf numFmtId="43" fontId="2" fillId="2" borderId="1" xfId="4" applyNumberFormat="1" applyBorder="1" applyAlignment="1" applyProtection="1">
      <alignment horizontal="center" vertical="center"/>
      <protection locked="0"/>
    </xf>
    <xf numFmtId="0" fontId="0" fillId="0" borderId="11" xfId="0" applyFont="1" applyFill="1" applyBorder="1" applyAlignment="1" applyProtection="1">
      <alignment wrapText="1"/>
      <protection locked="0"/>
    </xf>
    <xf numFmtId="0" fontId="2" fillId="2" borderId="1" xfId="4" applyBorder="1"/>
    <xf numFmtId="0" fontId="2" fillId="2" borderId="49" xfId="4" applyBorder="1"/>
    <xf numFmtId="0" fontId="16" fillId="0" borderId="0" xfId="0" applyFont="1" applyBorder="1" applyAlignment="1"/>
    <xf numFmtId="0" fontId="25" fillId="35" borderId="0" xfId="0" applyFont="1" applyFill="1" applyAlignment="1"/>
    <xf numFmtId="165" fontId="57" fillId="6" borderId="16" xfId="2" applyNumberFormat="1" applyFont="1" applyFill="1" applyBorder="1" applyAlignment="1" applyProtection="1">
      <alignment horizontal="left" vertical="center"/>
      <protection locked="0"/>
    </xf>
    <xf numFmtId="43" fontId="30" fillId="0" borderId="0" xfId="1" applyFont="1" applyBorder="1"/>
    <xf numFmtId="164" fontId="42" fillId="27" borderId="0" xfId="8" applyNumberFormat="1" applyBorder="1"/>
    <xf numFmtId="0" fontId="42" fillId="27" borderId="0" xfId="8"/>
    <xf numFmtId="10" fontId="0" fillId="8" borderId="14" xfId="0" applyNumberFormat="1" applyFont="1" applyFill="1" applyBorder="1" applyAlignment="1" applyProtection="1">
      <alignment horizontal="center" vertical="center"/>
      <protection locked="0"/>
    </xf>
    <xf numFmtId="165" fontId="0" fillId="0" borderId="0" xfId="0" applyNumberFormat="1" applyFill="1"/>
    <xf numFmtId="0" fontId="0" fillId="0" borderId="0" xfId="0" applyFill="1" applyAlignment="1">
      <alignment wrapText="1"/>
    </xf>
    <xf numFmtId="0" fontId="74" fillId="0" borderId="0" xfId="0" applyFont="1" applyBorder="1" applyAlignment="1"/>
    <xf numFmtId="0" fontId="0" fillId="0" borderId="5" xfId="0" applyFont="1" applyFill="1" applyBorder="1" applyAlignment="1" applyProtection="1">
      <alignment wrapText="1"/>
      <protection locked="0"/>
    </xf>
    <xf numFmtId="37" fontId="30" fillId="0" borderId="0" xfId="0" applyNumberFormat="1" applyFont="1"/>
    <xf numFmtId="0" fontId="25" fillId="34" borderId="0" xfId="0" applyFont="1" applyFill="1" applyAlignment="1"/>
    <xf numFmtId="170" fontId="0" fillId="0" borderId="0" xfId="1" applyNumberFormat="1" applyFont="1"/>
    <xf numFmtId="170" fontId="0" fillId="0" borderId="0" xfId="0" applyNumberFormat="1"/>
    <xf numFmtId="43" fontId="42" fillId="27" borderId="0" xfId="8" applyNumberFormat="1"/>
    <xf numFmtId="0" fontId="0" fillId="0" borderId="0" xfId="0"/>
    <xf numFmtId="0" fontId="26" fillId="0" borderId="0" xfId="0" applyFont="1"/>
    <xf numFmtId="0" fontId="29" fillId="0" borderId="36" xfId="0" applyFont="1" applyBorder="1" applyAlignment="1">
      <alignment horizontal="center" vertical="center" wrapText="1"/>
    </xf>
    <xf numFmtId="167" fontId="14" fillId="19" borderId="0" xfId="1" applyNumberFormat="1" applyFont="1" applyFill="1"/>
    <xf numFmtId="0" fontId="30" fillId="0" borderId="0" xfId="0" applyFont="1"/>
    <xf numFmtId="167" fontId="14" fillId="19" borderId="0" xfId="5" applyNumberFormat="1" applyFont="1" applyFill="1"/>
    <xf numFmtId="167" fontId="14" fillId="20" borderId="0" xfId="1" applyNumberFormat="1" applyFont="1" applyFill="1"/>
    <xf numFmtId="0" fontId="30" fillId="0" borderId="0" xfId="0" applyFont="1" applyFill="1"/>
    <xf numFmtId="167" fontId="14" fillId="0" borderId="0" xfId="1" applyNumberFormat="1" applyFont="1" applyFill="1"/>
    <xf numFmtId="0" fontId="30" fillId="0" borderId="0" xfId="0" applyFont="1" applyFill="1" applyBorder="1"/>
    <xf numFmtId="0" fontId="14" fillId="0" borderId="0" xfId="0" applyFont="1"/>
    <xf numFmtId="167" fontId="30" fillId="0" borderId="0" xfId="0" applyNumberFormat="1" applyFont="1"/>
    <xf numFmtId="167" fontId="14" fillId="0" borderId="0" xfId="0" applyNumberFormat="1" applyFont="1"/>
    <xf numFmtId="167" fontId="14" fillId="0" borderId="0" xfId="1" applyNumberFormat="1" applyFont="1" applyFill="1" applyBorder="1"/>
    <xf numFmtId="167" fontId="14" fillId="20" borderId="0" xfId="1" applyNumberFormat="1" applyFont="1" applyFill="1" applyBorder="1"/>
    <xf numFmtId="167" fontId="32" fillId="5" borderId="31" xfId="0" applyNumberFormat="1" applyFont="1" applyFill="1" applyBorder="1"/>
    <xf numFmtId="167" fontId="30" fillId="0" borderId="0" xfId="1" applyNumberFormat="1" applyFont="1" applyFill="1"/>
    <xf numFmtId="167" fontId="14" fillId="0" borderId="0" xfId="5" applyNumberFormat="1" applyFont="1" applyFill="1" applyBorder="1"/>
    <xf numFmtId="167" fontId="29" fillId="5" borderId="31" xfId="6" applyNumberFormat="1" applyFont="1" applyFill="1" applyBorder="1"/>
    <xf numFmtId="167" fontId="34" fillId="21" borderId="0" xfId="1" applyNumberFormat="1" applyFont="1" applyFill="1" applyBorder="1"/>
    <xf numFmtId="41" fontId="30" fillId="0" borderId="0" xfId="0" applyNumberFormat="1" applyFont="1"/>
    <xf numFmtId="41" fontId="30" fillId="0" borderId="0" xfId="0" applyNumberFormat="1" applyFont="1" applyFill="1"/>
    <xf numFmtId="0" fontId="30" fillId="0" borderId="0" xfId="0" applyFont="1" applyAlignment="1">
      <alignment horizontal="center" vertical="center" wrapText="1"/>
    </xf>
    <xf numFmtId="167" fontId="30" fillId="0" borderId="0" xfId="1" applyNumberFormat="1" applyFont="1"/>
    <xf numFmtId="167" fontId="30" fillId="0" borderId="0" xfId="0" applyNumberFormat="1" applyFont="1" applyFill="1"/>
    <xf numFmtId="0" fontId="30" fillId="5" borderId="0" xfId="0" applyFont="1" applyFill="1"/>
    <xf numFmtId="167" fontId="30" fillId="0" borderId="0" xfId="1" applyNumberFormat="1" applyFont="1" applyBorder="1"/>
    <xf numFmtId="41" fontId="30" fillId="0" borderId="43" xfId="0" applyNumberFormat="1" applyFont="1" applyBorder="1"/>
    <xf numFmtId="0" fontId="42" fillId="27" borderId="0" xfId="8"/>
    <xf numFmtId="167" fontId="42" fillId="27" borderId="0" xfId="8" applyNumberFormat="1"/>
    <xf numFmtId="0" fontId="32" fillId="0" borderId="43" xfId="0" applyFont="1" applyFill="1" applyBorder="1" applyAlignment="1">
      <alignment horizontal="center" vertical="center" wrapText="1"/>
    </xf>
    <xf numFmtId="41" fontId="30" fillId="0" borderId="0" xfId="0" applyNumberFormat="1" applyFont="1" applyFill="1" applyBorder="1"/>
    <xf numFmtId="0" fontId="1" fillId="0" borderId="0" xfId="12"/>
    <xf numFmtId="167" fontId="42" fillId="27" borderId="31" xfId="8" applyNumberFormat="1" applyBorder="1"/>
    <xf numFmtId="41" fontId="42" fillId="27" borderId="31" xfId="8" applyNumberFormat="1" applyBorder="1"/>
    <xf numFmtId="43" fontId="14" fillId="0" borderId="0" xfId="1" applyFont="1"/>
    <xf numFmtId="41" fontId="8" fillId="0" borderId="0" xfId="0" applyNumberFormat="1" applyFont="1" applyBorder="1" applyAlignment="1"/>
    <xf numFmtId="0" fontId="0" fillId="0" borderId="0" xfId="0" applyBorder="1" applyAlignment="1">
      <alignment horizontal="center"/>
    </xf>
    <xf numFmtId="0" fontId="0" fillId="0" borderId="0" xfId="0"/>
    <xf numFmtId="167" fontId="61" fillId="0" borderId="0" xfId="1" applyNumberFormat="1" applyFont="1" applyFill="1"/>
    <xf numFmtId="167" fontId="0" fillId="0" borderId="0" xfId="0" applyNumberFormat="1"/>
    <xf numFmtId="167" fontId="61" fillId="0" borderId="0" xfId="1" applyNumberFormat="1" applyFont="1"/>
    <xf numFmtId="167" fontId="62" fillId="0" borderId="0" xfId="1" applyNumberFormat="1" applyFont="1"/>
    <xf numFmtId="167" fontId="61" fillId="25" borderId="0" xfId="1" applyNumberFormat="1" applyFont="1" applyFill="1"/>
    <xf numFmtId="167" fontId="63" fillId="0" borderId="0" xfId="1" applyNumberFormat="1" applyFont="1" applyBorder="1"/>
    <xf numFmtId="167" fontId="63" fillId="0" borderId="43" xfId="1" applyNumberFormat="1" applyFont="1" applyBorder="1"/>
    <xf numFmtId="167" fontId="43" fillId="28" borderId="0" xfId="9" applyNumberFormat="1" applyBorder="1"/>
    <xf numFmtId="37" fontId="0" fillId="0" borderId="0" xfId="0" applyNumberFormat="1"/>
    <xf numFmtId="169" fontId="0" fillId="0" borderId="0" xfId="0" applyNumberFormat="1"/>
    <xf numFmtId="0" fontId="0" fillId="0" borderId="0" xfId="0" applyAlignment="1"/>
    <xf numFmtId="167" fontId="0" fillId="0" borderId="0" xfId="1" applyNumberFormat="1" applyFont="1" applyBorder="1"/>
    <xf numFmtId="43" fontId="0" fillId="0" borderId="0" xfId="0" applyNumberFormat="1" applyAlignment="1"/>
    <xf numFmtId="167" fontId="76" fillId="0" borderId="0" xfId="1" applyNumberFormat="1" applyFont="1" applyFill="1"/>
    <xf numFmtId="165" fontId="21" fillId="0" borderId="0" xfId="0" applyNumberFormat="1" applyFont="1" applyFill="1" applyBorder="1"/>
    <xf numFmtId="165" fontId="21" fillId="0" borderId="0" xfId="0" applyNumberFormat="1" applyFont="1" applyFill="1"/>
    <xf numFmtId="165" fontId="0" fillId="0" borderId="0" xfId="0" applyNumberFormat="1" applyFill="1" applyBorder="1"/>
    <xf numFmtId="9" fontId="0" fillId="0" borderId="0" xfId="0" applyNumberFormat="1" applyBorder="1"/>
    <xf numFmtId="42" fontId="21" fillId="0" borderId="36" xfId="0" applyNumberFormat="1" applyFont="1" applyFill="1" applyBorder="1"/>
    <xf numFmtId="167" fontId="0" fillId="0" borderId="0" xfId="1" applyNumberFormat="1" applyFont="1" applyFill="1" applyBorder="1"/>
    <xf numFmtId="0" fontId="57" fillId="0" borderId="0" xfId="0" applyFont="1"/>
    <xf numFmtId="0" fontId="12" fillId="0" borderId="0" xfId="7" applyFont="1"/>
    <xf numFmtId="0" fontId="10" fillId="0" borderId="0" xfId="7" applyFont="1" applyAlignment="1">
      <alignment vertical="center"/>
    </xf>
    <xf numFmtId="165" fontId="0" fillId="0" borderId="0" xfId="0" applyNumberFormat="1" applyAlignment="1"/>
    <xf numFmtId="10" fontId="30" fillId="0" borderId="0" xfId="3" applyNumberFormat="1" applyFont="1"/>
    <xf numFmtId="0" fontId="29" fillId="0" borderId="0" xfId="0" applyFont="1" applyBorder="1" applyAlignment="1">
      <alignment horizontal="center" vertical="center" wrapText="1"/>
    </xf>
    <xf numFmtId="0" fontId="32" fillId="0" borderId="0" xfId="0" applyFont="1" applyAlignment="1">
      <alignment horizontal="center" vertical="center" wrapText="1"/>
    </xf>
    <xf numFmtId="165" fontId="75" fillId="11" borderId="12" xfId="2" applyNumberFormat="1" applyFont="1" applyFill="1" applyBorder="1"/>
    <xf numFmtId="0" fontId="14" fillId="20" borderId="0" xfId="0" applyFont="1" applyFill="1" applyBorder="1"/>
    <xf numFmtId="41" fontId="30" fillId="20" borderId="0" xfId="0" applyNumberFormat="1" applyFont="1" applyFill="1" applyBorder="1"/>
    <xf numFmtId="167" fontId="14" fillId="20" borderId="0" xfId="5" applyNumberFormat="1" applyFont="1" applyFill="1" applyBorder="1"/>
    <xf numFmtId="167" fontId="42" fillId="20" borderId="0" xfId="8" applyNumberFormat="1" applyFill="1" applyBorder="1"/>
    <xf numFmtId="167" fontId="42" fillId="20" borderId="0" xfId="8" applyNumberFormat="1" applyFill="1"/>
    <xf numFmtId="167" fontId="43" fillId="20" borderId="0" xfId="9" applyNumberFormat="1" applyFill="1"/>
    <xf numFmtId="0" fontId="30" fillId="0" borderId="43" xfId="0" applyFont="1" applyBorder="1"/>
    <xf numFmtId="0" fontId="32" fillId="0" borderId="43" xfId="0" applyFont="1" applyBorder="1" applyAlignment="1">
      <alignment vertical="center"/>
    </xf>
    <xf numFmtId="43" fontId="30" fillId="0" borderId="0" xfId="1" applyFont="1" applyFill="1"/>
    <xf numFmtId="14" fontId="0" fillId="0" borderId="0" xfId="0" applyNumberFormat="1"/>
    <xf numFmtId="14" fontId="0" fillId="0" borderId="0" xfId="1" applyNumberFormat="1" applyFont="1"/>
    <xf numFmtId="43" fontId="0" fillId="0" borderId="0" xfId="1" applyFont="1" applyBorder="1"/>
    <xf numFmtId="16" fontId="0" fillId="0" borderId="36" xfId="0" applyNumberFormat="1" applyBorder="1"/>
    <xf numFmtId="0" fontId="5" fillId="0" borderId="0" xfId="0" applyFont="1" applyFill="1"/>
    <xf numFmtId="37" fontId="29" fillId="18" borderId="36" xfId="0" applyNumberFormat="1" applyFont="1" applyFill="1" applyBorder="1" applyAlignment="1">
      <alignment horizontal="center" vertical="center" wrapText="1"/>
    </xf>
    <xf numFmtId="0" fontId="0" fillId="0" borderId="37" xfId="0" applyBorder="1"/>
    <xf numFmtId="167" fontId="0" fillId="24" borderId="37" xfId="1" applyNumberFormat="1" applyFont="1" applyFill="1" applyBorder="1"/>
    <xf numFmtId="167" fontId="0" fillId="24" borderId="0" xfId="1" applyNumberFormat="1" applyFont="1" applyFill="1" applyBorder="1"/>
    <xf numFmtId="167" fontId="0" fillId="25" borderId="0" xfId="1" applyNumberFormat="1" applyFont="1" applyFill="1" applyBorder="1"/>
    <xf numFmtId="167" fontId="0" fillId="26" borderId="0" xfId="1" applyNumberFormat="1" applyFont="1" applyFill="1" applyBorder="1"/>
    <xf numFmtId="167" fontId="0" fillId="26" borderId="17" xfId="1" applyNumberFormat="1" applyFont="1" applyFill="1" applyBorder="1"/>
    <xf numFmtId="167" fontId="0" fillId="24" borderId="17" xfId="1" applyNumberFormat="1" applyFont="1" applyFill="1" applyBorder="1"/>
    <xf numFmtId="167" fontId="0" fillId="25" borderId="37" xfId="1" applyNumberFormat="1" applyFont="1" applyFill="1" applyBorder="1"/>
    <xf numFmtId="167" fontId="0" fillId="25" borderId="17" xfId="1" applyNumberFormat="1" applyFont="1" applyFill="1" applyBorder="1"/>
    <xf numFmtId="167" fontId="0" fillId="26" borderId="37" xfId="1" applyNumberFormat="1" applyFont="1" applyFill="1" applyBorder="1"/>
    <xf numFmtId="167" fontId="0" fillId="0" borderId="37" xfId="1" applyNumberFormat="1" applyFont="1" applyBorder="1"/>
    <xf numFmtId="167" fontId="0" fillId="0" borderId="17" xfId="1" applyNumberFormat="1" applyFont="1" applyBorder="1"/>
    <xf numFmtId="0" fontId="0" fillId="24" borderId="39" xfId="0" applyFill="1" applyBorder="1" applyAlignment="1">
      <alignment horizontal="center"/>
    </xf>
    <xf numFmtId="10" fontId="0" fillId="24" borderId="17" xfId="3" applyNumberFormat="1" applyFont="1" applyFill="1" applyBorder="1"/>
    <xf numFmtId="167" fontId="0" fillId="25" borderId="18" xfId="1" applyNumberFormat="1" applyFont="1" applyFill="1" applyBorder="1"/>
    <xf numFmtId="167" fontId="57" fillId="25" borderId="18" xfId="1" applyNumberFormat="1" applyFont="1" applyFill="1" applyBorder="1"/>
    <xf numFmtId="0" fontId="0" fillId="24" borderId="32" xfId="0" applyFill="1" applyBorder="1" applyAlignment="1">
      <alignment horizontal="center"/>
    </xf>
    <xf numFmtId="0" fontId="0" fillId="0" borderId="37" xfId="0" applyBorder="1" applyAlignment="1">
      <alignment horizontal="center"/>
    </xf>
    <xf numFmtId="0" fontId="0" fillId="0" borderId="17" xfId="0" applyBorder="1" applyAlignment="1">
      <alignment horizontal="center"/>
    </xf>
    <xf numFmtId="168" fontId="57" fillId="0" borderId="17" xfId="0" applyNumberFormat="1" applyFont="1" applyBorder="1"/>
    <xf numFmtId="0" fontId="0" fillId="0" borderId="40" xfId="0" applyBorder="1" applyAlignment="1">
      <alignment horizontal="center"/>
    </xf>
    <xf numFmtId="0" fontId="0" fillId="0" borderId="18" xfId="0" applyBorder="1" applyAlignment="1">
      <alignment horizontal="center"/>
    </xf>
    <xf numFmtId="167" fontId="57" fillId="0" borderId="18" xfId="1" applyNumberFormat="1" applyFont="1" applyBorder="1"/>
    <xf numFmtId="168" fontId="0" fillId="24" borderId="0" xfId="0" applyNumberFormat="1" applyFill="1" applyBorder="1"/>
    <xf numFmtId="168" fontId="0" fillId="24" borderId="17" xfId="0" applyNumberFormat="1" applyFill="1" applyBorder="1"/>
    <xf numFmtId="10" fontId="0" fillId="24" borderId="37" xfId="3" applyNumberFormat="1" applyFont="1" applyFill="1" applyBorder="1"/>
    <xf numFmtId="10" fontId="57" fillId="24" borderId="37" xfId="3" applyNumberFormat="1" applyFont="1" applyFill="1" applyBorder="1"/>
    <xf numFmtId="168" fontId="0" fillId="24" borderId="37" xfId="0" applyNumberFormat="1" applyFill="1" applyBorder="1"/>
    <xf numFmtId="0" fontId="0" fillId="0" borderId="0" xfId="0"/>
    <xf numFmtId="0" fontId="0" fillId="0" borderId="0" xfId="0"/>
    <xf numFmtId="167" fontId="0" fillId="7" borderId="0" xfId="1" applyNumberFormat="1" applyFont="1" applyFill="1" applyBorder="1"/>
    <xf numFmtId="167" fontId="0" fillId="7" borderId="17" xfId="1" applyNumberFormat="1" applyFont="1" applyFill="1" applyBorder="1"/>
    <xf numFmtId="167" fontId="0" fillId="7" borderId="37" xfId="1" applyNumberFormat="1" applyFont="1" applyFill="1" applyBorder="1"/>
    <xf numFmtId="0" fontId="0" fillId="26" borderId="33" xfId="0" applyFill="1" applyBorder="1" applyAlignment="1"/>
    <xf numFmtId="0" fontId="0" fillId="26" borderId="34" xfId="0" applyFill="1" applyBorder="1" applyAlignment="1"/>
    <xf numFmtId="0" fontId="0" fillId="26" borderId="39" xfId="0" applyFill="1" applyBorder="1" applyAlignment="1"/>
    <xf numFmtId="0" fontId="0" fillId="0" borderId="0" xfId="0"/>
    <xf numFmtId="0" fontId="30" fillId="19" borderId="0" xfId="0" applyFont="1" applyFill="1" applyBorder="1" applyAlignment="1">
      <alignment horizontal="left" indent="2"/>
    </xf>
    <xf numFmtId="0" fontId="14" fillId="0" borderId="0" xfId="0" applyFont="1" applyFill="1" applyBorder="1" applyAlignment="1">
      <alignment horizontal="left" indent="2"/>
    </xf>
    <xf numFmtId="0" fontId="30" fillId="0" borderId="0" xfId="0" applyFont="1" applyFill="1" applyBorder="1" applyAlignment="1">
      <alignment horizontal="left" indent="2"/>
    </xf>
    <xf numFmtId="0" fontId="0" fillId="0" borderId="0" xfId="0"/>
    <xf numFmtId="0" fontId="43" fillId="0" borderId="0" xfId="9" applyFill="1" applyBorder="1"/>
    <xf numFmtId="0" fontId="6" fillId="0" borderId="0" xfId="0" applyFont="1" applyFill="1" applyBorder="1" applyAlignment="1">
      <alignment horizontal="center"/>
    </xf>
    <xf numFmtId="0" fontId="0" fillId="0" borderId="0" xfId="0" applyFill="1" applyBorder="1" applyAlignment="1">
      <alignment horizontal="left" indent="1"/>
    </xf>
    <xf numFmtId="165" fontId="1" fillId="0" borderId="0" xfId="0" applyNumberFormat="1" applyFont="1" applyFill="1" applyBorder="1"/>
    <xf numFmtId="167" fontId="2" fillId="0" borderId="0" xfId="4" applyNumberFormat="1" applyFill="1" applyBorder="1"/>
    <xf numFmtId="167" fontId="1" fillId="0" borderId="0" xfId="1" applyNumberFormat="1" applyFont="1" applyFill="1" applyBorder="1"/>
    <xf numFmtId="0" fontId="1" fillId="0" borderId="0" xfId="0" applyFont="1" applyFill="1" applyBorder="1"/>
    <xf numFmtId="0" fontId="2" fillId="0" borderId="0" xfId="4" applyFill="1" applyBorder="1"/>
    <xf numFmtId="41" fontId="78" fillId="20" borderId="0" xfId="7" applyNumberFormat="1" applyFont="1" applyFill="1" applyBorder="1" applyAlignment="1">
      <alignment vertical="center"/>
    </xf>
    <xf numFmtId="41" fontId="43" fillId="0" borderId="0" xfId="9" applyNumberFormat="1" applyFill="1"/>
    <xf numFmtId="0" fontId="39" fillId="20" borderId="0" xfId="7" applyFont="1" applyFill="1"/>
    <xf numFmtId="41" fontId="80" fillId="27" borderId="24" xfId="8" applyNumberFormat="1" applyFont="1" applyBorder="1" applyAlignment="1">
      <alignment horizontal="center" vertical="center" wrapText="1"/>
    </xf>
    <xf numFmtId="167" fontId="39" fillId="0" borderId="0" xfId="5" applyNumberFormat="1" applyFont="1" applyFill="1" applyBorder="1" applyAlignment="1">
      <alignment vertical="center"/>
    </xf>
    <xf numFmtId="43" fontId="57" fillId="0" borderId="0" xfId="1" applyFont="1"/>
    <xf numFmtId="43" fontId="57" fillId="0" borderId="43" xfId="1" applyFont="1" applyBorder="1" applyAlignment="1">
      <alignment horizontal="center" wrapText="1"/>
    </xf>
    <xf numFmtId="43" fontId="3" fillId="0" borderId="0" xfId="1" applyFont="1"/>
    <xf numFmtId="43" fontId="3" fillId="0" borderId="0" xfId="1" applyFont="1" applyBorder="1" applyAlignment="1">
      <alignment horizontal="center"/>
    </xf>
    <xf numFmtId="43" fontId="69" fillId="0" borderId="0" xfId="1" applyFont="1"/>
    <xf numFmtId="43" fontId="3" fillId="0" borderId="0" xfId="1" applyFont="1" applyBorder="1"/>
    <xf numFmtId="43" fontId="30" fillId="0" borderId="0" xfId="0" applyNumberFormat="1" applyFont="1" applyBorder="1"/>
    <xf numFmtId="0" fontId="0" fillId="0" borderId="0" xfId="0"/>
    <xf numFmtId="0" fontId="0" fillId="0" borderId="0" xfId="0"/>
    <xf numFmtId="10" fontId="14" fillId="4" borderId="0" xfId="3" applyNumberFormat="1" applyFont="1" applyFill="1" applyBorder="1"/>
    <xf numFmtId="10" fontId="14" fillId="4" borderId="0" xfId="3" applyNumberFormat="1" applyFont="1" applyFill="1"/>
    <xf numFmtId="0" fontId="0" fillId="0" borderId="0" xfId="0" applyFill="1" applyBorder="1" applyAlignment="1"/>
    <xf numFmtId="0" fontId="0" fillId="0" borderId="31" xfId="0" applyBorder="1" applyAlignment="1">
      <alignment horizontal="center"/>
    </xf>
    <xf numFmtId="0" fontId="0" fillId="0" borderId="31" xfId="0" applyFill="1" applyBorder="1" applyAlignment="1">
      <alignment horizontal="center"/>
    </xf>
    <xf numFmtId="0" fontId="0" fillId="0" borderId="31" xfId="0" applyFill="1" applyBorder="1" applyAlignment="1">
      <alignment horizontal="center" wrapText="1"/>
    </xf>
    <xf numFmtId="0" fontId="0" fillId="0" borderId="0" xfId="0" applyBorder="1" applyAlignment="1"/>
    <xf numFmtId="0" fontId="58" fillId="37" borderId="0" xfId="0" applyFont="1" applyFill="1"/>
    <xf numFmtId="0" fontId="0" fillId="33" borderId="0" xfId="0" applyFill="1"/>
    <xf numFmtId="167" fontId="61" fillId="0" borderId="0" xfId="1" applyNumberFormat="1" applyFont="1" applyBorder="1"/>
    <xf numFmtId="0" fontId="0" fillId="0" borderId="0" xfId="0"/>
    <xf numFmtId="167" fontId="0" fillId="25" borderId="0" xfId="1" applyNumberFormat="1" applyFont="1" applyFill="1"/>
    <xf numFmtId="0" fontId="14" fillId="33" borderId="0" xfId="0" applyFont="1" applyFill="1" applyBorder="1"/>
    <xf numFmtId="0" fontId="30" fillId="33" borderId="0" xfId="0" applyFont="1" applyFill="1"/>
    <xf numFmtId="0" fontId="30" fillId="33" borderId="0" xfId="0" applyFont="1" applyFill="1" applyBorder="1"/>
    <xf numFmtId="0" fontId="0" fillId="0" borderId="0" xfId="0"/>
    <xf numFmtId="0" fontId="42" fillId="27" borderId="36" xfId="8" applyBorder="1"/>
    <xf numFmtId="41" fontId="30" fillId="0" borderId="0" xfId="0" applyNumberFormat="1" applyFont="1" applyBorder="1"/>
    <xf numFmtId="43" fontId="30" fillId="0" borderId="0" xfId="1" applyNumberFormat="1" applyFont="1" applyBorder="1"/>
    <xf numFmtId="0" fontId="30" fillId="0" borderId="34" xfId="0" applyFont="1" applyBorder="1" applyAlignment="1">
      <alignment horizontal="center" wrapText="1"/>
    </xf>
    <xf numFmtId="0" fontId="30" fillId="0" borderId="34" xfId="0" applyFont="1" applyFill="1" applyBorder="1" applyAlignment="1">
      <alignment horizontal="center" wrapText="1"/>
    </xf>
    <xf numFmtId="0" fontId="30" fillId="0" borderId="34" xfId="0" applyFont="1" applyBorder="1" applyAlignment="1">
      <alignment horizontal="center"/>
    </xf>
    <xf numFmtId="167" fontId="41" fillId="0" borderId="34" xfId="1" applyNumberFormat="1" applyFont="1" applyFill="1" applyBorder="1"/>
    <xf numFmtId="167" fontId="41" fillId="0" borderId="39" xfId="1" applyNumberFormat="1" applyFont="1" applyFill="1" applyBorder="1"/>
    <xf numFmtId="0" fontId="30" fillId="20" borderId="37" xfId="0" applyFont="1" applyFill="1" applyBorder="1"/>
    <xf numFmtId="167" fontId="41" fillId="20" borderId="0" xfId="1" applyNumberFormat="1" applyFont="1" applyFill="1" applyBorder="1"/>
    <xf numFmtId="167" fontId="41" fillId="20" borderId="17" xfId="1" applyNumberFormat="1" applyFont="1" applyFill="1" applyBorder="1"/>
    <xf numFmtId="0" fontId="30" fillId="20" borderId="35" xfId="0" applyFont="1" applyFill="1" applyBorder="1"/>
    <xf numFmtId="167" fontId="41" fillId="20" borderId="36" xfId="1" applyNumberFormat="1" applyFont="1" applyFill="1" applyBorder="1"/>
    <xf numFmtId="0" fontId="30" fillId="20" borderId="36" xfId="0" applyFont="1" applyFill="1" applyBorder="1"/>
    <xf numFmtId="167" fontId="41" fillId="20" borderId="41" xfId="1" applyNumberFormat="1" applyFont="1" applyFill="1" applyBorder="1"/>
    <xf numFmtId="0" fontId="30" fillId="3" borderId="33" xfId="0" applyFont="1" applyFill="1" applyBorder="1"/>
    <xf numFmtId="167" fontId="41" fillId="3" borderId="34" xfId="1" applyNumberFormat="1" applyFont="1" applyFill="1" applyBorder="1"/>
    <xf numFmtId="0" fontId="30" fillId="3" borderId="34" xfId="0" applyFont="1" applyFill="1" applyBorder="1"/>
    <xf numFmtId="167" fontId="41" fillId="3" borderId="39" xfId="1" applyNumberFormat="1" applyFont="1" applyFill="1" applyBorder="1"/>
    <xf numFmtId="0" fontId="30" fillId="3" borderId="37" xfId="0" applyFont="1" applyFill="1" applyBorder="1"/>
    <xf numFmtId="167" fontId="41" fillId="3" borderId="0" xfId="1" applyNumberFormat="1" applyFont="1" applyFill="1" applyBorder="1"/>
    <xf numFmtId="167" fontId="41" fillId="3" borderId="17" xfId="1" applyNumberFormat="1" applyFont="1" applyFill="1" applyBorder="1"/>
    <xf numFmtId="0" fontId="30" fillId="3" borderId="35" xfId="0" applyFont="1" applyFill="1" applyBorder="1"/>
    <xf numFmtId="167" fontId="41" fillId="3" borderId="36" xfId="1" applyNumberFormat="1" applyFont="1" applyFill="1" applyBorder="1"/>
    <xf numFmtId="0" fontId="30" fillId="3" borderId="36" xfId="0" applyFont="1" applyFill="1" applyBorder="1"/>
    <xf numFmtId="167" fontId="41" fillId="3" borderId="41" xfId="1" applyNumberFormat="1" applyFont="1" applyFill="1" applyBorder="1"/>
    <xf numFmtId="0" fontId="30" fillId="0" borderId="34" xfId="0" applyFont="1" applyFill="1" applyBorder="1"/>
    <xf numFmtId="0" fontId="30" fillId="0" borderId="37" xfId="0" applyFont="1" applyFill="1" applyBorder="1"/>
    <xf numFmtId="167" fontId="41" fillId="0" borderId="0" xfId="1" applyNumberFormat="1" applyFont="1" applyFill="1" applyBorder="1"/>
    <xf numFmtId="167" fontId="41" fillId="0" borderId="17" xfId="1" applyNumberFormat="1" applyFont="1" applyFill="1" applyBorder="1"/>
    <xf numFmtId="3" fontId="30" fillId="0" borderId="0" xfId="0" applyNumberFormat="1" applyFont="1" applyBorder="1"/>
    <xf numFmtId="0" fontId="30" fillId="0" borderId="35" xfId="0" applyFont="1" applyFill="1" applyBorder="1"/>
    <xf numFmtId="167" fontId="41" fillId="0" borderId="36" xfId="1" applyNumberFormat="1" applyFont="1" applyFill="1" applyBorder="1"/>
    <xf numFmtId="167" fontId="30" fillId="0" borderId="36" xfId="1" applyNumberFormat="1" applyFont="1" applyBorder="1"/>
    <xf numFmtId="0" fontId="30" fillId="0" borderId="36" xfId="0" applyFont="1" applyFill="1" applyBorder="1"/>
    <xf numFmtId="167" fontId="41" fillId="0" borderId="41" xfId="1" applyNumberFormat="1" applyFont="1" applyFill="1" applyBorder="1"/>
    <xf numFmtId="0" fontId="14" fillId="0" borderId="41" xfId="6" applyBorder="1"/>
    <xf numFmtId="0" fontId="32" fillId="39" borderId="0" xfId="0" applyFont="1" applyFill="1"/>
    <xf numFmtId="41" fontId="32" fillId="39" borderId="0" xfId="0" applyNumberFormat="1" applyFont="1" applyFill="1"/>
    <xf numFmtId="0" fontId="30" fillId="0" borderId="33" xfId="0" applyFont="1" applyFill="1" applyBorder="1"/>
    <xf numFmtId="167" fontId="14" fillId="0" borderId="39" xfId="1" applyNumberFormat="1" applyFont="1" applyFill="1" applyBorder="1"/>
    <xf numFmtId="167" fontId="41" fillId="0" borderId="37" xfId="1" applyNumberFormat="1" applyFont="1" applyFill="1" applyBorder="1"/>
    <xf numFmtId="167" fontId="41" fillId="0" borderId="35" xfId="1" applyNumberFormat="1" applyFont="1" applyFill="1" applyBorder="1"/>
    <xf numFmtId="0" fontId="30" fillId="0" borderId="36" xfId="0" applyFont="1" applyBorder="1"/>
    <xf numFmtId="0" fontId="30" fillId="0" borderId="41" xfId="0" applyFont="1" applyFill="1" applyBorder="1"/>
    <xf numFmtId="167" fontId="30" fillId="3" borderId="34" xfId="1" applyNumberFormat="1" applyFont="1" applyFill="1" applyBorder="1"/>
    <xf numFmtId="0" fontId="30" fillId="3" borderId="37" xfId="0" applyFont="1" applyFill="1" applyBorder="1" applyAlignment="1">
      <alignment horizontal="left" indent="1"/>
    </xf>
    <xf numFmtId="167" fontId="30" fillId="3" borderId="0" xfId="1" applyNumberFormat="1" applyFont="1" applyFill="1" applyBorder="1"/>
    <xf numFmtId="0" fontId="30" fillId="3" borderId="41" xfId="0" applyFont="1" applyFill="1" applyBorder="1"/>
    <xf numFmtId="0" fontId="30" fillId="0" borderId="37" xfId="0" applyFont="1" applyBorder="1"/>
    <xf numFmtId="0" fontId="30" fillId="0" borderId="17" xfId="0" applyFont="1" applyBorder="1"/>
    <xf numFmtId="0" fontId="30" fillId="0" borderId="35" xfId="0" applyFont="1" applyBorder="1"/>
    <xf numFmtId="0" fontId="30" fillId="0" borderId="41" xfId="0" applyFont="1" applyBorder="1"/>
    <xf numFmtId="0" fontId="57" fillId="0" borderId="0" xfId="9" applyFont="1" applyFill="1" applyBorder="1"/>
    <xf numFmtId="0" fontId="30" fillId="0" borderId="17" xfId="0" applyFont="1" applyFill="1" applyBorder="1"/>
    <xf numFmtId="41" fontId="30" fillId="20" borderId="37" xfId="0" applyNumberFormat="1" applyFont="1" applyFill="1" applyBorder="1"/>
    <xf numFmtId="41" fontId="30" fillId="20" borderId="17" xfId="0" applyNumberFormat="1" applyFont="1" applyFill="1" applyBorder="1"/>
    <xf numFmtId="41" fontId="30" fillId="0" borderId="37" xfId="0" applyNumberFormat="1" applyFont="1" applyFill="1" applyBorder="1"/>
    <xf numFmtId="41" fontId="30" fillId="0" borderId="17" xfId="0" applyNumberFormat="1" applyFont="1" applyFill="1" applyBorder="1"/>
    <xf numFmtId="167" fontId="30" fillId="33" borderId="37" xfId="1" applyNumberFormat="1" applyFont="1" applyFill="1" applyBorder="1"/>
    <xf numFmtId="167" fontId="30" fillId="33" borderId="0" xfId="1" applyNumberFormat="1" applyFont="1" applyFill="1" applyBorder="1"/>
    <xf numFmtId="0" fontId="30" fillId="33" borderId="17" xfId="0" applyFont="1" applyFill="1" applyBorder="1"/>
    <xf numFmtId="41" fontId="14" fillId="0" borderId="17" xfId="0" applyNumberFormat="1" applyFont="1" applyFill="1" applyBorder="1"/>
    <xf numFmtId="0" fontId="30" fillId="33" borderId="37" xfId="0" applyFont="1" applyFill="1" applyBorder="1"/>
    <xf numFmtId="167" fontId="30" fillId="0" borderId="37" xfId="0" applyNumberFormat="1" applyFont="1" applyFill="1" applyBorder="1"/>
    <xf numFmtId="167" fontId="57" fillId="0" borderId="17" xfId="9" applyNumberFormat="1" applyFont="1" applyFill="1" applyBorder="1"/>
    <xf numFmtId="167" fontId="30" fillId="0" borderId="17" xfId="0" applyNumberFormat="1" applyFont="1" applyFill="1" applyBorder="1"/>
    <xf numFmtId="167" fontId="30" fillId="20" borderId="37" xfId="0" applyNumberFormat="1" applyFont="1" applyFill="1" applyBorder="1"/>
    <xf numFmtId="167" fontId="30" fillId="20" borderId="17" xfId="0" applyNumberFormat="1" applyFont="1" applyFill="1" applyBorder="1"/>
    <xf numFmtId="167" fontId="41" fillId="37" borderId="0" xfId="1" applyNumberFormat="1" applyFont="1" applyFill="1" applyBorder="1"/>
    <xf numFmtId="167" fontId="41" fillId="37" borderId="17" xfId="1" applyNumberFormat="1" applyFont="1" applyFill="1" applyBorder="1"/>
    <xf numFmtId="167" fontId="14" fillId="33" borderId="0" xfId="1" applyNumberFormat="1" applyFont="1" applyFill="1" applyBorder="1"/>
    <xf numFmtId="167" fontId="14" fillId="33" borderId="17" xfId="1" applyNumberFormat="1" applyFont="1" applyFill="1" applyBorder="1"/>
    <xf numFmtId="0" fontId="30" fillId="0" borderId="54" xfId="0" applyFont="1" applyBorder="1" applyAlignment="1">
      <alignment horizontal="center" vertical="center" wrapText="1"/>
    </xf>
    <xf numFmtId="0" fontId="30" fillId="0" borderId="43" xfId="0" applyFont="1" applyBorder="1" applyAlignment="1">
      <alignment horizontal="center" vertical="center" wrapText="1"/>
    </xf>
    <xf numFmtId="0" fontId="30" fillId="0" borderId="55" xfId="0" applyFont="1" applyBorder="1" applyAlignment="1">
      <alignment horizontal="center" vertical="center" wrapText="1"/>
    </xf>
    <xf numFmtId="0" fontId="14" fillId="33" borderId="33" xfId="0" applyFont="1" applyFill="1" applyBorder="1"/>
    <xf numFmtId="167" fontId="14" fillId="33" borderId="34" xfId="1" applyNumberFormat="1" applyFont="1" applyFill="1" applyBorder="1"/>
    <xf numFmtId="0" fontId="30" fillId="33" borderId="34" xfId="0" applyFont="1" applyFill="1" applyBorder="1"/>
    <xf numFmtId="167" fontId="14" fillId="33" borderId="39" xfId="1" applyNumberFormat="1" applyFont="1" applyFill="1" applyBorder="1"/>
    <xf numFmtId="0" fontId="14" fillId="33" borderId="35" xfId="0" applyFont="1" applyFill="1" applyBorder="1"/>
    <xf numFmtId="167" fontId="14" fillId="33" borderId="36" xfId="1" applyNumberFormat="1" applyFont="1" applyFill="1" applyBorder="1"/>
    <xf numFmtId="0" fontId="30" fillId="33" borderId="36" xfId="0" applyFont="1" applyFill="1" applyBorder="1"/>
    <xf numFmtId="167" fontId="14" fillId="33" borderId="41" xfId="1" applyNumberFormat="1" applyFont="1" applyFill="1" applyBorder="1"/>
    <xf numFmtId="0" fontId="30" fillId="33" borderId="33" xfId="0" applyFont="1" applyFill="1" applyBorder="1"/>
    <xf numFmtId="167" fontId="41" fillId="37" borderId="34" xfId="1" applyNumberFormat="1" applyFont="1" applyFill="1" applyBorder="1"/>
    <xf numFmtId="167" fontId="41" fillId="37" borderId="39" xfId="1" applyNumberFormat="1" applyFont="1" applyFill="1" applyBorder="1"/>
    <xf numFmtId="0" fontId="30" fillId="33" borderId="35" xfId="0" applyFont="1" applyFill="1" applyBorder="1"/>
    <xf numFmtId="167" fontId="41" fillId="37" borderId="36" xfId="1" applyNumberFormat="1" applyFont="1" applyFill="1" applyBorder="1"/>
    <xf numFmtId="167" fontId="41" fillId="37" borderId="41" xfId="1" applyNumberFormat="1" applyFont="1" applyFill="1" applyBorder="1"/>
    <xf numFmtId="167" fontId="30" fillId="0" borderId="37" xfId="1" applyNumberFormat="1" applyFont="1" applyFill="1" applyBorder="1"/>
    <xf numFmtId="167" fontId="30" fillId="20" borderId="37" xfId="1" applyNumberFormat="1" applyFont="1" applyFill="1" applyBorder="1"/>
    <xf numFmtId="167" fontId="30" fillId="0" borderId="37" xfId="1" applyNumberFormat="1" applyFont="1" applyBorder="1"/>
    <xf numFmtId="0" fontId="14" fillId="0" borderId="0" xfId="0" applyFont="1" applyFill="1" applyBorder="1" applyAlignment="1"/>
    <xf numFmtId="164" fontId="72" fillId="38" borderId="56" xfId="13" applyNumberFormat="1" applyFont="1" applyAlignment="1">
      <alignment wrapText="1"/>
    </xf>
    <xf numFmtId="167" fontId="42" fillId="27" borderId="0" xfId="1" applyNumberFormat="1" applyFont="1" applyFill="1"/>
    <xf numFmtId="167" fontId="30" fillId="0" borderId="54" xfId="1" applyNumberFormat="1" applyFont="1" applyBorder="1" applyAlignment="1">
      <alignment horizontal="center" vertical="center" wrapText="1"/>
    </xf>
    <xf numFmtId="167" fontId="42" fillId="27" borderId="0" xfId="1" applyNumberFormat="1" applyFont="1" applyFill="1" applyBorder="1"/>
    <xf numFmtId="167" fontId="72" fillId="36" borderId="0" xfId="1" applyNumberFormat="1" applyFont="1" applyFill="1" applyBorder="1" applyAlignment="1">
      <alignment wrapText="1"/>
    </xf>
    <xf numFmtId="41" fontId="30" fillId="0" borderId="24" xfId="0" applyNumberFormat="1" applyFont="1" applyFill="1" applyBorder="1"/>
    <xf numFmtId="0" fontId="27" fillId="11" borderId="11" xfId="0" applyFont="1" applyFill="1" applyBorder="1" applyAlignment="1"/>
    <xf numFmtId="0" fontId="27" fillId="11" borderId="0" xfId="0" applyFont="1" applyFill="1" applyBorder="1" applyAlignment="1"/>
    <xf numFmtId="167" fontId="27" fillId="11" borderId="12" xfId="0" applyNumberFormat="1" applyFont="1" applyFill="1" applyBorder="1" applyAlignment="1"/>
    <xf numFmtId="167" fontId="30" fillId="0" borderId="17" xfId="1" applyNumberFormat="1" applyFont="1" applyFill="1" applyBorder="1"/>
    <xf numFmtId="167" fontId="30" fillId="20" borderId="17" xfId="1" applyNumberFormat="1" applyFont="1" applyFill="1" applyBorder="1"/>
    <xf numFmtId="167" fontId="30" fillId="0" borderId="17" xfId="1" applyNumberFormat="1" applyFont="1" applyBorder="1"/>
    <xf numFmtId="167" fontId="30" fillId="33" borderId="17" xfId="1" applyNumberFormat="1" applyFont="1" applyFill="1" applyBorder="1"/>
    <xf numFmtId="167" fontId="14" fillId="0" borderId="37" xfId="0" applyNumberFormat="1" applyFont="1" applyFill="1" applyBorder="1"/>
    <xf numFmtId="0" fontId="0" fillId="0" borderId="0" xfId="0"/>
    <xf numFmtId="43" fontId="14" fillId="20" borderId="0" xfId="1" applyFont="1" applyFill="1"/>
    <xf numFmtId="43" fontId="30" fillId="0" borderId="17" xfId="1" applyFont="1" applyBorder="1"/>
    <xf numFmtId="43" fontId="30" fillId="0" borderId="37" xfId="1" applyFont="1" applyBorder="1"/>
    <xf numFmtId="43" fontId="31" fillId="0" borderId="0" xfId="1" applyFont="1" applyBorder="1"/>
    <xf numFmtId="167" fontId="30" fillId="0" borderId="43" xfId="1" applyNumberFormat="1" applyFont="1" applyBorder="1"/>
    <xf numFmtId="167" fontId="4" fillId="0" borderId="0" xfId="1" applyNumberFormat="1" applyFont="1"/>
    <xf numFmtId="167" fontId="42" fillId="27" borderId="0" xfId="1" applyNumberFormat="1" applyFont="1" applyFill="1" applyAlignment="1">
      <alignment vertical="center"/>
    </xf>
    <xf numFmtId="167" fontId="42" fillId="27" borderId="0" xfId="1" applyNumberFormat="1" applyFont="1" applyFill="1" applyBorder="1" applyAlignment="1">
      <alignment vertical="center"/>
    </xf>
    <xf numFmtId="167" fontId="10" fillId="0" borderId="31" xfId="1" applyNumberFormat="1" applyFont="1" applyFill="1" applyBorder="1" applyAlignment="1">
      <alignment vertical="center"/>
    </xf>
    <xf numFmtId="167" fontId="39" fillId="0" borderId="0" xfId="1" applyNumberFormat="1" applyFont="1" applyFill="1" applyBorder="1" applyAlignment="1">
      <alignment vertical="center"/>
    </xf>
    <xf numFmtId="167" fontId="10" fillId="0" borderId="0" xfId="1" applyNumberFormat="1" applyFont="1" applyFill="1" applyBorder="1" applyAlignment="1">
      <alignment vertical="center"/>
    </xf>
    <xf numFmtId="0" fontId="0" fillId="0" borderId="0" xfId="0"/>
    <xf numFmtId="0" fontId="30" fillId="3" borderId="34" xfId="0" applyFont="1" applyFill="1" applyBorder="1" applyAlignment="1">
      <alignment horizontal="left"/>
    </xf>
    <xf numFmtId="167" fontId="41" fillId="0" borderId="0" xfId="1" applyNumberFormat="1" applyFont="1" applyBorder="1"/>
    <xf numFmtId="167" fontId="41" fillId="22" borderId="0" xfId="1" applyNumberFormat="1" applyFont="1" applyFill="1" applyBorder="1"/>
    <xf numFmtId="0" fontId="0" fillId="0" borderId="0" xfId="0"/>
    <xf numFmtId="167" fontId="42" fillId="27" borderId="0" xfId="8" applyNumberFormat="1" applyAlignment="1">
      <alignment vertical="center"/>
    </xf>
    <xf numFmtId="0" fontId="0" fillId="0" borderId="0" xfId="0"/>
    <xf numFmtId="0" fontId="4" fillId="0" borderId="0" xfId="0" applyFont="1" applyFill="1" applyBorder="1"/>
    <xf numFmtId="42" fontId="21" fillId="33" borderId="0" xfId="0" applyNumberFormat="1" applyFont="1" applyFill="1" applyBorder="1"/>
    <xf numFmtId="44" fontId="0" fillId="33" borderId="0" xfId="0" applyNumberFormat="1" applyFill="1"/>
    <xf numFmtId="44" fontId="0" fillId="33" borderId="43" xfId="0" applyNumberFormat="1" applyFill="1" applyBorder="1"/>
    <xf numFmtId="42" fontId="21" fillId="33" borderId="33" xfId="0" applyNumberFormat="1" applyFont="1" applyFill="1" applyBorder="1"/>
    <xf numFmtId="43" fontId="0" fillId="33" borderId="39" xfId="0" applyNumberFormat="1" applyFill="1" applyBorder="1"/>
    <xf numFmtId="42" fontId="21" fillId="33" borderId="37" xfId="0" applyNumberFormat="1" applyFont="1" applyFill="1" applyBorder="1"/>
    <xf numFmtId="43" fontId="0" fillId="33" borderId="17" xfId="0" applyNumberFormat="1" applyFill="1" applyBorder="1"/>
    <xf numFmtId="42" fontId="21" fillId="33" borderId="35" xfId="0" applyNumberFormat="1" applyFont="1" applyFill="1" applyBorder="1"/>
    <xf numFmtId="43" fontId="0" fillId="33" borderId="41" xfId="1" applyFont="1" applyFill="1" applyBorder="1"/>
    <xf numFmtId="43" fontId="0" fillId="33" borderId="0" xfId="0" applyNumberFormat="1" applyFill="1"/>
    <xf numFmtId="43" fontId="0" fillId="33" borderId="0" xfId="1" applyFont="1" applyFill="1"/>
    <xf numFmtId="0" fontId="0" fillId="33" borderId="8" xfId="0" applyFill="1" applyBorder="1"/>
    <xf numFmtId="43" fontId="0" fillId="33" borderId="9" xfId="1" applyFont="1" applyFill="1" applyBorder="1"/>
    <xf numFmtId="0" fontId="0" fillId="33" borderId="9" xfId="0" applyFill="1" applyBorder="1"/>
    <xf numFmtId="0" fontId="0" fillId="33" borderId="10" xfId="0" applyFill="1" applyBorder="1"/>
    <xf numFmtId="0" fontId="0" fillId="33" borderId="11" xfId="0" applyFill="1" applyBorder="1"/>
    <xf numFmtId="43" fontId="0" fillId="33" borderId="0" xfId="1" applyFont="1" applyFill="1" applyBorder="1"/>
    <xf numFmtId="0" fontId="0" fillId="33" borderId="0" xfId="0" applyFill="1" applyBorder="1"/>
    <xf numFmtId="0" fontId="0" fillId="33" borderId="12" xfId="0" applyFill="1" applyBorder="1"/>
    <xf numFmtId="43" fontId="0" fillId="33" borderId="0" xfId="0" applyNumberFormat="1" applyFill="1" applyBorder="1"/>
    <xf numFmtId="44" fontId="0" fillId="33" borderId="0" xfId="0" applyNumberFormat="1" applyFill="1" applyBorder="1"/>
    <xf numFmtId="0" fontId="0" fillId="33" borderId="5" xfId="0" applyFill="1" applyBorder="1"/>
    <xf numFmtId="43" fontId="0" fillId="33" borderId="6" xfId="0" applyNumberFormat="1" applyFill="1" applyBorder="1"/>
    <xf numFmtId="0" fontId="0" fillId="33" borderId="6" xfId="0" applyFill="1" applyBorder="1"/>
    <xf numFmtId="0" fontId="0" fillId="33" borderId="7" xfId="0" applyFill="1" applyBorder="1"/>
    <xf numFmtId="42" fontId="0" fillId="0" borderId="0" xfId="12" applyNumberFormat="1" applyFont="1" applyFill="1" applyBorder="1" applyAlignment="1"/>
    <xf numFmtId="0" fontId="0" fillId="0" borderId="0" xfId="0"/>
    <xf numFmtId="167" fontId="42" fillId="27" borderId="0" xfId="8" applyNumberFormat="1" applyBorder="1" applyAlignment="1">
      <alignment vertical="center"/>
    </xf>
    <xf numFmtId="167" fontId="16" fillId="0" borderId="37" xfId="0" applyNumberFormat="1" applyFont="1" applyFill="1" applyBorder="1"/>
    <xf numFmtId="167" fontId="16" fillId="0" borderId="41" xfId="1" applyNumberFormat="1" applyFont="1" applyFill="1" applyBorder="1"/>
    <xf numFmtId="0" fontId="1" fillId="0" borderId="0" xfId="0" applyFont="1" applyFill="1" applyAlignment="1">
      <alignment horizontal="left" indent="1"/>
    </xf>
    <xf numFmtId="0" fontId="1" fillId="0" borderId="36" xfId="0" applyFont="1" applyFill="1" applyBorder="1" applyAlignment="1">
      <alignment horizontal="left" indent="1"/>
    </xf>
    <xf numFmtId="43" fontId="30" fillId="0" borderId="0" xfId="1" applyFont="1" applyFill="1" applyBorder="1"/>
    <xf numFmtId="165" fontId="22" fillId="0" borderId="0" xfId="0" applyNumberFormat="1" applyFont="1" applyFill="1" applyBorder="1"/>
    <xf numFmtId="0" fontId="0" fillId="0" borderId="0" xfId="0"/>
    <xf numFmtId="0" fontId="0" fillId="0" borderId="0" xfId="0"/>
    <xf numFmtId="0" fontId="0" fillId="0" borderId="0" xfId="0"/>
    <xf numFmtId="0" fontId="16" fillId="0" borderId="0" xfId="0" applyFont="1" applyFill="1"/>
    <xf numFmtId="0" fontId="72" fillId="36" borderId="0" xfId="14" applyAlignment="1">
      <alignment vertical="center"/>
    </xf>
    <xf numFmtId="0" fontId="72" fillId="36" borderId="0" xfId="14"/>
    <xf numFmtId="0" fontId="14" fillId="0" borderId="33" xfId="0" applyFont="1" applyFill="1" applyBorder="1"/>
    <xf numFmtId="167" fontId="14" fillId="0" borderId="34" xfId="1" applyNumberFormat="1" applyFont="1" applyFill="1" applyBorder="1"/>
    <xf numFmtId="0" fontId="14" fillId="0" borderId="34" xfId="0" applyFont="1" applyFill="1" applyBorder="1"/>
    <xf numFmtId="0" fontId="14" fillId="0" borderId="35" xfId="0" applyFont="1" applyFill="1" applyBorder="1"/>
    <xf numFmtId="167" fontId="45" fillId="0" borderId="36" xfId="1" applyNumberFormat="1" applyFont="1" applyFill="1" applyBorder="1"/>
    <xf numFmtId="167" fontId="14" fillId="0" borderId="36" xfId="1" applyNumberFormat="1" applyFont="1" applyFill="1" applyBorder="1"/>
    <xf numFmtId="167" fontId="14" fillId="0" borderId="41" xfId="1" applyNumberFormat="1" applyFont="1" applyFill="1" applyBorder="1"/>
    <xf numFmtId="167" fontId="42" fillId="20" borderId="0" xfId="1" applyNumberFormat="1" applyFont="1" applyFill="1" applyBorder="1"/>
    <xf numFmtId="43" fontId="30" fillId="19" borderId="51" xfId="1" applyFont="1" applyFill="1" applyBorder="1"/>
    <xf numFmtId="43" fontId="30" fillId="19" borderId="52" xfId="1" applyFont="1" applyFill="1" applyBorder="1"/>
    <xf numFmtId="43" fontId="30" fillId="19" borderId="53" xfId="1" applyFont="1" applyFill="1" applyBorder="1"/>
    <xf numFmtId="43" fontId="0" fillId="0" borderId="17" xfId="1" applyFont="1" applyBorder="1"/>
    <xf numFmtId="0" fontId="0" fillId="0" borderId="35" xfId="0" applyBorder="1"/>
    <xf numFmtId="43" fontId="0" fillId="0" borderId="41" xfId="1" applyFont="1" applyBorder="1"/>
    <xf numFmtId="0" fontId="0" fillId="0" borderId="38" xfId="0" applyBorder="1"/>
    <xf numFmtId="0" fontId="0" fillId="0" borderId="32" xfId="0" applyBorder="1"/>
    <xf numFmtId="43" fontId="0" fillId="0" borderId="32" xfId="0" applyNumberFormat="1" applyBorder="1"/>
    <xf numFmtId="0" fontId="82" fillId="0" borderId="0" xfId="0" applyFont="1"/>
    <xf numFmtId="0" fontId="0" fillId="0" borderId="0" xfId="0"/>
    <xf numFmtId="0" fontId="30" fillId="33" borderId="37" xfId="0" applyFont="1" applyFill="1" applyBorder="1" applyAlignment="1">
      <alignment horizontal="left" indent="2"/>
    </xf>
    <xf numFmtId="0" fontId="14" fillId="0" borderId="37" xfId="0" applyFont="1" applyFill="1" applyBorder="1"/>
    <xf numFmtId="167" fontId="14" fillId="0" borderId="17" xfId="1" applyNumberFormat="1" applyFont="1" applyFill="1" applyBorder="1"/>
    <xf numFmtId="0" fontId="30" fillId="3" borderId="37" xfId="0" applyFont="1" applyFill="1" applyBorder="1" applyAlignment="1">
      <alignment horizontal="left" indent="2"/>
    </xf>
    <xf numFmtId="10" fontId="27" fillId="11" borderId="7" xfId="3" applyNumberFormat="1" applyFont="1" applyFill="1" applyBorder="1" applyAlignment="1"/>
    <xf numFmtId="171" fontId="30" fillId="0" borderId="0" xfId="1" applyNumberFormat="1" applyFont="1"/>
    <xf numFmtId="41" fontId="14" fillId="0" borderId="0" xfId="1" applyNumberFormat="1" applyFont="1" applyFill="1"/>
    <xf numFmtId="0" fontId="64" fillId="0" borderId="0" xfId="15"/>
    <xf numFmtId="0" fontId="1" fillId="0" borderId="0" xfId="15" applyFont="1"/>
    <xf numFmtId="167" fontId="64" fillId="0" borderId="0" xfId="15" applyNumberFormat="1"/>
    <xf numFmtId="167" fontId="83" fillId="0" borderId="0" xfId="16" applyNumberFormat="1" applyFont="1" applyFill="1" applyBorder="1"/>
    <xf numFmtId="167" fontId="83" fillId="0" borderId="0" xfId="15" applyNumberFormat="1" applyFont="1"/>
    <xf numFmtId="167" fontId="83" fillId="40" borderId="0" xfId="16" applyNumberFormat="1" applyFont="1" applyFill="1" applyBorder="1"/>
    <xf numFmtId="167" fontId="83" fillId="0" borderId="0" xfId="6" applyNumberFormat="1" applyFont="1"/>
    <xf numFmtId="167" fontId="83" fillId="40" borderId="0" xfId="15" applyNumberFormat="1" applyFont="1" applyFill="1"/>
    <xf numFmtId="167" fontId="83" fillId="22" borderId="0" xfId="16" applyNumberFormat="1" applyFont="1" applyFill="1" applyBorder="1"/>
    <xf numFmtId="167" fontId="83" fillId="22" borderId="0" xfId="6" applyNumberFormat="1" applyFont="1" applyFill="1"/>
    <xf numFmtId="0" fontId="61" fillId="0" borderId="0" xfId="15" applyFont="1"/>
    <xf numFmtId="167" fontId="83" fillId="5" borderId="31" xfId="15" applyNumberFormat="1" applyFont="1" applyFill="1" applyBorder="1"/>
    <xf numFmtId="0" fontId="83" fillId="0" borderId="0" xfId="15" applyFont="1"/>
    <xf numFmtId="43" fontId="83" fillId="0" borderId="0" xfId="16" applyFont="1" applyFill="1" applyBorder="1"/>
    <xf numFmtId="0" fontId="85" fillId="0" borderId="31" xfId="15" applyFont="1" applyBorder="1" applyAlignment="1">
      <alignment horizontal="center" vertical="center" wrapText="1"/>
    </xf>
    <xf numFmtId="0" fontId="29" fillId="0" borderId="31" xfId="15" applyFont="1" applyBorder="1" applyAlignment="1">
      <alignment wrapText="1"/>
    </xf>
    <xf numFmtId="165" fontId="48" fillId="0" borderId="0" xfId="0" applyNumberFormat="1" applyFont="1" applyFill="1"/>
    <xf numFmtId="165" fontId="48" fillId="0" borderId="36" xfId="0" applyNumberFormat="1" applyFont="1" applyFill="1" applyBorder="1"/>
    <xf numFmtId="43" fontId="29" fillId="0" borderId="0" xfId="1" applyFont="1" applyFill="1" applyBorder="1"/>
    <xf numFmtId="43" fontId="34" fillId="0" borderId="0" xfId="1" applyFont="1" applyFill="1" applyBorder="1"/>
    <xf numFmtId="0" fontId="0" fillId="0" borderId="0" xfId="0"/>
    <xf numFmtId="0" fontId="14" fillId="0" borderId="17" xfId="6" applyBorder="1"/>
    <xf numFmtId="0" fontId="30" fillId="0" borderId="33" xfId="0" applyFont="1" applyFill="1" applyBorder="1" applyAlignment="1">
      <alignment horizontal="left" indent="2"/>
    </xf>
    <xf numFmtId="167" fontId="1" fillId="0" borderId="0" xfId="1" applyNumberFormat="1" applyFont="1"/>
    <xf numFmtId="0" fontId="0" fillId="0" borderId="0" xfId="0"/>
    <xf numFmtId="0" fontId="0" fillId="0" borderId="0" xfId="0"/>
    <xf numFmtId="167" fontId="0" fillId="0" borderId="0" xfId="0" applyNumberFormat="1" applyFill="1" applyBorder="1"/>
    <xf numFmtId="0" fontId="0" fillId="0" borderId="0" xfId="0"/>
    <xf numFmtId="0" fontId="0" fillId="0" borderId="0" xfId="0"/>
    <xf numFmtId="0" fontId="0" fillId="0" borderId="0" xfId="0"/>
    <xf numFmtId="0" fontId="0" fillId="0" borderId="0" xfId="0"/>
    <xf numFmtId="0" fontId="0" fillId="0" borderId="0" xfId="12" applyFont="1"/>
    <xf numFmtId="0" fontId="0" fillId="0" borderId="0" xfId="0"/>
    <xf numFmtId="0" fontId="0" fillId="0" borderId="0" xfId="0"/>
    <xf numFmtId="41" fontId="0" fillId="0" borderId="0" xfId="0" applyNumberFormat="1" applyFill="1" applyAlignment="1">
      <alignment wrapText="1"/>
    </xf>
    <xf numFmtId="41" fontId="84" fillId="27" borderId="0" xfId="17" applyNumberFormat="1"/>
    <xf numFmtId="0" fontId="0" fillId="0" borderId="0" xfId="0"/>
    <xf numFmtId="0" fontId="0" fillId="0" borderId="0" xfId="0"/>
    <xf numFmtId="0" fontId="0" fillId="0" borderId="0" xfId="0"/>
    <xf numFmtId="167" fontId="84" fillId="27" borderId="0" xfId="17" applyNumberFormat="1" applyAlignment="1">
      <alignment vertical="center"/>
    </xf>
    <xf numFmtId="41" fontId="14" fillId="0" borderId="0" xfId="6" applyNumberFormat="1"/>
    <xf numFmtId="0" fontId="1" fillId="41" borderId="0" xfId="18" applyAlignment="1">
      <alignment vertical="center"/>
    </xf>
    <xf numFmtId="0" fontId="1" fillId="41" borderId="0" xfId="18" applyBorder="1" applyAlignment="1">
      <alignment vertical="center"/>
    </xf>
    <xf numFmtId="167" fontId="1" fillId="41" borderId="0" xfId="18" applyNumberFormat="1"/>
    <xf numFmtId="43" fontId="30" fillId="19" borderId="52" xfId="1" applyNumberFormat="1" applyFont="1" applyFill="1" applyBorder="1"/>
    <xf numFmtId="167" fontId="30" fillId="3" borderId="36" xfId="1" applyNumberFormat="1" applyFont="1" applyFill="1" applyBorder="1"/>
    <xf numFmtId="0" fontId="70" fillId="0" borderId="0" xfId="15" applyFont="1"/>
    <xf numFmtId="43" fontId="64" fillId="0" borderId="0" xfId="15" applyNumberFormat="1"/>
    <xf numFmtId="43" fontId="34" fillId="21" borderId="0" xfId="1" applyNumberFormat="1" applyFont="1" applyFill="1" applyBorder="1"/>
    <xf numFmtId="43" fontId="29" fillId="5" borderId="31" xfId="6" applyNumberFormat="1" applyFont="1" applyFill="1" applyBorder="1"/>
    <xf numFmtId="43" fontId="1" fillId="0" borderId="0" xfId="1" applyFont="1"/>
    <xf numFmtId="167" fontId="83" fillId="40" borderId="0" xfId="1" applyNumberFormat="1" applyFont="1" applyFill="1" applyBorder="1"/>
    <xf numFmtId="167" fontId="83" fillId="0" borderId="0" xfId="1" applyNumberFormat="1" applyFont="1" applyFill="1" applyBorder="1"/>
    <xf numFmtId="167" fontId="83" fillId="0" borderId="0" xfId="1" applyNumberFormat="1" applyFont="1"/>
    <xf numFmtId="167" fontId="83" fillId="22" borderId="0" xfId="1" applyNumberFormat="1" applyFont="1" applyFill="1" applyBorder="1"/>
    <xf numFmtId="167" fontId="83" fillId="5" borderId="31" xfId="1" applyNumberFormat="1" applyFont="1" applyFill="1" applyBorder="1"/>
    <xf numFmtId="167" fontId="83" fillId="22" borderId="0" xfId="1" applyNumberFormat="1" applyFont="1" applyFill="1"/>
    <xf numFmtId="167" fontId="83" fillId="40" borderId="0" xfId="1" applyNumberFormat="1" applyFont="1" applyFill="1"/>
    <xf numFmtId="167" fontId="14" fillId="5" borderId="31" xfId="1" applyNumberFormat="1" applyFont="1" applyFill="1" applyBorder="1"/>
    <xf numFmtId="0" fontId="14" fillId="19" borderId="0" xfId="0" applyFont="1" applyFill="1" applyBorder="1" applyAlignment="1">
      <alignment horizontal="left" indent="2"/>
    </xf>
    <xf numFmtId="0" fontId="30" fillId="3" borderId="33" xfId="0" applyFont="1" applyFill="1" applyBorder="1" applyAlignment="1">
      <alignment horizontal="left" indent="2"/>
    </xf>
    <xf numFmtId="0" fontId="0" fillId="24" borderId="0" xfId="0" applyFill="1" applyAlignment="1">
      <alignment horizontal="left" vertical="top" wrapText="1"/>
    </xf>
    <xf numFmtId="0" fontId="0" fillId="0" borderId="0" xfId="0"/>
    <xf numFmtId="0" fontId="0" fillId="0" borderId="0" xfId="0"/>
    <xf numFmtId="167" fontId="0" fillId="42" borderId="36" xfId="1" applyNumberFormat="1" applyFont="1" applyFill="1" applyBorder="1"/>
    <xf numFmtId="167" fontId="0" fillId="42" borderId="41" xfId="1" applyNumberFormat="1" applyFont="1" applyFill="1" applyBorder="1"/>
    <xf numFmtId="167" fontId="0" fillId="43" borderId="36" xfId="1" applyNumberFormat="1" applyFont="1" applyFill="1" applyBorder="1"/>
    <xf numFmtId="167" fontId="0" fillId="43" borderId="41" xfId="1" applyNumberFormat="1" applyFont="1" applyFill="1" applyBorder="1"/>
    <xf numFmtId="167" fontId="0" fillId="44" borderId="36" xfId="1" applyNumberFormat="1" applyFont="1" applyFill="1" applyBorder="1"/>
    <xf numFmtId="167" fontId="0" fillId="44" borderId="41" xfId="1" applyNumberFormat="1" applyFont="1" applyFill="1" applyBorder="1"/>
    <xf numFmtId="167" fontId="0" fillId="43" borderId="0" xfId="1" applyNumberFormat="1" applyFont="1" applyFill="1"/>
    <xf numFmtId="167" fontId="0" fillId="45" borderId="35" xfId="1" applyNumberFormat="1" applyFont="1" applyFill="1" applyBorder="1"/>
    <xf numFmtId="167" fontId="0" fillId="45" borderId="36" xfId="1" applyNumberFormat="1" applyFont="1" applyFill="1" applyBorder="1"/>
    <xf numFmtId="167" fontId="0" fillId="45" borderId="41" xfId="1" applyNumberFormat="1" applyFont="1" applyFill="1" applyBorder="1"/>
    <xf numFmtId="167" fontId="0" fillId="42" borderId="37" xfId="1" applyNumberFormat="1" applyFont="1" applyFill="1" applyBorder="1"/>
    <xf numFmtId="167" fontId="0" fillId="42" borderId="0" xfId="1" applyNumberFormat="1" applyFont="1" applyFill="1" applyBorder="1"/>
    <xf numFmtId="167" fontId="0" fillId="42" borderId="17" xfId="1" applyNumberFormat="1" applyFont="1" applyFill="1" applyBorder="1"/>
    <xf numFmtId="167" fontId="0" fillId="43" borderId="37" xfId="1" applyNumberFormat="1" applyFont="1" applyFill="1" applyBorder="1"/>
    <xf numFmtId="167" fontId="0" fillId="43" borderId="0" xfId="1" applyNumberFormat="1" applyFont="1" applyFill="1" applyBorder="1"/>
    <xf numFmtId="167" fontId="0" fillId="43" borderId="17" xfId="1" applyNumberFormat="1" applyFont="1" applyFill="1" applyBorder="1"/>
    <xf numFmtId="167" fontId="0" fillId="44" borderId="37" xfId="1" applyNumberFormat="1" applyFont="1" applyFill="1" applyBorder="1"/>
    <xf numFmtId="167" fontId="0" fillId="44" borderId="0" xfId="1" applyNumberFormat="1" applyFont="1" applyFill="1" applyBorder="1"/>
    <xf numFmtId="167" fontId="0" fillId="44" borderId="17" xfId="1" applyNumberFormat="1" applyFont="1" applyFill="1" applyBorder="1"/>
    <xf numFmtId="167" fontId="0" fillId="45" borderId="37" xfId="1" applyNumberFormat="1" applyFont="1" applyFill="1" applyBorder="1"/>
    <xf numFmtId="167" fontId="0" fillId="45" borderId="0" xfId="1" applyNumberFormat="1" applyFont="1" applyFill="1" applyBorder="1"/>
    <xf numFmtId="167" fontId="0" fillId="45" borderId="17" xfId="1" applyNumberFormat="1" applyFont="1" applyFill="1" applyBorder="1"/>
    <xf numFmtId="167" fontId="0" fillId="46" borderId="0" xfId="1" applyNumberFormat="1" applyFont="1" applyFill="1" applyBorder="1"/>
    <xf numFmtId="167" fontId="0" fillId="46" borderId="17" xfId="1" applyNumberFormat="1" applyFont="1" applyFill="1" applyBorder="1"/>
    <xf numFmtId="167" fontId="14" fillId="47" borderId="0" xfId="5" applyNumberFormat="1" applyFont="1" applyFill="1"/>
    <xf numFmtId="167" fontId="14" fillId="46" borderId="0" xfId="5" applyNumberFormat="1" applyFont="1" applyFill="1"/>
    <xf numFmtId="167" fontId="14" fillId="46" borderId="0" xfId="5" applyNumberFormat="1" applyFont="1" applyFill="1" applyBorder="1"/>
    <xf numFmtId="167" fontId="14" fillId="46" borderId="0" xfId="1" applyNumberFormat="1" applyFont="1" applyFill="1"/>
    <xf numFmtId="167" fontId="14" fillId="46" borderId="0" xfId="1" applyNumberFormat="1" applyFont="1" applyFill="1" applyBorder="1"/>
    <xf numFmtId="167" fontId="14" fillId="45" borderId="0" xfId="5" applyNumberFormat="1" applyFont="1" applyFill="1" applyBorder="1"/>
    <xf numFmtId="167" fontId="14" fillId="45" borderId="0" xfId="5" applyNumberFormat="1" applyFont="1" applyFill="1"/>
    <xf numFmtId="167" fontId="14" fillId="45" borderId="0" xfId="1" applyNumberFormat="1" applyFont="1" applyFill="1" applyBorder="1"/>
    <xf numFmtId="167" fontId="14" fillId="45" borderId="0" xfId="1" applyNumberFormat="1" applyFont="1" applyFill="1"/>
    <xf numFmtId="169" fontId="59" fillId="46" borderId="0" xfId="0" applyNumberFormat="1" applyFont="1" applyFill="1" applyBorder="1" applyAlignment="1" applyProtection="1">
      <alignment vertical="top" wrapText="1"/>
      <protection locked="0"/>
    </xf>
    <xf numFmtId="167" fontId="45" fillId="47" borderId="0" xfId="5" applyNumberFormat="1" applyFont="1" applyFill="1"/>
    <xf numFmtId="41" fontId="45" fillId="46" borderId="0" xfId="1" applyNumberFormat="1" applyFont="1" applyFill="1" applyBorder="1"/>
    <xf numFmtId="167" fontId="45" fillId="46" borderId="0" xfId="1" applyNumberFormat="1" applyFont="1" applyFill="1" applyBorder="1"/>
    <xf numFmtId="167" fontId="45" fillId="46" borderId="0" xfId="0" applyNumberFormat="1" applyFont="1" applyFill="1" applyBorder="1"/>
    <xf numFmtId="167" fontId="14" fillId="46" borderId="0" xfId="0" applyNumberFormat="1" applyFont="1" applyFill="1" applyBorder="1"/>
    <xf numFmtId="167" fontId="45" fillId="46" borderId="0" xfId="5" applyNumberFormat="1" applyFont="1" applyFill="1" applyBorder="1"/>
    <xf numFmtId="167" fontId="45" fillId="46" borderId="0" xfId="5" applyNumberFormat="1" applyFont="1" applyFill="1"/>
    <xf numFmtId="167" fontId="42" fillId="48" borderId="0" xfId="1" applyNumberFormat="1" applyFont="1" applyFill="1" applyAlignment="1">
      <alignment vertical="center"/>
    </xf>
    <xf numFmtId="0" fontId="77" fillId="0" borderId="0" xfId="12" applyFont="1"/>
    <xf numFmtId="0" fontId="30" fillId="0" borderId="37" xfId="0" applyFont="1" applyBorder="1" applyAlignment="1">
      <alignment horizontal="center" wrapText="1"/>
    </xf>
    <xf numFmtId="0" fontId="30" fillId="0" borderId="17" xfId="0" applyFont="1" applyBorder="1" applyAlignment="1">
      <alignment horizontal="center"/>
    </xf>
    <xf numFmtId="0" fontId="30" fillId="0" borderId="35" xfId="0" applyFont="1" applyBorder="1" applyAlignment="1">
      <alignment horizontal="center" wrapText="1"/>
    </xf>
    <xf numFmtId="0" fontId="30" fillId="0" borderId="41" xfId="0" applyFont="1" applyBorder="1" applyAlignment="1">
      <alignment horizontal="center"/>
    </xf>
    <xf numFmtId="167" fontId="30" fillId="0" borderId="34" xfId="1" applyNumberFormat="1" applyFont="1" applyFill="1" applyBorder="1" applyAlignment="1">
      <alignment horizontal="center" wrapText="1"/>
    </xf>
    <xf numFmtId="167" fontId="30" fillId="0" borderId="34" xfId="1" applyNumberFormat="1" applyFont="1" applyBorder="1" applyAlignment="1">
      <alignment horizontal="center" wrapText="1"/>
    </xf>
    <xf numFmtId="167" fontId="30" fillId="0" borderId="0" xfId="1" applyNumberFormat="1" applyFont="1" applyFill="1" applyBorder="1" applyAlignment="1">
      <alignment horizontal="center" wrapText="1"/>
    </xf>
    <xf numFmtId="167" fontId="30" fillId="0" borderId="0" xfId="1" applyNumberFormat="1" applyFont="1" applyBorder="1" applyAlignment="1">
      <alignment horizontal="center" wrapText="1"/>
    </xf>
    <xf numFmtId="167" fontId="30" fillId="0" borderId="36" xfId="1" applyNumberFormat="1" applyFont="1" applyFill="1" applyBorder="1" applyAlignment="1">
      <alignment horizontal="center" wrapText="1"/>
    </xf>
    <xf numFmtId="167" fontId="30" fillId="0" borderId="36" xfId="1" applyNumberFormat="1" applyFont="1" applyBorder="1" applyAlignment="1">
      <alignment horizontal="center" wrapText="1"/>
    </xf>
    <xf numFmtId="167" fontId="30" fillId="0" borderId="39" xfId="0" applyNumberFormat="1" applyFont="1" applyBorder="1" applyAlignment="1">
      <alignment horizontal="center"/>
    </xf>
    <xf numFmtId="41" fontId="43" fillId="28" borderId="12" xfId="9" applyNumberFormat="1" applyBorder="1"/>
    <xf numFmtId="0" fontId="30" fillId="0" borderId="34" xfId="0" applyFont="1" applyBorder="1" applyAlignment="1">
      <alignment horizontal="left" wrapText="1"/>
    </xf>
    <xf numFmtId="0" fontId="0" fillId="0" borderId="0" xfId="0"/>
    <xf numFmtId="0" fontId="1" fillId="0" borderId="31" xfId="0" applyFont="1" applyBorder="1"/>
    <xf numFmtId="0" fontId="4" fillId="3" borderId="31" xfId="0" applyFont="1" applyFill="1" applyBorder="1" applyAlignment="1">
      <alignment horizontal="center"/>
    </xf>
    <xf numFmtId="0" fontId="1" fillId="0" borderId="0" xfId="0" applyFont="1" applyAlignment="1">
      <alignment horizontal="left" indent="2"/>
    </xf>
    <xf numFmtId="167" fontId="4" fillId="0" borderId="6" xfId="1" applyNumberFormat="1" applyFont="1" applyBorder="1"/>
    <xf numFmtId="0" fontId="42" fillId="27" borderId="0" xfId="8" applyAlignment="1">
      <alignment horizontal="center"/>
    </xf>
    <xf numFmtId="0" fontId="0" fillId="0" borderId="0" xfId="0" applyAlignment="1">
      <alignment horizontal="center"/>
    </xf>
    <xf numFmtId="0" fontId="0" fillId="0" borderId="0" xfId="0"/>
    <xf numFmtId="0" fontId="56" fillId="0" borderId="0" xfId="6" applyFont="1"/>
    <xf numFmtId="0" fontId="0" fillId="46" borderId="37" xfId="0" applyFill="1" applyBorder="1"/>
    <xf numFmtId="43" fontId="0" fillId="46" borderId="17" xfId="1" applyFont="1" applyFill="1" applyBorder="1"/>
    <xf numFmtId="167" fontId="42" fillId="27" borderId="0" xfId="8" applyNumberFormat="1" applyBorder="1"/>
    <xf numFmtId="167" fontId="72" fillId="36" borderId="0" xfId="14" applyNumberFormat="1"/>
    <xf numFmtId="0" fontId="30" fillId="0" borderId="0" xfId="0" applyFont="1" applyBorder="1" applyAlignment="1">
      <alignment horizontal="left" wrapText="1"/>
    </xf>
    <xf numFmtId="0" fontId="30" fillId="0" borderId="36" xfId="0" applyFont="1" applyBorder="1" applyAlignment="1">
      <alignment horizontal="left" wrapText="1"/>
    </xf>
    <xf numFmtId="0" fontId="0" fillId="0" borderId="0" xfId="0"/>
    <xf numFmtId="41" fontId="1" fillId="0" borderId="0" xfId="12" applyNumberFormat="1"/>
    <xf numFmtId="0" fontId="0" fillId="24" borderId="33" xfId="0" applyFill="1" applyBorder="1" applyAlignment="1">
      <alignment horizontal="center"/>
    </xf>
    <xf numFmtId="0" fontId="0" fillId="24" borderId="34" xfId="0" applyFill="1" applyBorder="1" applyAlignment="1">
      <alignment horizontal="center"/>
    </xf>
    <xf numFmtId="0" fontId="0" fillId="24" borderId="39" xfId="0" applyFill="1" applyBorder="1" applyAlignment="1">
      <alignment horizontal="center"/>
    </xf>
    <xf numFmtId="0" fontId="0" fillId="0" borderId="39" xfId="0" applyBorder="1" applyAlignment="1">
      <alignment horizontal="center"/>
    </xf>
    <xf numFmtId="0" fontId="0" fillId="26" borderId="33" xfId="0" applyFill="1" applyBorder="1" applyAlignment="1">
      <alignment horizontal="center"/>
    </xf>
    <xf numFmtId="0" fontId="0" fillId="26" borderId="39" xfId="0" applyFill="1" applyBorder="1" applyAlignment="1">
      <alignment horizontal="center"/>
    </xf>
    <xf numFmtId="0" fontId="0" fillId="24" borderId="37" xfId="0" applyFill="1" applyBorder="1" applyAlignment="1">
      <alignment horizontal="center"/>
    </xf>
    <xf numFmtId="0" fontId="0" fillId="24" borderId="0" xfId="0" applyFill="1" applyBorder="1" applyAlignment="1">
      <alignment horizontal="center"/>
    </xf>
    <xf numFmtId="0" fontId="0" fillId="24" borderId="17" xfId="0" applyFill="1" applyBorder="1" applyAlignment="1">
      <alignment horizontal="center"/>
    </xf>
    <xf numFmtId="0" fontId="0" fillId="0" borderId="0" xfId="0"/>
    <xf numFmtId="0" fontId="0" fillId="41" borderId="0" xfId="18" applyFont="1" applyBorder="1" applyAlignment="1">
      <alignment vertical="center"/>
    </xf>
    <xf numFmtId="0" fontId="77" fillId="0" borderId="0" xfId="0" applyFont="1"/>
    <xf numFmtId="0" fontId="77" fillId="0" borderId="41" xfId="0" applyFont="1" applyBorder="1"/>
    <xf numFmtId="0" fontId="0" fillId="20" borderId="37" xfId="0" applyFont="1" applyFill="1" applyBorder="1"/>
    <xf numFmtId="0" fontId="0" fillId="20" borderId="0" xfId="0" applyFont="1" applyFill="1" applyBorder="1"/>
    <xf numFmtId="167" fontId="0" fillId="20" borderId="0" xfId="1" applyNumberFormat="1" applyFont="1" applyFill="1" applyBorder="1"/>
    <xf numFmtId="167" fontId="0" fillId="0" borderId="37" xfId="1" applyNumberFormat="1" applyFont="1" applyFill="1" applyBorder="1"/>
    <xf numFmtId="167" fontId="77" fillId="0" borderId="0" xfId="1" applyNumberFormat="1" applyFont="1" applyFill="1" applyBorder="1"/>
    <xf numFmtId="167" fontId="0" fillId="20" borderId="37" xfId="1" applyNumberFormat="1" applyFont="1" applyFill="1" applyBorder="1"/>
    <xf numFmtId="167" fontId="77" fillId="4" borderId="0" xfId="1" applyNumberFormat="1" applyFont="1" applyFill="1" applyBorder="1"/>
    <xf numFmtId="167" fontId="1" fillId="0" borderId="0" xfId="1" applyNumberFormat="1" applyFont="1" applyBorder="1"/>
    <xf numFmtId="167" fontId="1" fillId="20" borderId="0" xfId="1" applyNumberFormat="1" applyFont="1" applyFill="1" applyBorder="1"/>
    <xf numFmtId="165" fontId="0" fillId="20" borderId="37" xfId="2" applyNumberFormat="1" applyFont="1" applyFill="1" applyBorder="1"/>
    <xf numFmtId="165" fontId="0" fillId="20" borderId="0" xfId="2" applyNumberFormat="1" applyFont="1" applyFill="1" applyBorder="1"/>
    <xf numFmtId="165" fontId="1" fillId="20" borderId="0" xfId="2" applyNumberFormat="1" applyFont="1" applyFill="1" applyBorder="1"/>
    <xf numFmtId="165" fontId="0" fillId="0" borderId="37" xfId="2" applyNumberFormat="1" applyFont="1" applyBorder="1"/>
    <xf numFmtId="165" fontId="0" fillId="0" borderId="0" xfId="2" applyNumberFormat="1" applyFont="1" applyBorder="1"/>
    <xf numFmtId="165" fontId="77" fillId="0" borderId="0" xfId="2" applyNumberFormat="1" applyFont="1" applyBorder="1"/>
    <xf numFmtId="165" fontId="77" fillId="20" borderId="0" xfId="2" applyNumberFormat="1" applyFont="1" applyFill="1" applyBorder="1"/>
    <xf numFmtId="165" fontId="0" fillId="20" borderId="35" xfId="2" applyNumberFormat="1" applyFont="1" applyFill="1" applyBorder="1"/>
    <xf numFmtId="165" fontId="0" fillId="20" borderId="36" xfId="2" applyNumberFormat="1" applyFont="1" applyFill="1" applyBorder="1"/>
    <xf numFmtId="165" fontId="77" fillId="20" borderId="36" xfId="2" applyNumberFormat="1" applyFont="1" applyFill="1" applyBorder="1"/>
    <xf numFmtId="167" fontId="0" fillId="20" borderId="36" xfId="1" applyNumberFormat="1" applyFont="1" applyFill="1" applyBorder="1"/>
    <xf numFmtId="165" fontId="0" fillId="5" borderId="35" xfId="2" applyNumberFormat="1" applyFont="1" applyFill="1" applyBorder="1"/>
    <xf numFmtId="165" fontId="0" fillId="5" borderId="36" xfId="2" applyNumberFormat="1" applyFont="1" applyFill="1" applyBorder="1"/>
    <xf numFmtId="165" fontId="0" fillId="5" borderId="38" xfId="2" applyNumberFormat="1" applyFont="1" applyFill="1" applyBorder="1"/>
    <xf numFmtId="167" fontId="0" fillId="5" borderId="31" xfId="1" applyNumberFormat="1" applyFont="1" applyFill="1" applyBorder="1"/>
    <xf numFmtId="165" fontId="77" fillId="5" borderId="32" xfId="2" applyNumberFormat="1" applyFont="1" applyFill="1" applyBorder="1"/>
    <xf numFmtId="0" fontId="30" fillId="0" borderId="0" xfId="0" applyFont="1" applyFill="1" applyBorder="1" applyAlignment="1">
      <alignment horizontal="left"/>
    </xf>
    <xf numFmtId="0" fontId="0" fillId="25" borderId="40" xfId="0" applyFill="1" applyBorder="1" applyAlignment="1">
      <alignment horizontal="center"/>
    </xf>
    <xf numFmtId="167" fontId="0" fillId="25" borderId="40" xfId="1" applyNumberFormat="1" applyFont="1" applyFill="1" applyBorder="1" applyAlignment="1">
      <alignment horizontal="center"/>
    </xf>
    <xf numFmtId="10" fontId="57" fillId="24" borderId="17" xfId="3" applyNumberFormat="1" applyFont="1" applyFill="1" applyBorder="1"/>
    <xf numFmtId="167" fontId="14" fillId="49" borderId="0" xfId="5" applyNumberFormat="1" applyFont="1" applyFill="1"/>
    <xf numFmtId="167" fontId="45" fillId="49" borderId="0" xfId="5" applyNumberFormat="1" applyFont="1" applyFill="1"/>
    <xf numFmtId="167" fontId="14" fillId="49" borderId="0" xfId="5" applyNumberFormat="1" applyFont="1" applyFill="1" applyBorder="1"/>
    <xf numFmtId="0" fontId="49" fillId="0" borderId="0" xfId="0" applyFont="1" applyBorder="1" applyAlignment="1" applyProtection="1">
      <alignment horizontal="left" vertical="top" wrapText="1" indent="1"/>
      <protection locked="0"/>
    </xf>
    <xf numFmtId="169" fontId="60" fillId="0" borderId="0" xfId="0" applyNumberFormat="1" applyFont="1" applyBorder="1" applyAlignment="1" applyProtection="1">
      <alignment vertical="top" wrapText="1"/>
      <protection locked="0"/>
    </xf>
    <xf numFmtId="0" fontId="0" fillId="0" borderId="0" xfId="12" applyNumberFormat="1" applyFont="1" applyFill="1" applyBorder="1" applyAlignment="1"/>
    <xf numFmtId="0" fontId="1" fillId="0" borderId="0" xfId="12" applyNumberFormat="1" applyFont="1" applyFill="1" applyBorder="1" applyAlignment="1"/>
    <xf numFmtId="0" fontId="0" fillId="0" borderId="0" xfId="12" applyNumberFormat="1" applyFont="1" applyFill="1" applyBorder="1" applyAlignment="1">
      <alignment wrapText="1"/>
    </xf>
    <xf numFmtId="0" fontId="1" fillId="0" borderId="0" xfId="12" applyNumberFormat="1" applyFont="1" applyFill="1" applyBorder="1" applyAlignment="1">
      <alignment wrapText="1"/>
    </xf>
    <xf numFmtId="0" fontId="1" fillId="0" borderId="0" xfId="12" applyNumberFormat="1" applyFont="1" applyFill="1" applyBorder="1" applyAlignment="1">
      <alignment horizontal="left"/>
    </xf>
    <xf numFmtId="42" fontId="21" fillId="46" borderId="0" xfId="0" applyNumberFormat="1" applyFont="1" applyFill="1" applyBorder="1"/>
    <xf numFmtId="167" fontId="1" fillId="0" borderId="0" xfId="12" applyNumberFormat="1"/>
    <xf numFmtId="0" fontId="82" fillId="0" borderId="0" xfId="12" applyFont="1"/>
    <xf numFmtId="41" fontId="86" fillId="20" borderId="0" xfId="7" applyNumberFormat="1" applyFont="1" applyFill="1" applyBorder="1" applyAlignment="1">
      <alignment vertical="center"/>
    </xf>
    <xf numFmtId="0" fontId="0" fillId="0" borderId="0" xfId="0"/>
    <xf numFmtId="10" fontId="0" fillId="0" borderId="0" xfId="3" applyNumberFormat="1" applyFont="1" applyFill="1"/>
    <xf numFmtId="0" fontId="0" fillId="0" borderId="0" xfId="0"/>
    <xf numFmtId="0" fontId="0" fillId="0" borderId="0" xfId="0"/>
    <xf numFmtId="165" fontId="77" fillId="0" borderId="0" xfId="2" applyNumberFormat="1" applyFont="1"/>
    <xf numFmtId="0" fontId="43" fillId="0" borderId="0" xfId="9" applyFill="1"/>
    <xf numFmtId="0" fontId="0" fillId="0" borderId="0" xfId="0"/>
    <xf numFmtId="0" fontId="30" fillId="0" borderId="0" xfId="0" applyFont="1" applyFill="1" applyBorder="1" applyAlignment="1">
      <alignment horizontal="center" wrapText="1"/>
    </xf>
    <xf numFmtId="41" fontId="42" fillId="27" borderId="0" xfId="8" applyNumberFormat="1"/>
    <xf numFmtId="0" fontId="0" fillId="0" borderId="0" xfId="0"/>
    <xf numFmtId="0" fontId="0" fillId="0" borderId="0" xfId="0"/>
    <xf numFmtId="0" fontId="74" fillId="0" borderId="0" xfId="15" applyFont="1"/>
    <xf numFmtId="0" fontId="64" fillId="0" borderId="0" xfId="15" applyFill="1" applyBorder="1"/>
    <xf numFmtId="0" fontId="5" fillId="0" borderId="0" xfId="15" applyFont="1"/>
    <xf numFmtId="0" fontId="25" fillId="35" borderId="0" xfId="15" applyFont="1" applyFill="1"/>
    <xf numFmtId="0" fontId="25" fillId="0" borderId="0" xfId="15" applyFont="1"/>
    <xf numFmtId="41" fontId="64" fillId="0" borderId="0" xfId="15" applyNumberFormat="1"/>
    <xf numFmtId="37" fontId="29" fillId="0" borderId="0" xfId="15" applyNumberFormat="1" applyFont="1" applyAlignment="1">
      <alignment vertical="center"/>
    </xf>
    <xf numFmtId="0" fontId="64" fillId="0" borderId="0" xfId="15" applyAlignment="1">
      <alignment horizontal="center" wrapText="1"/>
    </xf>
    <xf numFmtId="0" fontId="72" fillId="36" borderId="0" xfId="14" applyAlignment="1">
      <alignment horizontal="center" wrapText="1"/>
    </xf>
    <xf numFmtId="0" fontId="64" fillId="0" borderId="0" xfId="15" applyFill="1" applyBorder="1" applyAlignment="1">
      <alignment horizontal="center" wrapText="1"/>
    </xf>
    <xf numFmtId="0" fontId="29" fillId="0" borderId="0" xfId="15" applyFont="1" applyAlignment="1">
      <alignment wrapText="1"/>
    </xf>
    <xf numFmtId="0" fontId="29" fillId="0" borderId="0" xfId="15" applyFont="1" applyAlignment="1">
      <alignment horizontal="center" vertical="center" wrapText="1"/>
    </xf>
    <xf numFmtId="170" fontId="64" fillId="0" borderId="0" xfId="15" applyNumberFormat="1"/>
    <xf numFmtId="0" fontId="30" fillId="19" borderId="0" xfId="15" applyFont="1" applyFill="1"/>
    <xf numFmtId="43" fontId="30" fillId="19" borderId="51" xfId="16" applyFont="1" applyFill="1" applyBorder="1"/>
    <xf numFmtId="43" fontId="72" fillId="36" borderId="51" xfId="14" applyNumberFormat="1" applyBorder="1"/>
    <xf numFmtId="43" fontId="64" fillId="0" borderId="0" xfId="15" applyNumberFormat="1" applyFill="1" applyBorder="1"/>
    <xf numFmtId="43" fontId="14" fillId="19" borderId="0" xfId="16" applyFont="1" applyFill="1"/>
    <xf numFmtId="43" fontId="30" fillId="19" borderId="52" xfId="16" applyFont="1" applyFill="1" applyBorder="1"/>
    <xf numFmtId="43" fontId="72" fillId="36" borderId="52" xfId="14" applyNumberFormat="1" applyBorder="1"/>
    <xf numFmtId="167" fontId="14" fillId="19" borderId="0" xfId="16" applyNumberFormat="1" applyFont="1" applyFill="1"/>
    <xf numFmtId="10" fontId="0" fillId="0" borderId="0" xfId="20" applyNumberFormat="1" applyFont="1"/>
    <xf numFmtId="10" fontId="0" fillId="0" borderId="0" xfId="20" applyNumberFormat="1" applyFont="1" applyFill="1" applyBorder="1"/>
    <xf numFmtId="43" fontId="30" fillId="19" borderId="53" xfId="16" applyFont="1" applyFill="1" applyBorder="1"/>
    <xf numFmtId="167" fontId="30" fillId="19" borderId="53" xfId="16" applyNumberFormat="1" applyFont="1" applyFill="1" applyBorder="1"/>
    <xf numFmtId="43" fontId="72" fillId="36" borderId="53" xfId="14" applyNumberFormat="1" applyBorder="1"/>
    <xf numFmtId="0" fontId="30" fillId="0" borderId="0" xfId="15" applyFont="1"/>
    <xf numFmtId="167" fontId="30" fillId="0" borderId="0" xfId="16" applyNumberFormat="1" applyFont="1" applyFill="1"/>
    <xf numFmtId="0" fontId="31" fillId="0" borderId="0" xfId="15" applyFont="1"/>
    <xf numFmtId="167" fontId="30" fillId="0" borderId="0" xfId="16" applyNumberFormat="1" applyFont="1"/>
    <xf numFmtId="0" fontId="14" fillId="0" borderId="0" xfId="15" applyFont="1" applyAlignment="1">
      <alignment horizontal="left" indent="1"/>
    </xf>
    <xf numFmtId="10" fontId="14" fillId="19" borderId="0" xfId="20" applyNumberFormat="1" applyFont="1" applyFill="1"/>
    <xf numFmtId="10" fontId="14" fillId="0" borderId="0" xfId="20" applyNumberFormat="1" applyFont="1" applyFill="1" applyBorder="1"/>
    <xf numFmtId="0" fontId="14" fillId="0" borderId="0" xfId="15" applyFont="1"/>
    <xf numFmtId="43" fontId="14" fillId="0" borderId="0" xfId="16" applyFont="1" applyFill="1"/>
    <xf numFmtId="167" fontId="14" fillId="0" borderId="0" xfId="16" applyNumberFormat="1" applyFont="1" applyFill="1"/>
    <xf numFmtId="10" fontId="14" fillId="0" borderId="0" xfId="16" applyNumberFormat="1" applyFont="1" applyFill="1"/>
    <xf numFmtId="10" fontId="14" fillId="0" borderId="0" xfId="16" applyNumberFormat="1" applyFont="1" applyFill="1" applyBorder="1"/>
    <xf numFmtId="10" fontId="14" fillId="19" borderId="0" xfId="16" applyNumberFormat="1" applyFont="1" applyFill="1"/>
    <xf numFmtId="43" fontId="14" fillId="20" borderId="0" xfId="16" applyFont="1" applyFill="1"/>
    <xf numFmtId="167" fontId="14" fillId="20" borderId="0" xfId="16" applyNumberFormat="1" applyFont="1" applyFill="1"/>
    <xf numFmtId="10" fontId="14" fillId="20" borderId="0" xfId="16" applyNumberFormat="1" applyFont="1" applyFill="1"/>
    <xf numFmtId="43" fontId="14" fillId="0" borderId="0" xfId="16" applyFont="1" applyFill="1" applyBorder="1"/>
    <xf numFmtId="167" fontId="14" fillId="0" borderId="0" xfId="16" applyNumberFormat="1" applyFont="1" applyFill="1" applyBorder="1"/>
    <xf numFmtId="167" fontId="72" fillId="36" borderId="0" xfId="14" applyNumberFormat="1" applyBorder="1"/>
    <xf numFmtId="167" fontId="81" fillId="50" borderId="0" xfId="19" applyNumberFormat="1" applyBorder="1"/>
    <xf numFmtId="0" fontId="14" fillId="19" borderId="0" xfId="15" applyFont="1" applyFill="1" applyAlignment="1">
      <alignment horizontal="left" indent="2"/>
    </xf>
    <xf numFmtId="0" fontId="30" fillId="0" borderId="0" xfId="15" applyFont="1" applyAlignment="1">
      <alignment horizontal="left" indent="1"/>
    </xf>
    <xf numFmtId="0" fontId="30" fillId="20" borderId="0" xfId="15" applyFont="1" applyFill="1"/>
    <xf numFmtId="0" fontId="14" fillId="5" borderId="0" xfId="15" applyFont="1" applyFill="1"/>
    <xf numFmtId="43" fontId="30" fillId="5" borderId="31" xfId="16" applyFont="1" applyFill="1" applyBorder="1"/>
    <xf numFmtId="167" fontId="30" fillId="5" borderId="31" xfId="16" applyNumberFormat="1" applyFont="1" applyFill="1" applyBorder="1"/>
    <xf numFmtId="167" fontId="72" fillId="36" borderId="31" xfId="14" applyNumberFormat="1" applyBorder="1"/>
    <xf numFmtId="10" fontId="30" fillId="5" borderId="31" xfId="16" applyNumberFormat="1" applyFont="1" applyFill="1" applyBorder="1"/>
    <xf numFmtId="10" fontId="30" fillId="0" borderId="0" xfId="16" applyNumberFormat="1" applyFont="1" applyFill="1" applyBorder="1"/>
    <xf numFmtId="43" fontId="0" fillId="0" borderId="0" xfId="16" applyFont="1" applyFill="1"/>
    <xf numFmtId="167" fontId="0" fillId="0" borderId="0" xfId="16" applyNumberFormat="1" applyFont="1" applyFill="1"/>
    <xf numFmtId="167" fontId="0" fillId="0" borderId="0" xfId="16" applyNumberFormat="1" applyFont="1" applyFill="1" applyBorder="1"/>
    <xf numFmtId="43" fontId="0" fillId="0" borderId="0" xfId="16" applyFont="1"/>
    <xf numFmtId="9" fontId="0" fillId="0" borderId="0" xfId="20" applyFont="1"/>
    <xf numFmtId="167" fontId="0" fillId="0" borderId="0" xfId="16" applyNumberFormat="1" applyFont="1"/>
    <xf numFmtId="0" fontId="14" fillId="0" borderId="0" xfId="15" applyFont="1" applyAlignment="1">
      <alignment horizontal="left" indent="2"/>
    </xf>
    <xf numFmtId="0" fontId="30" fillId="19" borderId="0" xfId="15" applyFont="1" applyFill="1" applyAlignment="1">
      <alignment horizontal="left" indent="2"/>
    </xf>
    <xf numFmtId="43" fontId="14" fillId="20" borderId="0" xfId="16" applyFont="1" applyFill="1" applyBorder="1"/>
    <xf numFmtId="167" fontId="14" fillId="20" borderId="0" xfId="16" applyNumberFormat="1" applyFont="1" applyFill="1" applyBorder="1"/>
    <xf numFmtId="10" fontId="14" fillId="20" borderId="0" xfId="16" applyNumberFormat="1" applyFont="1" applyFill="1" applyBorder="1"/>
    <xf numFmtId="0" fontId="30" fillId="5" borderId="0" xfId="15" applyFont="1" applyFill="1"/>
    <xf numFmtId="43" fontId="14" fillId="5" borderId="31" xfId="16" applyFont="1" applyFill="1" applyBorder="1"/>
    <xf numFmtId="10" fontId="14" fillId="5" borderId="31" xfId="16" applyNumberFormat="1" applyFont="1" applyFill="1" applyBorder="1"/>
    <xf numFmtId="0" fontId="34" fillId="21" borderId="0" xfId="15" applyFont="1" applyFill="1"/>
    <xf numFmtId="43" fontId="34" fillId="21" borderId="43" xfId="16" applyFont="1" applyFill="1" applyBorder="1"/>
    <xf numFmtId="167" fontId="34" fillId="21" borderId="43" xfId="16" applyNumberFormat="1" applyFont="1" applyFill="1" applyBorder="1"/>
    <xf numFmtId="10" fontId="34" fillId="21" borderId="43" xfId="16" applyNumberFormat="1" applyFont="1" applyFill="1" applyBorder="1"/>
    <xf numFmtId="10" fontId="34" fillId="0" borderId="0" xfId="16" applyNumberFormat="1" applyFont="1" applyFill="1" applyBorder="1"/>
    <xf numFmtId="167" fontId="27" fillId="11" borderId="7" xfId="15" applyNumberFormat="1" applyFont="1" applyFill="1" applyBorder="1"/>
    <xf numFmtId="167" fontId="30" fillId="19" borderId="51" xfId="16" applyNumberFormat="1" applyFont="1" applyFill="1" applyBorder="1"/>
    <xf numFmtId="167" fontId="30" fillId="19" borderId="52" xfId="16" applyNumberFormat="1" applyFont="1" applyFill="1" applyBorder="1"/>
    <xf numFmtId="0" fontId="64" fillId="0" borderId="0" xfId="15" applyAlignment="1">
      <alignment horizontal="center"/>
    </xf>
    <xf numFmtId="164" fontId="0" fillId="0" borderId="0" xfId="20" applyNumberFormat="1" applyFont="1"/>
    <xf numFmtId="167" fontId="14" fillId="5" borderId="31" xfId="16" applyNumberFormat="1" applyFont="1" applyFill="1" applyBorder="1"/>
    <xf numFmtId="43" fontId="18" fillId="0" borderId="0" xfId="1" applyFont="1" applyBorder="1"/>
    <xf numFmtId="0" fontId="87" fillId="0" borderId="0" xfId="12" applyFont="1"/>
    <xf numFmtId="0" fontId="0" fillId="0" borderId="0" xfId="0"/>
    <xf numFmtId="0" fontId="0" fillId="0" borderId="0" xfId="0"/>
    <xf numFmtId="0" fontId="25" fillId="35" borderId="0" xfId="15" applyFont="1" applyFill="1" applyAlignment="1">
      <alignment wrapText="1"/>
    </xf>
    <xf numFmtId="3" fontId="0" fillId="0" borderId="0" xfId="0" applyNumberFormat="1"/>
    <xf numFmtId="3" fontId="64" fillId="0" borderId="0" xfId="15" applyNumberFormat="1"/>
    <xf numFmtId="0" fontId="0" fillId="0" borderId="0" xfId="0"/>
    <xf numFmtId="0" fontId="38" fillId="0" borderId="0" xfId="11"/>
    <xf numFmtId="0" fontId="0" fillId="0" borderId="0" xfId="0"/>
    <xf numFmtId="41" fontId="0" fillId="0" borderId="0" xfId="0" applyNumberFormat="1" applyBorder="1"/>
    <xf numFmtId="0" fontId="0" fillId="0" borderId="0" xfId="0"/>
    <xf numFmtId="0" fontId="0" fillId="0" borderId="0" xfId="0"/>
    <xf numFmtId="0" fontId="0" fillId="0" borderId="0" xfId="0"/>
    <xf numFmtId="167" fontId="72" fillId="36" borderId="0" xfId="1" applyNumberFormat="1" applyFont="1" applyFill="1"/>
    <xf numFmtId="167" fontId="4" fillId="0" borderId="0" xfId="0" applyNumberFormat="1" applyFont="1"/>
    <xf numFmtId="0" fontId="0" fillId="0" borderId="0" xfId="0"/>
    <xf numFmtId="0" fontId="0" fillId="0" borderId="0" xfId="0"/>
    <xf numFmtId="0" fontId="0" fillId="0" borderId="0" xfId="0"/>
    <xf numFmtId="0" fontId="14" fillId="0" borderId="0" xfId="6" applyFill="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167" fontId="57" fillId="0" borderId="0" xfId="0" applyNumberFormat="1" applyFont="1"/>
    <xf numFmtId="167" fontId="57" fillId="0" borderId="0" xfId="1" applyNumberFormat="1" applyFont="1"/>
    <xf numFmtId="0" fontId="0" fillId="0" borderId="0" xfId="0"/>
    <xf numFmtId="165" fontId="88" fillId="0" borderId="12" xfId="2" applyNumberFormat="1" applyFont="1" applyBorder="1" applyAlignment="1">
      <alignment horizontal="left" indent="3"/>
    </xf>
    <xf numFmtId="0" fontId="0" fillId="0" borderId="36" xfId="0" applyFont="1" applyBorder="1"/>
    <xf numFmtId="167" fontId="1" fillId="4" borderId="0" xfId="1" applyNumberFormat="1" applyFont="1" applyFill="1" applyBorder="1"/>
    <xf numFmtId="165" fontId="1" fillId="5" borderId="36" xfId="2" applyNumberFormat="1" applyFont="1" applyFill="1" applyBorder="1"/>
    <xf numFmtId="0" fontId="0" fillId="0" borderId="0" xfId="0"/>
    <xf numFmtId="167" fontId="10" fillId="20" borderId="0" xfId="1" applyNumberFormat="1" applyFont="1" applyFill="1" applyBorder="1" applyAlignment="1">
      <alignment vertical="center"/>
    </xf>
    <xf numFmtId="0" fontId="0" fillId="0" borderId="0" xfId="0"/>
    <xf numFmtId="167" fontId="89" fillId="27" borderId="0" xfId="1" applyNumberFormat="1" applyFont="1" applyFill="1" applyAlignment="1">
      <alignment vertical="center"/>
    </xf>
    <xf numFmtId="43" fontId="34" fillId="21" borderId="43" xfId="1" applyNumberFormat="1" applyFont="1" applyFill="1" applyBorder="1"/>
    <xf numFmtId="0" fontId="0" fillId="0" borderId="0" xfId="0"/>
    <xf numFmtId="0" fontId="0" fillId="0" borderId="0" xfId="0"/>
    <xf numFmtId="0" fontId="0" fillId="0" borderId="0" xfId="0"/>
    <xf numFmtId="0" fontId="77" fillId="0" borderId="36" xfId="0" applyFont="1" applyBorder="1"/>
    <xf numFmtId="167" fontId="14" fillId="0" borderId="0" xfId="6" applyNumberFormat="1"/>
    <xf numFmtId="43" fontId="14" fillId="0" borderId="0" xfId="6" applyNumberFormat="1"/>
    <xf numFmtId="0" fontId="0" fillId="0" borderId="0" xfId="12" applyFont="1" applyFill="1"/>
    <xf numFmtId="42" fontId="0" fillId="0" borderId="0" xfId="0" applyNumberFormat="1" applyBorder="1"/>
    <xf numFmtId="0" fontId="0" fillId="0" borderId="0" xfId="0"/>
    <xf numFmtId="9" fontId="0" fillId="0" borderId="0" xfId="3" applyFont="1"/>
    <xf numFmtId="167" fontId="16" fillId="0" borderId="42" xfId="5" applyNumberFormat="1" applyFont="1" applyFill="1" applyBorder="1"/>
    <xf numFmtId="167" fontId="16" fillId="0" borderId="18" xfId="5" applyNumberFormat="1" applyFont="1" applyFill="1" applyBorder="1"/>
    <xf numFmtId="167" fontId="16" fillId="0" borderId="24" xfId="1" applyNumberFormat="1" applyFont="1" applyFill="1" applyBorder="1"/>
    <xf numFmtId="167" fontId="16" fillId="0" borderId="40" xfId="1" applyNumberFormat="1" applyFont="1" applyFill="1" applyBorder="1"/>
    <xf numFmtId="37" fontId="9" fillId="0" borderId="40" xfId="1" applyNumberFormat="1" applyFont="1" applyFill="1" applyBorder="1"/>
    <xf numFmtId="167" fontId="17" fillId="0" borderId="0" xfId="1" applyNumberFormat="1" applyFont="1" applyFill="1" applyBorder="1"/>
    <xf numFmtId="167" fontId="1" fillId="0" borderId="0" xfId="0" applyNumberFormat="1" applyFont="1" applyFill="1"/>
    <xf numFmtId="167" fontId="1" fillId="0" borderId="0" xfId="1" applyNumberFormat="1" applyFont="1" applyFill="1"/>
    <xf numFmtId="167" fontId="1" fillId="0" borderId="36" xfId="0" applyNumberFormat="1" applyFont="1" applyFill="1" applyBorder="1"/>
    <xf numFmtId="0" fontId="1" fillId="0" borderId="0" xfId="12" applyFill="1"/>
    <xf numFmtId="43" fontId="30" fillId="0" borderId="0" xfId="0" applyNumberFormat="1" applyFont="1" applyFill="1" applyBorder="1"/>
    <xf numFmtId="0" fontId="0" fillId="0" borderId="0" xfId="0"/>
    <xf numFmtId="49" fontId="39" fillId="0" borderId="0" xfId="7" applyNumberFormat="1" applyFont="1" applyFill="1" applyBorder="1" applyAlignment="1">
      <alignment vertical="center"/>
    </xf>
    <xf numFmtId="0" fontId="3" fillId="0" borderId="0" xfId="12" applyFont="1" applyFill="1"/>
    <xf numFmtId="0" fontId="0" fillId="0" borderId="0" xfId="0"/>
    <xf numFmtId="0" fontId="0" fillId="0" borderId="0" xfId="0"/>
    <xf numFmtId="0" fontId="87" fillId="0" borderId="0" xfId="0" applyFont="1"/>
    <xf numFmtId="167" fontId="87" fillId="0" borderId="0" xfId="0" applyNumberFormat="1" applyFont="1"/>
    <xf numFmtId="3" fontId="1" fillId="0" borderId="0" xfId="12" applyNumberFormat="1"/>
    <xf numFmtId="0" fontId="87" fillId="0" borderId="0" xfId="12" applyFont="1" applyAlignment="1">
      <alignment vertical="center"/>
    </xf>
    <xf numFmtId="167" fontId="87" fillId="0" borderId="0" xfId="12" applyNumberFormat="1" applyFont="1"/>
    <xf numFmtId="167" fontId="0" fillId="0" borderId="0" xfId="3" applyNumberFormat="1" applyFont="1" applyFill="1"/>
    <xf numFmtId="0" fontId="56" fillId="0" borderId="0" xfId="6" applyFont="1" applyFill="1"/>
    <xf numFmtId="167" fontId="0" fillId="0" borderId="0" xfId="1" applyNumberFormat="1" applyFont="1" applyFill="1" applyAlignment="1">
      <alignment horizontal="left" indent="2"/>
    </xf>
    <xf numFmtId="167" fontId="0" fillId="0" borderId="0" xfId="1" applyNumberFormat="1" applyFont="1" applyFill="1" applyAlignment="1">
      <alignment horizontal="left"/>
    </xf>
    <xf numFmtId="167" fontId="4" fillId="0" borderId="0" xfId="1" applyNumberFormat="1" applyFont="1" applyFill="1"/>
    <xf numFmtId="0" fontId="4" fillId="3" borderId="0" xfId="0" applyFont="1" applyFill="1" applyAlignment="1">
      <alignment horizontal="center"/>
    </xf>
    <xf numFmtId="0" fontId="0" fillId="24" borderId="0" xfId="0" applyFont="1" applyFill="1" applyAlignment="1">
      <alignment horizontal="center"/>
    </xf>
    <xf numFmtId="0" fontId="43" fillId="28" borderId="0" xfId="9" applyAlignment="1">
      <alignment horizontal="center"/>
    </xf>
    <xf numFmtId="0" fontId="42" fillId="27" borderId="0" xfId="8" applyAlignment="1">
      <alignment horizontal="center"/>
    </xf>
    <xf numFmtId="0" fontId="0" fillId="24" borderId="0" xfId="0" applyFill="1" applyAlignment="1">
      <alignment horizontal="left" vertical="top" wrapText="1"/>
    </xf>
    <xf numFmtId="0" fontId="6" fillId="0" borderId="8" xfId="0" applyFont="1" applyBorder="1" applyAlignment="1" applyProtection="1">
      <alignment horizontal="left" vertical="center" wrapText="1"/>
      <protection locked="0"/>
    </xf>
    <xf numFmtId="0" fontId="6" fillId="0" borderId="11" xfId="0" applyFont="1" applyBorder="1" applyAlignment="1" applyProtection="1">
      <alignment horizontal="left" vertical="center" wrapText="1"/>
      <protection locked="0"/>
    </xf>
    <xf numFmtId="0" fontId="6" fillId="0" borderId="5" xfId="0" applyFont="1" applyBorder="1" applyAlignment="1" applyProtection="1">
      <alignment horizontal="left" vertical="center" wrapText="1"/>
      <protection locked="0"/>
    </xf>
    <xf numFmtId="10" fontId="0" fillId="5" borderId="22" xfId="3" applyNumberFormat="1" applyFont="1" applyFill="1" applyBorder="1" applyAlignment="1" applyProtection="1">
      <alignment horizontal="center" vertical="center"/>
      <protection locked="0"/>
    </xf>
    <xf numFmtId="10" fontId="0" fillId="5" borderId="25" xfId="3" applyNumberFormat="1" applyFont="1" applyFill="1" applyBorder="1" applyAlignment="1" applyProtection="1">
      <alignment horizontal="center" vertical="center"/>
      <protection locked="0"/>
    </xf>
    <xf numFmtId="10" fontId="0" fillId="5" borderId="26" xfId="3" applyNumberFormat="1" applyFont="1" applyFill="1" applyBorder="1" applyAlignment="1" applyProtection="1">
      <alignment horizontal="center" vertical="center"/>
      <protection locked="0"/>
    </xf>
    <xf numFmtId="165" fontId="0" fillId="6" borderId="20" xfId="2" applyNumberFormat="1" applyFont="1" applyFill="1" applyBorder="1" applyAlignment="1" applyProtection="1">
      <alignment horizontal="center" vertical="center"/>
      <protection locked="0"/>
    </xf>
    <xf numFmtId="165" fontId="0" fillId="6" borderId="23" xfId="2" applyNumberFormat="1" applyFont="1" applyFill="1" applyBorder="1" applyAlignment="1" applyProtection="1">
      <alignment horizontal="center" vertical="center"/>
      <protection locked="0"/>
    </xf>
    <xf numFmtId="165" fontId="0" fillId="6" borderId="27" xfId="2" applyNumberFormat="1" applyFont="1" applyFill="1" applyBorder="1" applyAlignment="1" applyProtection="1">
      <alignment horizontal="center" vertical="center"/>
      <protection locked="0"/>
    </xf>
    <xf numFmtId="0" fontId="0" fillId="0" borderId="0" xfId="0" applyFill="1" applyBorder="1" applyAlignment="1">
      <alignment horizontal="center"/>
    </xf>
    <xf numFmtId="10" fontId="0" fillId="5" borderId="15" xfId="0" applyNumberFormat="1" applyFont="1" applyFill="1" applyBorder="1" applyAlignment="1">
      <alignment horizontal="center" vertical="center"/>
    </xf>
    <xf numFmtId="10" fontId="0" fillId="5" borderId="17" xfId="0" applyNumberFormat="1" applyFont="1" applyFill="1" applyBorder="1" applyAlignment="1">
      <alignment horizontal="center" vertical="center"/>
    </xf>
    <xf numFmtId="0" fontId="0" fillId="5" borderId="17" xfId="0" applyFont="1" applyFill="1" applyBorder="1" applyAlignment="1">
      <alignment horizontal="center" vertical="center"/>
    </xf>
    <xf numFmtId="165" fontId="0" fillId="6" borderId="16" xfId="2" applyNumberFormat="1" applyFont="1" applyFill="1" applyBorder="1" applyAlignment="1" applyProtection="1">
      <alignment horizontal="center" vertical="center"/>
      <protection locked="0"/>
    </xf>
    <xf numFmtId="165" fontId="0" fillId="6" borderId="18" xfId="2" applyNumberFormat="1" applyFont="1" applyFill="1" applyBorder="1" applyAlignment="1" applyProtection="1">
      <alignment horizontal="center" vertical="center"/>
      <protection locked="0"/>
    </xf>
    <xf numFmtId="0" fontId="8" fillId="0" borderId="0" xfId="0" applyFont="1" applyBorder="1" applyAlignment="1">
      <alignment horizontal="left"/>
    </xf>
    <xf numFmtId="167" fontId="10" fillId="0" borderId="38" xfId="1" applyNumberFormat="1" applyFont="1" applyBorder="1" applyAlignment="1">
      <alignment horizontal="center"/>
    </xf>
    <xf numFmtId="167" fontId="10" fillId="0" borderId="31" xfId="1" applyNumberFormat="1" applyFont="1" applyBorder="1" applyAlignment="1">
      <alignment horizontal="center"/>
    </xf>
    <xf numFmtId="167" fontId="10" fillId="0" borderId="32" xfId="1" applyNumberFormat="1" applyFont="1" applyBorder="1" applyAlignment="1">
      <alignment horizontal="center"/>
    </xf>
    <xf numFmtId="0" fontId="11" fillId="0" borderId="0" xfId="0" applyFont="1" applyBorder="1" applyAlignment="1">
      <alignment horizontal="left"/>
    </xf>
    <xf numFmtId="0" fontId="0" fillId="24" borderId="0" xfId="0" applyFont="1" applyFill="1" applyAlignment="1">
      <alignment horizontal="left" vertical="top" wrapText="1"/>
    </xf>
    <xf numFmtId="0" fontId="25" fillId="3" borderId="0" xfId="0" applyFont="1" applyFill="1" applyAlignment="1">
      <alignment horizontal="center"/>
    </xf>
    <xf numFmtId="0" fontId="73" fillId="0" borderId="0" xfId="0" applyFont="1" applyAlignment="1">
      <alignment horizontal="center"/>
    </xf>
    <xf numFmtId="0" fontId="71" fillId="33" borderId="0" xfId="0" applyFont="1" applyFill="1" applyAlignment="1">
      <alignment horizontal="center"/>
    </xf>
    <xf numFmtId="0" fontId="8" fillId="0" borderId="0" xfId="0" applyFont="1" applyBorder="1" applyAlignment="1">
      <alignment horizontal="center"/>
    </xf>
    <xf numFmtId="0" fontId="8" fillId="0" borderId="0" xfId="0" applyFont="1" applyAlignment="1">
      <alignment horizontal="center"/>
    </xf>
    <xf numFmtId="37" fontId="29" fillId="31" borderId="0" xfId="0" applyNumberFormat="1" applyFont="1" applyFill="1" applyBorder="1" applyAlignment="1">
      <alignment horizontal="center" vertical="center"/>
    </xf>
    <xf numFmtId="0" fontId="0" fillId="0" borderId="0" xfId="0" applyAlignment="1">
      <alignment horizontal="center"/>
    </xf>
    <xf numFmtId="37" fontId="29" fillId="15" borderId="0" xfId="0" applyNumberFormat="1" applyFont="1" applyFill="1" applyBorder="1" applyAlignment="1">
      <alignment horizontal="center" vertical="center"/>
    </xf>
    <xf numFmtId="37" fontId="29" fillId="16" borderId="0" xfId="0" applyNumberFormat="1" applyFont="1" applyFill="1" applyBorder="1" applyAlignment="1">
      <alignment horizontal="center" vertical="center"/>
    </xf>
    <xf numFmtId="37" fontId="29" fillId="17" borderId="0" xfId="0" applyNumberFormat="1" applyFont="1" applyFill="1" applyBorder="1" applyAlignment="1">
      <alignment horizontal="center" vertical="center"/>
    </xf>
    <xf numFmtId="37" fontId="29" fillId="18" borderId="0" xfId="0" applyNumberFormat="1" applyFont="1" applyFill="1" applyBorder="1" applyAlignment="1">
      <alignment horizontal="center" vertical="center"/>
    </xf>
    <xf numFmtId="0" fontId="6" fillId="0" borderId="11" xfId="0" applyFont="1" applyBorder="1" applyAlignment="1">
      <alignment horizontal="left" wrapText="1"/>
    </xf>
    <xf numFmtId="0" fontId="6" fillId="0" borderId="0" xfId="0" applyFont="1" applyBorder="1" applyAlignment="1">
      <alignment horizontal="left" wrapText="1"/>
    </xf>
    <xf numFmtId="0" fontId="6" fillId="0" borderId="12" xfId="0" applyFont="1" applyBorder="1" applyAlignment="1">
      <alignment horizontal="left" wrapText="1"/>
    </xf>
    <xf numFmtId="0" fontId="5" fillId="20" borderId="0" xfId="0" applyFont="1" applyFill="1" applyAlignment="1">
      <alignment horizontal="left"/>
    </xf>
    <xf numFmtId="0" fontId="6" fillId="0" borderId="36" xfId="0" applyFont="1" applyBorder="1" applyAlignment="1"/>
    <xf numFmtId="0" fontId="32" fillId="0" borderId="38" xfId="0" applyFont="1" applyBorder="1" applyAlignment="1">
      <alignment horizontal="center"/>
    </xf>
    <xf numFmtId="0" fontId="32" fillId="0" borderId="31" xfId="0" applyFont="1" applyBorder="1" applyAlignment="1">
      <alignment horizontal="center"/>
    </xf>
    <xf numFmtId="0" fontId="32" fillId="0" borderId="32" xfId="0" applyFont="1" applyBorder="1" applyAlignment="1">
      <alignment horizontal="center"/>
    </xf>
    <xf numFmtId="164" fontId="2" fillId="38" borderId="56" xfId="13" applyNumberFormat="1" applyFont="1" applyAlignment="1">
      <alignment horizontal="center" wrapText="1"/>
    </xf>
    <xf numFmtId="0" fontId="0" fillId="24" borderId="33" xfId="0" applyFill="1" applyBorder="1" applyAlignment="1">
      <alignment horizontal="center"/>
    </xf>
    <xf numFmtId="0" fontId="0" fillId="24" borderId="34" xfId="0" applyFill="1" applyBorder="1" applyAlignment="1">
      <alignment horizontal="center"/>
    </xf>
    <xf numFmtId="0" fontId="0" fillId="24" borderId="39" xfId="0" applyFill="1" applyBorder="1" applyAlignment="1">
      <alignment horizontal="center"/>
    </xf>
    <xf numFmtId="0" fontId="0" fillId="0" borderId="33" xfId="0" applyBorder="1" applyAlignment="1">
      <alignment horizontal="center"/>
    </xf>
    <xf numFmtId="0" fontId="0" fillId="0" borderId="34" xfId="0" applyBorder="1" applyAlignment="1">
      <alignment horizontal="center"/>
    </xf>
    <xf numFmtId="0" fontId="0" fillId="0" borderId="39" xfId="0" applyBorder="1" applyAlignment="1">
      <alignment horizontal="center"/>
    </xf>
    <xf numFmtId="0" fontId="0" fillId="26" borderId="33" xfId="0" applyFill="1" applyBorder="1" applyAlignment="1">
      <alignment horizontal="center"/>
    </xf>
    <xf numFmtId="0" fontId="0" fillId="26" borderId="39" xfId="0" applyFill="1" applyBorder="1" applyAlignment="1">
      <alignment horizontal="center"/>
    </xf>
    <xf numFmtId="0" fontId="0" fillId="24" borderId="38" xfId="0" applyFill="1" applyBorder="1" applyAlignment="1">
      <alignment horizontal="center"/>
    </xf>
    <xf numFmtId="0" fontId="0" fillId="24" borderId="31" xfId="0" applyFill="1" applyBorder="1" applyAlignment="1">
      <alignment horizontal="center"/>
    </xf>
    <xf numFmtId="0" fontId="0" fillId="24" borderId="32" xfId="0" applyFill="1" applyBorder="1" applyAlignment="1">
      <alignment horizontal="center"/>
    </xf>
    <xf numFmtId="0" fontId="0" fillId="25" borderId="33" xfId="0" applyFill="1" applyBorder="1" applyAlignment="1">
      <alignment horizontal="center"/>
    </xf>
    <xf numFmtId="0" fontId="0" fillId="25" borderId="34" xfId="0" applyFill="1" applyBorder="1" applyAlignment="1">
      <alignment horizontal="center"/>
    </xf>
    <xf numFmtId="0" fontId="0" fillId="25" borderId="39" xfId="0" applyFill="1" applyBorder="1" applyAlignment="1">
      <alignment horizontal="center"/>
    </xf>
    <xf numFmtId="0" fontId="0" fillId="25" borderId="38" xfId="0" applyFill="1" applyBorder="1" applyAlignment="1">
      <alignment horizontal="center"/>
    </xf>
    <xf numFmtId="0" fontId="0" fillId="25" borderId="31" xfId="0" applyFill="1" applyBorder="1" applyAlignment="1">
      <alignment horizontal="center"/>
    </xf>
    <xf numFmtId="0" fontId="0" fillId="25" borderId="32" xfId="0" applyFill="1" applyBorder="1" applyAlignment="1">
      <alignment horizontal="center"/>
    </xf>
    <xf numFmtId="0" fontId="6" fillId="0" borderId="0" xfId="0" applyFont="1" applyFill="1" applyAlignment="1">
      <alignment horizontal="left"/>
    </xf>
    <xf numFmtId="0" fontId="4" fillId="20" borderId="38" xfId="0" applyFont="1" applyFill="1" applyBorder="1" applyAlignment="1">
      <alignment horizontal="center"/>
    </xf>
    <xf numFmtId="0" fontId="4" fillId="20" borderId="31" xfId="0" applyFont="1" applyFill="1" applyBorder="1" applyAlignment="1">
      <alignment horizontal="center"/>
    </xf>
    <xf numFmtId="0" fontId="4" fillId="20" borderId="32" xfId="0" applyFont="1" applyFill="1" applyBorder="1" applyAlignment="1">
      <alignment horizontal="center"/>
    </xf>
    <xf numFmtId="14" fontId="42" fillId="27" borderId="50" xfId="8" applyNumberFormat="1" applyBorder="1" applyAlignment="1">
      <alignment horizontal="center"/>
    </xf>
    <xf numFmtId="0" fontId="42" fillId="27" borderId="50" xfId="8" applyBorder="1" applyAlignment="1">
      <alignment horizontal="center"/>
    </xf>
    <xf numFmtId="167" fontId="42" fillId="27" borderId="0" xfId="8" applyNumberFormat="1" applyBorder="1" applyAlignment="1">
      <alignment horizontal="center"/>
    </xf>
    <xf numFmtId="0" fontId="0" fillId="3" borderId="37" xfId="0" applyFill="1" applyBorder="1" applyAlignment="1">
      <alignment horizontal="center"/>
    </xf>
    <xf numFmtId="0" fontId="0" fillId="3" borderId="0" xfId="0" applyFill="1" applyBorder="1" applyAlignment="1">
      <alignment horizontal="center"/>
    </xf>
    <xf numFmtId="0" fontId="0" fillId="3" borderId="17" xfId="0" applyFill="1" applyBorder="1" applyAlignment="1">
      <alignment horizontal="center"/>
    </xf>
    <xf numFmtId="0" fontId="0" fillId="26" borderId="34" xfId="0" applyFill="1" applyBorder="1" applyAlignment="1">
      <alignment horizontal="center"/>
    </xf>
    <xf numFmtId="0" fontId="4" fillId="0" borderId="33" xfId="0" applyFont="1" applyBorder="1" applyAlignment="1">
      <alignment horizontal="center"/>
    </xf>
    <xf numFmtId="0" fontId="4" fillId="0" borderId="34" xfId="0" applyFont="1" applyBorder="1" applyAlignment="1">
      <alignment horizontal="center"/>
    </xf>
    <xf numFmtId="0" fontId="4" fillId="0" borderId="39" xfId="0" applyFont="1" applyBorder="1" applyAlignment="1">
      <alignment horizontal="center"/>
    </xf>
    <xf numFmtId="0" fontId="4" fillId="0" borderId="37" xfId="0" applyFont="1" applyBorder="1" applyAlignment="1">
      <alignment horizontal="center"/>
    </xf>
    <xf numFmtId="0" fontId="4" fillId="0" borderId="0" xfId="0" applyFont="1" applyBorder="1" applyAlignment="1">
      <alignment horizontal="center"/>
    </xf>
    <xf numFmtId="0" fontId="4" fillId="0" borderId="17" xfId="0" applyFont="1" applyBorder="1" applyAlignment="1">
      <alignment horizontal="center"/>
    </xf>
    <xf numFmtId="0" fontId="0" fillId="20" borderId="33" xfId="0" applyFill="1" applyBorder="1" applyAlignment="1">
      <alignment horizontal="center"/>
    </xf>
    <xf numFmtId="0" fontId="0" fillId="20" borderId="34" xfId="0" applyFill="1" applyBorder="1" applyAlignment="1">
      <alignment horizontal="center"/>
    </xf>
    <xf numFmtId="0" fontId="0" fillId="20" borderId="39" xfId="0" applyFill="1" applyBorder="1" applyAlignment="1">
      <alignment horizontal="center"/>
    </xf>
    <xf numFmtId="0" fontId="42" fillId="27" borderId="0" xfId="8" applyBorder="1" applyAlignment="1">
      <alignment horizontal="center"/>
    </xf>
    <xf numFmtId="0" fontId="0" fillId="3" borderId="33" xfId="0" applyFill="1" applyBorder="1" applyAlignment="1">
      <alignment horizontal="center"/>
    </xf>
    <xf numFmtId="0" fontId="0" fillId="3" borderId="34" xfId="0" applyFill="1" applyBorder="1" applyAlignment="1">
      <alignment horizontal="center"/>
    </xf>
    <xf numFmtId="0" fontId="0" fillId="3" borderId="39" xfId="0" applyFill="1" applyBorder="1" applyAlignment="1">
      <alignment horizontal="center"/>
    </xf>
    <xf numFmtId="0" fontId="4" fillId="0" borderId="0" xfId="0" applyFont="1" applyAlignment="1">
      <alignment horizontal="center"/>
    </xf>
    <xf numFmtId="0" fontId="0" fillId="25" borderId="37" xfId="0" applyFill="1" applyBorder="1" applyAlignment="1">
      <alignment horizontal="center"/>
    </xf>
    <xf numFmtId="0" fontId="0" fillId="25" borderId="0" xfId="0" applyFill="1" applyBorder="1" applyAlignment="1">
      <alignment horizontal="center"/>
    </xf>
    <xf numFmtId="0" fontId="0" fillId="25" borderId="17" xfId="0" applyFill="1" applyBorder="1" applyAlignment="1">
      <alignment horizontal="center"/>
    </xf>
    <xf numFmtId="0" fontId="0" fillId="24" borderId="33" xfId="0" applyFont="1" applyFill="1" applyBorder="1" applyAlignment="1">
      <alignment horizontal="center"/>
    </xf>
    <xf numFmtId="0" fontId="0" fillId="24" borderId="34" xfId="0" applyFont="1" applyFill="1" applyBorder="1" applyAlignment="1">
      <alignment horizontal="center"/>
    </xf>
    <xf numFmtId="0" fontId="0" fillId="24" borderId="39" xfId="0" applyFont="1" applyFill="1" applyBorder="1" applyAlignment="1">
      <alignment horizontal="center"/>
    </xf>
    <xf numFmtId="0" fontId="0" fillId="0" borderId="0" xfId="0"/>
    <xf numFmtId="41" fontId="70" fillId="0" borderId="0" xfId="15" applyNumberFormat="1" applyFont="1" applyAlignment="1">
      <alignment horizontal="center"/>
    </xf>
    <xf numFmtId="0" fontId="70" fillId="0" borderId="0" xfId="15" applyFont="1" applyAlignment="1">
      <alignment horizontal="center"/>
    </xf>
    <xf numFmtId="0" fontId="64" fillId="0" borderId="0" xfId="15" applyAlignment="1">
      <alignment horizontal="center"/>
    </xf>
    <xf numFmtId="0" fontId="64" fillId="0" borderId="0" xfId="15" applyAlignment="1">
      <alignment horizontal="center" wrapText="1"/>
    </xf>
  </cellXfs>
  <cellStyles count="22">
    <cellStyle name="40% - Accent2" xfId="18" builtinId="35"/>
    <cellStyle name="Accent4" xfId="19" builtinId="41"/>
    <cellStyle name="Bad" xfId="9" builtinId="27"/>
    <cellStyle name="Calculation" xfId="10" builtinId="22"/>
    <cellStyle name="Comma" xfId="1" builtinId="3"/>
    <cellStyle name="Comma 2" xfId="5"/>
    <cellStyle name="Comma 3" xfId="16"/>
    <cellStyle name="Currency" xfId="2" builtinId="4"/>
    <cellStyle name="Good" xfId="8" builtinId="26"/>
    <cellStyle name="Good 2" xfId="17"/>
    <cellStyle name="Input" xfId="4" builtinId="20"/>
    <cellStyle name="Neutral" xfId="14" builtinId="28"/>
    <cellStyle name="Normal" xfId="0" builtinId="0"/>
    <cellStyle name="Normal 106" xfId="21"/>
    <cellStyle name="Normal 2" xfId="15"/>
    <cellStyle name="Normal 2 9" xfId="6"/>
    <cellStyle name="Normal 4" xfId="12"/>
    <cellStyle name="Normal_FY04_BAM_Prelim_June11" xfId="7"/>
    <cellStyle name="Normal_FY05_BAM_v023" xfId="11"/>
    <cellStyle name="Note" xfId="13" builtinId="10"/>
    <cellStyle name="Percent" xfId="3" builtinId="5"/>
    <cellStyle name="Percent 2" xfId="20"/>
  </cellStyles>
  <dxfs count="0"/>
  <tableStyles count="0" defaultTableStyle="TableStyleMedium2" defaultPivotStyle="PivotStyleLight16"/>
  <colors>
    <mruColors>
      <color rgb="FFFF2F9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person displayName="Campbell, Kayla Nicole" id="{EDAD68AE-A978-4505-A132-D481D9941E22}" userId="S::campbkay@oregonstate.edu::0be03983-34c4-4a01-abcf-d2039bab6371"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H19" dT="2022-05-06T17:08:36.61" personId="{EDAD68AE-A978-4505-A132-D481D9941E22}" id="{113689A6-50CC-4665-9E2E-347BAF53AB8C}">
    <text>HB 5202 OSU repair/maintenance of research vessel  $350,000</text>
  </threadedComment>
  <threadedComment ref="H21" dT="2022-05-06T16:59:28.53" personId="{EDAD68AE-A978-4505-A132-D481D9941E22}" id="{6F423C9C-CE33-4BEC-A857-D82592B958EB}">
    <text>=186563+127500 (new funding)</text>
  </threadedComment>
</ThreadedComments>
</file>

<file path=xl/threadedComments/threadedComment2.xml><?xml version="1.0" encoding="utf-8"?>
<ThreadedComments xmlns="http://schemas.microsoft.com/office/spreadsheetml/2018/threadedcomments" xmlns:x="http://schemas.openxmlformats.org/spreadsheetml/2006/main">
  <threadedComment ref="E7" dT="2022-05-13T16:58:31.52" personId="{EDAD68AE-A978-4505-A132-D481D9941E22}" id="{E1F43218-1143-4D58-8385-BA67552FA70B}">
    <text>Per Sherm - Ecampus should receive the FY22 amounts we passed out. Reversing this entry and adding back the raises below.</text>
  </threadedComment>
</ThreadedComments>
</file>

<file path=xl/threadedComments/threadedComment3.xml><?xml version="1.0" encoding="utf-8"?>
<ThreadedComments xmlns="http://schemas.microsoft.com/office/spreadsheetml/2018/threadedcomments" xmlns:x="http://schemas.openxmlformats.org/spreadsheetml/2006/main">
  <threadedComment ref="F5" dT="2022-07-20T16:05:26.82" personId="{EDAD68AE-A978-4505-A132-D481D9941E22}" id="{BF784CDD-C0F9-457B-A68E-34E6EC4F6D6E}">
    <text>Increased 10k for forestry.</text>
  </threadedComment>
  <threadedComment ref="L12" dT="2022-07-20T16:03:17.59" personId="{EDAD68AE-A978-4505-A132-D481D9941E22}" id="{17A369DF-DC1E-4184-89B9-B9C00B1743E4}">
    <text>Sunny Rong has requested the initial budget be $114k.</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 Id="rId4" Type="http://schemas.microsoft.com/office/2017/10/relationships/threadedComment" Target="../threadedComments/threadedComment2.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1.bin"/><Relationship Id="rId4" Type="http://schemas.microsoft.com/office/2017/10/relationships/threadedComment" Target="../threadedComments/threadedComment3.xml"/></Relationships>
</file>

<file path=xl/worksheets/_rels/sheet13.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 Id="rId4" Type="http://schemas.microsoft.com/office/2017/10/relationships/threadedComment" Target="../threadedComments/threadedComment1.xml"/></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33"/>
  <sheetViews>
    <sheetView workbookViewId="0">
      <selection sqref="A1:B1"/>
    </sheetView>
  </sheetViews>
  <sheetFormatPr defaultColWidth="8.85546875" defaultRowHeight="15"/>
  <cols>
    <col min="1" max="1" width="27.42578125" bestFit="1" customWidth="1"/>
    <col min="2" max="2" width="114.42578125" style="163" customWidth="1"/>
  </cols>
  <sheetData>
    <row r="1" spans="1:2">
      <c r="A1" s="1196" t="s">
        <v>500</v>
      </c>
      <c r="B1" s="1196"/>
    </row>
    <row r="2" spans="1:2">
      <c r="B2" s="163" t="s">
        <v>620</v>
      </c>
    </row>
    <row r="3" spans="1:2">
      <c r="B3" s="163" t="s">
        <v>483</v>
      </c>
    </row>
    <row r="4" spans="1:2">
      <c r="A4" t="s">
        <v>464</v>
      </c>
      <c r="B4" s="163" t="s">
        <v>489</v>
      </c>
    </row>
    <row r="5" spans="1:2" ht="75">
      <c r="A5" t="s">
        <v>465</v>
      </c>
      <c r="B5" s="163" t="s">
        <v>490</v>
      </c>
    </row>
    <row r="6" spans="1:2">
      <c r="A6" t="s">
        <v>466</v>
      </c>
      <c r="B6" s="163" t="s">
        <v>498</v>
      </c>
    </row>
    <row r="7" spans="1:2" ht="30">
      <c r="A7" t="s">
        <v>467</v>
      </c>
      <c r="B7" s="163" t="s">
        <v>491</v>
      </c>
    </row>
    <row r="8" spans="1:2" ht="30">
      <c r="B8" s="163" t="s">
        <v>529</v>
      </c>
    </row>
    <row r="9" spans="1:2" ht="30">
      <c r="A9" t="s">
        <v>463</v>
      </c>
      <c r="B9" s="163" t="s">
        <v>499</v>
      </c>
    </row>
    <row r="10" spans="1:2" ht="45">
      <c r="A10" t="s">
        <v>468</v>
      </c>
      <c r="B10" s="163" t="s">
        <v>621</v>
      </c>
    </row>
    <row r="11" spans="1:2" ht="45">
      <c r="A11" t="s">
        <v>469</v>
      </c>
      <c r="B11" s="163" t="s">
        <v>622</v>
      </c>
    </row>
    <row r="12" spans="1:2" ht="45">
      <c r="A12" t="s">
        <v>470</v>
      </c>
      <c r="B12" s="163" t="s">
        <v>530</v>
      </c>
    </row>
    <row r="14" spans="1:2">
      <c r="A14" s="1197" t="s">
        <v>502</v>
      </c>
      <c r="B14" s="1197"/>
    </row>
    <row r="15" spans="1:2">
      <c r="A15" s="1198" t="s">
        <v>537</v>
      </c>
      <c r="B15" s="1198"/>
    </row>
    <row r="16" spans="1:2">
      <c r="A16" s="1199" t="s">
        <v>537</v>
      </c>
      <c r="B16" s="1199"/>
    </row>
    <row r="17" spans="1:2">
      <c r="A17" s="1196" t="s">
        <v>501</v>
      </c>
      <c r="B17" s="1196"/>
    </row>
    <row r="18" spans="1:2">
      <c r="A18" t="s">
        <v>486</v>
      </c>
      <c r="B18" s="163" t="s">
        <v>511</v>
      </c>
    </row>
    <row r="19" spans="1:2" ht="75">
      <c r="A19" t="s">
        <v>485</v>
      </c>
      <c r="B19" s="163" t="s">
        <v>531</v>
      </c>
    </row>
    <row r="20" spans="1:2" ht="30">
      <c r="A20" t="s">
        <v>487</v>
      </c>
      <c r="B20" s="163" t="s">
        <v>512</v>
      </c>
    </row>
    <row r="21" spans="1:2" ht="105">
      <c r="A21" t="s">
        <v>488</v>
      </c>
      <c r="B21" s="163" t="s">
        <v>513</v>
      </c>
    </row>
    <row r="22" spans="1:2" ht="75">
      <c r="A22" t="s">
        <v>199</v>
      </c>
      <c r="B22" s="163" t="s">
        <v>514</v>
      </c>
    </row>
    <row r="23" spans="1:2" ht="60">
      <c r="A23" t="s">
        <v>492</v>
      </c>
      <c r="B23" s="163" t="s">
        <v>532</v>
      </c>
    </row>
    <row r="24" spans="1:2" ht="60">
      <c r="A24" t="s">
        <v>493</v>
      </c>
      <c r="B24" s="163" t="s">
        <v>533</v>
      </c>
    </row>
    <row r="25" spans="1:2" ht="45">
      <c r="A25" t="s">
        <v>166</v>
      </c>
      <c r="B25" s="163" t="s">
        <v>515</v>
      </c>
    </row>
    <row r="26" spans="1:2" ht="30">
      <c r="A26" t="s">
        <v>94</v>
      </c>
      <c r="B26" s="163" t="s">
        <v>516</v>
      </c>
    </row>
    <row r="27" spans="1:2" ht="30">
      <c r="A27" t="s">
        <v>133</v>
      </c>
      <c r="B27" s="163" t="s">
        <v>517</v>
      </c>
    </row>
    <row r="28" spans="1:2" ht="60">
      <c r="A28" t="s">
        <v>494</v>
      </c>
      <c r="B28" s="163" t="s">
        <v>524</v>
      </c>
    </row>
    <row r="29" spans="1:2">
      <c r="A29" t="s">
        <v>242</v>
      </c>
      <c r="B29" s="163" t="s">
        <v>534</v>
      </c>
    </row>
    <row r="30" spans="1:2" ht="30">
      <c r="A30" t="s">
        <v>495</v>
      </c>
      <c r="B30" s="163" t="s">
        <v>518</v>
      </c>
    </row>
    <row r="31" spans="1:2" ht="75">
      <c r="A31" t="s">
        <v>496</v>
      </c>
      <c r="B31" s="163" t="s">
        <v>623</v>
      </c>
    </row>
    <row r="32" spans="1:2" s="643" customFormat="1" ht="30">
      <c r="A32" s="643" t="s">
        <v>614</v>
      </c>
      <c r="B32" s="163" t="s">
        <v>624</v>
      </c>
    </row>
    <row r="33" spans="1:2">
      <c r="A33" t="s">
        <v>497</v>
      </c>
      <c r="B33" s="163" t="s">
        <v>505</v>
      </c>
    </row>
  </sheetData>
  <mergeCells count="5">
    <mergeCell ref="A1:B1"/>
    <mergeCell ref="A17:B17"/>
    <mergeCell ref="A14:B14"/>
    <mergeCell ref="A15:B15"/>
    <mergeCell ref="A16:B16"/>
  </mergeCells>
  <pageMargins left="0.7" right="0.7" top="0.75" bottom="0.75" header="0.3" footer="0.3"/>
  <pageSetup orientation="portrait" horizontalDpi="1200" verticalDpi="1200"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sheetPr>
  <dimension ref="A1:N163"/>
  <sheetViews>
    <sheetView workbookViewId="0"/>
  </sheetViews>
  <sheetFormatPr defaultColWidth="8.85546875" defaultRowHeight="15"/>
  <cols>
    <col min="1" max="1" width="42.42578125" bestFit="1" customWidth="1"/>
    <col min="2" max="2" width="11.5703125" bestFit="1" customWidth="1"/>
    <col min="3" max="3" width="11.28515625" bestFit="1" customWidth="1"/>
    <col min="4" max="4" width="10.28515625" bestFit="1" customWidth="1"/>
    <col min="5" max="5" width="52.7109375" bestFit="1" customWidth="1"/>
    <col min="6" max="6" width="11" bestFit="1" customWidth="1"/>
    <col min="9" max="9" width="13.5703125" bestFit="1" customWidth="1"/>
    <col min="10" max="10" width="14.28515625" bestFit="1" customWidth="1"/>
    <col min="11" max="11" width="50.42578125" bestFit="1" customWidth="1"/>
    <col min="12" max="12" width="11.5703125" bestFit="1" customWidth="1"/>
    <col min="13" max="13" width="11.7109375" bestFit="1" customWidth="1"/>
    <col min="14" max="14" width="9.7109375" bestFit="1" customWidth="1"/>
  </cols>
  <sheetData>
    <row r="1" spans="1:14" ht="15.75" thickBot="1">
      <c r="A1" s="557" t="s">
        <v>612</v>
      </c>
      <c r="B1" s="556"/>
      <c r="C1" s="556"/>
      <c r="D1" s="556"/>
      <c r="E1" s="556"/>
      <c r="F1" s="556"/>
    </row>
    <row r="2" spans="1:14" ht="15.75" thickTop="1">
      <c r="A2" s="167"/>
      <c r="B2" s="167"/>
      <c r="C2" s="167"/>
      <c r="D2" s="487"/>
      <c r="E2" s="167"/>
      <c r="F2" s="167"/>
    </row>
    <row r="3" spans="1:14" ht="26.25">
      <c r="A3" s="647"/>
      <c r="B3" s="648" t="s">
        <v>359</v>
      </c>
      <c r="C3" s="647" t="s">
        <v>603</v>
      </c>
      <c r="D3" s="647" t="s">
        <v>602</v>
      </c>
      <c r="E3" s="647" t="s">
        <v>360</v>
      </c>
      <c r="F3" s="649" t="s">
        <v>578</v>
      </c>
      <c r="G3" s="1038"/>
      <c r="J3" s="973"/>
      <c r="L3" s="141"/>
      <c r="M3" s="141"/>
      <c r="N3" s="141"/>
    </row>
    <row r="4" spans="1:14" s="900" customFormat="1">
      <c r="A4" s="860" t="s">
        <v>166</v>
      </c>
      <c r="B4" s="949"/>
      <c r="C4" s="950">
        <f>+'Service Support &amp; Mgmt'!F9*0.039</f>
        <v>945961.41899999999</v>
      </c>
      <c r="D4" s="950"/>
      <c r="E4" s="957" t="s">
        <v>840</v>
      </c>
      <c r="F4" s="955">
        <f>SUM(B4:D10)</f>
        <v>945961.41899999999</v>
      </c>
      <c r="I4" s="350"/>
      <c r="J4" s="973"/>
      <c r="K4"/>
      <c r="L4" s="141"/>
      <c r="M4" s="141"/>
      <c r="N4" s="141"/>
    </row>
    <row r="5" spans="1:14" s="900" customFormat="1">
      <c r="A5" s="945"/>
      <c r="B5" s="951"/>
      <c r="C5" s="952"/>
      <c r="D5" s="952"/>
      <c r="E5" s="971"/>
      <c r="F5" s="946"/>
      <c r="G5" s="1034"/>
      <c r="I5" s="1164"/>
      <c r="J5" s="973"/>
      <c r="K5" s="1034"/>
      <c r="L5" s="141"/>
      <c r="M5" s="141"/>
      <c r="N5" s="141"/>
    </row>
    <row r="6" spans="1:14" s="1138" customFormat="1">
      <c r="A6" s="945"/>
      <c r="B6" s="951"/>
      <c r="C6" s="952"/>
      <c r="D6" s="952"/>
      <c r="E6" s="971"/>
      <c r="F6" s="946"/>
      <c r="I6" s="1165"/>
      <c r="L6" s="141"/>
      <c r="M6" s="141"/>
      <c r="N6" s="141"/>
    </row>
    <row r="7" spans="1:14" s="900" customFormat="1">
      <c r="A7" s="945"/>
      <c r="B7" s="951"/>
      <c r="C7" s="952"/>
      <c r="D7" s="952"/>
      <c r="E7" s="971"/>
      <c r="F7" s="946"/>
      <c r="G7" s="1034"/>
      <c r="I7" s="350"/>
      <c r="J7" s="973"/>
      <c r="K7" s="1034"/>
      <c r="L7" s="141"/>
      <c r="M7" s="141"/>
      <c r="N7" s="141"/>
    </row>
    <row r="8" spans="1:14" s="1034" customFormat="1">
      <c r="A8" s="945"/>
      <c r="B8" s="951"/>
      <c r="C8" s="952"/>
      <c r="D8" s="952"/>
      <c r="E8" s="971"/>
      <c r="F8" s="946"/>
      <c r="I8" s="350"/>
      <c r="L8" s="141"/>
      <c r="M8" s="141"/>
      <c r="N8" s="141"/>
    </row>
    <row r="9" spans="1:14" s="1138" customFormat="1">
      <c r="A9" s="945"/>
      <c r="B9" s="951"/>
      <c r="C9" s="952"/>
      <c r="D9" s="952"/>
      <c r="E9" s="971"/>
      <c r="F9" s="946"/>
      <c r="I9" s="350"/>
      <c r="L9" s="141"/>
      <c r="M9" s="141"/>
      <c r="N9" s="141"/>
    </row>
    <row r="10" spans="1:14" s="900" customFormat="1">
      <c r="A10" s="947"/>
      <c r="B10" s="953"/>
      <c r="C10" s="954"/>
      <c r="D10" s="954"/>
      <c r="E10" s="972"/>
      <c r="F10" s="948"/>
      <c r="G10" s="1034"/>
      <c r="I10" s="1124"/>
      <c r="J10" s="285"/>
      <c r="K10" s="1034"/>
      <c r="L10" s="141"/>
      <c r="M10" s="141"/>
      <c r="N10" s="141"/>
    </row>
    <row r="11" spans="1:14">
      <c r="A11" s="652" t="s">
        <v>671</v>
      </c>
      <c r="B11" s="653"/>
      <c r="C11" s="653">
        <f>+'Service Support &amp; Mgmt'!F10*0.039</f>
        <v>27044.667000000001</v>
      </c>
      <c r="D11" s="653"/>
      <c r="E11" s="196" t="s">
        <v>840</v>
      </c>
      <c r="F11" s="654">
        <f>SUM(B11:D15)</f>
        <v>27044.667000000001</v>
      </c>
      <c r="G11" s="1034"/>
      <c r="I11" s="1138"/>
      <c r="J11" s="1138"/>
      <c r="L11" s="141"/>
      <c r="M11" s="141"/>
      <c r="N11" s="141"/>
    </row>
    <row r="12" spans="1:14" s="1034" customFormat="1">
      <c r="A12" s="652"/>
      <c r="B12" s="653"/>
      <c r="C12" s="653"/>
      <c r="D12" s="653"/>
      <c r="E12" s="196"/>
      <c r="F12" s="654"/>
      <c r="I12" s="1138"/>
      <c r="J12" s="1138"/>
      <c r="K12" s="973"/>
      <c r="L12" s="523"/>
      <c r="M12" s="141"/>
      <c r="N12" s="141"/>
    </row>
    <row r="13" spans="1:14">
      <c r="A13" s="652"/>
      <c r="B13" s="653"/>
      <c r="C13" s="653"/>
      <c r="D13" s="653"/>
      <c r="E13" s="196"/>
      <c r="F13" s="654"/>
      <c r="G13" s="1034"/>
      <c r="I13" s="1138"/>
      <c r="J13" s="1138"/>
      <c r="K13" s="973"/>
    </row>
    <row r="14" spans="1:14">
      <c r="A14" s="652"/>
      <c r="B14" s="653"/>
      <c r="C14" s="653"/>
      <c r="D14" s="653"/>
      <c r="E14" s="196"/>
      <c r="F14" s="654"/>
      <c r="G14" s="1034"/>
      <c r="I14" s="141"/>
      <c r="J14" s="973"/>
      <c r="K14" s="973"/>
    </row>
    <row r="15" spans="1:14">
      <c r="A15" s="655"/>
      <c r="B15" s="656"/>
      <c r="C15" s="656"/>
      <c r="D15" s="656"/>
      <c r="E15" s="657"/>
      <c r="F15" s="658"/>
      <c r="G15" s="1034"/>
      <c r="H15" s="515"/>
      <c r="I15" s="188"/>
      <c r="J15" s="973"/>
      <c r="K15" s="973"/>
    </row>
    <row r="16" spans="1:14">
      <c r="A16" s="683" t="s">
        <v>153</v>
      </c>
      <c r="B16" s="650"/>
      <c r="C16" s="650">
        <f>+'Service Support &amp; Mgmt'!F11*0.039</f>
        <v>515420.13900000002</v>
      </c>
      <c r="D16" s="650"/>
      <c r="E16" s="670" t="s">
        <v>840</v>
      </c>
      <c r="F16" s="651">
        <f>SUM(B16:D23)</f>
        <v>515420.13900000002</v>
      </c>
      <c r="G16" s="1034"/>
      <c r="H16" s="515"/>
      <c r="I16" s="188"/>
      <c r="K16" s="523"/>
      <c r="L16" s="285"/>
    </row>
    <row r="17" spans="1:11">
      <c r="A17" s="565"/>
      <c r="B17" s="672"/>
      <c r="C17" s="672"/>
      <c r="D17" s="672"/>
      <c r="E17" s="492"/>
      <c r="F17" s="98"/>
      <c r="G17" s="1034"/>
      <c r="H17" s="515"/>
      <c r="I17" s="1138"/>
    </row>
    <row r="18" spans="1:11">
      <c r="A18" s="671"/>
      <c r="B18" s="49"/>
      <c r="C18" s="533"/>
      <c r="D18" s="672"/>
      <c r="E18" s="492"/>
      <c r="F18" s="673"/>
      <c r="G18" s="1034"/>
      <c r="H18" s="515"/>
      <c r="I18" s="1138"/>
    </row>
    <row r="19" spans="1:11" s="1034" customFormat="1">
      <c r="A19" s="671"/>
      <c r="B19" s="49"/>
      <c r="C19" s="533"/>
      <c r="D19" s="672"/>
      <c r="E19" s="492"/>
      <c r="F19" s="673"/>
    </row>
    <row r="20" spans="1:11" s="1034" customFormat="1">
      <c r="A20" s="671"/>
      <c r="B20" s="49"/>
      <c r="C20" s="533"/>
      <c r="D20" s="672"/>
      <c r="E20" s="492"/>
      <c r="F20" s="673"/>
    </row>
    <row r="21" spans="1:11" s="1034" customFormat="1">
      <c r="A21" s="671"/>
      <c r="B21" s="533"/>
      <c r="C21" s="533"/>
      <c r="D21" s="672"/>
      <c r="E21" s="492"/>
      <c r="F21" s="673"/>
    </row>
    <row r="22" spans="1:11" s="1034" customFormat="1">
      <c r="A22" s="671"/>
      <c r="B22" s="533"/>
      <c r="C22" s="533"/>
      <c r="D22" s="672"/>
      <c r="E22" s="492"/>
      <c r="F22" s="673"/>
    </row>
    <row r="23" spans="1:11">
      <c r="A23" s="695"/>
      <c r="B23" s="687"/>
      <c r="C23" s="676"/>
      <c r="D23" s="676"/>
      <c r="E23" s="678"/>
      <c r="F23" s="696"/>
      <c r="G23" s="1034"/>
    </row>
    <row r="24" spans="1:11">
      <c r="A24" s="728" t="s">
        <v>586</v>
      </c>
      <c r="B24" s="729"/>
      <c r="C24" s="729">
        <f>+'Service Support &amp; Mgmt'!F15*0.039</f>
        <v>406778.424</v>
      </c>
      <c r="D24" s="729"/>
      <c r="E24" s="722" t="s">
        <v>840</v>
      </c>
      <c r="F24" s="730">
        <f>SUM(B24:D39)</f>
        <v>406778.424</v>
      </c>
      <c r="G24" s="1034"/>
    </row>
    <row r="25" spans="1:11" s="643" customFormat="1">
      <c r="A25" s="707"/>
      <c r="B25" s="713"/>
      <c r="C25" s="713"/>
      <c r="D25" s="713"/>
      <c r="E25" s="642"/>
      <c r="F25" s="714"/>
      <c r="G25" s="1034"/>
    </row>
    <row r="26" spans="1:11" s="643" customFormat="1">
      <c r="A26" s="831"/>
      <c r="B26" s="713"/>
      <c r="C26" s="713"/>
      <c r="D26" s="713"/>
      <c r="E26" s="642"/>
      <c r="F26" s="714"/>
      <c r="G26" s="1034"/>
    </row>
    <row r="27" spans="1:11" s="868" customFormat="1">
      <c r="A27" s="831"/>
      <c r="B27" s="713"/>
      <c r="C27" s="713"/>
      <c r="D27" s="713"/>
      <c r="E27" s="642"/>
      <c r="F27" s="714"/>
      <c r="G27" s="1034"/>
    </row>
    <row r="28" spans="1:11" s="1041" customFormat="1">
      <c r="A28" s="831"/>
      <c r="B28" s="713"/>
      <c r="C28" s="713"/>
      <c r="D28" s="713"/>
      <c r="E28" s="642"/>
      <c r="F28" s="714"/>
    </row>
    <row r="29" spans="1:11" s="1150" customFormat="1">
      <c r="A29" s="831"/>
      <c r="B29" s="713"/>
      <c r="C29" s="713"/>
      <c r="D29" s="713"/>
      <c r="E29" s="642"/>
      <c r="F29" s="714"/>
    </row>
    <row r="30" spans="1:11" s="643" customFormat="1">
      <c r="A30" s="831"/>
      <c r="B30" s="713"/>
      <c r="C30" s="713"/>
      <c r="D30" s="713"/>
      <c r="E30" s="642"/>
      <c r="F30" s="714"/>
      <c r="G30" s="1034"/>
    </row>
    <row r="31" spans="1:11" s="1143" customFormat="1">
      <c r="A31" s="831"/>
      <c r="B31" s="713"/>
      <c r="C31" s="713"/>
      <c r="D31" s="713"/>
      <c r="E31" s="642"/>
      <c r="F31" s="714"/>
    </row>
    <row r="32" spans="1:11" s="830" customFormat="1">
      <c r="A32" s="831"/>
      <c r="B32" s="713"/>
      <c r="C32" s="713"/>
      <c r="D32" s="713"/>
      <c r="E32" s="642"/>
      <c r="F32" s="714"/>
      <c r="G32" s="1034"/>
      <c r="K32" s="523"/>
    </row>
    <row r="33" spans="1:7" s="830" customFormat="1">
      <c r="A33" s="831"/>
      <c r="B33" s="713"/>
      <c r="C33" s="713"/>
      <c r="D33" s="713"/>
      <c r="E33" s="642"/>
      <c r="F33" s="714"/>
      <c r="G33" s="1034"/>
    </row>
    <row r="34" spans="1:7" s="1033" customFormat="1">
      <c r="A34" s="831"/>
      <c r="B34" s="713"/>
      <c r="C34" s="713"/>
      <c r="D34" s="713"/>
      <c r="E34" s="642"/>
      <c r="F34" s="714"/>
      <c r="G34" s="1034"/>
    </row>
    <row r="35" spans="1:7" s="1033" customFormat="1">
      <c r="A35" s="831"/>
      <c r="B35" s="713"/>
      <c r="C35" s="713"/>
      <c r="D35" s="713"/>
      <c r="E35" s="642"/>
      <c r="F35" s="714"/>
      <c r="G35" s="1034"/>
    </row>
    <row r="36" spans="1:7" s="1033" customFormat="1">
      <c r="A36" s="831"/>
      <c r="B36" s="713"/>
      <c r="C36" s="713"/>
      <c r="D36" s="713"/>
      <c r="E36" s="642"/>
      <c r="F36" s="714"/>
      <c r="G36" s="1034"/>
    </row>
    <row r="37" spans="1:7" s="1033" customFormat="1">
      <c r="A37" s="831"/>
      <c r="B37" s="713"/>
      <c r="C37" s="713"/>
      <c r="D37" s="713"/>
      <c r="E37" s="642"/>
      <c r="F37" s="714"/>
      <c r="G37" s="1034"/>
    </row>
    <row r="38" spans="1:7" s="1033" customFormat="1">
      <c r="A38" s="831"/>
      <c r="B38" s="713"/>
      <c r="C38" s="713"/>
      <c r="D38" s="713"/>
      <c r="E38" s="642"/>
      <c r="F38" s="714"/>
      <c r="G38" s="1034"/>
    </row>
    <row r="39" spans="1:7">
      <c r="A39" s="707"/>
      <c r="B39" s="713"/>
      <c r="C39" s="713"/>
      <c r="D39" s="713"/>
      <c r="E39" s="642"/>
      <c r="F39" s="714"/>
      <c r="G39" s="1034"/>
    </row>
    <row r="40" spans="1:7">
      <c r="A40" s="683" t="s">
        <v>159</v>
      </c>
      <c r="B40" s="650"/>
      <c r="C40" s="650">
        <f>+'Service Support &amp; Mgmt'!F16*0.039</f>
        <v>165647.78099999999</v>
      </c>
      <c r="D40" s="650"/>
      <c r="E40" s="670" t="s">
        <v>840</v>
      </c>
      <c r="F40" s="651">
        <f>SUM(B40:D44)</f>
        <v>165647.78099999999</v>
      </c>
      <c r="G40" s="1034"/>
    </row>
    <row r="41" spans="1:7" s="1034" customFormat="1">
      <c r="A41" s="671"/>
      <c r="B41" s="672"/>
      <c r="C41" s="672"/>
      <c r="D41" s="672"/>
      <c r="E41" s="492"/>
      <c r="F41" s="673"/>
    </row>
    <row r="42" spans="1:7" s="1034" customFormat="1">
      <c r="A42" s="671"/>
      <c r="B42" s="672"/>
      <c r="C42" s="672"/>
      <c r="D42" s="672"/>
      <c r="E42" s="492"/>
      <c r="F42" s="673"/>
    </row>
    <row r="43" spans="1:7" s="900" customFormat="1">
      <c r="A43" s="671"/>
      <c r="B43" s="672"/>
      <c r="C43" s="672"/>
      <c r="D43" s="672"/>
      <c r="E43" s="492"/>
      <c r="F43" s="673"/>
      <c r="G43" s="1034"/>
    </row>
    <row r="44" spans="1:7" s="808" customFormat="1">
      <c r="A44" s="675"/>
      <c r="B44" s="676"/>
      <c r="C44" s="676"/>
      <c r="D44" s="676"/>
      <c r="E44" s="678"/>
      <c r="F44" s="679"/>
      <c r="G44" s="1034"/>
    </row>
    <row r="45" spans="1:7">
      <c r="A45" s="720" t="s">
        <v>160</v>
      </c>
      <c r="B45" s="721"/>
      <c r="C45" s="721">
        <f>+'Service Support &amp; Mgmt'!F17*0.039</f>
        <v>47788.805999999997</v>
      </c>
      <c r="D45" s="721"/>
      <c r="E45" s="722" t="s">
        <v>840</v>
      </c>
      <c r="F45" s="723">
        <f>SUM(B45:D50)</f>
        <v>47788.805999999997</v>
      </c>
      <c r="G45" s="1034"/>
    </row>
    <row r="46" spans="1:7" s="643" customFormat="1">
      <c r="A46" s="640"/>
      <c r="B46" s="715"/>
      <c r="C46" s="715"/>
      <c r="D46" s="715"/>
      <c r="E46" s="642"/>
      <c r="F46" s="716"/>
      <c r="G46" s="1034"/>
    </row>
    <row r="47" spans="1:7" s="643" customFormat="1">
      <c r="A47" s="640"/>
      <c r="B47" s="715"/>
      <c r="C47" s="715"/>
      <c r="D47" s="715"/>
      <c r="E47" s="642"/>
      <c r="F47" s="716"/>
      <c r="G47" s="1034"/>
    </row>
    <row r="48" spans="1:7" s="643" customFormat="1">
      <c r="A48" s="640"/>
      <c r="B48" s="715"/>
      <c r="C48" s="715"/>
      <c r="D48" s="715"/>
      <c r="E48" s="642"/>
      <c r="F48" s="716"/>
      <c r="G48" s="1034"/>
    </row>
    <row r="49" spans="1:7" s="1034" customFormat="1">
      <c r="A49" s="640"/>
      <c r="B49" s="715"/>
      <c r="C49" s="715"/>
      <c r="D49" s="715"/>
      <c r="E49" s="642"/>
      <c r="F49" s="716"/>
    </row>
    <row r="50" spans="1:7" s="643" customFormat="1">
      <c r="A50" s="724"/>
      <c r="B50" s="725"/>
      <c r="C50" s="725"/>
      <c r="D50" s="725"/>
      <c r="E50" s="726"/>
      <c r="F50" s="727"/>
      <c r="G50" s="1034"/>
    </row>
    <row r="51" spans="1:7">
      <c r="A51" s="728" t="s">
        <v>161</v>
      </c>
      <c r="B51" s="729"/>
      <c r="C51" s="729">
        <f>+'Service Support &amp; Mgmt'!F18*0.039</f>
        <v>70445.153999999995</v>
      </c>
      <c r="D51" s="729"/>
      <c r="E51" s="722" t="s">
        <v>840</v>
      </c>
      <c r="F51" s="730">
        <f>SUM(B51:D55)</f>
        <v>70445.153999999995</v>
      </c>
      <c r="G51" s="1034"/>
    </row>
    <row r="52" spans="1:7" s="643" customFormat="1">
      <c r="A52" s="707"/>
      <c r="B52" s="713"/>
      <c r="C52" s="713"/>
      <c r="D52" s="713"/>
      <c r="E52" s="642"/>
      <c r="F52" s="714"/>
      <c r="G52" s="1034"/>
    </row>
    <row r="53" spans="1:7" s="1034" customFormat="1">
      <c r="A53" s="707"/>
      <c r="B53" s="713"/>
      <c r="C53" s="713"/>
      <c r="D53" s="713"/>
      <c r="E53" s="642"/>
      <c r="F53" s="714"/>
    </row>
    <row r="54" spans="1:7" s="1034" customFormat="1">
      <c r="A54" s="707"/>
      <c r="B54" s="713"/>
      <c r="C54" s="713"/>
      <c r="D54" s="713"/>
      <c r="E54" s="642"/>
      <c r="F54" s="714"/>
    </row>
    <row r="55" spans="1:7" s="643" customFormat="1">
      <c r="A55" s="731"/>
      <c r="B55" s="732"/>
      <c r="C55" s="732"/>
      <c r="D55" s="732"/>
      <c r="E55" s="726"/>
      <c r="F55" s="733"/>
      <c r="G55" s="1034"/>
    </row>
    <row r="56" spans="1:7" s="643" customFormat="1">
      <c r="A56" s="831" t="s">
        <v>613</v>
      </c>
      <c r="B56" s="713"/>
      <c r="C56" s="713">
        <f>+'Service Support &amp; Mgmt'!F19*0.039</f>
        <v>30982.107</v>
      </c>
      <c r="D56" s="713"/>
      <c r="E56" s="642" t="s">
        <v>840</v>
      </c>
      <c r="F56" s="714">
        <f>SUM(B56:D59)</f>
        <v>30982.107</v>
      </c>
      <c r="G56" s="1034"/>
    </row>
    <row r="57" spans="1:7" s="643" customFormat="1">
      <c r="A57" s="707"/>
      <c r="B57" s="713"/>
      <c r="C57" s="713"/>
      <c r="D57" s="713"/>
      <c r="E57" s="642"/>
      <c r="F57" s="714"/>
      <c r="G57" s="1034"/>
    </row>
    <row r="58" spans="1:7" s="643" customFormat="1">
      <c r="A58" s="707"/>
      <c r="B58" s="713"/>
      <c r="C58" s="713"/>
      <c r="D58" s="713"/>
      <c r="E58" s="642"/>
      <c r="F58" s="714"/>
      <c r="G58" s="1034"/>
    </row>
    <row r="59" spans="1:7" s="643" customFormat="1">
      <c r="A59" s="707"/>
      <c r="B59" s="713"/>
      <c r="C59" s="713"/>
      <c r="D59" s="713"/>
      <c r="E59" s="642"/>
      <c r="F59" s="714"/>
      <c r="G59" s="1034"/>
    </row>
    <row r="60" spans="1:7">
      <c r="A60" s="683" t="s">
        <v>162</v>
      </c>
      <c r="B60" s="650"/>
      <c r="C60" s="650">
        <v>700000</v>
      </c>
      <c r="D60" s="650"/>
      <c r="E60" s="670" t="s">
        <v>827</v>
      </c>
      <c r="F60" s="651">
        <f>SUM(B60:D65)</f>
        <v>1016396.5090000001</v>
      </c>
      <c r="G60" s="1034"/>
    </row>
    <row r="61" spans="1:7">
      <c r="A61" s="671"/>
      <c r="B61" s="672"/>
      <c r="C61" s="672">
        <f>+'Service Support &amp; Mgmt'!F20*0.039</f>
        <v>316396.50900000002</v>
      </c>
      <c r="D61" s="672"/>
      <c r="E61" s="492" t="s">
        <v>840</v>
      </c>
      <c r="F61" s="673"/>
      <c r="G61" s="1034"/>
    </row>
    <row r="62" spans="1:7">
      <c r="A62" s="671"/>
      <c r="B62" s="672"/>
      <c r="C62" s="672"/>
      <c r="D62" s="672"/>
      <c r="E62" s="492"/>
      <c r="F62" s="673"/>
      <c r="G62" s="1034"/>
    </row>
    <row r="63" spans="1:7">
      <c r="A63" s="671"/>
      <c r="B63" s="672"/>
      <c r="C63" s="672"/>
      <c r="D63" s="672"/>
      <c r="E63" s="492"/>
      <c r="F63" s="673"/>
      <c r="G63" s="1034"/>
    </row>
    <row r="64" spans="1:7">
      <c r="A64" s="693"/>
      <c r="B64" s="509"/>
      <c r="C64" s="672"/>
      <c r="D64" s="672"/>
      <c r="E64" s="269"/>
      <c r="F64" s="694"/>
      <c r="G64" s="1034"/>
    </row>
    <row r="65" spans="1:7">
      <c r="A65" s="695"/>
      <c r="B65" s="687"/>
      <c r="C65" s="677"/>
      <c r="D65" s="677"/>
      <c r="E65" s="678"/>
      <c r="F65" s="696"/>
      <c r="G65" s="1034"/>
    </row>
    <row r="66" spans="1:7">
      <c r="A66" s="898" t="s">
        <v>697</v>
      </c>
      <c r="B66" s="689"/>
      <c r="C66" s="689">
        <f>+'Service Support &amp; Mgmt'!F21*0.039</f>
        <v>255495.47399999999</v>
      </c>
      <c r="D66" s="689"/>
      <c r="E66" s="765" t="s">
        <v>840</v>
      </c>
      <c r="F66" s="662">
        <f>SUM(B66:D72)</f>
        <v>255495.47399999999</v>
      </c>
      <c r="G66" s="1034"/>
    </row>
    <row r="67" spans="1:7">
      <c r="A67" s="690"/>
      <c r="B67" s="691"/>
      <c r="C67" s="691"/>
      <c r="D67" s="691"/>
      <c r="E67" s="664"/>
      <c r="F67" s="665"/>
      <c r="G67" s="1034"/>
    </row>
    <row r="68" spans="1:7">
      <c r="A68" s="690"/>
      <c r="B68" s="691"/>
      <c r="C68" s="691"/>
      <c r="D68" s="691"/>
      <c r="E68" s="664"/>
      <c r="F68" s="665"/>
      <c r="G68" s="1034"/>
    </row>
    <row r="69" spans="1:7" s="830" customFormat="1">
      <c r="A69" s="690"/>
      <c r="B69" s="691"/>
      <c r="C69" s="691"/>
      <c r="D69" s="691"/>
      <c r="E69" s="664"/>
      <c r="F69" s="665"/>
      <c r="G69" s="1034"/>
    </row>
    <row r="70" spans="1:7" s="862" customFormat="1">
      <c r="A70" s="690"/>
      <c r="B70" s="691"/>
      <c r="C70" s="691"/>
      <c r="D70" s="691"/>
      <c r="E70" s="664"/>
      <c r="F70" s="665"/>
      <c r="G70" s="1034"/>
    </row>
    <row r="71" spans="1:7" s="900" customFormat="1">
      <c r="A71" s="690"/>
      <c r="B71" s="691"/>
      <c r="C71" s="691"/>
      <c r="D71" s="691"/>
      <c r="E71" s="664"/>
      <c r="F71" s="665"/>
      <c r="G71" s="1034"/>
    </row>
    <row r="72" spans="1:7">
      <c r="A72" s="666"/>
      <c r="B72" s="668"/>
      <c r="C72" s="883"/>
      <c r="D72" s="667"/>
      <c r="E72" s="668"/>
      <c r="F72" s="692"/>
      <c r="G72" s="1034"/>
    </row>
    <row r="73" spans="1:7">
      <c r="A73" s="683" t="s">
        <v>163</v>
      </c>
      <c r="B73" s="672"/>
      <c r="C73" s="650">
        <f>+'Service Support &amp; Mgmt'!F22*0.039</f>
        <v>51896.091</v>
      </c>
      <c r="D73" s="650"/>
      <c r="E73" s="670" t="s">
        <v>840</v>
      </c>
      <c r="F73" s="651">
        <f>SUM(B73:D79)</f>
        <v>51896.091</v>
      </c>
      <c r="G73" s="1034"/>
    </row>
    <row r="74" spans="1:7">
      <c r="A74" s="671"/>
      <c r="B74" s="672"/>
      <c r="C74" s="672"/>
      <c r="D74" s="672"/>
      <c r="E74" s="492"/>
      <c r="F74" s="673"/>
      <c r="G74" s="1034"/>
    </row>
    <row r="75" spans="1:7">
      <c r="A75" s="671"/>
      <c r="B75" s="672"/>
      <c r="C75" s="672"/>
      <c r="D75" s="672"/>
      <c r="E75" s="492"/>
      <c r="F75" s="673"/>
      <c r="G75" s="1034"/>
    </row>
    <row r="76" spans="1:7">
      <c r="A76" s="671"/>
      <c r="B76" s="672"/>
      <c r="C76" s="672"/>
      <c r="D76" s="672"/>
      <c r="E76" s="492"/>
      <c r="F76" s="673"/>
      <c r="G76" s="1034"/>
    </row>
    <row r="77" spans="1:7">
      <c r="A77" s="671"/>
      <c r="B77" s="672"/>
      <c r="C77" s="672"/>
      <c r="D77" s="672"/>
      <c r="E77" s="492"/>
      <c r="F77" s="673"/>
      <c r="G77" s="1034"/>
    </row>
    <row r="78" spans="1:7">
      <c r="A78" s="671"/>
      <c r="B78" s="672"/>
      <c r="C78" s="672"/>
      <c r="D78" s="672"/>
      <c r="E78" s="492"/>
      <c r="F78" s="673"/>
      <c r="G78" s="1034"/>
    </row>
    <row r="79" spans="1:7">
      <c r="A79" s="675"/>
      <c r="B79" s="676"/>
      <c r="C79" s="676"/>
      <c r="D79" s="676"/>
      <c r="E79" s="678"/>
      <c r="F79" s="679"/>
      <c r="G79" s="1034"/>
    </row>
    <row r="80" spans="1:7">
      <c r="A80" s="860" t="s">
        <v>698</v>
      </c>
      <c r="B80" s="650"/>
      <c r="C80" s="650">
        <f>+'Service Support &amp; Mgmt'!F23*0.039</f>
        <v>1004499.7560000001</v>
      </c>
      <c r="D80" s="650"/>
      <c r="E80" s="670" t="s">
        <v>840</v>
      </c>
      <c r="F80" s="651">
        <f>SUM(B80:D90)</f>
        <v>1004499.7560000001</v>
      </c>
      <c r="G80" s="1034"/>
    </row>
    <row r="81" spans="1:8">
      <c r="A81" s="671"/>
      <c r="B81" s="672"/>
      <c r="C81" s="672"/>
      <c r="D81" s="672"/>
      <c r="E81" s="492"/>
      <c r="F81" s="673"/>
      <c r="G81" s="1034"/>
    </row>
    <row r="82" spans="1:8">
      <c r="A82" s="671"/>
      <c r="B82" s="672"/>
      <c r="C82" s="672"/>
      <c r="D82" s="672"/>
      <c r="E82" s="492"/>
      <c r="F82" s="673"/>
      <c r="G82" s="1034"/>
    </row>
    <row r="83" spans="1:8">
      <c r="A83" s="671"/>
      <c r="B83" s="672"/>
      <c r="C83" s="672"/>
      <c r="D83" s="672"/>
      <c r="E83" s="492"/>
      <c r="F83" s="673"/>
      <c r="G83" s="1034"/>
    </row>
    <row r="84" spans="1:8" s="830" customFormat="1">
      <c r="A84" s="671"/>
      <c r="B84" s="672"/>
      <c r="C84" s="672"/>
      <c r="D84" s="672"/>
      <c r="E84" s="492"/>
      <c r="F84" s="673"/>
      <c r="G84" s="1034"/>
      <c r="H84" s="515"/>
    </row>
    <row r="85" spans="1:8" s="830" customFormat="1">
      <c r="A85" s="671"/>
      <c r="B85" s="672"/>
      <c r="C85" s="672"/>
      <c r="D85" s="672"/>
      <c r="E85" s="492"/>
      <c r="F85" s="673"/>
      <c r="G85" s="1034"/>
      <c r="H85" s="515"/>
    </row>
    <row r="86" spans="1:8" s="830" customFormat="1">
      <c r="A86" s="671"/>
      <c r="B86" s="672"/>
      <c r="C86" s="672"/>
      <c r="D86" s="672"/>
      <c r="F86" s="673"/>
      <c r="G86" s="1034"/>
      <c r="H86" s="515"/>
    </row>
    <row r="87" spans="1:8" s="858" customFormat="1">
      <c r="A87" s="671"/>
      <c r="B87" s="672"/>
      <c r="C87" s="509"/>
      <c r="D87" s="509"/>
      <c r="E87" s="492"/>
      <c r="F87" s="673"/>
      <c r="G87" s="1034"/>
      <c r="H87" s="515"/>
    </row>
    <row r="88" spans="1:8" s="858" customFormat="1">
      <c r="A88" s="671"/>
      <c r="B88" s="672"/>
      <c r="C88" s="509"/>
      <c r="D88" s="509"/>
      <c r="E88" s="492"/>
      <c r="F88" s="673"/>
      <c r="G88" s="1034"/>
    </row>
    <row r="89" spans="1:8">
      <c r="A89" s="671"/>
      <c r="B89" s="672"/>
      <c r="C89" s="672"/>
      <c r="D89" s="672"/>
      <c r="E89" s="492"/>
      <c r="F89" s="673"/>
      <c r="G89" s="1034"/>
    </row>
    <row r="90" spans="1:8" s="1131" customFormat="1">
      <c r="A90" s="671"/>
      <c r="B90" s="672"/>
      <c r="C90" s="672"/>
      <c r="D90" s="672"/>
      <c r="E90" s="492"/>
      <c r="F90" s="673"/>
    </row>
    <row r="91" spans="1:8">
      <c r="A91" s="659" t="s">
        <v>362</v>
      </c>
      <c r="B91" s="660"/>
      <c r="C91" s="660">
        <f>+'Service Support &amp; Mgmt'!F24*0.039</f>
        <v>88070.736000000004</v>
      </c>
      <c r="D91" s="660"/>
      <c r="E91" s="661" t="s">
        <v>840</v>
      </c>
      <c r="F91" s="662">
        <f>SUM(B91:D94)</f>
        <v>88070.736000000004</v>
      </c>
      <c r="G91" s="1034"/>
    </row>
    <row r="92" spans="1:8" s="900" customFormat="1">
      <c r="A92" s="663"/>
      <c r="B92" s="664"/>
      <c r="C92" s="664"/>
      <c r="D92" s="664"/>
      <c r="E92" s="361"/>
      <c r="F92" s="665"/>
      <c r="G92" s="1034"/>
    </row>
    <row r="93" spans="1:8" s="1037" customFormat="1">
      <c r="A93" s="663"/>
      <c r="B93" s="664"/>
      <c r="C93" s="664"/>
      <c r="D93" s="664"/>
      <c r="E93" s="361"/>
      <c r="F93" s="665"/>
    </row>
    <row r="94" spans="1:8" s="808" customFormat="1">
      <c r="A94" s="666"/>
      <c r="B94" s="667"/>
      <c r="C94" s="667"/>
      <c r="D94" s="667"/>
      <c r="E94" s="668"/>
      <c r="F94" s="669"/>
      <c r="G94" s="1034"/>
    </row>
    <row r="95" spans="1:8">
      <c r="A95" s="812" t="s">
        <v>699</v>
      </c>
      <c r="B95" s="813"/>
      <c r="C95" s="813">
        <f>+'Service Support &amp; Mgmt'!F25*0.039</f>
        <v>29773.77</v>
      </c>
      <c r="D95" s="813"/>
      <c r="E95" s="814" t="s">
        <v>840</v>
      </c>
      <c r="F95" s="684">
        <f>SUM(B95:D99)</f>
        <v>29773.77</v>
      </c>
      <c r="G95" s="1034"/>
    </row>
    <row r="96" spans="1:8" s="830" customFormat="1">
      <c r="A96" s="832"/>
      <c r="B96" s="288"/>
      <c r="C96" s="496"/>
      <c r="D96" s="288"/>
      <c r="E96" s="189"/>
      <c r="F96" s="833"/>
      <c r="G96" s="1034"/>
    </row>
    <row r="97" spans="1:11" s="830" customFormat="1">
      <c r="A97" s="832"/>
      <c r="B97" s="288"/>
      <c r="C97" s="496"/>
      <c r="D97" s="288"/>
      <c r="E97" s="189"/>
      <c r="F97" s="833"/>
      <c r="G97" s="1034"/>
    </row>
    <row r="98" spans="1:11" s="830" customFormat="1">
      <c r="A98" s="832"/>
      <c r="B98" s="288"/>
      <c r="C98" s="496"/>
      <c r="D98" s="288"/>
      <c r="E98" s="189"/>
      <c r="F98" s="833"/>
      <c r="G98" s="1034"/>
    </row>
    <row r="99" spans="1:11" s="808" customFormat="1">
      <c r="A99" s="815"/>
      <c r="B99" s="816"/>
      <c r="C99" s="817"/>
      <c r="D99" s="816"/>
      <c r="E99" s="678"/>
      <c r="F99" s="818"/>
      <c r="G99" s="1034"/>
    </row>
    <row r="100" spans="1:11">
      <c r="A100" s="663" t="s">
        <v>164</v>
      </c>
      <c r="B100" s="664"/>
      <c r="C100" s="664">
        <f>+'Service Support &amp; Mgmt'!F26*0.039</f>
        <v>253675.18799999999</v>
      </c>
      <c r="D100" s="664"/>
      <c r="E100" s="361" t="s">
        <v>840</v>
      </c>
      <c r="F100" s="665">
        <f>SUM(B100:D106)</f>
        <v>803675.18799999997</v>
      </c>
      <c r="G100" s="1034"/>
    </row>
    <row r="101" spans="1:11">
      <c r="A101" s="663"/>
      <c r="B101" s="664"/>
      <c r="C101" s="664">
        <v>550000</v>
      </c>
      <c r="D101" s="664"/>
      <c r="E101" s="361" t="s">
        <v>845</v>
      </c>
      <c r="F101" s="665"/>
      <c r="G101" s="1034"/>
    </row>
    <row r="102" spans="1:11" s="830" customFormat="1">
      <c r="A102" s="663"/>
      <c r="B102" s="664"/>
      <c r="C102" s="664"/>
      <c r="D102" s="664"/>
      <c r="E102" s="361"/>
      <c r="F102" s="665"/>
      <c r="G102" s="1034"/>
    </row>
    <row r="103" spans="1:11" s="830" customFormat="1">
      <c r="A103" s="663"/>
      <c r="B103" s="664"/>
      <c r="C103" s="664"/>
      <c r="D103" s="664"/>
      <c r="E103" s="361"/>
      <c r="F103" s="665"/>
      <c r="G103" s="1034"/>
      <c r="H103" s="515"/>
    </row>
    <row r="104" spans="1:11" s="830" customFormat="1">
      <c r="A104" s="663"/>
      <c r="B104" s="664"/>
      <c r="C104" s="664"/>
      <c r="D104" s="664"/>
      <c r="E104" s="361"/>
      <c r="F104" s="665"/>
      <c r="G104" s="1034"/>
    </row>
    <row r="105" spans="1:11" s="830" customFormat="1">
      <c r="A105" s="663"/>
      <c r="B105" s="664"/>
      <c r="C105" s="664"/>
      <c r="D105" s="664"/>
      <c r="E105" s="361"/>
      <c r="F105" s="665"/>
      <c r="G105" s="1034"/>
    </row>
    <row r="106" spans="1:11">
      <c r="A106" s="666"/>
      <c r="B106" s="667"/>
      <c r="C106" s="667"/>
      <c r="D106" s="667"/>
      <c r="E106" s="668"/>
      <c r="F106" s="669"/>
      <c r="G106" s="1034"/>
    </row>
    <row r="107" spans="1:11">
      <c r="A107" s="683" t="s">
        <v>165</v>
      </c>
      <c r="B107" s="650"/>
      <c r="C107" s="650">
        <f>+'Service Support &amp; Mgmt'!F27*0.039</f>
        <v>496940.76899999997</v>
      </c>
      <c r="D107" s="650"/>
      <c r="E107" s="670" t="s">
        <v>840</v>
      </c>
      <c r="F107" s="684">
        <f>SUM(B107:D112)</f>
        <v>1046940.769</v>
      </c>
      <c r="G107" s="1034"/>
    </row>
    <row r="108" spans="1:11">
      <c r="A108" s="671"/>
      <c r="B108" s="672"/>
      <c r="C108" s="672">
        <v>550000</v>
      </c>
      <c r="D108" s="672"/>
      <c r="E108" s="492" t="s">
        <v>863</v>
      </c>
      <c r="F108" s="673"/>
      <c r="G108" s="405"/>
      <c r="I108" s="1185"/>
      <c r="J108" s="1185"/>
      <c r="K108" s="1185"/>
    </row>
    <row r="109" spans="1:11">
      <c r="A109" s="671"/>
      <c r="B109" s="672"/>
      <c r="C109" s="496"/>
      <c r="D109" s="496"/>
      <c r="E109" s="189"/>
      <c r="F109" s="673"/>
      <c r="G109" s="1034"/>
      <c r="I109" s="1185"/>
      <c r="J109" s="1185"/>
      <c r="K109" s="1185"/>
    </row>
    <row r="110" spans="1:11">
      <c r="A110" s="685"/>
      <c r="B110" s="672"/>
      <c r="C110" s="672"/>
      <c r="D110" s="672"/>
      <c r="E110" s="269"/>
      <c r="F110" s="673"/>
      <c r="G110" s="1034"/>
    </row>
    <row r="111" spans="1:11" s="1040" customFormat="1">
      <c r="A111" s="685"/>
      <c r="B111" s="672"/>
      <c r="C111" s="672"/>
      <c r="D111" s="672"/>
      <c r="E111" s="269"/>
      <c r="F111" s="673"/>
    </row>
    <row r="112" spans="1:11">
      <c r="A112" s="686"/>
      <c r="B112" s="676"/>
      <c r="C112" s="676"/>
      <c r="D112" s="676"/>
      <c r="E112" s="687"/>
      <c r="F112" s="688"/>
      <c r="G112" s="1034"/>
      <c r="I112" s="1130"/>
    </row>
    <row r="113" spans="1:7">
      <c r="A113" s="659" t="s">
        <v>626</v>
      </c>
      <c r="B113" s="660"/>
      <c r="C113" s="660">
        <f>+'Service Support &amp; Mgmt'!F28*0.039</f>
        <v>1672737.3389999999</v>
      </c>
      <c r="D113" s="660"/>
      <c r="E113" s="661" t="s">
        <v>840</v>
      </c>
      <c r="F113" s="662">
        <f>SUM(B113:D132)</f>
        <v>2060737.3389999999</v>
      </c>
      <c r="G113" s="1034"/>
    </row>
    <row r="114" spans="1:7">
      <c r="A114" s="834" t="s">
        <v>846</v>
      </c>
      <c r="B114" s="664"/>
      <c r="C114" s="664">
        <v>388000</v>
      </c>
      <c r="D114" s="664"/>
      <c r="E114" s="361" t="s">
        <v>847</v>
      </c>
      <c r="F114" s="665"/>
      <c r="G114" s="1034"/>
    </row>
    <row r="115" spans="1:7">
      <c r="A115" s="834"/>
      <c r="B115" s="664"/>
      <c r="C115" s="664"/>
      <c r="D115" s="664"/>
      <c r="E115" s="361"/>
      <c r="F115" s="665"/>
      <c r="G115" s="1034"/>
    </row>
    <row r="116" spans="1:7" s="1033" customFormat="1">
      <c r="A116" s="834"/>
      <c r="B116" s="664"/>
      <c r="C116" s="664"/>
      <c r="D116" s="664"/>
      <c r="E116" s="361"/>
      <c r="F116" s="665"/>
      <c r="G116" s="1034"/>
    </row>
    <row r="117" spans="1:7" s="1146" customFormat="1">
      <c r="A117" s="834"/>
      <c r="B117" s="664"/>
      <c r="C117" s="664"/>
      <c r="D117" s="664"/>
      <c r="E117" s="361"/>
      <c r="F117" s="665"/>
    </row>
    <row r="118" spans="1:7">
      <c r="A118" s="834"/>
      <c r="B118" s="664"/>
      <c r="C118" s="664"/>
      <c r="D118" s="664"/>
      <c r="E118" s="361"/>
      <c r="F118" s="665"/>
      <c r="G118" s="1034"/>
    </row>
    <row r="119" spans="1:7">
      <c r="A119" s="663"/>
      <c r="B119" s="664"/>
      <c r="C119" s="664"/>
      <c r="D119" s="664"/>
      <c r="E119" s="361"/>
      <c r="F119" s="665"/>
      <c r="G119" s="1034"/>
    </row>
    <row r="120" spans="1:7">
      <c r="A120" s="663"/>
      <c r="B120" s="664"/>
      <c r="C120" s="664"/>
      <c r="D120" s="664"/>
      <c r="E120" s="361"/>
      <c r="F120" s="665"/>
      <c r="G120" s="1034"/>
    </row>
    <row r="121" spans="1:7" s="858" customFormat="1">
      <c r="A121" s="834"/>
      <c r="B121" s="664"/>
      <c r="C121" s="664"/>
      <c r="D121" s="664"/>
      <c r="E121" s="361"/>
      <c r="F121" s="665"/>
      <c r="G121" s="1034"/>
    </row>
    <row r="122" spans="1:7" s="830" customFormat="1">
      <c r="A122" s="663"/>
      <c r="B122" s="664"/>
      <c r="C122" s="664"/>
      <c r="D122" s="664"/>
      <c r="E122" s="361"/>
      <c r="F122" s="665"/>
      <c r="G122" s="1034"/>
    </row>
    <row r="123" spans="1:7" s="1146" customFormat="1">
      <c r="A123" s="834"/>
      <c r="B123" s="664"/>
      <c r="C123" s="664"/>
      <c r="D123" s="664"/>
      <c r="E123" s="361"/>
      <c r="F123" s="665"/>
    </row>
    <row r="124" spans="1:7" s="1145" customFormat="1">
      <c r="A124" s="834"/>
      <c r="B124" s="664"/>
      <c r="C124" s="664"/>
      <c r="D124" s="664"/>
      <c r="E124" s="361"/>
      <c r="F124" s="665"/>
    </row>
    <row r="125" spans="1:7" s="1146" customFormat="1">
      <c r="A125" s="834"/>
      <c r="B125" s="664"/>
      <c r="C125" s="664"/>
      <c r="D125" s="664"/>
      <c r="E125" s="361"/>
      <c r="F125" s="665"/>
    </row>
    <row r="126" spans="1:7" s="1147" customFormat="1">
      <c r="A126" s="663"/>
      <c r="B126" s="664"/>
      <c r="C126" s="664"/>
      <c r="D126" s="664"/>
      <c r="E126" s="361"/>
      <c r="F126" s="665"/>
    </row>
    <row r="127" spans="1:7" s="1037" customFormat="1">
      <c r="A127" s="663" t="s">
        <v>745</v>
      </c>
      <c r="B127" s="664"/>
      <c r="C127" s="664"/>
      <c r="D127" s="664"/>
      <c r="E127" s="361"/>
      <c r="F127" s="665"/>
    </row>
    <row r="128" spans="1:7" s="1037" customFormat="1">
      <c r="A128" s="663"/>
      <c r="B128" s="664"/>
      <c r="C128" s="664"/>
      <c r="D128" s="664"/>
      <c r="E128" s="361"/>
      <c r="F128" s="665"/>
    </row>
    <row r="129" spans="1:7" s="1037" customFormat="1">
      <c r="A129" s="663"/>
      <c r="B129" s="664"/>
      <c r="C129" s="664"/>
      <c r="D129" s="664"/>
      <c r="E129" s="361"/>
      <c r="F129" s="665"/>
    </row>
    <row r="130" spans="1:7">
      <c r="A130" s="361"/>
      <c r="B130" s="664"/>
      <c r="C130" s="664"/>
      <c r="D130" s="664"/>
      <c r="E130" s="361"/>
      <c r="F130" s="665"/>
      <c r="G130" s="1034"/>
    </row>
    <row r="131" spans="1:7" s="1131" customFormat="1">
      <c r="A131" s="663"/>
      <c r="B131" s="664"/>
      <c r="C131" s="664"/>
      <c r="D131" s="664"/>
      <c r="E131" s="361"/>
      <c r="F131" s="665"/>
    </row>
    <row r="132" spans="1:7" s="1139" customFormat="1">
      <c r="A132" s="663"/>
      <c r="B132" s="664"/>
      <c r="C132" s="664"/>
      <c r="D132" s="664"/>
      <c r="E132" s="361"/>
      <c r="F132" s="665"/>
    </row>
    <row r="133" spans="1:7">
      <c r="A133" s="860" t="s">
        <v>363</v>
      </c>
      <c r="B133" s="650"/>
      <c r="C133" s="650">
        <f>+'Service Support &amp; Mgmt'!F29*0.039</f>
        <v>874127.397</v>
      </c>
      <c r="D133" s="650"/>
      <c r="E133" s="670" t="s">
        <v>840</v>
      </c>
      <c r="F133" s="651">
        <f>SUM(B133:D155)</f>
        <v>2187527.3969999999</v>
      </c>
      <c r="G133" s="1034"/>
    </row>
    <row r="134" spans="1:7">
      <c r="A134" s="671"/>
      <c r="B134" s="672"/>
      <c r="C134" s="672">
        <v>355000</v>
      </c>
      <c r="D134" s="672"/>
      <c r="E134" s="492" t="s">
        <v>844</v>
      </c>
      <c r="F134" s="673"/>
      <c r="G134" s="1034"/>
    </row>
    <row r="135" spans="1:7">
      <c r="A135" s="671"/>
      <c r="B135" s="672"/>
      <c r="C135" s="674">
        <v>958400</v>
      </c>
      <c r="D135" s="674"/>
      <c r="E135" s="492" t="s">
        <v>886</v>
      </c>
      <c r="F135" s="673"/>
      <c r="G135" s="1183"/>
    </row>
    <row r="136" spans="1:7">
      <c r="A136" s="671"/>
      <c r="B136" s="672"/>
      <c r="C136" s="470"/>
      <c r="D136" s="470"/>
      <c r="E136" s="269"/>
      <c r="F136" s="673"/>
      <c r="G136" s="1034"/>
    </row>
    <row r="137" spans="1:7">
      <c r="A137" s="671"/>
      <c r="B137" s="672"/>
      <c r="C137" s="672"/>
      <c r="D137" s="672"/>
      <c r="E137" s="697"/>
      <c r="F137" s="673"/>
      <c r="G137" s="1034"/>
    </row>
    <row r="138" spans="1:7">
      <c r="A138" s="671"/>
      <c r="B138" s="672"/>
      <c r="C138" s="509"/>
      <c r="D138" s="509"/>
      <c r="E138" s="492"/>
      <c r="F138" s="673"/>
      <c r="G138" s="1034"/>
    </row>
    <row r="139" spans="1:7">
      <c r="A139" s="671"/>
      <c r="B139" s="672"/>
      <c r="C139" s="509"/>
      <c r="D139" s="509"/>
      <c r="E139" s="492"/>
      <c r="F139" s="673"/>
      <c r="G139" s="1034"/>
    </row>
    <row r="140" spans="1:7">
      <c r="A140" s="671"/>
      <c r="B140" s="672"/>
      <c r="C140" s="509"/>
      <c r="D140" s="509"/>
      <c r="E140" s="492"/>
      <c r="F140" s="673"/>
      <c r="G140" s="1034"/>
    </row>
    <row r="141" spans="1:7">
      <c r="A141" s="671"/>
      <c r="B141" s="672"/>
      <c r="C141" s="509"/>
      <c r="D141" s="509"/>
      <c r="E141" s="492"/>
      <c r="F141" s="673"/>
      <c r="G141" s="1034"/>
    </row>
    <row r="142" spans="1:7">
      <c r="A142" s="671"/>
      <c r="B142" s="672"/>
      <c r="C142" s="509"/>
      <c r="D142" s="509"/>
      <c r="E142" s="492"/>
      <c r="F142" s="673"/>
      <c r="G142" s="1034"/>
    </row>
    <row r="143" spans="1:7">
      <c r="A143" s="671"/>
      <c r="B143" s="509"/>
      <c r="C143" s="509"/>
      <c r="D143" s="509"/>
      <c r="E143" s="492"/>
      <c r="F143" s="859"/>
      <c r="G143" s="1034"/>
    </row>
    <row r="144" spans="1:7" s="858" customFormat="1">
      <c r="A144" s="671"/>
      <c r="B144" s="509"/>
      <c r="C144" s="509"/>
      <c r="D144" s="509"/>
      <c r="E144" s="492"/>
      <c r="F144" s="859"/>
      <c r="G144" s="1034"/>
    </row>
    <row r="145" spans="1:7" s="1034" customFormat="1">
      <c r="A145" s="671"/>
      <c r="B145" s="509"/>
      <c r="C145" s="509"/>
      <c r="D145" s="509"/>
      <c r="E145" s="492"/>
      <c r="F145" s="859"/>
    </row>
    <row r="146" spans="1:7" s="1034" customFormat="1">
      <c r="A146" s="671"/>
      <c r="B146" s="509"/>
      <c r="C146" s="509"/>
      <c r="D146" s="509"/>
      <c r="E146" s="492"/>
      <c r="F146" s="859"/>
    </row>
    <row r="147" spans="1:7" s="1034" customFormat="1">
      <c r="A147" s="671"/>
      <c r="B147" s="509"/>
      <c r="C147" s="509"/>
      <c r="D147" s="509"/>
      <c r="E147" s="492"/>
      <c r="F147" s="859"/>
    </row>
    <row r="148" spans="1:7" s="1034" customFormat="1">
      <c r="A148" s="671"/>
      <c r="B148" s="509"/>
      <c r="C148" s="509"/>
      <c r="D148" s="509"/>
      <c r="E148" s="492"/>
      <c r="F148" s="859"/>
    </row>
    <row r="149" spans="1:7" s="1146" customFormat="1">
      <c r="A149" s="671"/>
      <c r="B149" s="509"/>
      <c r="C149" s="509"/>
      <c r="D149" s="509"/>
      <c r="E149" s="492"/>
      <c r="F149" s="859"/>
    </row>
    <row r="150" spans="1:7" s="1146" customFormat="1">
      <c r="A150" s="671"/>
      <c r="B150" s="509"/>
      <c r="C150" s="509"/>
      <c r="D150" s="509"/>
      <c r="E150" s="492"/>
      <c r="F150" s="859"/>
    </row>
    <row r="151" spans="1:7" s="1146" customFormat="1">
      <c r="A151" s="671"/>
      <c r="B151" s="509"/>
      <c r="C151" s="509"/>
      <c r="D151" s="509"/>
      <c r="E151" s="492"/>
      <c r="F151" s="859"/>
    </row>
    <row r="152" spans="1:7" s="1146" customFormat="1">
      <c r="A152" s="671"/>
      <c r="B152" s="509"/>
      <c r="C152" s="509"/>
      <c r="D152" s="509"/>
      <c r="E152" s="492"/>
      <c r="F152" s="859"/>
    </row>
    <row r="153" spans="1:7" s="1146" customFormat="1">
      <c r="A153" s="671"/>
      <c r="B153" s="509"/>
      <c r="C153" s="509"/>
      <c r="D153" s="509"/>
      <c r="E153" s="492"/>
      <c r="F153" s="859"/>
    </row>
    <row r="154" spans="1:7" s="1146" customFormat="1">
      <c r="A154" s="671"/>
      <c r="B154" s="509"/>
      <c r="C154" s="509"/>
      <c r="D154" s="509"/>
      <c r="E154" s="492"/>
      <c r="F154" s="859"/>
    </row>
    <row r="155" spans="1:7" s="858" customFormat="1">
      <c r="A155" s="675"/>
      <c r="B155" s="677"/>
      <c r="C155" s="677"/>
      <c r="D155" s="677"/>
      <c r="E155" s="678"/>
      <c r="F155" s="680"/>
      <c r="G155" s="1034"/>
    </row>
    <row r="156" spans="1:7">
      <c r="A156" s="362"/>
      <c r="B156" s="362"/>
      <c r="C156" s="362"/>
      <c r="D156" s="508"/>
      <c r="E156" s="362"/>
      <c r="F156" s="362"/>
      <c r="G156" s="1034"/>
    </row>
    <row r="157" spans="1:7">
      <c r="A157" s="350"/>
      <c r="B157" s="350"/>
      <c r="C157" s="350"/>
      <c r="D157" s="350"/>
      <c r="E157" s="350"/>
      <c r="F157" s="350"/>
      <c r="G157" s="1034"/>
    </row>
    <row r="158" spans="1:7">
      <c r="A158" s="681" t="s">
        <v>364</v>
      </c>
      <c r="B158" s="682">
        <f>SUM(B4:B157)</f>
        <v>0</v>
      </c>
      <c r="C158" s="682">
        <f>SUM(C4:C157)</f>
        <v>10755081.525999999</v>
      </c>
      <c r="D158" s="682">
        <f>SUM(D4:D157)</f>
        <v>0</v>
      </c>
      <c r="E158" s="681"/>
      <c r="F158" s="682">
        <f>SUM(F4:F157)</f>
        <v>10755081.525999999</v>
      </c>
      <c r="G158" s="1034"/>
    </row>
    <row r="159" spans="1:7">
      <c r="A159" s="167"/>
      <c r="B159" s="167"/>
      <c r="C159" s="167"/>
      <c r="D159" s="487"/>
      <c r="E159" s="167" t="s">
        <v>550</v>
      </c>
      <c r="F159" s="503">
        <f>+F158-C158-B158-D158</f>
        <v>0</v>
      </c>
      <c r="G159" s="1034"/>
    </row>
    <row r="160" spans="1:7">
      <c r="A160" s="167"/>
      <c r="B160" s="167"/>
      <c r="C160" s="503"/>
      <c r="D160" s="487"/>
      <c r="E160" s="167" t="s">
        <v>551</v>
      </c>
      <c r="F160" s="503">
        <f>+F158-'Service Support &amp; Mgmt'!J30</f>
        <v>0</v>
      </c>
    </row>
    <row r="163" spans="1:1">
      <c r="A163" s="636" t="s">
        <v>604</v>
      </c>
    </row>
  </sheetData>
  <pageMargins left="0.7" right="0.7" top="0.75" bottom="0.75" header="0.3" footer="0.3"/>
  <pageSetup orientation="portrait" horizontalDpi="1200" verticalDpi="1200"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G26"/>
  <sheetViews>
    <sheetView workbookViewId="0"/>
  </sheetViews>
  <sheetFormatPr defaultColWidth="8.85546875" defaultRowHeight="15" outlineLevelCol="1"/>
  <cols>
    <col min="1" max="1" width="19.85546875" bestFit="1" customWidth="1"/>
    <col min="2" max="3" width="19.85546875" customWidth="1"/>
    <col min="4" max="10" width="19.85546875" hidden="1" customWidth="1" outlineLevel="1"/>
    <col min="11" max="11" width="26.42578125" bestFit="1" customWidth="1" collapsed="1"/>
    <col min="12" max="12" width="26" bestFit="1" customWidth="1"/>
    <col min="13" max="13" width="15" bestFit="1" customWidth="1"/>
    <col min="14" max="14" width="15.42578125" bestFit="1" customWidth="1"/>
    <col min="15" max="15" width="11.42578125" bestFit="1" customWidth="1"/>
    <col min="16" max="16" width="10.42578125" bestFit="1" customWidth="1"/>
    <col min="17" max="17" width="13.28515625" bestFit="1" customWidth="1"/>
    <col min="18" max="18" width="12" hidden="1" customWidth="1" outlineLevel="1"/>
    <col min="19" max="19" width="13.28515625" hidden="1" customWidth="1" outlineLevel="1"/>
    <col min="20" max="20" width="11.28515625" hidden="1" customWidth="1" outlineLevel="1"/>
    <col min="21" max="21" width="11.28515625" bestFit="1" customWidth="1" collapsed="1"/>
    <col min="22" max="22" width="12.140625" hidden="1" customWidth="1" outlineLevel="1"/>
    <col min="23" max="23" width="15.28515625" hidden="1" customWidth="1" outlineLevel="1"/>
    <col min="24" max="24" width="9.7109375" hidden="1" customWidth="1" outlineLevel="1"/>
    <col min="25" max="25" width="11" hidden="1" customWidth="1" outlineLevel="1"/>
    <col min="26" max="26" width="5.42578125" hidden="1" customWidth="1" outlineLevel="1"/>
    <col min="27" max="27" width="9.7109375" hidden="1" customWidth="1" outlineLevel="1"/>
    <col min="28" max="28" width="17.7109375" hidden="1" customWidth="1" outlineLevel="1"/>
    <col min="29" max="29" width="11.140625" hidden="1" customWidth="1" outlineLevel="1"/>
    <col min="30" max="30" width="15.42578125" hidden="1" customWidth="1" outlineLevel="1"/>
    <col min="31" max="31" width="9.140625" collapsed="1"/>
    <col min="32" max="32" width="11.5703125" bestFit="1" customWidth="1"/>
    <col min="33" max="33" width="9.5703125" bestFit="1" customWidth="1"/>
  </cols>
  <sheetData>
    <row r="1" spans="1:33" ht="21">
      <c r="B1" s="1223" t="s">
        <v>484</v>
      </c>
      <c r="C1" s="1223"/>
      <c r="D1" s="1223"/>
      <c r="E1" s="1223"/>
      <c r="F1" s="1223"/>
      <c r="G1" s="1223"/>
      <c r="H1" s="1223"/>
      <c r="I1" s="1223"/>
      <c r="J1" s="1223"/>
      <c r="K1" s="1223"/>
      <c r="L1" s="1223"/>
      <c r="M1" s="1223"/>
      <c r="N1" s="1223"/>
      <c r="O1" s="1223"/>
      <c r="P1" s="1223"/>
      <c r="Q1" s="1223"/>
      <c r="R1" s="1223"/>
      <c r="S1" s="1223"/>
      <c r="T1" s="1223"/>
      <c r="U1" s="1223"/>
      <c r="V1" s="1223"/>
      <c r="W1" s="1223"/>
      <c r="X1" s="1223"/>
      <c r="Y1" s="1223"/>
      <c r="Z1" s="1223"/>
      <c r="AA1" s="1223"/>
      <c r="AB1" s="1223"/>
      <c r="AC1" s="1223"/>
      <c r="AD1" s="1223"/>
    </row>
    <row r="2" spans="1:33" s="280" customFormat="1">
      <c r="B2" s="1242" t="s">
        <v>448</v>
      </c>
      <c r="C2" s="1243"/>
      <c r="D2" s="1243"/>
      <c r="E2" s="1243"/>
      <c r="F2" s="1243"/>
      <c r="G2" s="1243"/>
      <c r="H2" s="1243"/>
      <c r="I2" s="1243"/>
      <c r="J2" s="577"/>
      <c r="K2" s="1253" t="s">
        <v>240</v>
      </c>
      <c r="L2" s="1254"/>
      <c r="M2" s="1254"/>
      <c r="N2" s="1255"/>
      <c r="O2" s="1248" t="s">
        <v>403</v>
      </c>
      <c r="P2" s="1249"/>
      <c r="Q2" s="1245" t="s">
        <v>451</v>
      </c>
      <c r="R2" s="1246"/>
      <c r="S2" s="1246"/>
      <c r="T2" s="1247"/>
      <c r="U2" s="1242" t="s">
        <v>451</v>
      </c>
      <c r="V2" s="1243"/>
      <c r="W2" s="1243"/>
      <c r="X2" s="1243"/>
      <c r="Y2" s="1243"/>
      <c r="Z2" s="1243"/>
      <c r="AA2" s="1243"/>
      <c r="AB2" s="1243"/>
      <c r="AC2" s="1243"/>
      <c r="AD2" s="1244"/>
    </row>
    <row r="3" spans="1:33" s="280" customFormat="1">
      <c r="B3" s="1250" t="s">
        <v>409</v>
      </c>
      <c r="C3" s="1251"/>
      <c r="D3" s="581"/>
      <c r="E3" s="1251" t="s">
        <v>411</v>
      </c>
      <c r="F3" s="1251"/>
      <c r="G3" s="1252"/>
      <c r="H3" s="1250" t="s">
        <v>410</v>
      </c>
      <c r="I3" s="1251"/>
      <c r="J3" s="1252"/>
      <c r="K3" s="1256" t="s">
        <v>409</v>
      </c>
      <c r="L3" s="1257"/>
      <c r="M3" s="1257"/>
      <c r="N3" s="1258"/>
      <c r="O3" s="1248" t="s">
        <v>409</v>
      </c>
      <c r="P3" s="1249"/>
      <c r="Q3" s="585" t="s">
        <v>409</v>
      </c>
      <c r="R3" s="1245" t="s">
        <v>427</v>
      </c>
      <c r="S3" s="1246"/>
      <c r="T3" s="978"/>
      <c r="U3" s="975" t="s">
        <v>409</v>
      </c>
      <c r="V3" s="975"/>
      <c r="W3" s="977"/>
      <c r="X3" s="1242" t="s">
        <v>433</v>
      </c>
      <c r="Y3" s="1243"/>
      <c r="Z3" s="1243"/>
      <c r="AA3" s="977" t="s">
        <v>427</v>
      </c>
      <c r="AB3" s="1242" t="s">
        <v>242</v>
      </c>
      <c r="AC3" s="1243"/>
      <c r="AD3" s="1244"/>
    </row>
    <row r="4" spans="1:33" s="280" customFormat="1">
      <c r="B4" s="975" t="s">
        <v>395</v>
      </c>
      <c r="C4" s="976" t="s">
        <v>449</v>
      </c>
      <c r="D4" s="977" t="s">
        <v>415</v>
      </c>
      <c r="E4" s="975" t="s">
        <v>412</v>
      </c>
      <c r="F4" s="976" t="s">
        <v>413</v>
      </c>
      <c r="G4" s="977" t="s">
        <v>414</v>
      </c>
      <c r="H4" s="975" t="s">
        <v>412</v>
      </c>
      <c r="I4" s="976" t="s">
        <v>413</v>
      </c>
      <c r="J4" s="976" t="s">
        <v>414</v>
      </c>
      <c r="K4" s="1014" t="s">
        <v>591</v>
      </c>
      <c r="L4" s="1014" t="s">
        <v>592</v>
      </c>
      <c r="M4" s="1014" t="s">
        <v>593</v>
      </c>
      <c r="N4" s="1015" t="s">
        <v>450</v>
      </c>
      <c r="O4" s="979" t="s">
        <v>166</v>
      </c>
      <c r="P4" s="980" t="s">
        <v>94</v>
      </c>
      <c r="Q4" s="586" t="s">
        <v>372</v>
      </c>
      <c r="R4" s="582" t="s">
        <v>239</v>
      </c>
      <c r="S4" s="520" t="s">
        <v>18</v>
      </c>
      <c r="T4" s="583" t="s">
        <v>242</v>
      </c>
      <c r="U4" s="981" t="s">
        <v>373</v>
      </c>
      <c r="V4" s="981" t="s">
        <v>446</v>
      </c>
      <c r="W4" s="983" t="s">
        <v>445</v>
      </c>
      <c r="X4" s="981" t="s">
        <v>429</v>
      </c>
      <c r="Y4" s="982" t="s">
        <v>430</v>
      </c>
      <c r="Z4" s="982" t="s">
        <v>434</v>
      </c>
      <c r="AA4" s="983" t="s">
        <v>426</v>
      </c>
      <c r="AB4" s="981" t="s">
        <v>442</v>
      </c>
      <c r="AC4" s="982" t="s">
        <v>443</v>
      </c>
      <c r="AD4" s="983" t="s">
        <v>444</v>
      </c>
    </row>
    <row r="5" spans="1:33">
      <c r="A5" t="s">
        <v>211</v>
      </c>
      <c r="B5" s="566">
        <f>ROUND(Dashboard!$D$28*(('Data-Credit &amp; Degree'!AU6+'Data-Credit &amp; Degree'!AV6+'Data-Credit &amp; Degree'!AW6)/('Data-Credit &amp; Degree'!$AU$24+'Data-Credit &amp; Degree'!$AV$24+'Data-Credit &amp; Degree'!$AW$24)),-2)</f>
        <v>3600</v>
      </c>
      <c r="C5" s="567">
        <f>ROUND(Dashboard!$D$22*'Productivity Calc'!D5,-2)</f>
        <v>4497300</v>
      </c>
      <c r="D5" s="578">
        <f>+(E5+F5+G5)/($E$23+$F$23+$G$23)</f>
        <v>6.9286189719945171E-2</v>
      </c>
      <c r="E5" s="566">
        <f>+Dashboard!$B$23*'Productivity Calc'!H5</f>
        <v>35001.299657084812</v>
      </c>
      <c r="F5" s="567">
        <f>+Dashboard!$B$25*'Productivity Calc'!I5</f>
        <v>22053.530264063844</v>
      </c>
      <c r="G5" s="571">
        <f>+Dashboard!$B$27*'Productivity Calc'!J5</f>
        <v>6057.6390430906131</v>
      </c>
      <c r="H5" s="566">
        <f>IF(A5="PHHS",IF(Dashboard!$C$12="no",SUM('Data-Credit &amp; Degree'!$B$16:$G$16)+SUM('Data-Credit &amp; Degree'!$B$26:$D$26),SUM('Data-Credit &amp; Degree'!$B$16:$G$16)+(SUM('Data-Credit &amp; Degree'!$B$26:$D$26)*Dashboard!$C$13)),SUM('Data-Credit &amp; Degree'!B6:G6))</f>
        <v>49647.233556148669</v>
      </c>
      <c r="I5" s="567">
        <f>+'Data-Credit &amp; Degree'!K6+'Data-Credit &amp; Degree'!L6+'Data-Credit &amp; Degree'!M6</f>
        <v>21684.887181970349</v>
      </c>
      <c r="J5" s="567">
        <f>+'Data-Credit &amp; Degree'!Q6+'Data-Credit &amp; Degree'!R6+'Data-Credit &amp; Degree'!S6</f>
        <v>2956.3880151735548</v>
      </c>
      <c r="K5" s="579">
        <f>ROUND((('Data-Credit &amp; Degree'!AI35+'Data-Credit &amp; Degree'!AJ35+'Data-Credit &amp; Degree'!AK35)*Dashboard!$B$43)/((('Data-Credit &amp; Degree'!$AI$52+'Data-Credit &amp; Degree'!$AJ$52+'Data-Credit &amp; Degree'!$AK$52)*Dashboard!$B$43)+(('Data-Credit &amp; Degree'!$AC$52+'Data-Credit &amp; Degree'!$AD$52+'Data-Credit &amp; Degree'!$AE$52)*Dashboard!$B$44)+(('Data-Credit &amp; Degree'!$AF$52+'Data-Credit &amp; Degree'!$AG$52+'Data-Credit &amp; Degree'!$AH$52)*Dashboard!$B$45))*Dashboard!$D$42,-2)</f>
        <v>217500</v>
      </c>
      <c r="L5" s="579">
        <f>ROUND((('Data-Credit &amp; Degree'!AC35+'Data-Credit &amp; Degree'!AD35+'Data-Credit &amp; Degree'!AE35)*Dashboard!$B$44)/((('Data-Credit &amp; Degree'!$AI$52+'Data-Credit &amp; Degree'!$AJ$52+'Data-Credit &amp; Degree'!$AK$52)*Dashboard!$B$43)+(('Data-Credit &amp; Degree'!$AC$52+'Data-Credit &amp; Degree'!$AD$52+'Data-Credit &amp; Degree'!$AE$52)*Dashboard!$B$44)+(('Data-Credit &amp; Degree'!$AF$52+'Data-Credit &amp; Degree'!$AG$52+'Data-Credit &amp; Degree'!$AH$52)*Dashboard!$B$45))*Dashboard!$D$42,-2)</f>
        <v>44800</v>
      </c>
      <c r="M5" s="579">
        <f>ROUND((('Data-Credit &amp; Degree'!AF35+'Data-Credit &amp; Degree'!AG35+'Data-Credit &amp; Degree'!AH35)*Dashboard!$B$45)/((('Data-Credit &amp; Degree'!$AI$52+'Data-Credit &amp; Degree'!$AJ$52+'Data-Credit &amp; Degree'!$AK$52)*Dashboard!$B$43)+(('Data-Credit &amp; Degree'!$AC$52+'Data-Credit &amp; Degree'!$AD$52+'Data-Credit &amp; Degree'!$AE$52)*Dashboard!$B$44)+(('Data-Credit &amp; Degree'!$AF$52+'Data-Credit &amp; Degree'!$AG$52+'Data-Credit &amp; Degree'!$AH$52)*Dashboard!$B$45))*Dashboard!$D$42,-2)</f>
        <v>83300</v>
      </c>
      <c r="N5" s="580">
        <f>ROUND(IF(A5="PHHS",Dashboard!$D$48*((SUM('Data-Credit &amp; Degree'!AX6:AZ6,'Data-Credit &amp; Degree'!$AX$26:$AZ$26)/(SUM('Data-Credit &amp; Degree'!$AX$24:$AZ$24,'Data-Credit &amp; Degree'!$AX$26:$AZ$26)))),Dashboard!$D$48*((SUM('Data-Credit &amp; Degree'!AX6:AZ6)/(SUM('Data-Credit &amp; Degree'!$AX$24:$AZ$24,'Data-Credit &amp; Degree'!$AX$26:$AZ$26))))),-2)</f>
        <v>26000</v>
      </c>
      <c r="O5" s="574">
        <f>+Ecampus!B7</f>
        <v>12244000</v>
      </c>
      <c r="P5" s="570">
        <f>+Summer!B8</f>
        <v>512000</v>
      </c>
      <c r="Q5" s="587">
        <f>ROUND((Dashboard!$D$29*(R5/'Productivity Calc'!$R$23))+(Dashboard!$D$30*(S5/$S$23)),-2)</f>
        <v>3080800</v>
      </c>
      <c r="R5" s="575">
        <f>(SUM('Data-Credit &amp; Degree'!B35:D35)+(SUM('Data-Credit &amp; Degree'!Q35:S35,'Data-Credit &amp; Degree'!N35:P35)/5))*T5</f>
        <v>2071.6080318257982</v>
      </c>
      <c r="S5" s="533">
        <f>(((SUM('Data-Credit &amp; Degree'!H6:J6)*T5)))</f>
        <v>52800.350296182187</v>
      </c>
      <c r="T5" s="584">
        <f>IF(Dashboard!$C$16="yes",Weights!C5,1)</f>
        <v>1.4284719010994193</v>
      </c>
      <c r="U5" s="566">
        <f>ROUND((V5*Dashboard!$D$36)+(W5*Dashboard!$D$31),-2)</f>
        <v>3317900</v>
      </c>
      <c r="V5" s="590">
        <f t="shared" ref="V5:V21" si="0">AA5/$AA$23</f>
        <v>0.15919746714463939</v>
      </c>
      <c r="W5" s="578">
        <f t="shared" ref="W5:W21" si="1">(SUM(X5:Z5)/SUM($X$23:$Z$23))</f>
        <v>0.12051944575227869</v>
      </c>
      <c r="X5" s="566">
        <f>IF(A5="Graduate School",((SUM('Data-Credit &amp; Degree'!T35:V35)*AD5))*AC5,(SUM('Data-Credit &amp; Degree'!E35:G35)+(SUM('Data-Credit &amp; Degree'!T35:V35)*AD5))*AC5)</f>
        <v>305.46438172534693</v>
      </c>
      <c r="Y5" s="567">
        <f>IF(A5="Graduate School",((SUM('Data-Credit &amp; Degree'!W35:Y35)*AD5))*AB5,(SUM('Data-Credit &amp; Degree'!H35:J35)+(SUM('Data-Credit &amp; Degree'!W35:Y35)*AD5))*AB5)</f>
        <v>713.05528160031304</v>
      </c>
      <c r="Z5" s="567">
        <f>(SUM('Data-Credit &amp; Degree'!K35:M35)/5)*AB5</f>
        <v>165.86891105152716</v>
      </c>
      <c r="AA5" s="571">
        <f>SUM('Data-Credit &amp; Degree'!N6:P6)*AB5</f>
        <v>102575.72252783284</v>
      </c>
      <c r="AB5" s="592">
        <f>IF((OR(A5="Pharmacy",A5="Veterinary Medicine")),IF(Dashboard!$C$14="yes",Dashboard!$C$15,IF(Dashboard!$C$17="yes",Weights!F5,1)),IF(Dashboard!$C$17="yes",Weights!D5,1))</f>
        <v>2.9940236651900212</v>
      </c>
      <c r="AC5" s="588">
        <f>IF(Dashboard!$C$17="yes",Weights!E5,1)</f>
        <v>3.0615572354211658</v>
      </c>
      <c r="AD5" s="589">
        <f>IF(A5="Graduate School",Dashboard!$B$33*Dashboard!$B$35,Dashboard!$B$33*Dashboard!$B$34)</f>
        <v>0.99995999999999996</v>
      </c>
    </row>
    <row r="6" spans="1:33">
      <c r="A6" t="s">
        <v>212</v>
      </c>
      <c r="B6" s="566">
        <f>ROUND(Dashboard!$D$28*(('Data-Credit &amp; Degree'!AU7+'Data-Credit &amp; Degree'!AV7+'Data-Credit &amp; Degree'!AW7)/('Data-Credit &amp; Degree'!$AU$24+'Data-Credit &amp; Degree'!$AV$24+'Data-Credit &amp; Degree'!$AW$24)),-2)</f>
        <v>103000</v>
      </c>
      <c r="C6" s="567">
        <f>ROUND(Dashboard!$D$22*'Productivity Calc'!D6,-2)</f>
        <v>5849000</v>
      </c>
      <c r="D6" s="578">
        <f t="shared" ref="D6:D21" si="2">+(E6+F6+G6)/($E$23+$F$23+$G$23)</f>
        <v>9.0110615649353715E-2</v>
      </c>
      <c r="E6" s="566">
        <f>+Dashboard!$B$23*'Productivity Calc'!H6</f>
        <v>68043.188818191993</v>
      </c>
      <c r="F6" s="567">
        <f>+Dashboard!$B$25*'Productivity Calc'!I6</f>
        <v>11989.08862278481</v>
      </c>
      <c r="G6" s="571">
        <f>+Dashboard!$B$27*'Productivity Calc'!J6</f>
        <v>2049.064548034366</v>
      </c>
      <c r="H6" s="566">
        <f>IF(A6="PHHS",IF(Dashboard!$C$12="no",SUM('Data-Credit &amp; Degree'!$B$16:$G$16)+SUM('Data-Credit &amp; Degree'!$B$26:$D$26),SUM('Data-Credit &amp; Degree'!$B$16:$G$16)+(SUM('Data-Credit &amp; Degree'!$B$26:$D$26)*Dashboard!$C$13)),SUM('Data-Credit &amp; Degree'!B7:G7))</f>
        <v>96515.16144424396</v>
      </c>
      <c r="I6" s="567">
        <f>+'Data-Credit &amp; Degree'!K7+'Data-Credit &amp; Degree'!L7+'Data-Credit &amp; Degree'!M7</f>
        <v>11788.681045019479</v>
      </c>
      <c r="J6" s="567">
        <f>+'Data-Credit &amp; Degree'!Q7+'Data-Credit &amp; Degree'!R7+'Data-Credit &amp; Degree'!S7</f>
        <v>1000.0315022129654</v>
      </c>
      <c r="K6" s="579">
        <f>ROUND((('Data-Credit &amp; Degree'!AI36+'Data-Credit &amp; Degree'!AJ36+'Data-Credit &amp; Degree'!AK36)*Dashboard!$B$43)/((('Data-Credit &amp; Degree'!$AI$52+'Data-Credit &amp; Degree'!$AJ$52+'Data-Credit &amp; Degree'!$AK$52)*Dashboard!$B$43)+(('Data-Credit &amp; Degree'!$AC$52+'Data-Credit &amp; Degree'!$AD$52+'Data-Credit &amp; Degree'!$AE$52)*Dashboard!$B$44)+(('Data-Credit &amp; Degree'!$AF$52+'Data-Credit &amp; Degree'!$AG$52+'Data-Credit &amp; Degree'!$AH$52)*Dashboard!$B$45))*Dashboard!$D$42,-2)</f>
        <v>448300</v>
      </c>
      <c r="L6" s="579">
        <f>ROUND((('Data-Credit &amp; Degree'!AC36+'Data-Credit &amp; Degree'!AD36+'Data-Credit &amp; Degree'!AE36)*Dashboard!$B$44)/((('Data-Credit &amp; Degree'!$AI$52+'Data-Credit &amp; Degree'!$AJ$52+'Data-Credit &amp; Degree'!$AK$52)*Dashboard!$B$43)+(('Data-Credit &amp; Degree'!$AC$52+'Data-Credit &amp; Degree'!$AD$52+'Data-Credit &amp; Degree'!$AE$52)*Dashboard!$B$44)+(('Data-Credit &amp; Degree'!$AF$52+'Data-Credit &amp; Degree'!$AG$52+'Data-Credit &amp; Degree'!$AH$52)*Dashboard!$B$45))*Dashboard!$D$42,-2)</f>
        <v>357400</v>
      </c>
      <c r="M6" s="579">
        <f>ROUND((('Data-Credit &amp; Degree'!AF36+'Data-Credit &amp; Degree'!AG36+'Data-Credit &amp; Degree'!AH36)*Dashboard!$B$45)/((('Data-Credit &amp; Degree'!$AI$52+'Data-Credit &amp; Degree'!$AJ$52+'Data-Credit &amp; Degree'!$AK$52)*Dashboard!$B$43)+(('Data-Credit &amp; Degree'!$AC$52+'Data-Credit &amp; Degree'!$AD$52+'Data-Credit &amp; Degree'!$AE$52)*Dashboard!$B$44)+(('Data-Credit &amp; Degree'!$AF$52+'Data-Credit &amp; Degree'!$AG$52+'Data-Credit &amp; Degree'!$AH$52)*Dashboard!$B$45))*Dashboard!$D$42,-2)</f>
        <v>104100</v>
      </c>
      <c r="N6" s="580">
        <f>ROUND(IF(A6="PHHS",Dashboard!$D$48*((SUM('Data-Credit &amp; Degree'!AX7:AZ7,'Data-Credit &amp; Degree'!$AX$26:$AZ$26)/(SUM('Data-Credit &amp; Degree'!$AX$24:$AZ$24,'Data-Credit &amp; Degree'!$AX$26:$AZ$26)))),Dashboard!$D$48*((SUM('Data-Credit &amp; Degree'!AX7:AZ7)/(SUM('Data-Credit &amp; Degree'!$AX$24:$AZ$24,'Data-Credit &amp; Degree'!$AX$26:$AZ$26))))),-2)</f>
        <v>54400</v>
      </c>
      <c r="O6" s="574">
        <f>+Ecampus!B8</f>
        <v>13744000</v>
      </c>
      <c r="P6" s="570">
        <f>+Summer!B9</f>
        <v>270000</v>
      </c>
      <c r="Q6" s="587">
        <f>ROUND((Dashboard!$D$29*(R6/'Productivity Calc'!$R$23))+(Dashboard!$D$30*(S6/$S$23)),-2)</f>
        <v>5385000</v>
      </c>
      <c r="R6" s="575">
        <f>(SUM('Data-Credit &amp; Degree'!B36:D36)+(SUM('Data-Credit &amp; Degree'!Q36:S36,'Data-Credit &amp; Degree'!N36:P36)/5))*T6</f>
        <v>3227.267688699977</v>
      </c>
      <c r="S6" s="533">
        <f>(((SUM('Data-Credit &amp; Degree'!H7:J7)*T6)))</f>
        <v>110060.92360299035</v>
      </c>
      <c r="T6" s="584">
        <f>IF(Dashboard!$C$16="yes",Weights!C6,1)</f>
        <v>1.0336138423339543</v>
      </c>
      <c r="U6" s="566">
        <f>ROUND((V6*Dashboard!$D$36)+(W6*Dashboard!$D$31),-2)</f>
        <v>1564700</v>
      </c>
      <c r="V6" s="590">
        <f t="shared" si="0"/>
        <v>2.5058092881702916E-2</v>
      </c>
      <c r="W6" s="578">
        <f t="shared" si="1"/>
        <v>8.780115469724456E-2</v>
      </c>
      <c r="X6" s="566">
        <f>IF(A6="Graduate School",((SUM('Data-Credit &amp; Degree'!T36:V36)*AD6))*AC6,(SUM('Data-Credit &amp; Degree'!E36:G36)+(SUM('Data-Credit &amp; Degree'!T36:V36)*AD6))*AC6)</f>
        <v>14.149683954208751</v>
      </c>
      <c r="Y6" s="567">
        <f>IF(A6="Graduate School",((SUM('Data-Credit &amp; Degree'!W36:Y36)*AD6))*AB6,(SUM('Data-Credit &amp; Degree'!H36:J36)+(SUM('Data-Credit &amp; Degree'!W36:Y36)*AD6))*AB6)</f>
        <v>832.87956695086029</v>
      </c>
      <c r="Z6" s="567">
        <f>(SUM('Data-Credit &amp; Degree'!K36:M36)/5)*AB6</f>
        <v>15.824737440410708</v>
      </c>
      <c r="AA6" s="571">
        <f>SUM('Data-Credit &amp; Degree'!N7:P7)*AB6</f>
        <v>16145.683901961327</v>
      </c>
      <c r="AB6" s="592">
        <f>IF((OR(A6="Pharmacy",A6="Veterinary Medicine")),IF(Dashboard!$C$14="yes",Dashboard!$C$15,IF(Dashboard!$C$17="yes",Weights!F6,1)),IF(Dashboard!$C$17="yes",Weights!D6,1))</f>
        <v>1.6370418041804178</v>
      </c>
      <c r="AC6" s="588">
        <f>IF(Dashboard!$C$17="yes",Weights!E6,1)</f>
        <v>4.7633933333333323</v>
      </c>
      <c r="AD6" s="589">
        <f>IF(A6="Graduate School",Dashboard!$B$33*Dashboard!$B$35,Dashboard!$B$33*Dashboard!$B$34)</f>
        <v>0.99995999999999996</v>
      </c>
    </row>
    <row r="7" spans="1:33">
      <c r="A7" t="s">
        <v>213</v>
      </c>
      <c r="B7" s="566">
        <f>ROUND(Dashboard!$D$28*(('Data-Credit &amp; Degree'!AU8+'Data-Credit &amp; Degree'!AV8+'Data-Credit &amp; Degree'!AW8)/('Data-Credit &amp; Degree'!$AU$24+'Data-Credit &amp; Degree'!$AV$24+'Data-Credit &amp; Degree'!$AW$24)),-2)</f>
        <v>4200</v>
      </c>
      <c r="C7" s="567">
        <f>ROUND(Dashboard!$D$22*'Productivity Calc'!D7,-2)</f>
        <v>820800</v>
      </c>
      <c r="D7" s="578">
        <f t="shared" si="2"/>
        <v>1.2644815688582329E-2</v>
      </c>
      <c r="E7" s="566">
        <f>+Dashboard!$B$23*'Productivity Calc'!H7</f>
        <v>4011.1528314025468</v>
      </c>
      <c r="F7" s="567">
        <f>+Dashboard!$B$25*'Productivity Calc'!I7</f>
        <v>6798.6801505003195</v>
      </c>
      <c r="G7" s="571">
        <f>+Dashboard!$B$27*'Productivity Calc'!J7</f>
        <v>708.27099999999984</v>
      </c>
      <c r="H7" s="566">
        <f>IF(A7="PHHS",IF(Dashboard!$C$12="no",SUM('Data-Credit &amp; Degree'!$B$16:$G$16)+SUM('Data-Credit &amp; Degree'!$B$26:$D$26),SUM('Data-Credit &amp; Degree'!$B$16:$G$16)+(SUM('Data-Credit &amp; Degree'!$B$26:$D$26)*Dashboard!$C$13)),SUM('Data-Credit &amp; Degree'!B8:G8))</f>
        <v>5689.5784842589319</v>
      </c>
      <c r="I7" s="567">
        <f>+'Data-Credit &amp; Degree'!K8+'Data-Credit &amp; Degree'!L8+'Data-Credit &amp; Degree'!M8</f>
        <v>6685.034562930502</v>
      </c>
      <c r="J7" s="567">
        <f>+'Data-Credit &amp; Degree'!Q8+'Data-Credit &amp; Degree'!R8+'Data-Credit &amp; Degree'!S8</f>
        <v>345.66666666666663</v>
      </c>
      <c r="K7" s="579">
        <f>ROUND((('Data-Credit &amp; Degree'!AI37+'Data-Credit &amp; Degree'!AJ37+'Data-Credit &amp; Degree'!AK37)*Dashboard!$B$43)/((('Data-Credit &amp; Degree'!$AI$52+'Data-Credit &amp; Degree'!$AJ$52+'Data-Credit &amp; Degree'!$AK$52)*Dashboard!$B$43)+(('Data-Credit &amp; Degree'!$AC$52+'Data-Credit &amp; Degree'!$AD$52+'Data-Credit &amp; Degree'!$AE$52)*Dashboard!$B$44)+(('Data-Credit &amp; Degree'!$AF$52+'Data-Credit &amp; Degree'!$AG$52+'Data-Credit &amp; Degree'!$AH$52)*Dashboard!$B$45))*Dashboard!$D$42,-2)</f>
        <v>101300</v>
      </c>
      <c r="L7" s="579">
        <f>ROUND((('Data-Credit &amp; Degree'!AC37+'Data-Credit &amp; Degree'!AD37+'Data-Credit &amp; Degree'!AE37)*Dashboard!$B$44)/((('Data-Credit &amp; Degree'!$AI$52+'Data-Credit &amp; Degree'!$AJ$52+'Data-Credit &amp; Degree'!$AK$52)*Dashboard!$B$43)+(('Data-Credit &amp; Degree'!$AC$52+'Data-Credit &amp; Degree'!$AD$52+'Data-Credit &amp; Degree'!$AE$52)*Dashboard!$B$44)+(('Data-Credit &amp; Degree'!$AF$52+'Data-Credit &amp; Degree'!$AG$52+'Data-Credit &amp; Degree'!$AH$52)*Dashboard!$B$45))*Dashboard!$D$42,-2)</f>
        <v>1600</v>
      </c>
      <c r="M7" s="579">
        <f>ROUND((('Data-Credit &amp; Degree'!AF37+'Data-Credit &amp; Degree'!AG37+'Data-Credit &amp; Degree'!AH37)*Dashboard!$B$45)/((('Data-Credit &amp; Degree'!$AI$52+'Data-Credit &amp; Degree'!$AJ$52+'Data-Credit &amp; Degree'!$AK$52)*Dashboard!$B$43)+(('Data-Credit &amp; Degree'!$AC$52+'Data-Credit &amp; Degree'!$AD$52+'Data-Credit &amp; Degree'!$AE$52)*Dashboard!$B$44)+(('Data-Credit &amp; Degree'!$AF$52+'Data-Credit &amp; Degree'!$AG$52+'Data-Credit &amp; Degree'!$AH$52)*Dashboard!$B$45))*Dashboard!$D$42,-2)</f>
        <v>14500</v>
      </c>
      <c r="N7" s="580">
        <f>ROUND(IF(A7="PHHS",Dashboard!$D$48*((SUM('Data-Credit &amp; Degree'!AX8:AZ8,'Data-Credit &amp; Degree'!$AX$26:$AZ$26)/(SUM('Data-Credit &amp; Degree'!$AX$24:$AZ$24,'Data-Credit &amp; Degree'!$AX$26:$AZ$26)))),Dashboard!$D$48*((SUM('Data-Credit &amp; Degree'!AX8:AZ8)/(SUM('Data-Credit &amp; Degree'!$AX$24:$AZ$24,'Data-Credit &amp; Degree'!$AX$26:$AZ$26))))),-2)</f>
        <v>87700</v>
      </c>
      <c r="O7" s="574">
        <f>+Ecampus!B9</f>
        <v>4256000</v>
      </c>
      <c r="P7" s="570">
        <f>+Summer!B10</f>
        <v>15000</v>
      </c>
      <c r="Q7" s="587">
        <f>ROUND((Dashboard!$D$29*(R7/'Productivity Calc'!$R$23))+(Dashboard!$D$30*(S7/$S$23)),-2)</f>
        <v>185400</v>
      </c>
      <c r="R7" s="575">
        <f>(SUM('Data-Credit &amp; Degree'!B37:D37)+(SUM('Data-Credit &amp; Degree'!Q37:S37,'Data-Credit &amp; Degree'!N37:P37)/5))*T7</f>
        <v>184.58945007188117</v>
      </c>
      <c r="S7" s="533">
        <f>(((SUM('Data-Credit &amp; Degree'!H8:J8)*T7)))</f>
        <v>472.17500000000001</v>
      </c>
      <c r="T7" s="584">
        <f>IF(Dashboard!$C$16="yes",Weights!C7,1)</f>
        <v>0.93500000000000005</v>
      </c>
      <c r="U7" s="566">
        <f>ROUND((V7*Dashboard!$D$36)+(W7*Dashboard!$D$31),-2)</f>
        <v>949900</v>
      </c>
      <c r="V7" s="590">
        <f t="shared" si="0"/>
        <v>5.91939813105325E-3</v>
      </c>
      <c r="W7" s="578">
        <f t="shared" si="1"/>
        <v>5.9054983137743162E-2</v>
      </c>
      <c r="X7" s="566">
        <f>IF(A7="Graduate School",((SUM('Data-Credit &amp; Degree'!T37:V37)*AD7))*AC7,(SUM('Data-Credit &amp; Degree'!E37:G37)+(SUM('Data-Credit &amp; Degree'!T37:V37)*AD7))*AC7)</f>
        <v>191.3627088906812</v>
      </c>
      <c r="Y7" s="567">
        <f>IF(A7="Graduate School",((SUM('Data-Credit &amp; Degree'!W37:Y37)*AD7))*AB7,(SUM('Data-Credit &amp; Degree'!H37:J37)+(SUM('Data-Credit &amp; Degree'!W37:Y37)*AD7))*AB7)</f>
        <v>369.33082791160416</v>
      </c>
      <c r="Z7" s="567">
        <f>(SUM('Data-Credit &amp; Degree'!K37:M37)/5)*AB7</f>
        <v>19.661333333333335</v>
      </c>
      <c r="AA7" s="571">
        <f>SUM('Data-Credit &amp; Degree'!N8:P8)*AB7</f>
        <v>3814.0464864998708</v>
      </c>
      <c r="AB7" s="592">
        <f>IF((OR(A7="Pharmacy",A7="Veterinary Medicine")),IF(Dashboard!$C$14="yes",Dashboard!$C$15,IF(Dashboard!$C$17="yes",Weights!F7,1)),IF(Dashboard!$C$17="yes",Weights!D7,1))</f>
        <v>1.46</v>
      </c>
      <c r="AC7" s="588">
        <f>IF(Dashboard!$C$17="yes",Weights!E7,1)</f>
        <v>2.5490000000000004</v>
      </c>
      <c r="AD7" s="589">
        <f>IF(A7="Graduate School",Dashboard!$B$33*Dashboard!$B$35,Dashboard!$B$33*Dashboard!$B$34)</f>
        <v>0.99995999999999996</v>
      </c>
    </row>
    <row r="8" spans="1:33">
      <c r="A8" t="s">
        <v>214</v>
      </c>
      <c r="B8" s="566">
        <f>ROUND(Dashboard!$D$28*(('Data-Credit &amp; Degree'!AU9+'Data-Credit &amp; Degree'!AV9+'Data-Credit &amp; Degree'!AW9)/('Data-Credit &amp; Degree'!$AU$24+'Data-Credit &amp; Degree'!$AV$24+'Data-Credit &amp; Degree'!$AW$24)),-2)</f>
        <v>0</v>
      </c>
      <c r="C8" s="567">
        <f>ROUND(Dashboard!$D$22*'Productivity Calc'!D8,-2)</f>
        <v>926500</v>
      </c>
      <c r="D8" s="578">
        <f t="shared" si="2"/>
        <v>1.4274503580416934E-2</v>
      </c>
      <c r="E8" s="566">
        <f>+Dashboard!$B$23*'Productivity Calc'!H8</f>
        <v>7226.0701263803248</v>
      </c>
      <c r="F8" s="567">
        <f>+Dashboard!$B$25*'Productivity Calc'!I8</f>
        <v>3051.3389999999999</v>
      </c>
      <c r="G8" s="571">
        <f>+Dashboard!$B$27*'Productivity Calc'!J8</f>
        <v>2725.17</v>
      </c>
      <c r="H8" s="566">
        <f>IF(A8="PHHS",IF(Dashboard!$C$12="no",SUM('Data-Credit &amp; Degree'!$B$16:$G$16)+SUM('Data-Credit &amp; Degree'!$B$26:$D$26),SUM('Data-Credit &amp; Degree'!$B$16:$G$16)+(SUM('Data-Credit &amp; Degree'!$B$26:$D$26)*Dashboard!$C$13)),SUM('Data-Credit &amp; Degree'!B9:G9))</f>
        <v>10249.744860113937</v>
      </c>
      <c r="I8" s="567">
        <f>+'Data-Credit &amp; Degree'!K9+'Data-Credit &amp; Degree'!L9+'Data-Credit &amp; Degree'!M9</f>
        <v>3000.3333333333335</v>
      </c>
      <c r="J8" s="567">
        <f>+'Data-Credit &amp; Degree'!Q9+'Data-Credit &amp; Degree'!R9+'Data-Credit &amp; Degree'!S9</f>
        <v>1330</v>
      </c>
      <c r="K8" s="579">
        <f>ROUND((('Data-Credit &amp; Degree'!AI38+'Data-Credit &amp; Degree'!AJ38+'Data-Credit &amp; Degree'!AK38)*Dashboard!$B$43)/((('Data-Credit &amp; Degree'!$AI$52+'Data-Credit &amp; Degree'!$AJ$52+'Data-Credit &amp; Degree'!$AK$52)*Dashboard!$B$43)+(('Data-Credit &amp; Degree'!$AC$52+'Data-Credit &amp; Degree'!$AD$52+'Data-Credit &amp; Degree'!$AE$52)*Dashboard!$B$44)+(('Data-Credit &amp; Degree'!$AF$52+'Data-Credit &amp; Degree'!$AG$52+'Data-Credit &amp; Degree'!$AH$52)*Dashboard!$B$45))*Dashboard!$D$42,-2)</f>
        <v>76600</v>
      </c>
      <c r="L8" s="579">
        <f>ROUND((('Data-Credit &amp; Degree'!AC38+'Data-Credit &amp; Degree'!AD38+'Data-Credit &amp; Degree'!AE38)*Dashboard!$B$44)/((('Data-Credit &amp; Degree'!$AI$52+'Data-Credit &amp; Degree'!$AJ$52+'Data-Credit &amp; Degree'!$AK$52)*Dashboard!$B$43)+(('Data-Credit &amp; Degree'!$AC$52+'Data-Credit &amp; Degree'!$AD$52+'Data-Credit &amp; Degree'!$AE$52)*Dashboard!$B$44)+(('Data-Credit &amp; Degree'!$AF$52+'Data-Credit &amp; Degree'!$AG$52+'Data-Credit &amp; Degree'!$AH$52)*Dashboard!$B$45))*Dashboard!$D$42,-2)</f>
        <v>19800</v>
      </c>
      <c r="M8" s="579">
        <f>ROUND((('Data-Credit &amp; Degree'!AF38+'Data-Credit &amp; Degree'!AG38+'Data-Credit &amp; Degree'!AH38)*Dashboard!$B$45)/((('Data-Credit &amp; Degree'!$AI$52+'Data-Credit &amp; Degree'!$AJ$52+'Data-Credit &amp; Degree'!$AK$52)*Dashboard!$B$43)+(('Data-Credit &amp; Degree'!$AC$52+'Data-Credit &amp; Degree'!$AD$52+'Data-Credit &amp; Degree'!$AE$52)*Dashboard!$B$44)+(('Data-Credit &amp; Degree'!$AF$52+'Data-Credit &amp; Degree'!$AG$52+'Data-Credit &amp; Degree'!$AH$52)*Dashboard!$B$45))*Dashboard!$D$42,-2)</f>
        <v>38100</v>
      </c>
      <c r="N8" s="580">
        <f>ROUND(IF(A8="PHHS",Dashboard!$D$48*((SUM('Data-Credit &amp; Degree'!AX9:AZ9,'Data-Credit &amp; Degree'!$AX$26:$AZ$26)/(SUM('Data-Credit &amp; Degree'!$AX$24:$AZ$24,'Data-Credit &amp; Degree'!$AX$26:$AZ$26)))),Dashboard!$D$48*((SUM('Data-Credit &amp; Degree'!AX9:AZ9)/(SUM('Data-Credit &amp; Degree'!$AX$24:$AZ$24,'Data-Credit &amp; Degree'!$AX$26:$AZ$26))))),-2)</f>
        <v>28500</v>
      </c>
      <c r="O8" s="574">
        <f>+Ecampus!B10</f>
        <v>2381000</v>
      </c>
      <c r="P8" s="570">
        <f>+Summer!B11</f>
        <v>55000</v>
      </c>
      <c r="Q8" s="587">
        <f>ROUND((Dashboard!$D$29*(R8/'Productivity Calc'!$R$23))+(Dashboard!$D$30*(S8/$S$23)),-2)</f>
        <v>1296400</v>
      </c>
      <c r="R8" s="575">
        <f>(SUM('Data-Credit &amp; Degree'!B38:D38)+(SUM('Data-Credit &amp; Degree'!Q38:S38,'Data-Credit &amp; Degree'!N38:P38)/5))*T8</f>
        <v>815.82372269031782</v>
      </c>
      <c r="S8" s="533">
        <f>(((SUM('Data-Credit &amp; Degree'!H9:J9)*T8)))</f>
        <v>24739.180294576487</v>
      </c>
      <c r="T8" s="584">
        <f>IF(Dashboard!$C$16="yes",Weights!C8,1)</f>
        <v>1.4279999999999999</v>
      </c>
      <c r="U8" s="566">
        <f>ROUND((V8*Dashboard!$D$36)+(W8*Dashboard!$D$31),-2)</f>
        <v>1239100</v>
      </c>
      <c r="V8" s="590">
        <f t="shared" si="0"/>
        <v>2.9871129583373898E-2</v>
      </c>
      <c r="W8" s="578">
        <f t="shared" si="1"/>
        <v>6.3321644012601291E-2</v>
      </c>
      <c r="X8" s="566">
        <f>IF(A8="Graduate School",((SUM('Data-Credit &amp; Degree'!T38:V38)*AD8))*AC8,(SUM('Data-Credit &amp; Degree'!E38:G38)+(SUM('Data-Credit &amp; Degree'!T38:V38)*AD8))*AC8)</f>
        <v>74.54705778968885</v>
      </c>
      <c r="Y8" s="567">
        <f>IF(A8="Graduate School",((SUM('Data-Credit &amp; Degree'!W38:Y38)*AD8))*AB8,(SUM('Data-Credit &amp; Degree'!H38:J38)+(SUM('Data-Credit &amp; Degree'!W38:Y38)*AD8))*AB8)</f>
        <v>498.52084578892391</v>
      </c>
      <c r="Z8" s="567">
        <f>(SUM('Data-Credit &amp; Degree'!K38:M38)/5)*AB8</f>
        <v>49.217000000000013</v>
      </c>
      <c r="AA8" s="571">
        <f>SUM('Data-Credit &amp; Degree'!N9:P9)*AB8</f>
        <v>19246.86839994285</v>
      </c>
      <c r="AB8" s="592">
        <f>IF((OR(A8="Pharmacy",A8="Veterinary Medicine")),IF(Dashboard!$C$14="yes",Dashboard!$C$15,IF(Dashboard!$C$17="yes",Weights!F8,1)),IF(Dashboard!$C$17="yes",Weights!D8,1))</f>
        <v>2.7650000000000006</v>
      </c>
      <c r="AC8" s="588">
        <f>IF(Dashboard!$C$17="yes",Weights!E8,1)</f>
        <v>2.5489999999999999</v>
      </c>
      <c r="AD8" s="589">
        <f>IF(A8="Graduate School",Dashboard!$B$33*Dashboard!$B$35,Dashboard!$B$33*Dashboard!$B$34)</f>
        <v>0.99995999999999996</v>
      </c>
    </row>
    <row r="9" spans="1:33">
      <c r="A9" t="s">
        <v>215</v>
      </c>
      <c r="B9" s="566">
        <f>ROUND(Dashboard!$D$28*(('Data-Credit &amp; Degree'!AU10+'Data-Credit &amp; Degree'!AV10+'Data-Credit &amp; Degree'!AW10)/('Data-Credit &amp; Degree'!$AU$24+'Data-Credit &amp; Degree'!$AV$24+'Data-Credit &amp; Degree'!$AW$24)),-2)</f>
        <v>0</v>
      </c>
      <c r="C9" s="567">
        <f>ROUND(Dashboard!$D$22*'Productivity Calc'!D9,-2)</f>
        <v>0</v>
      </c>
      <c r="D9" s="578">
        <f t="shared" si="2"/>
        <v>0</v>
      </c>
      <c r="E9" s="566">
        <f>+Dashboard!$B$23*'Productivity Calc'!H9</f>
        <v>0</v>
      </c>
      <c r="F9" s="567">
        <f>+Dashboard!$B$25*'Productivity Calc'!I9</f>
        <v>0</v>
      </c>
      <c r="G9" s="571">
        <f>+Dashboard!$B$27*'Productivity Calc'!J9</f>
        <v>0</v>
      </c>
      <c r="H9" s="566">
        <f>IF(A9="PHHS",IF(Dashboard!$C$12="no",SUM('Data-Credit &amp; Degree'!$B$16:$G$16)+SUM('Data-Credit &amp; Degree'!$B$26:$D$26),SUM('Data-Credit &amp; Degree'!$B$16:$G$16)+(SUM('Data-Credit &amp; Degree'!$B$26:$D$26)*Dashboard!$C$13)),SUM('Data-Credit &amp; Degree'!B10:G10))</f>
        <v>0</v>
      </c>
      <c r="I9" s="567">
        <f>+'Data-Credit &amp; Degree'!K10+'Data-Credit &amp; Degree'!L10+'Data-Credit &amp; Degree'!M10</f>
        <v>0</v>
      </c>
      <c r="J9" s="567">
        <f>+'Data-Credit &amp; Degree'!Q10+'Data-Credit &amp; Degree'!R10+'Data-Credit &amp; Degree'!S10</f>
        <v>0</v>
      </c>
      <c r="K9" s="579">
        <f>ROUND((('Data-Credit &amp; Degree'!AI39+'Data-Credit &amp; Degree'!AJ39+'Data-Credit &amp; Degree'!AK39)*Dashboard!$B$43)/((('Data-Credit &amp; Degree'!$AI$52+'Data-Credit &amp; Degree'!$AJ$52+'Data-Credit &amp; Degree'!$AK$52)*Dashboard!$B$43)+(('Data-Credit &amp; Degree'!$AC$52+'Data-Credit &amp; Degree'!$AD$52+'Data-Credit &amp; Degree'!$AE$52)*Dashboard!$B$44)+(('Data-Credit &amp; Degree'!$AF$52+'Data-Credit &amp; Degree'!$AG$52+'Data-Credit &amp; Degree'!$AH$52)*Dashboard!$B$45))*Dashboard!$D$42,-2)</f>
        <v>0</v>
      </c>
      <c r="L9" s="579">
        <f>ROUND((('Data-Credit &amp; Degree'!AC39+'Data-Credit &amp; Degree'!AD39+'Data-Credit &amp; Degree'!AE39)*Dashboard!$B$44)/((('Data-Credit &amp; Degree'!$AI$52+'Data-Credit &amp; Degree'!$AJ$52+'Data-Credit &amp; Degree'!$AK$52)*Dashboard!$B$43)+(('Data-Credit &amp; Degree'!$AC$52+'Data-Credit &amp; Degree'!$AD$52+'Data-Credit &amp; Degree'!$AE$52)*Dashboard!$B$44)+(('Data-Credit &amp; Degree'!$AF$52+'Data-Credit &amp; Degree'!$AG$52+'Data-Credit &amp; Degree'!$AH$52)*Dashboard!$B$45))*Dashboard!$D$42,-2)</f>
        <v>0</v>
      </c>
      <c r="M9" s="579">
        <f>ROUND((('Data-Credit &amp; Degree'!AF39+'Data-Credit &amp; Degree'!AG39+'Data-Credit &amp; Degree'!AH39)*Dashboard!$B$45)/((('Data-Credit &amp; Degree'!$AI$52+'Data-Credit &amp; Degree'!$AJ$52+'Data-Credit &amp; Degree'!$AK$52)*Dashboard!$B$43)+(('Data-Credit &amp; Degree'!$AC$52+'Data-Credit &amp; Degree'!$AD$52+'Data-Credit &amp; Degree'!$AE$52)*Dashboard!$B$44)+(('Data-Credit &amp; Degree'!$AF$52+'Data-Credit &amp; Degree'!$AG$52+'Data-Credit &amp; Degree'!$AH$52)*Dashboard!$B$45))*Dashboard!$D$42,-2)</f>
        <v>0</v>
      </c>
      <c r="N9" s="580">
        <f>ROUND(IF(A9="PHHS",Dashboard!$D$48*((SUM('Data-Credit &amp; Degree'!AX10:AZ10,'Data-Credit &amp; Degree'!$AX$26:$AZ$26)/(SUM('Data-Credit &amp; Degree'!$AX$24:$AZ$24,'Data-Credit &amp; Degree'!$AX$26:$AZ$26)))),Dashboard!$D$48*((SUM('Data-Credit &amp; Degree'!AX10:AZ10)/(SUM('Data-Credit &amp; Degree'!$AX$24:$AZ$24,'Data-Credit &amp; Degree'!$AX$26:$AZ$26))))),-2)</f>
        <v>0</v>
      </c>
      <c r="O9" s="574">
        <f>+Ecampus!B11</f>
        <v>108000</v>
      </c>
      <c r="P9" s="570">
        <f>+Summer!B12</f>
        <v>23000</v>
      </c>
      <c r="Q9" s="587">
        <f>ROUND((Dashboard!$D$29*(R9/'Productivity Calc'!$R$23))+(Dashboard!$D$30*(S9/$S$23)),-2)</f>
        <v>0</v>
      </c>
      <c r="R9" s="575">
        <f>(SUM('Data-Credit &amp; Degree'!B39:D39)+(SUM('Data-Credit &amp; Degree'!Q39:S39,'Data-Credit &amp; Degree'!N39:P39)/5))*T9</f>
        <v>0</v>
      </c>
      <c r="S9" s="533">
        <f>(((SUM('Data-Credit &amp; Degree'!H10:J10)*T9)))</f>
        <v>0</v>
      </c>
      <c r="T9" s="584">
        <f>IF(Dashboard!$C$16="yes",Weights!C9,1)</f>
        <v>0</v>
      </c>
      <c r="U9" s="566">
        <f>ROUND((V9*Dashboard!$D$36)+(W9*Dashboard!$D$31),-2)</f>
        <v>0</v>
      </c>
      <c r="V9" s="590">
        <f t="shared" si="0"/>
        <v>0</v>
      </c>
      <c r="W9" s="578">
        <f t="shared" si="1"/>
        <v>0</v>
      </c>
      <c r="X9" s="566">
        <f>IF(A9="Graduate School",((SUM('Data-Credit &amp; Degree'!T39:V39)*AD9))*AC9,(SUM('Data-Credit &amp; Degree'!E39:G39)+(SUM('Data-Credit &amp; Degree'!T39:V39)*AD9))*AC9)</f>
        <v>0</v>
      </c>
      <c r="Y9" s="567">
        <f>IF(A9="Graduate School",((SUM('Data-Credit &amp; Degree'!W39:Y39)*AD9))*AB9,(SUM('Data-Credit &amp; Degree'!H39:J39)+(SUM('Data-Credit &amp; Degree'!W39:Y39)*AD9))*AB9)</f>
        <v>0</v>
      </c>
      <c r="Z9" s="567">
        <f>(SUM('Data-Credit &amp; Degree'!K39:M39)/5)*AB9</f>
        <v>0</v>
      </c>
      <c r="AA9" s="571">
        <f>SUM('Data-Credit &amp; Degree'!N10:P10)*AB9</f>
        <v>0</v>
      </c>
      <c r="AB9" s="592">
        <f>IF((OR(A9="Pharmacy",A9="Veterinary Medicine")),IF(Dashboard!$C$14="yes",Dashboard!$C$15,IF(Dashboard!$C$17="yes",Weights!F9,1)),IF(Dashboard!$C$17="yes",Weights!D9,1))</f>
        <v>2.7690000000000001</v>
      </c>
      <c r="AC9" s="588">
        <f>IF(Dashboard!$C$17="yes",Weights!E9,1)</f>
        <v>2.976</v>
      </c>
      <c r="AD9" s="589">
        <f>IF(A9="Graduate School",Dashboard!$B$33*Dashboard!$B$35,Dashboard!$B$33*Dashboard!$B$34)</f>
        <v>0.99995999999999996</v>
      </c>
    </row>
    <row r="10" spans="1:33">
      <c r="A10" t="s">
        <v>216</v>
      </c>
      <c r="B10" s="566">
        <f>ROUND(Dashboard!$D$28*(('Data-Credit &amp; Degree'!AU11+'Data-Credit &amp; Degree'!AV11+'Data-Credit &amp; Degree'!AW11)/('Data-Credit &amp; Degree'!$AU$24+'Data-Credit &amp; Degree'!$AV$24+'Data-Credit &amp; Degree'!$AW$24)),-2)</f>
        <v>215300</v>
      </c>
      <c r="C10" s="567">
        <f>ROUND(Dashboard!$D$22*'Productivity Calc'!D10,-2)</f>
        <v>21178900</v>
      </c>
      <c r="D10" s="578">
        <f t="shared" si="2"/>
        <v>0.32628600115642425</v>
      </c>
      <c r="E10" s="566">
        <f>+Dashboard!$B$23*'Productivity Calc'!H10</f>
        <v>233302.38873555593</v>
      </c>
      <c r="F10" s="567">
        <f>+Dashboard!$B$25*'Productivity Calc'!I10</f>
        <v>47114.879778282339</v>
      </c>
      <c r="G10" s="571">
        <f>+Dashboard!$B$27*'Productivity Calc'!J10</f>
        <v>16795.137085117753</v>
      </c>
      <c r="H10" s="566">
        <f>IF(A10="PHHS",IF(Dashboard!$C$12="no",SUM('Data-Credit &amp; Degree'!$B$16:$G$16)+SUM('Data-Credit &amp; Degree'!$B$26:$D$26),SUM('Data-Credit &amp; Degree'!$B$16:$G$16)+(SUM('Data-Credit &amp; Degree'!$B$26:$D$26)*Dashboard!$C$13)),SUM('Data-Credit &amp; Degree'!B11:G11))</f>
        <v>330925.37409298716</v>
      </c>
      <c r="I10" s="567">
        <f>+'Data-Credit &amp; Degree'!K11+'Data-Credit &amp; Degree'!L11+'Data-Credit &amp; Degree'!M11</f>
        <v>46327.315416206824</v>
      </c>
      <c r="J10" s="567">
        <f>+'Data-Credit &amp; Degree'!Q11+'Data-Credit &amp; Degree'!R11+'Data-Credit &amp; Degree'!S11</f>
        <v>8196.7482113800652</v>
      </c>
      <c r="K10" s="579">
        <f>ROUND((('Data-Credit &amp; Degree'!AI40+'Data-Credit &amp; Degree'!AJ40+'Data-Credit &amp; Degree'!AK40)*Dashboard!$B$43)/((('Data-Credit &amp; Degree'!$AI$52+'Data-Credit &amp; Degree'!$AJ$52+'Data-Credit &amp; Degree'!$AK$52)*Dashboard!$B$43)+(('Data-Credit &amp; Degree'!$AC$52+'Data-Credit &amp; Degree'!$AD$52+'Data-Credit &amp; Degree'!$AE$52)*Dashboard!$B$44)+(('Data-Credit &amp; Degree'!$AF$52+'Data-Credit &amp; Degree'!$AG$52+'Data-Credit &amp; Degree'!$AH$52)*Dashboard!$B$45))*Dashboard!$D$42,-2)</f>
        <v>427300</v>
      </c>
      <c r="L10" s="579">
        <f>ROUND((('Data-Credit &amp; Degree'!AC40+'Data-Credit &amp; Degree'!AD40+'Data-Credit &amp; Degree'!AE40)*Dashboard!$B$44)/((('Data-Credit &amp; Degree'!$AI$52+'Data-Credit &amp; Degree'!$AJ$52+'Data-Credit &amp; Degree'!$AK$52)*Dashboard!$B$43)+(('Data-Credit &amp; Degree'!$AC$52+'Data-Credit &amp; Degree'!$AD$52+'Data-Credit &amp; Degree'!$AE$52)*Dashboard!$B$44)+(('Data-Credit &amp; Degree'!$AF$52+'Data-Credit &amp; Degree'!$AG$52+'Data-Credit &amp; Degree'!$AH$52)*Dashboard!$B$45))*Dashboard!$D$42,-2)</f>
        <v>95300</v>
      </c>
      <c r="M10" s="579">
        <f>ROUND((('Data-Credit &amp; Degree'!AF40+'Data-Credit &amp; Degree'!AG40+'Data-Credit &amp; Degree'!AH40)*Dashboard!$B$45)/((('Data-Credit &amp; Degree'!$AI$52+'Data-Credit &amp; Degree'!$AJ$52+'Data-Credit &amp; Degree'!$AK$52)*Dashboard!$B$43)+(('Data-Credit &amp; Degree'!$AC$52+'Data-Credit &amp; Degree'!$AD$52+'Data-Credit &amp; Degree'!$AE$52)*Dashboard!$B$44)+(('Data-Credit &amp; Degree'!$AF$52+'Data-Credit &amp; Degree'!$AG$52+'Data-Credit &amp; Degree'!$AH$52)*Dashboard!$B$45))*Dashboard!$D$42,-2)</f>
        <v>85900</v>
      </c>
      <c r="N10" s="580">
        <f>ROUND(IF(A10="PHHS",Dashboard!$D$48*((SUM('Data-Credit &amp; Degree'!AX11:AZ11,'Data-Credit &amp; Degree'!$AX$26:$AZ$26)/(SUM('Data-Credit &amp; Degree'!$AX$24:$AZ$24,'Data-Credit &amp; Degree'!$AX$26:$AZ$26)))),Dashboard!$D$48*((SUM('Data-Credit &amp; Degree'!AX11:AZ11)/(SUM('Data-Credit &amp; Degree'!$AX$24:$AZ$24,'Data-Credit &amp; Degree'!$AX$26:$AZ$26))))),-2)</f>
        <v>129500</v>
      </c>
      <c r="O10" s="574">
        <f>+Ecampus!B12</f>
        <v>14678000</v>
      </c>
      <c r="P10" s="570">
        <f>+Summer!B13</f>
        <v>1793000</v>
      </c>
      <c r="Q10" s="587">
        <f>ROUND((Dashboard!$D$29*(R10/'Productivity Calc'!$R$23))+(Dashboard!$D$30*(S10/$S$23)),-2)</f>
        <v>5164000</v>
      </c>
      <c r="R10" s="575">
        <f>(SUM('Data-Credit &amp; Degree'!B40:D40)+(SUM('Data-Credit &amp; Degree'!Q40:S40,'Data-Credit &amp; Degree'!N40:P40)/5))*T10</f>
        <v>2549.8443678084982</v>
      </c>
      <c r="S10" s="533">
        <f>(((SUM('Data-Credit &amp; Degree'!H11:J11)*T10)))</f>
        <v>130147.85160662414</v>
      </c>
      <c r="T10" s="584">
        <f>IF(Dashboard!$C$16="yes",Weights!C10,1)</f>
        <v>1.1521434672740865</v>
      </c>
      <c r="U10" s="566">
        <f>ROUND((V10*Dashboard!$D$36)+(W10*Dashboard!$D$31),-2)</f>
        <v>3455700</v>
      </c>
      <c r="V10" s="590">
        <f t="shared" si="0"/>
        <v>0.18068632904459539</v>
      </c>
      <c r="W10" s="578">
        <f t="shared" si="1"/>
        <v>0.11631271935601692</v>
      </c>
      <c r="X10" s="566">
        <f>IF(A10="Graduate School",((SUM('Data-Credit &amp; Degree'!T40:V40)*AD10))*AC10,(SUM('Data-Credit &amp; Degree'!E40:G40)+(SUM('Data-Credit &amp; Degree'!T40:V40)*AD10))*AC10)</f>
        <v>465.6716641181772</v>
      </c>
      <c r="Y10" s="567">
        <f>IF(A10="Graduate School",((SUM('Data-Credit &amp; Degree'!W40:Y40)*AD10))*AB10,(SUM('Data-Credit &amp; Degree'!H40:J40)+(SUM('Data-Credit &amp; Degree'!W40:Y40)*AD10))*AB10)</f>
        <v>668.76822454123851</v>
      </c>
      <c r="Z10" s="567">
        <f>(SUM('Data-Credit &amp; Degree'!K40:M40)/5)*AB10</f>
        <v>8.6076502677376201</v>
      </c>
      <c r="AA10" s="571">
        <f>SUM('Data-Credit &amp; Degree'!N11:P11)*AB10</f>
        <v>116421.64341604734</v>
      </c>
      <c r="AB10" s="592">
        <f>IF((OR(A10="Pharmacy",A10="Veterinary Medicine")),IF(Dashboard!$C$14="yes",Dashboard!$C$15,IF(Dashboard!$C$17="yes",Weights!F10,1)),IF(Dashboard!$C$17="yes",Weights!D10,1))</f>
        <v>2.6349949799196795</v>
      </c>
      <c r="AC10" s="588">
        <f>IF(Dashboard!$C$17="yes",Weights!E10,1)</f>
        <v>2.976</v>
      </c>
      <c r="AD10" s="589">
        <f>IF(A10="Graduate School",Dashboard!$B$33*Dashboard!$B$35,Dashboard!$B$33*Dashboard!$B$34)</f>
        <v>0.99995999999999996</v>
      </c>
    </row>
    <row r="11" spans="1:33">
      <c r="A11" t="s">
        <v>131</v>
      </c>
      <c r="B11" s="566">
        <f>ROUND(Dashboard!$D$28*(('Data-Credit &amp; Degree'!AU12+'Data-Credit &amp; Degree'!AV12+'Data-Credit &amp; Degree'!AW12)/('Data-Credit &amp; Degree'!$AU$24+'Data-Credit &amp; Degree'!$AV$24+'Data-Credit &amp; Degree'!$AW$24)),-2)</f>
        <v>0</v>
      </c>
      <c r="C11" s="567">
        <f>ROUND(Dashboard!$D$22*'Productivity Calc'!D11,-2)</f>
        <v>175400</v>
      </c>
      <c r="D11" s="578">
        <f t="shared" si="2"/>
        <v>2.7021457116499685E-3</v>
      </c>
      <c r="E11" s="566">
        <f>+Dashboard!$B$23*'Productivity Calc'!H11</f>
        <v>0</v>
      </c>
      <c r="F11" s="567">
        <f>+Dashboard!$B$25*'Productivity Calc'!I11</f>
        <v>21.696000000000002</v>
      </c>
      <c r="G11" s="571">
        <f>+Dashboard!$B$27*'Productivity Calc'!J11</f>
        <v>2439.6759999999999</v>
      </c>
      <c r="H11" s="566">
        <f>IF(A11="PHHS",IF(Dashboard!$C$12="no",SUM('Data-Credit &amp; Degree'!$B$16:$G$16)+SUM('Data-Credit &amp; Degree'!$B$26:$D$26),SUM('Data-Credit &amp; Degree'!$B$16:$G$16)+(SUM('Data-Credit &amp; Degree'!$B$26:$D$26)*Dashboard!$C$13)),SUM('Data-Credit &amp; Degree'!B12:G12))</f>
        <v>0</v>
      </c>
      <c r="I11" s="567">
        <f>+'Data-Credit &amp; Degree'!K12+'Data-Credit &amp; Degree'!L12+'Data-Credit &amp; Degree'!M12</f>
        <v>21.333333333333336</v>
      </c>
      <c r="J11" s="567">
        <f>+'Data-Credit &amp; Degree'!Q12+'Data-Credit &amp; Degree'!R12+'Data-Credit &amp; Degree'!S12</f>
        <v>1190.6666666666667</v>
      </c>
      <c r="K11" s="579">
        <f>ROUND((('Data-Credit &amp; Degree'!AI41+'Data-Credit &amp; Degree'!AJ41+'Data-Credit &amp; Degree'!AK41)*Dashboard!$B$43)/((('Data-Credit &amp; Degree'!$AI$52+'Data-Credit &amp; Degree'!$AJ$52+'Data-Credit &amp; Degree'!$AK$52)*Dashboard!$B$43)+(('Data-Credit &amp; Degree'!$AC$52+'Data-Credit &amp; Degree'!$AD$52+'Data-Credit &amp; Degree'!$AE$52)*Dashboard!$B$44)+(('Data-Credit &amp; Degree'!$AF$52+'Data-Credit &amp; Degree'!$AG$52+'Data-Credit &amp; Degree'!$AH$52)*Dashboard!$B$45))*Dashboard!$D$42,-2)</f>
        <v>23800</v>
      </c>
      <c r="L11" s="579">
        <f>ROUND((('Data-Credit &amp; Degree'!AC41+'Data-Credit &amp; Degree'!AD41+'Data-Credit &amp; Degree'!AE41)*Dashboard!$B$44)/((('Data-Credit &amp; Degree'!$AI$52+'Data-Credit &amp; Degree'!$AJ$52+'Data-Credit &amp; Degree'!$AK$52)*Dashboard!$B$43)+(('Data-Credit &amp; Degree'!$AC$52+'Data-Credit &amp; Degree'!$AD$52+'Data-Credit &amp; Degree'!$AE$52)*Dashboard!$B$44)+(('Data-Credit &amp; Degree'!$AF$52+'Data-Credit &amp; Degree'!$AG$52+'Data-Credit &amp; Degree'!$AH$52)*Dashboard!$B$45))*Dashboard!$D$42,-2)</f>
        <v>29900</v>
      </c>
      <c r="M11" s="579">
        <f>ROUND((('Data-Credit &amp; Degree'!AF41+'Data-Credit &amp; Degree'!AG41+'Data-Credit &amp; Degree'!AH41)*Dashboard!$B$45)/((('Data-Credit &amp; Degree'!$AI$52+'Data-Credit &amp; Degree'!$AJ$52+'Data-Credit &amp; Degree'!$AK$52)*Dashboard!$B$43)+(('Data-Credit &amp; Degree'!$AC$52+'Data-Credit &amp; Degree'!$AD$52+'Data-Credit &amp; Degree'!$AE$52)*Dashboard!$B$44)+(('Data-Credit &amp; Degree'!$AF$52+'Data-Credit &amp; Degree'!$AG$52+'Data-Credit &amp; Degree'!$AH$52)*Dashboard!$B$45))*Dashboard!$D$42,-2)</f>
        <v>2900</v>
      </c>
      <c r="N11" s="580">
        <f>ROUND(IF(A11="PHHS",Dashboard!$D$48*((SUM('Data-Credit &amp; Degree'!AX12:AZ12,'Data-Credit &amp; Degree'!$AX$26:$AZ$26)/(SUM('Data-Credit &amp; Degree'!$AX$24:$AZ$24,'Data-Credit &amp; Degree'!$AX$26:$AZ$26)))),Dashboard!$D$48*((SUM('Data-Credit &amp; Degree'!AX12:AZ12)/(SUM('Data-Credit &amp; Degree'!$AX$24:$AZ$24,'Data-Credit &amp; Degree'!$AX$26:$AZ$26))))),-2)</f>
        <v>0</v>
      </c>
      <c r="O11" s="574">
        <f>+Ecampus!B13</f>
        <v>636000</v>
      </c>
      <c r="P11" s="570">
        <f>+Summer!B14</f>
        <v>40000</v>
      </c>
      <c r="Q11" s="587">
        <f>ROUND((Dashboard!$D$29*(R11/'Productivity Calc'!$R$23))+(Dashboard!$D$30*(S11/$S$23)),-2)</f>
        <v>0</v>
      </c>
      <c r="R11" s="575">
        <f>(SUM('Data-Credit &amp; Degree'!B41:D41)+(SUM('Data-Credit &amp; Degree'!Q41:S41,'Data-Credit &amp; Degree'!N41:P41)/5))*T11</f>
        <v>0</v>
      </c>
      <c r="S11" s="533">
        <f>(((SUM('Data-Credit &amp; Degree'!H12:J12)*T11)))</f>
        <v>0</v>
      </c>
      <c r="T11" s="584">
        <f>IF(Dashboard!$C$16="yes",Weights!C11,1)</f>
        <v>0</v>
      </c>
      <c r="U11" s="566">
        <f>ROUND((V11*Dashboard!$D$36)+(W11*Dashboard!$D$31),-2)</f>
        <v>235500</v>
      </c>
      <c r="V11" s="591">
        <f t="shared" si="0"/>
        <v>1.7417356106487182E-2</v>
      </c>
      <c r="W11" s="1016">
        <f t="shared" si="1"/>
        <v>4.7664838657840713E-3</v>
      </c>
      <c r="X11" s="566">
        <f>IF(A11="Graduate School",((SUM('Data-Credit &amp; Degree'!T41:V41)*AD11))*AC11,(SUM('Data-Credit &amp; Degree'!E41:G41)+(SUM('Data-Credit &amp; Degree'!T41:V41)*AD11))*AC11)</f>
        <v>3.0633311746091008</v>
      </c>
      <c r="Y11" s="567">
        <f>IF(A11="Graduate School",((SUM('Data-Credit &amp; Degree'!W41:Y41)*AD11))*AB11,(SUM('Data-Credit &amp; Degree'!H41:J41)+(SUM('Data-Credit &amp; Degree'!W41:Y41)*AD11))*AB11)</f>
        <v>14.176150369689806</v>
      </c>
      <c r="Z11" s="567">
        <f>(SUM('Data-Credit &amp; Degree'!K41:M41)/5)*AB11</f>
        <v>29.60249483013294</v>
      </c>
      <c r="AA11" s="571">
        <f>SUM('Data-Credit &amp; Degree'!N12:P12)*AB11</f>
        <v>11222.527086591552</v>
      </c>
      <c r="AB11" s="592">
        <f>IF((OR(A11="Pharmacy",A11="Veterinary Medicine")),IF(Dashboard!$C$14="yes",Dashboard!$C$15,IF(Dashboard!$C$17="yes",Weights!F11,1)),IF(Dashboard!$C$17="yes",Weights!D11,1))</f>
        <v>2.6911358936484491</v>
      </c>
      <c r="AC11" s="588">
        <f>IF(Dashboard!$C$17="yes",Weights!E11,1)</f>
        <v>2.8712987164527424</v>
      </c>
      <c r="AD11" s="589">
        <f>IF(A11="Graduate School",Dashboard!$B$33*Dashboard!$B$35,Dashboard!$B$33*Dashboard!$B$34)</f>
        <v>0.20003999999999994</v>
      </c>
    </row>
    <row r="12" spans="1:33">
      <c r="A12" t="s">
        <v>217</v>
      </c>
      <c r="B12" s="566">
        <f>ROUND(Dashboard!$D$28*(('Data-Credit &amp; Degree'!AU13+'Data-Credit &amp; Degree'!AV13+'Data-Credit &amp; Degree'!AW13)/('Data-Credit &amp; Degree'!$AU$24+'Data-Credit &amp; Degree'!$AV$24+'Data-Credit &amp; Degree'!$AW$24)),-2)</f>
        <v>123500</v>
      </c>
      <c r="C12" s="567">
        <f>ROUND(Dashboard!$D$22*'Productivity Calc'!D12,-2)</f>
        <v>18375800</v>
      </c>
      <c r="D12" s="578">
        <f t="shared" si="2"/>
        <v>0.28310126406220065</v>
      </c>
      <c r="E12" s="566">
        <f>+Dashboard!$B$23*'Productivity Calc'!H12</f>
        <v>186854.18807961355</v>
      </c>
      <c r="F12" s="567">
        <f>+Dashboard!$B$25*'Productivity Calc'!I12</f>
        <v>59302.707491537789</v>
      </c>
      <c r="G12" s="571">
        <f>+Dashboard!$B$27*'Productivity Calc'!J12</f>
        <v>11718.733238599349</v>
      </c>
      <c r="H12" s="566">
        <f>IF(A12="PHHS",IF(Dashboard!$C$12="no",SUM('Data-Credit &amp; Degree'!$B$16:$G$16)+SUM('Data-Credit &amp; Degree'!$B$26:$D$26),SUM('Data-Credit &amp; Degree'!$B$16:$G$16)+(SUM('Data-Credit &amp; Degree'!$B$26:$D$26)*Dashboard!$C$13)),SUM('Data-Credit &amp; Degree'!B13:G13))</f>
        <v>265041.40153136675</v>
      </c>
      <c r="I12" s="567">
        <f>+'Data-Credit &amp; Degree'!K13+'Data-Credit &amp; Degree'!L13+'Data-Credit &amp; Degree'!M13</f>
        <v>58311.413462672361</v>
      </c>
      <c r="J12" s="567">
        <f>+'Data-Credit &amp; Degree'!Q13+'Data-Credit &amp; Degree'!R13+'Data-Credit &amp; Degree'!S13</f>
        <v>5719.245114006515</v>
      </c>
      <c r="K12" s="579">
        <f>ROUND((('Data-Credit &amp; Degree'!AI42+'Data-Credit &amp; Degree'!AJ42+'Data-Credit &amp; Degree'!AK42)*Dashboard!$B$43)/((('Data-Credit &amp; Degree'!$AI$52+'Data-Credit &amp; Degree'!$AJ$52+'Data-Credit &amp; Degree'!$AK$52)*Dashboard!$B$43)+(('Data-Credit &amp; Degree'!$AC$52+'Data-Credit &amp; Degree'!$AD$52+'Data-Credit &amp; Degree'!$AE$52)*Dashboard!$B$44)+(('Data-Credit &amp; Degree'!$AF$52+'Data-Credit &amp; Degree'!$AG$52+'Data-Credit &amp; Degree'!$AH$52)*Dashboard!$B$45))*Dashboard!$D$42,-2)</f>
        <v>638400</v>
      </c>
      <c r="L12" s="579">
        <f>ROUND((('Data-Credit &amp; Degree'!AC42+'Data-Credit &amp; Degree'!AD42+'Data-Credit &amp; Degree'!AE42)*Dashboard!$B$44)/((('Data-Credit &amp; Degree'!$AI$52+'Data-Credit &amp; Degree'!$AJ$52+'Data-Credit &amp; Degree'!$AK$52)*Dashboard!$B$43)+(('Data-Credit &amp; Degree'!$AC$52+'Data-Credit &amp; Degree'!$AD$52+'Data-Credit &amp; Degree'!$AE$52)*Dashboard!$B$44)+(('Data-Credit &amp; Degree'!$AF$52+'Data-Credit &amp; Degree'!$AG$52+'Data-Credit &amp; Degree'!$AH$52)*Dashboard!$B$45))*Dashboard!$D$42,-2)</f>
        <v>98400</v>
      </c>
      <c r="M12" s="579">
        <f>ROUND((('Data-Credit &amp; Degree'!AF42+'Data-Credit &amp; Degree'!AG42+'Data-Credit &amp; Degree'!AH42)*Dashboard!$B$45)/((('Data-Credit &amp; Degree'!$AI$52+'Data-Credit &amp; Degree'!$AJ$52+'Data-Credit &amp; Degree'!$AK$52)*Dashboard!$B$43)+(('Data-Credit &amp; Degree'!$AC$52+'Data-Credit &amp; Degree'!$AD$52+'Data-Credit &amp; Degree'!$AE$52)*Dashboard!$B$44)+(('Data-Credit &amp; Degree'!$AF$52+'Data-Credit &amp; Degree'!$AG$52+'Data-Credit &amp; Degree'!$AH$52)*Dashboard!$B$45))*Dashboard!$D$42,-2)</f>
        <v>184000</v>
      </c>
      <c r="N12" s="580">
        <f>ROUND(IF(A12="PHHS",Dashboard!$D$48*((SUM('Data-Credit &amp; Degree'!AX13:AZ13,'Data-Credit &amp; Degree'!$AX$26:$AZ$26)/(SUM('Data-Credit &amp; Degree'!$AX$24:$AZ$24,'Data-Credit &amp; Degree'!$AX$26:$AZ$26)))),Dashboard!$D$48*((SUM('Data-Credit &amp; Degree'!AX13:AZ13)/(SUM('Data-Credit &amp; Degree'!$AX$24:$AZ$24,'Data-Credit &amp; Degree'!$AX$26:$AZ$26))))),-2)</f>
        <v>159800</v>
      </c>
      <c r="O12" s="574">
        <f>+Ecampus!B14</f>
        <v>21871000</v>
      </c>
      <c r="P12" s="570">
        <f>+Summer!B15</f>
        <v>350000</v>
      </c>
      <c r="Q12" s="587">
        <f>ROUND((Dashboard!$D$29*(R12/'Productivity Calc'!$R$23))+(Dashboard!$D$30*(S12/$S$23)),-2)</f>
        <v>5128700</v>
      </c>
      <c r="R12" s="575">
        <f>(SUM('Data-Credit &amp; Degree'!B42:D42)+(SUM('Data-Credit &amp; Degree'!Q42:S42,'Data-Credit &amp; Degree'!N42:P42)/5))*T12</f>
        <v>3323.1391029766874</v>
      </c>
      <c r="S12" s="533">
        <f>(((SUM('Data-Credit &amp; Degree'!H13:J13)*T12)))</f>
        <v>93559.806742098401</v>
      </c>
      <c r="T12" s="584">
        <f>IF(Dashboard!$C$16="yes",Weights!C12,1)</f>
        <v>0.95550908246379429</v>
      </c>
      <c r="U12" s="566">
        <f>ROUND((V12*Dashboard!$D$36)+(W12*Dashboard!$D$31),-2)</f>
        <v>1613700</v>
      </c>
      <c r="V12" s="590">
        <f t="shared" si="0"/>
        <v>6.7577336709650104E-2</v>
      </c>
      <c r="W12" s="578">
        <f t="shared" si="1"/>
        <v>6.4714677007376084E-2</v>
      </c>
      <c r="X12" s="566">
        <f>IF(A12="Graduate School",((SUM('Data-Credit &amp; Degree'!T42:V42)*AD12))*AC12,(SUM('Data-Credit &amp; Degree'!E42:G42)+(SUM('Data-Credit &amp; Degree'!T42:V42)*AD12))*AC12)</f>
        <v>126.8860241598132</v>
      </c>
      <c r="Y12" s="567">
        <f>IF(A12="Graduate School",((SUM('Data-Credit &amp; Degree'!W42:Y42)*AD12))*AB12,(SUM('Data-Credit &amp; Degree'!H42:J42)+(SUM('Data-Credit &amp; Degree'!W42:Y42)*AD12))*AB12)</f>
        <v>505.61192237780682</v>
      </c>
      <c r="Z12" s="567">
        <f>(SUM('Data-Credit &amp; Degree'!K42:M42)/5)*AB12</f>
        <v>3.4768006379585317</v>
      </c>
      <c r="AA12" s="571">
        <f>SUM('Data-Credit &amp; Degree'!N13:P13)*AB12</f>
        <v>43542.113224710396</v>
      </c>
      <c r="AB12" s="592">
        <f>IF((OR(A12="Pharmacy",A12="Veterinary Medicine")),IF(Dashboard!$C$14="yes",Dashboard!$C$15,IF(Dashboard!$C$17="yes",Weights!F12,1)),IF(Dashboard!$C$17="yes",Weights!D12,1))</f>
        <v>2.0860803827751191</v>
      </c>
      <c r="AC12" s="588">
        <f>IF(Dashboard!$C$17="yes",Weights!E12,1)</f>
        <v>3.2494553686934022</v>
      </c>
      <c r="AD12" s="589">
        <f>IF(A12="Graduate School",Dashboard!$B$33*Dashboard!$B$35,Dashboard!$B$33*Dashboard!$B$34)</f>
        <v>0.99995999999999996</v>
      </c>
    </row>
    <row r="13" spans="1:33">
      <c r="A13" t="s">
        <v>218</v>
      </c>
      <c r="B13" s="566">
        <f>ROUND(Dashboard!$D$28*(('Data-Credit &amp; Degree'!AU14+'Data-Credit &amp; Degree'!AV14+'Data-Credit &amp; Degree'!AW14)/('Data-Credit &amp; Degree'!$AU$24+'Data-Credit &amp; Degree'!$AV$24+'Data-Credit &amp; Degree'!$AW$24)),-2)</f>
        <v>0</v>
      </c>
      <c r="C13" s="567">
        <f>ROUND(Dashboard!$D$22*'Productivity Calc'!D13,-2)</f>
        <v>0</v>
      </c>
      <c r="D13" s="578">
        <f t="shared" si="2"/>
        <v>0</v>
      </c>
      <c r="E13" s="566">
        <f>+Dashboard!$B$23*'Productivity Calc'!H13</f>
        <v>0</v>
      </c>
      <c r="F13" s="567">
        <f>+Dashboard!$B$25*'Productivity Calc'!I13</f>
        <v>0</v>
      </c>
      <c r="G13" s="571">
        <f>+Dashboard!$B$27*'Productivity Calc'!J13</f>
        <v>0</v>
      </c>
      <c r="H13" s="566">
        <f>IF(A13="PHHS",IF(Dashboard!$C$12="no",SUM('Data-Credit &amp; Degree'!$B$16:$G$16)+SUM('Data-Credit &amp; Degree'!$B$26:$D$26),SUM('Data-Credit &amp; Degree'!$B$16:$G$16)+(SUM('Data-Credit &amp; Degree'!$B$26:$D$26)*Dashboard!$C$13)),SUM('Data-Credit &amp; Degree'!B14:G14))</f>
        <v>0</v>
      </c>
      <c r="I13" s="567">
        <f>+'Data-Credit &amp; Degree'!K14+'Data-Credit &amp; Degree'!L14+'Data-Credit &amp; Degree'!M14</f>
        <v>0</v>
      </c>
      <c r="J13" s="567">
        <f>+'Data-Credit &amp; Degree'!Q14+'Data-Credit &amp; Degree'!R14+'Data-Credit &amp; Degree'!S14</f>
        <v>0</v>
      </c>
      <c r="K13" s="579">
        <f>ROUND((('Data-Credit &amp; Degree'!AI43+'Data-Credit &amp; Degree'!AJ43+'Data-Credit &amp; Degree'!AK43)*Dashboard!$B$43)/((('Data-Credit &amp; Degree'!$AI$52+'Data-Credit &amp; Degree'!$AJ$52+'Data-Credit &amp; Degree'!$AK$52)*Dashboard!$B$43)+(('Data-Credit &amp; Degree'!$AC$52+'Data-Credit &amp; Degree'!$AD$52+'Data-Credit &amp; Degree'!$AE$52)*Dashboard!$B$44)+(('Data-Credit &amp; Degree'!$AF$52+'Data-Credit &amp; Degree'!$AG$52+'Data-Credit &amp; Degree'!$AH$52)*Dashboard!$B$45))*Dashboard!$D$42,-2)</f>
        <v>0</v>
      </c>
      <c r="L13" s="579">
        <f>ROUND((('Data-Credit &amp; Degree'!AC43+'Data-Credit &amp; Degree'!AD43+'Data-Credit &amp; Degree'!AE43)*Dashboard!$B$44)/((('Data-Credit &amp; Degree'!$AI$52+'Data-Credit &amp; Degree'!$AJ$52+'Data-Credit &amp; Degree'!$AK$52)*Dashboard!$B$43)+(('Data-Credit &amp; Degree'!$AC$52+'Data-Credit &amp; Degree'!$AD$52+'Data-Credit &amp; Degree'!$AE$52)*Dashboard!$B$44)+(('Data-Credit &amp; Degree'!$AF$52+'Data-Credit &amp; Degree'!$AG$52+'Data-Credit &amp; Degree'!$AH$52)*Dashboard!$B$45))*Dashboard!$D$42,-2)</f>
        <v>0</v>
      </c>
      <c r="M13" s="579">
        <f>ROUND((('Data-Credit &amp; Degree'!AF43+'Data-Credit &amp; Degree'!AG43+'Data-Credit &amp; Degree'!AH43)*Dashboard!$B$45)/((('Data-Credit &amp; Degree'!$AI$52+'Data-Credit &amp; Degree'!$AJ$52+'Data-Credit &amp; Degree'!$AK$52)*Dashboard!$B$43)+(('Data-Credit &amp; Degree'!$AC$52+'Data-Credit &amp; Degree'!$AD$52+'Data-Credit &amp; Degree'!$AE$52)*Dashboard!$B$44)+(('Data-Credit &amp; Degree'!$AF$52+'Data-Credit &amp; Degree'!$AG$52+'Data-Credit &amp; Degree'!$AH$52)*Dashboard!$B$45))*Dashboard!$D$42,-2)</f>
        <v>0</v>
      </c>
      <c r="N13" s="580">
        <f>ROUND(IF(A13="PHHS",Dashboard!$D$48*((SUM('Data-Credit &amp; Degree'!AX14:AZ14,'Data-Credit &amp; Degree'!$AX$26:$AZ$26)/(SUM('Data-Credit &amp; Degree'!$AX$24:$AZ$24,'Data-Credit &amp; Degree'!$AX$26:$AZ$26)))),Dashboard!$D$48*((SUM('Data-Credit &amp; Degree'!AX14:AZ14)/(SUM('Data-Credit &amp; Degree'!$AX$24:$AZ$24,'Data-Credit &amp; Degree'!$AX$26:$AZ$26))))),-2)</f>
        <v>0</v>
      </c>
      <c r="O13" s="574">
        <f>+Ecampus!B15</f>
        <v>0</v>
      </c>
      <c r="P13" s="570">
        <f>+Summer!B16</f>
        <v>0</v>
      </c>
      <c r="Q13" s="587">
        <f>ROUND((Dashboard!$D$29*(R13/'Productivity Calc'!$R$23))+(Dashboard!$D$30*(S13/$S$23)),-2)</f>
        <v>0</v>
      </c>
      <c r="R13" s="575">
        <f>(SUM('Data-Credit &amp; Degree'!B43:D43)+(SUM('Data-Credit &amp; Degree'!Q43:S43,'Data-Credit &amp; Degree'!N43:P43)/5))*T13</f>
        <v>0</v>
      </c>
      <c r="S13" s="533">
        <f>(((SUM('Data-Credit &amp; Degree'!H14:J14)*T13)))</f>
        <v>0</v>
      </c>
      <c r="T13" s="584">
        <f>IF(Dashboard!$C$16="yes",Weights!C13,1)</f>
        <v>0</v>
      </c>
      <c r="U13" s="566">
        <f>ROUND((V13*Dashboard!$D$36)+(W13*Dashboard!$D$31),-2)</f>
        <v>0</v>
      </c>
      <c r="V13" s="590">
        <f t="shared" si="0"/>
        <v>0</v>
      </c>
      <c r="W13" s="578">
        <f t="shared" si="1"/>
        <v>0</v>
      </c>
      <c r="X13" s="566">
        <f>IF(A13="Graduate School",((SUM('Data-Credit &amp; Degree'!T43:V43)*AD13))*AC13,(SUM('Data-Credit &amp; Degree'!E43:G43)+(SUM('Data-Credit &amp; Degree'!T43:V43)*AD13))*AC13)</f>
        <v>0</v>
      </c>
      <c r="Y13" s="567">
        <f>IF(A13="Graduate School",((SUM('Data-Credit &amp; Degree'!W43:Y43)*AD13))*AB13,(SUM('Data-Credit &amp; Degree'!H43:J43)+(SUM('Data-Credit &amp; Degree'!W43:Y43)*AD13))*AB13)</f>
        <v>0</v>
      </c>
      <c r="Z13" s="567">
        <f>(SUM('Data-Credit &amp; Degree'!K43:M43)/5)*AB13</f>
        <v>0</v>
      </c>
      <c r="AA13" s="571">
        <f>SUM('Data-Credit &amp; Degree'!N14:P14)*AB13</f>
        <v>0</v>
      </c>
      <c r="AB13" s="592">
        <f>IF((OR(A13="Pharmacy",A13="Veterinary Medicine")),IF(Dashboard!$C$14="yes",Dashboard!$C$15,IF(Dashboard!$C$17="yes",Weights!F13,1)),IF(Dashboard!$C$17="yes",Weights!D13,1))</f>
        <v>2.7690000000000001</v>
      </c>
      <c r="AC13" s="588">
        <f>IF(Dashboard!$C$17="yes",Weights!E13,1)</f>
        <v>0</v>
      </c>
      <c r="AD13" s="589">
        <f>IF(A13="Graduate School",Dashboard!$B$33*Dashboard!$B$35,Dashboard!$B$33*Dashboard!$B$34)</f>
        <v>0.99995999999999996</v>
      </c>
      <c r="AF13" s="285"/>
      <c r="AG13" s="218"/>
    </row>
    <row r="14" spans="1:33">
      <c r="A14" t="s">
        <v>219</v>
      </c>
      <c r="B14" s="566">
        <f>ROUND(Dashboard!$D$28*(('Data-Credit &amp; Degree'!AU15+'Data-Credit &amp; Degree'!AV15+'Data-Credit &amp; Degree'!AW15)/('Data-Credit &amp; Degree'!$AU$24+'Data-Credit &amp; Degree'!$AV$24+'Data-Credit &amp; Degree'!$AW$24)),-2)</f>
        <v>77300</v>
      </c>
      <c r="C14" s="567">
        <f>ROUND(Dashboard!$D$22*'Productivity Calc'!D14,-2)</f>
        <v>5782100</v>
      </c>
      <c r="D14" s="578">
        <f t="shared" si="2"/>
        <v>8.9079768913528548E-2</v>
      </c>
      <c r="E14" s="566">
        <f>+Dashboard!$B$23*'Productivity Calc'!H14</f>
        <v>73237.547481494839</v>
      </c>
      <c r="F14" s="567">
        <f>+Dashboard!$B$25*'Productivity Calc'!I14</f>
        <v>3968.7995459506819</v>
      </c>
      <c r="G14" s="571">
        <f>+Dashboard!$B$27*'Productivity Calc'!J14</f>
        <v>3936.0014495162377</v>
      </c>
      <c r="H14" s="566">
        <f>IF(A14="PHHS",IF(Dashboard!$C$12="no",SUM('Data-Credit &amp; Degree'!$B$16:$G$16)+SUM('Data-Credit &amp; Degree'!$B$26:$D$26),SUM('Data-Credit &amp; Degree'!$B$16:$G$16)+(SUM('Data-Credit &amp; Degree'!$B$26:$D$26)*Dashboard!$C$13)),SUM('Data-Credit &amp; Degree'!B15:G15))</f>
        <v>103883.04607304234</v>
      </c>
      <c r="I14" s="567">
        <f>+'Data-Credit &amp; Degree'!K15+'Data-Credit &amp; Degree'!L15+'Data-Credit &amp; Degree'!M15</f>
        <v>3902.4577639633062</v>
      </c>
      <c r="J14" s="567">
        <f>+'Data-Credit &amp; Degree'!Q15+'Data-Credit &amp; Degree'!R15+'Data-Credit &amp; Degree'!S15</f>
        <v>1920.9377498859139</v>
      </c>
      <c r="K14" s="579">
        <f>ROUND((('Data-Credit &amp; Degree'!AI44+'Data-Credit &amp; Degree'!AJ44+'Data-Credit &amp; Degree'!AK44)*Dashboard!$B$43)/((('Data-Credit &amp; Degree'!$AI$52+'Data-Credit &amp; Degree'!$AJ$52+'Data-Credit &amp; Degree'!$AK$52)*Dashboard!$B$43)+(('Data-Credit &amp; Degree'!$AC$52+'Data-Credit &amp; Degree'!$AD$52+'Data-Credit &amp; Degree'!$AE$52)*Dashboard!$B$44)+(('Data-Credit &amp; Degree'!$AF$52+'Data-Credit &amp; Degree'!$AG$52+'Data-Credit &amp; Degree'!$AH$52)*Dashboard!$B$45))*Dashboard!$D$42,-2)</f>
        <v>1003600</v>
      </c>
      <c r="L14" s="579">
        <f>ROUND((('Data-Credit &amp; Degree'!AC44+'Data-Credit &amp; Degree'!AD44+'Data-Credit &amp; Degree'!AE44)*Dashboard!$B$44)/((('Data-Credit &amp; Degree'!$AI$52+'Data-Credit &amp; Degree'!$AJ$52+'Data-Credit &amp; Degree'!$AK$52)*Dashboard!$B$43)+(('Data-Credit &amp; Degree'!$AC$52+'Data-Credit &amp; Degree'!$AD$52+'Data-Credit &amp; Degree'!$AE$52)*Dashboard!$B$44)+(('Data-Credit &amp; Degree'!$AF$52+'Data-Credit &amp; Degree'!$AG$52+'Data-Credit &amp; Degree'!$AH$52)*Dashboard!$B$45))*Dashboard!$D$42,-2)</f>
        <v>659800</v>
      </c>
      <c r="M14" s="579">
        <f>ROUND((('Data-Credit &amp; Degree'!AF44+'Data-Credit &amp; Degree'!AG44+'Data-Credit &amp; Degree'!AH44)*Dashboard!$B$45)/((('Data-Credit &amp; Degree'!$AI$52+'Data-Credit &amp; Degree'!$AJ$52+'Data-Credit &amp; Degree'!$AK$52)*Dashboard!$B$43)+(('Data-Credit &amp; Degree'!$AC$52+'Data-Credit &amp; Degree'!$AD$52+'Data-Credit &amp; Degree'!$AE$52)*Dashboard!$B$44)+(('Data-Credit &amp; Degree'!$AF$52+'Data-Credit &amp; Degree'!$AG$52+'Data-Credit &amp; Degree'!$AH$52)*Dashboard!$B$45))*Dashboard!$D$42,-2)</f>
        <v>158800</v>
      </c>
      <c r="N14" s="580">
        <f>ROUND(IF(A14="PHHS",Dashboard!$D$48*((SUM('Data-Credit &amp; Degree'!AX15:AZ15,'Data-Credit &amp; Degree'!$AX$26:$AZ$26)/(SUM('Data-Credit &amp; Degree'!$AX$24:$AZ$24,'Data-Credit &amp; Degree'!$AX$26:$AZ$26)))),Dashboard!$D$48*((SUM('Data-Credit &amp; Degree'!AX15:AZ15)/(SUM('Data-Credit &amp; Degree'!$AX$24:$AZ$24,'Data-Credit &amp; Degree'!$AX$26:$AZ$26))))),-2)</f>
        <v>95200</v>
      </c>
      <c r="O14" s="574">
        <f>+Ecampus!B16</f>
        <v>28046000</v>
      </c>
      <c r="P14" s="570">
        <f>+Summer!B17</f>
        <v>1900000</v>
      </c>
      <c r="Q14" s="587">
        <f>ROUND((Dashboard!$D$29*(R14/'Productivity Calc'!$R$23))+(Dashboard!$D$30*(S14/$S$23)),-2)</f>
        <v>14367900</v>
      </c>
      <c r="R14" s="575">
        <f>(SUM('Data-Credit &amp; Degree'!B44:D44)+(SUM('Data-Credit &amp; Degree'!Q44:S44,'Data-Credit &amp; Degree'!N44:P44)/5))*T14</f>
        <v>7366.1576701293216</v>
      </c>
      <c r="S14" s="533">
        <f>(((SUM('Data-Credit &amp; Degree'!H15:J15)*T14)))</f>
        <v>349848.72502089269</v>
      </c>
      <c r="T14" s="584">
        <f>IF(Dashboard!$C$16="yes",Weights!C14,1)</f>
        <v>1.3870545339251739</v>
      </c>
      <c r="U14" s="566">
        <f>ROUND((V14*Dashboard!$D$36)+(W14*Dashboard!$D$31),-2)</f>
        <v>9012200</v>
      </c>
      <c r="V14" s="590">
        <f t="shared" si="0"/>
        <v>0.3840156631781832</v>
      </c>
      <c r="W14" s="578">
        <f t="shared" si="1"/>
        <v>0.35732345527468368</v>
      </c>
      <c r="X14" s="566">
        <f>IF(A14="Graduate School",((SUM('Data-Credit &amp; Degree'!T44:V44)*AD14))*AC14,(SUM('Data-Credit &amp; Degree'!E44:G44)+(SUM('Data-Credit &amp; Degree'!T44:V44)*AD14))*AC14)</f>
        <v>766.69906309049281</v>
      </c>
      <c r="Y14" s="567">
        <f>IF(A14="Graduate School",((SUM('Data-Credit &amp; Degree'!W44:Y44)*AD14))*AB14,(SUM('Data-Credit &amp; Degree'!H44:J44)+(SUM('Data-Credit &amp; Degree'!W44:Y44)*AD14))*AB14)</f>
        <v>2735.7377475079948</v>
      </c>
      <c r="Z14" s="567">
        <f>(SUM('Data-Credit &amp; Degree'!K44:M44)/5)*AB14</f>
        <v>9.1111818657194981</v>
      </c>
      <c r="AA14" s="571">
        <f>SUM('Data-Credit &amp; Degree'!N15:P15)*AB14</f>
        <v>247432.85693558489</v>
      </c>
      <c r="AB14" s="592">
        <f>IF((OR(A14="Pharmacy",A14="Veterinary Medicine")),IF(Dashboard!$C$14="yes",Dashboard!$C$15,IF(Dashboard!$C$17="yes",Weights!F14,1)),IF(Dashboard!$C$17="yes",Weights!D14,1))</f>
        <v>2.5786363770904241</v>
      </c>
      <c r="AC14" s="588">
        <f>IF(Dashboard!$C$17="yes",Weights!E14,1)</f>
        <v>2.9760000000000009</v>
      </c>
      <c r="AD14" s="589">
        <f>IF(A14="Graduate School",Dashboard!$B$33*Dashboard!$B$35,Dashboard!$B$33*Dashboard!$B$34)</f>
        <v>0.99995999999999996</v>
      </c>
      <c r="AG14" s="285"/>
    </row>
    <row r="15" spans="1:33">
      <c r="A15" t="s">
        <v>220</v>
      </c>
      <c r="B15" s="566">
        <f>ROUND(Dashboard!$D$28*(('Data-Credit &amp; Degree'!AU16+'Data-Credit &amp; Degree'!AV16+'Data-Credit &amp; Degree'!AW16)/('Data-Credit &amp; Degree'!$AU$24+'Data-Credit &amp; Degree'!$AV$24+'Data-Credit &amp; Degree'!$AW$24)),-2)</f>
        <v>3200</v>
      </c>
      <c r="C15" s="567">
        <f>ROUND(Dashboard!$D$22*'Productivity Calc'!D15,-2)</f>
        <v>4254100</v>
      </c>
      <c r="D15" s="578">
        <f t="shared" si="2"/>
        <v>6.5539574899508055E-2</v>
      </c>
      <c r="E15" s="566">
        <f>+Dashboard!$B$23*'Productivity Calc'!H15</f>
        <v>49480.419592336009</v>
      </c>
      <c r="F15" s="567">
        <f>+Dashboard!$B$25*'Productivity Calc'!I15</f>
        <v>8902.1529600775484</v>
      </c>
      <c r="G15" s="571">
        <f>+Dashboard!$B$27*'Productivity Calc'!J15</f>
        <v>1317.1223434065935</v>
      </c>
      <c r="H15" s="566">
        <f>IF(A15="PHHS",IF(Dashboard!$C$12="no",SUM('Data-Credit &amp; Degree'!$B$16:$G$16)+SUM('Data-Credit &amp; Degree'!$B$26:$D$26),SUM('Data-Credit &amp; Degree'!$B$16:$G$16)+(SUM('Data-Credit &amp; Degree'!$B$26:$D$26)*Dashboard!$C$13)),SUM('Data-Credit &amp; Degree'!B16:G16))</f>
        <v>70184.992329554632</v>
      </c>
      <c r="I15" s="567">
        <f>+'Data-Credit &amp; Degree'!K16+'Data-Credit &amp; Degree'!L16+'Data-Credit &amp; Degree'!M16</f>
        <v>8753.3460767724173</v>
      </c>
      <c r="J15" s="567">
        <f>+'Data-Credit &amp; Degree'!Q16+'Data-Credit &amp; Degree'!R16+'Data-Credit &amp; Degree'!S16</f>
        <v>642.81227106227107</v>
      </c>
      <c r="K15" s="579">
        <f>ROUND((('Data-Credit &amp; Degree'!AI45+'Data-Credit &amp; Degree'!AJ45+'Data-Credit &amp; Degree'!AK45)*Dashboard!$B$43)/((('Data-Credit &amp; Degree'!$AI$52+'Data-Credit &amp; Degree'!$AJ$52+'Data-Credit &amp; Degree'!$AK$52)*Dashboard!$B$43)+(('Data-Credit &amp; Degree'!$AC$52+'Data-Credit &amp; Degree'!$AD$52+'Data-Credit &amp; Degree'!$AE$52)*Dashboard!$B$44)+(('Data-Credit &amp; Degree'!$AF$52+'Data-Credit &amp; Degree'!$AG$52+'Data-Credit &amp; Degree'!$AH$52)*Dashboard!$B$45))*Dashboard!$D$42,-2)</f>
        <v>377000</v>
      </c>
      <c r="L15" s="579">
        <f>ROUND((('Data-Credit &amp; Degree'!AC45+'Data-Credit &amp; Degree'!AD45+'Data-Credit &amp; Degree'!AE45)*Dashboard!$B$44)/((('Data-Credit &amp; Degree'!$AI$52+'Data-Credit &amp; Degree'!$AJ$52+'Data-Credit &amp; Degree'!$AK$52)*Dashboard!$B$43)+(('Data-Credit &amp; Degree'!$AC$52+'Data-Credit &amp; Degree'!$AD$52+'Data-Credit &amp; Degree'!$AE$52)*Dashboard!$B$44)+(('Data-Credit &amp; Degree'!$AF$52+'Data-Credit &amp; Degree'!$AG$52+'Data-Credit &amp; Degree'!$AH$52)*Dashboard!$B$45))*Dashboard!$D$42,-2)</f>
        <v>52700</v>
      </c>
      <c r="M15" s="579">
        <f>ROUND((('Data-Credit &amp; Degree'!AF45+'Data-Credit &amp; Degree'!AG45+'Data-Credit &amp; Degree'!AH45)*Dashboard!$B$45)/((('Data-Credit &amp; Degree'!$AI$52+'Data-Credit &amp; Degree'!$AJ$52+'Data-Credit &amp; Degree'!$AK$52)*Dashboard!$B$43)+(('Data-Credit &amp; Degree'!$AC$52+'Data-Credit &amp; Degree'!$AD$52+'Data-Credit &amp; Degree'!$AE$52)*Dashboard!$B$44)+(('Data-Credit &amp; Degree'!$AF$52+'Data-Credit &amp; Degree'!$AG$52+'Data-Credit &amp; Degree'!$AH$52)*Dashboard!$B$45))*Dashboard!$D$42,-2)</f>
        <v>93900</v>
      </c>
      <c r="N15" s="580">
        <f>ROUND(IF(A15="PHHS",Dashboard!$D$48*((SUM('Data-Credit &amp; Degree'!AX16:AZ16,'Data-Credit &amp; Degree'!$AX$26:$AZ$26)/(SUM('Data-Credit &amp; Degree'!$AX$24:$AZ$24,'Data-Credit &amp; Degree'!$AX$26:$AZ$26)))),Dashboard!$D$48*((SUM('Data-Credit &amp; Degree'!AX16:AZ16)/(SUM('Data-Credit &amp; Degree'!$AX$24:$AZ$24,'Data-Credit &amp; Degree'!$AX$26:$AZ$26))))),-2)</f>
        <v>122600</v>
      </c>
      <c r="O15" s="574">
        <f>+Ecampus!B17</f>
        <v>6292000</v>
      </c>
      <c r="P15" s="570">
        <f>+Summer!B18</f>
        <v>325000</v>
      </c>
      <c r="Q15" s="587">
        <f>ROUND((Dashboard!$D$29*(R15/'Productivity Calc'!$R$23))+(Dashboard!$D$30*(S15/$S$23)),-2)</f>
        <v>2510400</v>
      </c>
      <c r="R15" s="575">
        <f>(SUM('Data-Credit &amp; Degree'!B45:D45)+(SUM('Data-Credit &amp; Degree'!Q45:S45,'Data-Credit &amp; Degree'!N45:P45)/5))*T15</f>
        <v>1642.5727775800233</v>
      </c>
      <c r="S15" s="533">
        <f>(((SUM('Data-Credit &amp; Degree'!H16:J16)*T15)))</f>
        <v>45075.181368147183</v>
      </c>
      <c r="T15" s="584">
        <f>IF(Dashboard!$C$16="yes",Weights!C15,1)</f>
        <v>0.95123990151385873</v>
      </c>
      <c r="U15" s="566">
        <f>ROUND((V15*Dashboard!$D$36)+(W15*Dashboard!$D$31),-2)</f>
        <v>1981000</v>
      </c>
      <c r="V15" s="590">
        <f t="shared" si="0"/>
        <v>7.5915778830994748E-2</v>
      </c>
      <c r="W15" s="578">
        <f t="shared" si="1"/>
        <v>8.380415771414941E-2</v>
      </c>
      <c r="X15" s="566">
        <f>IF(A15="Graduate School",((SUM('Data-Credit &amp; Degree'!T45:V45)*AD15))*AC15,(SUM('Data-Credit &amp; Degree'!E45:G45)+(SUM('Data-Credit &amp; Degree'!T45:V45)*AD15))*AC15)</f>
        <v>209.33003086645118</v>
      </c>
      <c r="Y15" s="567">
        <f>IF(A15="Graduate School",((SUM('Data-Credit &amp; Degree'!W45:Y45)*AD15))*AB15,(SUM('Data-Credit &amp; Degree'!H45:J45)+(SUM('Data-Credit &amp; Degree'!W45:Y45)*AD15))*AB15)</f>
        <v>608.19011125220038</v>
      </c>
      <c r="Z15" s="567">
        <f>(SUM('Data-Credit &amp; Degree'!K45:M45)/5)*AB15</f>
        <v>6.0538982562038894</v>
      </c>
      <c r="AA15" s="571">
        <f>SUM('Data-Credit &amp; Degree'!N16:P16)*AB15</f>
        <v>48914.822606928996</v>
      </c>
      <c r="AB15" s="592">
        <f>IF((OR(A15="Pharmacy",A15="Veterinary Medicine")),IF(Dashboard!$C$14="yes",Dashboard!$C$15,IF(Dashboard!$C$17="yes",Weights!F15,1)),IF(Dashboard!$C$17="yes",Weights!D15,1))</f>
        <v>2.3896966800804829</v>
      </c>
      <c r="AC15" s="588">
        <f>IF(Dashboard!$C$17="yes",Weights!E15,1)</f>
        <v>2.9686188418323249</v>
      </c>
      <c r="AD15" s="589">
        <f>IF(A15="Graduate School",Dashboard!$B$33*Dashboard!$B$35,Dashboard!$B$33*Dashboard!$B$34)</f>
        <v>0.99995999999999996</v>
      </c>
    </row>
    <row r="16" spans="1:33">
      <c r="A16" t="s">
        <v>221</v>
      </c>
      <c r="B16" s="566">
        <f>ROUND(Dashboard!$D$28*(('Data-Credit &amp; Degree'!AU17+'Data-Credit &amp; Degree'!AV17+'Data-Credit &amp; Degree'!AW17)/('Data-Credit &amp; Degree'!$AU$24+'Data-Credit &amp; Degree'!$AV$24+'Data-Credit &amp; Degree'!$AW$24)),-2)</f>
        <v>4700</v>
      </c>
      <c r="C16" s="567">
        <f>ROUND(Dashboard!$D$22*'Productivity Calc'!D16,-2)</f>
        <v>2392600</v>
      </c>
      <c r="D16" s="578">
        <f t="shared" si="2"/>
        <v>3.6860452836125789E-2</v>
      </c>
      <c r="E16" s="566">
        <f>+Dashboard!$B$23*'Productivity Calc'!H16</f>
        <v>18439.463614104716</v>
      </c>
      <c r="F16" s="567">
        <f>+Dashboard!$B$25*'Productivity Calc'!I16</f>
        <v>11386.881967512913</v>
      </c>
      <c r="G16" s="571">
        <f>+Dashboard!$B$27*'Productivity Calc'!J16</f>
        <v>3749.67</v>
      </c>
      <c r="H16" s="566">
        <f>IF(A16="PHHS",IF(Dashboard!$C$12="no",SUM('Data-Credit &amp; Degree'!$B$16:$G$16)+SUM('Data-Credit &amp; Degree'!$B$26:$D$26),SUM('Data-Credit &amp; Degree'!$B$16:$G$16)+(SUM('Data-Credit &amp; Degree'!$B$26:$D$26)*Dashboard!$C$13)),SUM('Data-Credit &amp; Degree'!B17:G17))</f>
        <v>26155.267537737185</v>
      </c>
      <c r="I16" s="567">
        <f>+'Data-Credit &amp; Degree'!K17+'Data-Credit &amp; Degree'!L17+'Data-Credit &amp; Degree'!M17</f>
        <v>11196.540774348981</v>
      </c>
      <c r="J16" s="567">
        <f>+'Data-Credit &amp; Degree'!Q17+'Data-Credit &amp; Degree'!R17+'Data-Credit &amp; Degree'!S17</f>
        <v>1830</v>
      </c>
      <c r="K16" s="579">
        <f>ROUND((('Data-Credit &amp; Degree'!AI46+'Data-Credit &amp; Degree'!AJ46+'Data-Credit &amp; Degree'!AK46)*Dashboard!$B$43)/((('Data-Credit &amp; Degree'!$AI$52+'Data-Credit &amp; Degree'!$AJ$52+'Data-Credit &amp; Degree'!$AK$52)*Dashboard!$B$43)+(('Data-Credit &amp; Degree'!$AC$52+'Data-Credit &amp; Degree'!$AD$52+'Data-Credit &amp; Degree'!$AE$52)*Dashboard!$B$44)+(('Data-Credit &amp; Degree'!$AF$52+'Data-Credit &amp; Degree'!$AG$52+'Data-Credit &amp; Degree'!$AH$52)*Dashboard!$B$45))*Dashboard!$D$42,-2)</f>
        <v>127700</v>
      </c>
      <c r="L16" s="579">
        <f>ROUND((('Data-Credit &amp; Degree'!AC46+'Data-Credit &amp; Degree'!AD46+'Data-Credit &amp; Degree'!AE46)*Dashboard!$B$44)/((('Data-Credit &amp; Degree'!$AI$52+'Data-Credit &amp; Degree'!$AJ$52+'Data-Credit &amp; Degree'!$AK$52)*Dashboard!$B$43)+(('Data-Credit &amp; Degree'!$AC$52+'Data-Credit &amp; Degree'!$AD$52+'Data-Credit &amp; Degree'!$AE$52)*Dashboard!$B$44)+(('Data-Credit &amp; Degree'!$AF$52+'Data-Credit &amp; Degree'!$AG$52+'Data-Credit &amp; Degree'!$AH$52)*Dashboard!$B$45))*Dashboard!$D$42,-2)</f>
        <v>28900</v>
      </c>
      <c r="M16" s="579">
        <f>ROUND((('Data-Credit &amp; Degree'!AF46+'Data-Credit &amp; Degree'!AG46+'Data-Credit &amp; Degree'!AH46)*Dashboard!$B$45)/((('Data-Credit &amp; Degree'!$AI$52+'Data-Credit &amp; Degree'!$AJ$52+'Data-Credit &amp; Degree'!$AK$52)*Dashboard!$B$43)+(('Data-Credit &amp; Degree'!$AC$52+'Data-Credit &amp; Degree'!$AD$52+'Data-Credit &amp; Degree'!$AE$52)*Dashboard!$B$44)+(('Data-Credit &amp; Degree'!$AF$52+'Data-Credit &amp; Degree'!$AG$52+'Data-Credit &amp; Degree'!$AH$52)*Dashboard!$B$45))*Dashboard!$D$42,-2)</f>
        <v>34800</v>
      </c>
      <c r="N16" s="580">
        <f>ROUND(IF(A16="PHHS",Dashboard!$D$48*((SUM('Data-Credit &amp; Degree'!AX17:AZ17,'Data-Credit &amp; Degree'!$AX$26:$AZ$26)/(SUM('Data-Credit &amp; Degree'!$AX$24:$AZ$24,'Data-Credit &amp; Degree'!$AX$26:$AZ$26)))),Dashboard!$D$48*((SUM('Data-Credit &amp; Degree'!AX17:AZ17)/(SUM('Data-Credit &amp; Degree'!$AX$24:$AZ$24,'Data-Credit &amp; Degree'!$AX$26:$AZ$26))))),-2)</f>
        <v>16900</v>
      </c>
      <c r="O16" s="574">
        <f>+Ecampus!B18</f>
        <v>3386000</v>
      </c>
      <c r="P16" s="570">
        <f>+Summer!B19</f>
        <v>148000</v>
      </c>
      <c r="Q16" s="587">
        <f>ROUND((Dashboard!$D$29*(R16/'Productivity Calc'!$R$23))+(Dashboard!$D$30*(S16/$S$23)),-2)</f>
        <v>1172200</v>
      </c>
      <c r="R16" s="575">
        <f>(SUM('Data-Credit &amp; Degree'!B46:D46)+(SUM('Data-Credit &amp; Degree'!Q46:S46,'Data-Credit &amp; Degree'!N46:P46)/5))*T16</f>
        <v>894.68271718110077</v>
      </c>
      <c r="S16" s="533">
        <f>(((SUM('Data-Credit &amp; Degree'!H17:J17)*T16)))</f>
        <v>15280.936770253455</v>
      </c>
      <c r="T16" s="584">
        <f>IF(Dashboard!$C$16="yes",Weights!C16,1)</f>
        <v>1.4161844073190133</v>
      </c>
      <c r="U16" s="566">
        <f>ROUND((V16*Dashboard!$D$36)+(W16*Dashboard!$D$31),-2)</f>
        <v>1151400</v>
      </c>
      <c r="V16" s="590">
        <f t="shared" si="0"/>
        <v>5.4341448389320021E-2</v>
      </c>
      <c r="W16" s="578">
        <f t="shared" si="1"/>
        <v>4.2381279182122027E-2</v>
      </c>
      <c r="X16" s="566">
        <f>IF(A16="Graduate School",((SUM('Data-Credit &amp; Degree'!T46:V46)*AD16))*AC16,(SUM('Data-Credit &amp; Degree'!E46:G46)+(SUM('Data-Credit &amp; Degree'!T46:V46)*AD16))*AC16)</f>
        <v>104.96195423096768</v>
      </c>
      <c r="Y16" s="567">
        <f>IF(A16="Graduate School",((SUM('Data-Credit &amp; Degree'!W46:Y46)*AD16))*AB16,(SUM('Data-Credit &amp; Degree'!H46:J46)+(SUM('Data-Credit &amp; Degree'!W46:Y46)*AD16))*AB16)</f>
        <v>226.05492424269389</v>
      </c>
      <c r="Z16" s="567">
        <f>(SUM('Data-Credit &amp; Degree'!K46:M46)/5)*AB16</f>
        <v>85.47941818181819</v>
      </c>
      <c r="AA16" s="571">
        <f>SUM('Data-Credit &amp; Degree'!N17:P17)*AB16</f>
        <v>35013.831763284652</v>
      </c>
      <c r="AB16" s="592">
        <f>IF((OR(A16="Pharmacy",A16="Veterinary Medicine")),IF(Dashboard!$C$14="yes",Dashboard!$C$15,IF(Dashboard!$C$17="yes",Weights!F16,1)),IF(Dashboard!$C$17="yes",Weights!D16,1))</f>
        <v>2.907463203463204</v>
      </c>
      <c r="AC16" s="588">
        <f>IF(Dashboard!$C$17="yes",Weights!E16,1)</f>
        <v>2.9704545454545457</v>
      </c>
      <c r="AD16" s="589">
        <f>IF(A16="Graduate School",Dashboard!$B$33*Dashboard!$B$35,Dashboard!$B$33*Dashboard!$B$34)</f>
        <v>0.99995999999999996</v>
      </c>
    </row>
    <row r="17" spans="1:30">
      <c r="A17" t="s">
        <v>222</v>
      </c>
      <c r="B17" s="566">
        <f>ROUND(Dashboard!$D$28*(('Data-Credit &amp; Degree'!AU18+'Data-Credit &amp; Degree'!AV18+'Data-Credit &amp; Degree'!AW18)/('Data-Credit &amp; Degree'!$AU$24+'Data-Credit &amp; Degree'!$AV$24+'Data-Credit &amp; Degree'!$AW$24)),-2)</f>
        <v>0</v>
      </c>
      <c r="C17" s="567">
        <f>ROUND(Dashboard!$D$22*'Productivity Calc'!D17,-2)</f>
        <v>0</v>
      </c>
      <c r="D17" s="578">
        <f t="shared" si="2"/>
        <v>0</v>
      </c>
      <c r="E17" s="566">
        <f>+Dashboard!$B$23*'Productivity Calc'!H17</f>
        <v>0</v>
      </c>
      <c r="F17" s="567">
        <f>+Dashboard!$B$25*'Productivity Calc'!I17</f>
        <v>0</v>
      </c>
      <c r="G17" s="571">
        <f>+Dashboard!$B$27*'Productivity Calc'!J17</f>
        <v>0</v>
      </c>
      <c r="H17" s="566">
        <f>IF(A17="PHHS",IF(Dashboard!$C$12="no",SUM('Data-Credit &amp; Degree'!$B$16:$G$16)+SUM('Data-Credit &amp; Degree'!$B$26:$D$26),SUM('Data-Credit &amp; Degree'!$B$16:$G$16)+(SUM('Data-Credit &amp; Degree'!$B$26:$D$26)*Dashboard!$C$13)),SUM('Data-Credit &amp; Degree'!B18:G18))</f>
        <v>0</v>
      </c>
      <c r="I17" s="567">
        <f>+'Data-Credit &amp; Degree'!K18+'Data-Credit &amp; Degree'!L18+'Data-Credit &amp; Degree'!M18</f>
        <v>0</v>
      </c>
      <c r="J17" s="567">
        <f>+'Data-Credit &amp; Degree'!Q18+'Data-Credit &amp; Degree'!R18+'Data-Credit &amp; Degree'!S18</f>
        <v>0</v>
      </c>
      <c r="K17" s="579">
        <f>ROUND((('Data-Credit &amp; Degree'!AI47+'Data-Credit &amp; Degree'!AJ47+'Data-Credit &amp; Degree'!AK47)*Dashboard!$B$43)/((('Data-Credit &amp; Degree'!$AI$52+'Data-Credit &amp; Degree'!$AJ$52+'Data-Credit &amp; Degree'!$AK$52)*Dashboard!$B$43)+(('Data-Credit &amp; Degree'!$AC$52+'Data-Credit &amp; Degree'!$AD$52+'Data-Credit &amp; Degree'!$AE$52)*Dashboard!$B$44)+(('Data-Credit &amp; Degree'!$AF$52+'Data-Credit &amp; Degree'!$AG$52+'Data-Credit &amp; Degree'!$AH$52)*Dashboard!$B$45))*Dashboard!$D$42,-2)</f>
        <v>0</v>
      </c>
      <c r="L17" s="579">
        <f>ROUND((('Data-Credit &amp; Degree'!AC47+'Data-Credit &amp; Degree'!AD47+'Data-Credit &amp; Degree'!AE47)*Dashboard!$B$44)/((('Data-Credit &amp; Degree'!$AI$52+'Data-Credit &amp; Degree'!$AJ$52+'Data-Credit &amp; Degree'!$AK$52)*Dashboard!$B$43)+(('Data-Credit &amp; Degree'!$AC$52+'Data-Credit &amp; Degree'!$AD$52+'Data-Credit &amp; Degree'!$AE$52)*Dashboard!$B$44)+(('Data-Credit &amp; Degree'!$AF$52+'Data-Credit &amp; Degree'!$AG$52+'Data-Credit &amp; Degree'!$AH$52)*Dashboard!$B$45))*Dashboard!$D$42,-2)</f>
        <v>0</v>
      </c>
      <c r="M17" s="579">
        <f>ROUND((('Data-Credit &amp; Degree'!AF47+'Data-Credit &amp; Degree'!AG47+'Data-Credit &amp; Degree'!AH47)*Dashboard!$B$45)/((('Data-Credit &amp; Degree'!$AI$52+'Data-Credit &amp; Degree'!$AJ$52+'Data-Credit &amp; Degree'!$AK$52)*Dashboard!$B$43)+(('Data-Credit &amp; Degree'!$AC$52+'Data-Credit &amp; Degree'!$AD$52+'Data-Credit &amp; Degree'!$AE$52)*Dashboard!$B$44)+(('Data-Credit &amp; Degree'!$AF$52+'Data-Credit &amp; Degree'!$AG$52+'Data-Credit &amp; Degree'!$AH$52)*Dashboard!$B$45))*Dashboard!$D$42,-2)</f>
        <v>0</v>
      </c>
      <c r="N17" s="580">
        <f>ROUND(IF(A17="PHHS",Dashboard!$D$48*((SUM('Data-Credit &amp; Degree'!AX18:AZ18,'Data-Credit &amp; Degree'!$AX$26:$AZ$26)/(SUM('Data-Credit &amp; Degree'!$AX$24:$AZ$24,'Data-Credit &amp; Degree'!$AX$26:$AZ$26)))),Dashboard!$D$48*((SUM('Data-Credit &amp; Degree'!AX18:AZ18)/(SUM('Data-Credit &amp; Degree'!$AX$24:$AZ$24,'Data-Credit &amp; Degree'!$AX$26:$AZ$26))))),-2)</f>
        <v>0</v>
      </c>
      <c r="O17" s="574">
        <f>+Ecampus!B19</f>
        <v>0</v>
      </c>
      <c r="P17" s="570">
        <f>+Summer!B20</f>
        <v>0</v>
      </c>
      <c r="Q17" s="587">
        <f>ROUND((Dashboard!$D$29*(R17/'Productivity Calc'!$R$23))+(Dashboard!$D$30*(S17/$S$23)),-2)</f>
        <v>0</v>
      </c>
      <c r="R17" s="575">
        <f>(SUM('Data-Credit &amp; Degree'!B47:D47)+(SUM('Data-Credit &amp; Degree'!Q47:S47,'Data-Credit &amp; Degree'!N47:P47)/5))*T17</f>
        <v>0</v>
      </c>
      <c r="S17" s="533">
        <f>(((SUM('Data-Credit &amp; Degree'!H18:J18)*T17)))</f>
        <v>0</v>
      </c>
      <c r="T17" s="584">
        <f>IF(Dashboard!$C$16="yes",Weights!C17,1)</f>
        <v>0</v>
      </c>
      <c r="U17" s="566">
        <f>ROUND((V17*Dashboard!$D$36)+(W17*Dashboard!$D$31),-2)</f>
        <v>0</v>
      </c>
      <c r="V17" s="590">
        <f t="shared" si="0"/>
        <v>0</v>
      </c>
      <c r="W17" s="578">
        <f t="shared" si="1"/>
        <v>0</v>
      </c>
      <c r="X17" s="566">
        <f>IF(A17="Graduate School",((SUM('Data-Credit &amp; Degree'!T47:V47)*AD17))*AC17,(SUM('Data-Credit &amp; Degree'!E47:G47)+(SUM('Data-Credit &amp; Degree'!T47:V47)*AD17))*AC17)</f>
        <v>0</v>
      </c>
      <c r="Y17" s="567">
        <f>IF(A17="Graduate School",((SUM('Data-Credit &amp; Degree'!W47:Y47)*AD17))*AB17,(SUM('Data-Credit &amp; Degree'!H47:J47)+(SUM('Data-Credit &amp; Degree'!W47:Y47)*AD17))*AB17)</f>
        <v>0</v>
      </c>
      <c r="Z17" s="567">
        <f>(SUM('Data-Credit &amp; Degree'!K47:M47)/5)*AB17</f>
        <v>0</v>
      </c>
      <c r="AA17" s="571">
        <f>SUM('Data-Credit &amp; Degree'!N18:P18)*AB17</f>
        <v>0</v>
      </c>
      <c r="AB17" s="592">
        <f>IF((OR(A17="Pharmacy",A17="Veterinary Medicine")),IF(Dashboard!$C$14="yes",Dashboard!$C$15,IF(Dashboard!$C$17="yes",Weights!F17,1)),IF(Dashboard!$C$17="yes",Weights!D17,1))</f>
        <v>0</v>
      </c>
      <c r="AC17" s="588">
        <f>IF(Dashboard!$C$17="yes",Weights!E17,1)</f>
        <v>0</v>
      </c>
      <c r="AD17" s="589">
        <f>IF(A17="Graduate School",Dashboard!$B$33*Dashboard!$B$35,Dashboard!$B$33*Dashboard!$B$34)</f>
        <v>0.99995999999999996</v>
      </c>
    </row>
    <row r="18" spans="1:30">
      <c r="A18" t="s">
        <v>223</v>
      </c>
      <c r="B18" s="566">
        <f>ROUND(Dashboard!$D$28*(('Data-Credit &amp; Degree'!AU19+'Data-Credit &amp; Degree'!AV19+'Data-Credit &amp; Degree'!AW19)/('Data-Credit &amp; Degree'!$AU$24+'Data-Credit &amp; Degree'!$AV$24+'Data-Credit &amp; Degree'!$AW$24)),-2)</f>
        <v>0</v>
      </c>
      <c r="C18" s="567">
        <f>ROUND(Dashboard!$D$22*'Productivity Calc'!D18,-2)</f>
        <v>0</v>
      </c>
      <c r="D18" s="578">
        <f t="shared" si="2"/>
        <v>0</v>
      </c>
      <c r="E18" s="566">
        <f>+Dashboard!$B$23*'Productivity Calc'!H18</f>
        <v>0</v>
      </c>
      <c r="F18" s="567">
        <f>+Dashboard!$B$25*'Productivity Calc'!I18</f>
        <v>0</v>
      </c>
      <c r="G18" s="571">
        <f>+Dashboard!$B$27*'Productivity Calc'!J18</f>
        <v>0</v>
      </c>
      <c r="H18" s="566">
        <f>IF(A18="PHHS",IF(Dashboard!$C$12="no",SUM('Data-Credit &amp; Degree'!$B$16:$G$16)+SUM('Data-Credit &amp; Degree'!$B$26:$D$26),SUM('Data-Credit &amp; Degree'!$B$16:$G$16)+(SUM('Data-Credit &amp; Degree'!$B$26:$D$26)*Dashboard!$C$13)),SUM('Data-Credit &amp; Degree'!B19:G19))</f>
        <v>0</v>
      </c>
      <c r="I18" s="567">
        <f>+'Data-Credit &amp; Degree'!K19+'Data-Credit &amp; Degree'!L19+'Data-Credit &amp; Degree'!M19</f>
        <v>0</v>
      </c>
      <c r="J18" s="567">
        <f>+'Data-Credit &amp; Degree'!Q19+'Data-Credit &amp; Degree'!R19+'Data-Credit &amp; Degree'!S19</f>
        <v>0</v>
      </c>
      <c r="K18" s="579">
        <f>ROUND((('Data-Credit &amp; Degree'!AI48+'Data-Credit &amp; Degree'!AJ48+'Data-Credit &amp; Degree'!AK48)*Dashboard!$B$43)/((('Data-Credit &amp; Degree'!$AI$52+'Data-Credit &amp; Degree'!$AJ$52+'Data-Credit &amp; Degree'!$AK$52)*Dashboard!$B$43)+(('Data-Credit &amp; Degree'!$AC$52+'Data-Credit &amp; Degree'!$AD$52+'Data-Credit &amp; Degree'!$AE$52)*Dashboard!$B$44)+(('Data-Credit &amp; Degree'!$AF$52+'Data-Credit &amp; Degree'!$AG$52+'Data-Credit &amp; Degree'!$AH$52)*Dashboard!$B$45))*Dashboard!$D$42,-2)</f>
        <v>0</v>
      </c>
      <c r="L18" s="579">
        <f>ROUND((('Data-Credit &amp; Degree'!AC48+'Data-Credit &amp; Degree'!AD48+'Data-Credit &amp; Degree'!AE48)*Dashboard!$B$44)/((('Data-Credit &amp; Degree'!$AI$52+'Data-Credit &amp; Degree'!$AJ$52+'Data-Credit &amp; Degree'!$AK$52)*Dashboard!$B$43)+(('Data-Credit &amp; Degree'!$AC$52+'Data-Credit &amp; Degree'!$AD$52+'Data-Credit &amp; Degree'!$AE$52)*Dashboard!$B$44)+(('Data-Credit &amp; Degree'!$AF$52+'Data-Credit &amp; Degree'!$AG$52+'Data-Credit &amp; Degree'!$AH$52)*Dashboard!$B$45))*Dashboard!$D$42,-2)</f>
        <v>0</v>
      </c>
      <c r="M18" s="579">
        <f>ROUND((('Data-Credit &amp; Degree'!AF48+'Data-Credit &amp; Degree'!AG48+'Data-Credit &amp; Degree'!AH48)*Dashboard!$B$45)/((('Data-Credit &amp; Degree'!$AI$52+'Data-Credit &amp; Degree'!$AJ$52+'Data-Credit &amp; Degree'!$AK$52)*Dashboard!$B$43)+(('Data-Credit &amp; Degree'!$AC$52+'Data-Credit &amp; Degree'!$AD$52+'Data-Credit &amp; Degree'!$AE$52)*Dashboard!$B$44)+(('Data-Credit &amp; Degree'!$AF$52+'Data-Credit &amp; Degree'!$AG$52+'Data-Credit &amp; Degree'!$AH$52)*Dashboard!$B$45))*Dashboard!$D$42,-2)</f>
        <v>0</v>
      </c>
      <c r="N18" s="580">
        <f>ROUND(IF(A18="PHHS",Dashboard!$D$48*((SUM('Data-Credit &amp; Degree'!AX19:AZ19,'Data-Credit &amp; Degree'!$AX$26:$AZ$26)/(SUM('Data-Credit &amp; Degree'!$AX$24:$AZ$24,'Data-Credit &amp; Degree'!$AX$26:$AZ$26)))),Dashboard!$D$48*((SUM('Data-Credit &amp; Degree'!AX19:AZ19)/(SUM('Data-Credit &amp; Degree'!$AX$24:$AZ$24,'Data-Credit &amp; Degree'!$AX$26:$AZ$26))))),-2)</f>
        <v>0</v>
      </c>
      <c r="O18" s="574">
        <f>+Ecampus!B20</f>
        <v>0</v>
      </c>
      <c r="P18" s="570">
        <f>+Summer!B21</f>
        <v>0</v>
      </c>
      <c r="Q18" s="587">
        <f>ROUND((Dashboard!$D$29*(R18/'Productivity Calc'!$R$23))+(Dashboard!$D$30*(S18/$S$23)),-2)</f>
        <v>0</v>
      </c>
      <c r="R18" s="575">
        <f>(SUM('Data-Credit &amp; Degree'!B48:D48)+(SUM('Data-Credit &amp; Degree'!Q48:S48,'Data-Credit &amp; Degree'!N48:P48)/5))*T18</f>
        <v>0</v>
      </c>
      <c r="S18" s="533">
        <f>(((SUM('Data-Credit &amp; Degree'!H19:J19)*T18)))</f>
        <v>0</v>
      </c>
      <c r="T18" s="584">
        <f>IF(Dashboard!$C$16="yes",Weights!C18,1)</f>
        <v>1.232</v>
      </c>
      <c r="U18" s="566">
        <f>ROUND((V18*Dashboard!$D$36)+(W18*Dashboard!$D$31),-2)</f>
        <v>0</v>
      </c>
      <c r="V18" s="590">
        <f t="shared" si="0"/>
        <v>0</v>
      </c>
      <c r="W18" s="578">
        <f t="shared" si="1"/>
        <v>0</v>
      </c>
      <c r="X18" s="566">
        <f>IF(A18="Graduate School",((SUM('Data-Credit &amp; Degree'!T48:V48)*AD18))*AC18,(SUM('Data-Credit &amp; Degree'!E48:G48)+(SUM('Data-Credit &amp; Degree'!T48:V48)*AD18))*AC18)</f>
        <v>0</v>
      </c>
      <c r="Y18" s="567">
        <f>IF(A18="Graduate School",((SUM('Data-Credit &amp; Degree'!W48:Y48)*AD18))*AB18,(SUM('Data-Credit &amp; Degree'!H48:J48)+(SUM('Data-Credit &amp; Degree'!W48:Y48)*AD18))*AB18)</f>
        <v>0</v>
      </c>
      <c r="Z18" s="567">
        <f>(SUM('Data-Credit &amp; Degree'!K48:M48)/5)*AB18</f>
        <v>0</v>
      </c>
      <c r="AA18" s="571">
        <f>SUM('Data-Credit &amp; Degree'!N19:P19)*AB18</f>
        <v>0</v>
      </c>
      <c r="AB18" s="592">
        <f>IF((OR(A18="Pharmacy",A18="Veterinary Medicine")),IF(Dashboard!$C$14="yes",Dashboard!$C$15,IF(Dashboard!$C$17="yes",Weights!F18,1)),IF(Dashboard!$C$17="yes",Weights!D18,1))</f>
        <v>0</v>
      </c>
      <c r="AC18" s="588">
        <f>IF(Dashboard!$C$17="yes",Weights!E18,1)</f>
        <v>0</v>
      </c>
      <c r="AD18" s="589">
        <f>IF(A18="Graduate School",Dashboard!$B$33*Dashboard!$B$35,Dashboard!$B$33*Dashboard!$B$34)</f>
        <v>0.99995999999999996</v>
      </c>
    </row>
    <row r="19" spans="1:30">
      <c r="A19" t="s">
        <v>224</v>
      </c>
      <c r="B19" s="566">
        <f>ROUND(Dashboard!$D$28*(('Data-Credit &amp; Degree'!AU20+'Data-Credit &amp; Degree'!AV20+'Data-Credit &amp; Degree'!AW20)/('Data-Credit &amp; Degree'!$AU$24+'Data-Credit &amp; Degree'!$AV$24+'Data-Credit &amp; Degree'!$AW$24)),-2)</f>
        <v>186500</v>
      </c>
      <c r="C19" s="567">
        <f>ROUND(Dashboard!$D$22*'Productivity Calc'!D19,-2)</f>
        <v>645900</v>
      </c>
      <c r="D19" s="578">
        <f t="shared" si="2"/>
        <v>9.9513877767068906E-3</v>
      </c>
      <c r="E19" s="566">
        <f>+Dashboard!$B$23*'Productivity Calc'!H19</f>
        <v>1018.5334317056497</v>
      </c>
      <c r="F19" s="567">
        <f>+Dashboard!$B$25*'Productivity Calc'!I19</f>
        <v>8046.1395535909742</v>
      </c>
      <c r="G19" s="571">
        <f>+Dashboard!$B$27*'Productivity Calc'!J19</f>
        <v>0</v>
      </c>
      <c r="H19" s="566">
        <f>IF(A19="PHHS",IF(Dashboard!$C$12="no",SUM('Data-Credit &amp; Degree'!$B$16:$G$16)+SUM('Data-Credit &amp; Degree'!$B$26:$D$26),SUM('Data-Credit &amp; Degree'!$B$16:$G$16)+(SUM('Data-Credit &amp; Degree'!$B$26:$D$26)*Dashboard!$C$13)),SUM('Data-Credit &amp; Degree'!B20:G20))</f>
        <v>1444.7282719229074</v>
      </c>
      <c r="I19" s="567">
        <f>+'Data-Credit &amp; Degree'!K20+'Data-Credit &amp; Degree'!L20+'Data-Credit &amp; Degree'!M20</f>
        <v>7911.6416456155112</v>
      </c>
      <c r="J19" s="567">
        <f>+'Data-Credit &amp; Degree'!Q20+'Data-Credit &amp; Degree'!R20+'Data-Credit &amp; Degree'!S20</f>
        <v>0</v>
      </c>
      <c r="K19" s="579">
        <f>ROUND((('Data-Credit &amp; Degree'!AI49+'Data-Credit &amp; Degree'!AJ49+'Data-Credit &amp; Degree'!AK49)*Dashboard!$B$43)/((('Data-Credit &amp; Degree'!$AI$52+'Data-Credit &amp; Degree'!$AJ$52+'Data-Credit &amp; Degree'!$AK$52)*Dashboard!$B$43)+(('Data-Credit &amp; Degree'!$AC$52+'Data-Credit &amp; Degree'!$AD$52+'Data-Credit &amp; Degree'!$AE$52)*Dashboard!$B$44)+(('Data-Credit &amp; Degree'!$AF$52+'Data-Credit &amp; Degree'!$AG$52+'Data-Credit &amp; Degree'!$AH$52)*Dashboard!$B$45))*Dashboard!$D$42,-2)</f>
        <v>115200</v>
      </c>
      <c r="L19" s="579">
        <f>ROUND((('Data-Credit &amp; Degree'!AC49+'Data-Credit &amp; Degree'!AD49+'Data-Credit &amp; Degree'!AE49)*Dashboard!$B$44)/((('Data-Credit &amp; Degree'!$AI$52+'Data-Credit &amp; Degree'!$AJ$52+'Data-Credit &amp; Degree'!$AK$52)*Dashboard!$B$43)+(('Data-Credit &amp; Degree'!$AC$52+'Data-Credit &amp; Degree'!$AD$52+'Data-Credit &amp; Degree'!$AE$52)*Dashboard!$B$44)+(('Data-Credit &amp; Degree'!$AF$52+'Data-Credit &amp; Degree'!$AG$52+'Data-Credit &amp; Degree'!$AH$52)*Dashboard!$B$45))*Dashboard!$D$42,-2)</f>
        <v>8600</v>
      </c>
      <c r="M19" s="579">
        <f>ROUND((('Data-Credit &amp; Degree'!AF49+'Data-Credit &amp; Degree'!AG49+'Data-Credit &amp; Degree'!AH49)*Dashboard!$B$45)/((('Data-Credit &amp; Degree'!$AI$52+'Data-Credit &amp; Degree'!$AJ$52+'Data-Credit &amp; Degree'!$AK$52)*Dashboard!$B$43)+(('Data-Credit &amp; Degree'!$AC$52+'Data-Credit &amp; Degree'!$AD$52+'Data-Credit &amp; Degree'!$AE$52)*Dashboard!$B$44)+(('Data-Credit &amp; Degree'!$AF$52+'Data-Credit &amp; Degree'!$AG$52+'Data-Credit &amp; Degree'!$AH$52)*Dashboard!$B$45))*Dashboard!$D$42,-2)</f>
        <v>15300</v>
      </c>
      <c r="N19" s="580">
        <f>ROUND(IF(A19="PHHS",Dashboard!$D$48*((SUM('Data-Credit &amp; Degree'!AX20:AZ20,'Data-Credit &amp; Degree'!$AX$26:$AZ$26)/(SUM('Data-Credit &amp; Degree'!$AX$24:$AZ$24,'Data-Credit &amp; Degree'!$AX$26:$AZ$26)))),Dashboard!$D$48*((SUM('Data-Credit &amp; Degree'!AX20:AZ20)/(SUM('Data-Credit &amp; Degree'!$AX$24:$AZ$24,'Data-Credit &amp; Degree'!$AX$26:$AZ$26))))),-2)</f>
        <v>700</v>
      </c>
      <c r="O19" s="574">
        <f>+Ecampus!B21</f>
        <v>63000</v>
      </c>
      <c r="P19" s="570">
        <f>+Summer!B22</f>
        <v>11000</v>
      </c>
      <c r="Q19" s="587">
        <f>ROUND((Dashboard!$D$29*(R19/'Productivity Calc'!$R$23))+(Dashboard!$D$30*(S19/$S$23)),-2)</f>
        <v>652700</v>
      </c>
      <c r="R19" s="575">
        <f>(SUM('Data-Credit &amp; Degree'!B49:D49)+(SUM('Data-Credit &amp; Degree'!Q49:S49,'Data-Credit &amp; Degree'!N49:P49)/5))*T19</f>
        <v>686.71337314650771</v>
      </c>
      <c r="S19" s="533">
        <f>(((SUM('Data-Credit &amp; Degree'!H20:J20)*T19)))</f>
        <v>0</v>
      </c>
      <c r="T19" s="584">
        <f>IF(Dashboard!$C$16="yes",Weights!C19,1)</f>
        <v>1.0820000000000001</v>
      </c>
      <c r="U19" s="566">
        <f>ROUND((V19*Dashboard!$D$36)+(W19*Dashboard!$D$31),-2)</f>
        <v>0</v>
      </c>
      <c r="V19" s="590">
        <f t="shared" si="0"/>
        <v>0</v>
      </c>
      <c r="W19" s="578">
        <f t="shared" si="1"/>
        <v>0</v>
      </c>
      <c r="X19" s="566">
        <f>IF(A19="Graduate School",((SUM('Data-Credit &amp; Degree'!T49:V49)*AD19))*AC19,(SUM('Data-Credit &amp; Degree'!E49:G49)+(SUM('Data-Credit &amp; Degree'!T49:V49)*AD19))*AC19)</f>
        <v>0</v>
      </c>
      <c r="Y19" s="567">
        <f>IF(A19="Graduate School",((SUM('Data-Credit &amp; Degree'!W49:Y49)*AD19))*AB19,(SUM('Data-Credit &amp; Degree'!H49:J49)+(SUM('Data-Credit &amp; Degree'!W49:Y49)*AD19))*AB19)</f>
        <v>0</v>
      </c>
      <c r="Z19" s="567">
        <f>(SUM('Data-Credit &amp; Degree'!K49:M49)/5)*AB19</f>
        <v>0</v>
      </c>
      <c r="AA19" s="571">
        <f>SUM('Data-Credit &amp; Degree'!N20:P20)*AB19</f>
        <v>0</v>
      </c>
      <c r="AB19" s="592">
        <f>IF((OR(A19="Pharmacy",A19="Veterinary Medicine")),IF(Dashboard!$C$14="yes",Dashboard!$C$15,IF(Dashboard!$C$17="yes",Weights!F19,1)),IF(Dashboard!$C$17="yes",Weights!D19,1))</f>
        <v>0</v>
      </c>
      <c r="AC19" s="588">
        <f>IF(Dashboard!$C$17="yes",Weights!E19,1)</f>
        <v>0</v>
      </c>
      <c r="AD19" s="589">
        <f>IF(A19="Graduate School",Dashboard!$B$33*Dashboard!$B$35,Dashboard!$B$33*Dashboard!$B$34)</f>
        <v>0.99995999999999996</v>
      </c>
    </row>
    <row r="20" spans="1:30">
      <c r="A20" t="s">
        <v>225</v>
      </c>
      <c r="B20" s="566">
        <f>ROUND(Dashboard!$D$28*(('Data-Credit &amp; Degree'!AU21+'Data-Credit &amp; Degree'!AV21+'Data-Credit &amp; Degree'!AW21)/('Data-Credit &amp; Degree'!$AU$24+'Data-Credit &amp; Degree'!$AV$24+'Data-Credit &amp; Degree'!$AW$24)),-2)</f>
        <v>0</v>
      </c>
      <c r="C20" s="567">
        <f>ROUND(Dashboard!$D$22*'Productivity Calc'!D20,-2)</f>
        <v>0</v>
      </c>
      <c r="D20" s="578">
        <f t="shared" si="2"/>
        <v>0</v>
      </c>
      <c r="E20" s="566">
        <f>+Dashboard!$B$23*'Productivity Calc'!H20</f>
        <v>0</v>
      </c>
      <c r="F20" s="567">
        <f>+Dashboard!$B$25*'Productivity Calc'!I20</f>
        <v>0</v>
      </c>
      <c r="G20" s="571">
        <f>+Dashboard!$B$27*'Productivity Calc'!J20</f>
        <v>0</v>
      </c>
      <c r="H20" s="566">
        <f>IF(A20="PHHS",IF(Dashboard!$C$12="no",SUM('Data-Credit &amp; Degree'!$B$16:$G$16)+SUM('Data-Credit &amp; Degree'!$B$26:$D$26),SUM('Data-Credit &amp; Degree'!$B$16:$G$16)+(SUM('Data-Credit &amp; Degree'!$B$26:$D$26)*Dashboard!$C$13)),SUM('Data-Credit &amp; Degree'!B21:G21))</f>
        <v>0</v>
      </c>
      <c r="I20" s="567">
        <f>+'Data-Credit &amp; Degree'!K21+'Data-Credit &amp; Degree'!L21+'Data-Credit &amp; Degree'!M21</f>
        <v>0</v>
      </c>
      <c r="J20" s="567">
        <f>+'Data-Credit &amp; Degree'!Q21+'Data-Credit &amp; Degree'!R21+'Data-Credit &amp; Degree'!S21</f>
        <v>0</v>
      </c>
      <c r="K20" s="579">
        <f>ROUND((('Data-Credit &amp; Degree'!AI50+'Data-Credit &amp; Degree'!AJ50+'Data-Credit &amp; Degree'!AK50)*Dashboard!$B$43)/((('Data-Credit &amp; Degree'!$AI$52+'Data-Credit &amp; Degree'!$AJ$52+'Data-Credit &amp; Degree'!$AK$52)*Dashboard!$B$43)+(('Data-Credit &amp; Degree'!$AC$52+'Data-Credit &amp; Degree'!$AD$52+'Data-Credit &amp; Degree'!$AE$52)*Dashboard!$B$44)+(('Data-Credit &amp; Degree'!$AF$52+'Data-Credit &amp; Degree'!$AG$52+'Data-Credit &amp; Degree'!$AH$52)*Dashboard!$B$45))*Dashboard!$D$42,-2)</f>
        <v>0</v>
      </c>
      <c r="L20" s="579">
        <f>ROUND((('Data-Credit &amp; Degree'!AC50+'Data-Credit &amp; Degree'!AD50+'Data-Credit &amp; Degree'!AE50)*Dashboard!$B$44)/((('Data-Credit &amp; Degree'!$AI$52+'Data-Credit &amp; Degree'!$AJ$52+'Data-Credit &amp; Degree'!$AK$52)*Dashboard!$B$43)+(('Data-Credit &amp; Degree'!$AC$52+'Data-Credit &amp; Degree'!$AD$52+'Data-Credit &amp; Degree'!$AE$52)*Dashboard!$B$44)+(('Data-Credit &amp; Degree'!$AF$52+'Data-Credit &amp; Degree'!$AG$52+'Data-Credit &amp; Degree'!$AH$52)*Dashboard!$B$45))*Dashboard!$D$42,-2)</f>
        <v>0</v>
      </c>
      <c r="M20" s="579">
        <f>ROUND((('Data-Credit &amp; Degree'!AF50+'Data-Credit &amp; Degree'!AG50+'Data-Credit &amp; Degree'!AH50)*Dashboard!$B$45)/((('Data-Credit &amp; Degree'!$AI$52+'Data-Credit &amp; Degree'!$AJ$52+'Data-Credit &amp; Degree'!$AK$52)*Dashboard!$B$43)+(('Data-Credit &amp; Degree'!$AC$52+'Data-Credit &amp; Degree'!$AD$52+'Data-Credit &amp; Degree'!$AE$52)*Dashboard!$B$44)+(('Data-Credit &amp; Degree'!$AF$52+'Data-Credit &amp; Degree'!$AG$52+'Data-Credit &amp; Degree'!$AH$52)*Dashboard!$B$45))*Dashboard!$D$42,-2)</f>
        <v>0</v>
      </c>
      <c r="N20" s="580">
        <f>ROUND(IF(A20="PHHS",Dashboard!$D$48*((SUM('Data-Credit &amp; Degree'!AX21:AZ21,'Data-Credit &amp; Degree'!$AX$26:$AZ$26)/(SUM('Data-Credit &amp; Degree'!$AX$24:$AZ$24,'Data-Credit &amp; Degree'!$AX$26:$AZ$26)))),Dashboard!$D$48*((SUM('Data-Credit &amp; Degree'!AX21:AZ21)/(SUM('Data-Credit &amp; Degree'!$AX$24:$AZ$24,'Data-Credit &amp; Degree'!$AX$26:$AZ$26))))),-2)</f>
        <v>0</v>
      </c>
      <c r="O20" s="574">
        <f>+Ecampus!B22</f>
        <v>0</v>
      </c>
      <c r="P20" s="570">
        <f>+Summer!B23</f>
        <v>15000</v>
      </c>
      <c r="Q20" s="587">
        <f>ROUND((Dashboard!$D$29*(R20/'Productivity Calc'!$R$23))+(Dashboard!$D$30*(S20/$S$23)),-2)</f>
        <v>0</v>
      </c>
      <c r="R20" s="575">
        <f>(SUM('Data-Credit &amp; Degree'!B50:D50)+(SUM('Data-Credit &amp; Degree'!Q50:S50,'Data-Credit &amp; Degree'!N50:P50)/5))*T20</f>
        <v>0</v>
      </c>
      <c r="S20" s="533">
        <f>(((SUM('Data-Credit &amp; Degree'!H21:J21)*T20)))</f>
        <v>0</v>
      </c>
      <c r="T20" s="584">
        <f>IF(Dashboard!$C$16="yes",Weights!C20,1)</f>
        <v>0</v>
      </c>
      <c r="U20" s="566">
        <f>ROUND((V20*Dashboard!$D$36)+(W20*Dashboard!$D$31),-2)</f>
        <v>0</v>
      </c>
      <c r="V20" s="590">
        <f t="shared" si="0"/>
        <v>0</v>
      </c>
      <c r="W20" s="578">
        <f t="shared" si="1"/>
        <v>0</v>
      </c>
      <c r="X20" s="566">
        <f>IF(A20="Graduate School",((SUM('Data-Credit &amp; Degree'!T50:V50)*AD20))*AC20,(SUM('Data-Credit &amp; Degree'!E50:G50)+(SUM('Data-Credit &amp; Degree'!T50:V50)*AD20))*AC20)</f>
        <v>0</v>
      </c>
      <c r="Y20" s="567">
        <f>IF(A20="Graduate School",((SUM('Data-Credit &amp; Degree'!W50:Y50)*AD20))*AB20,(SUM('Data-Credit &amp; Degree'!H50:J50)+(SUM('Data-Credit &amp; Degree'!W50:Y50)*AD20))*AB20)</f>
        <v>0</v>
      </c>
      <c r="Z20" s="567">
        <f>(SUM('Data-Credit &amp; Degree'!K50:M50)/5)*AB20</f>
        <v>0</v>
      </c>
      <c r="AA20" s="571">
        <f>SUM('Data-Credit &amp; Degree'!N21:P21)*AB20</f>
        <v>0</v>
      </c>
      <c r="AB20" s="592">
        <f>IF((OR(A20="Pharmacy",A20="Veterinary Medicine")),IF(Dashboard!$C$14="yes",Dashboard!$C$15,IF(Dashboard!$C$17="yes",Weights!F20,1)),IF(Dashboard!$C$17="yes",Weights!D20,1))</f>
        <v>0</v>
      </c>
      <c r="AC20" s="588">
        <f>IF(Dashboard!$C$17="yes",Weights!E20,1)</f>
        <v>0</v>
      </c>
      <c r="AD20" s="589">
        <f>IF(A20="Graduate School",Dashboard!$B$33*Dashboard!$B$35,Dashboard!$B$33*Dashboard!$B$34)</f>
        <v>0.99995999999999996</v>
      </c>
    </row>
    <row r="21" spans="1:30">
      <c r="A21" t="s">
        <v>226</v>
      </c>
      <c r="B21" s="566">
        <f>ROUND(Dashboard!$D$28*(('Data-Credit &amp; Degree'!AU22+'Data-Credit &amp; Degree'!AV22+'Data-Credit &amp; Degree'!AW22)/('Data-Credit &amp; Degree'!$AU$24+'Data-Credit &amp; Degree'!$AV$24+'Data-Credit &amp; Degree'!$AW$24)),-2)</f>
        <v>0</v>
      </c>
      <c r="C21" s="567">
        <f>ROUND(Dashboard!$D$22*'Productivity Calc'!D21,-2)</f>
        <v>0</v>
      </c>
      <c r="D21" s="578">
        <f t="shared" si="2"/>
        <v>0</v>
      </c>
      <c r="E21" s="566">
        <f>+Dashboard!$B$23*'Productivity Calc'!H21</f>
        <v>0</v>
      </c>
      <c r="F21" s="567">
        <f>+Dashboard!$B$25*'Productivity Calc'!I21</f>
        <v>0</v>
      </c>
      <c r="G21" s="571">
        <f>+Dashboard!$B$27*'Productivity Calc'!J21</f>
        <v>0</v>
      </c>
      <c r="H21" s="566">
        <f>IF(A21="PHHS",IF(Dashboard!$C$12="no",SUM('Data-Credit &amp; Degree'!$B$16:$G$16)+SUM('Data-Credit &amp; Degree'!$B$26:$D$26),SUM('Data-Credit &amp; Degree'!$B$16:$G$16)+(SUM('Data-Credit &amp; Degree'!$B$26:$D$26)*Dashboard!$C$13)),SUM('Data-Credit &amp; Degree'!B22:G22))</f>
        <v>0</v>
      </c>
      <c r="I21" s="567">
        <f>+'Data-Credit &amp; Degree'!K22+'Data-Credit &amp; Degree'!L22+'Data-Credit &amp; Degree'!M22</f>
        <v>0</v>
      </c>
      <c r="J21" s="567">
        <f>+'Data-Credit &amp; Degree'!Q22+'Data-Credit &amp; Degree'!R22+'Data-Credit &amp; Degree'!S22</f>
        <v>0</v>
      </c>
      <c r="K21" s="579">
        <f>ROUND((('Data-Credit &amp; Degree'!AI51+'Data-Credit &amp; Degree'!AJ51+'Data-Credit &amp; Degree'!AK51)*Dashboard!$B$43)/((('Data-Credit &amp; Degree'!$AI$52+'Data-Credit &amp; Degree'!$AJ$52+'Data-Credit &amp; Degree'!$AK$52)*Dashboard!$B$43)+(('Data-Credit &amp; Degree'!$AC$52+'Data-Credit &amp; Degree'!$AD$52+'Data-Credit &amp; Degree'!$AE$52)*Dashboard!$B$44)+(('Data-Credit &amp; Degree'!$AF$52+'Data-Credit &amp; Degree'!$AG$52+'Data-Credit &amp; Degree'!$AH$52)*Dashboard!$B$45))*Dashboard!$D$42,-2)</f>
        <v>0</v>
      </c>
      <c r="L21" s="579">
        <f>ROUND((('Data-Credit &amp; Degree'!AC51+'Data-Credit &amp; Degree'!AD51+'Data-Credit &amp; Degree'!AE51)*Dashboard!$B$44)/((('Data-Credit &amp; Degree'!$AI$52+'Data-Credit &amp; Degree'!$AJ$52+'Data-Credit &amp; Degree'!$AK$52)*Dashboard!$B$43)+(('Data-Credit &amp; Degree'!$AC$52+'Data-Credit &amp; Degree'!$AD$52+'Data-Credit &amp; Degree'!$AE$52)*Dashboard!$B$44)+(('Data-Credit &amp; Degree'!$AF$52+'Data-Credit &amp; Degree'!$AG$52+'Data-Credit &amp; Degree'!$AH$52)*Dashboard!$B$45))*Dashboard!$D$42,-2)</f>
        <v>0</v>
      </c>
      <c r="M21" s="579">
        <f>ROUND((('Data-Credit &amp; Degree'!AF51+'Data-Credit &amp; Degree'!AG51+'Data-Credit &amp; Degree'!AH51)*Dashboard!$B$45)/((('Data-Credit &amp; Degree'!$AI$52+'Data-Credit &amp; Degree'!$AJ$52+'Data-Credit &amp; Degree'!$AK$52)*Dashboard!$B$43)+(('Data-Credit &amp; Degree'!$AC$52+'Data-Credit &amp; Degree'!$AD$52+'Data-Credit &amp; Degree'!$AE$52)*Dashboard!$B$44)+(('Data-Credit &amp; Degree'!$AF$52+'Data-Credit &amp; Degree'!$AG$52+'Data-Credit &amp; Degree'!$AH$52)*Dashboard!$B$45))*Dashboard!$D$42,-2)</f>
        <v>0</v>
      </c>
      <c r="N21" s="580">
        <f>ROUND(IF(A21="PHHS",Dashboard!$D$48*((SUM('Data-Credit &amp; Degree'!AX22:AZ22,'Data-Credit &amp; Degree'!$AX$26:$AZ$26)/(SUM('Data-Credit &amp; Degree'!$AX$24:$AZ$24,'Data-Credit &amp; Degree'!$AX$26:$AZ$26)))),Dashboard!$D$48*((SUM('Data-Credit &amp; Degree'!AX22:AZ22)/(SUM('Data-Credit &amp; Degree'!$AX$24:$AZ$24,'Data-Credit &amp; Degree'!$AX$26:$AZ$26))))),-2)</f>
        <v>0</v>
      </c>
      <c r="O21" s="574">
        <f>+Ecampus!B23</f>
        <v>0</v>
      </c>
      <c r="P21" s="570">
        <f>+Summer!B24</f>
        <v>0</v>
      </c>
      <c r="Q21" s="587">
        <f>ROUND((Dashboard!$D$29*(R21/'Productivity Calc'!$R$23))+(Dashboard!$D$30*(S21/$S$23)),-2)</f>
        <v>0</v>
      </c>
      <c r="R21" s="575">
        <f>(SUM('Data-Credit &amp; Degree'!B51:D51)+(SUM('Data-Credit &amp; Degree'!Q51:S51,'Data-Credit &amp; Degree'!N51:P51)/5))*T21</f>
        <v>0</v>
      </c>
      <c r="S21" s="533">
        <f>(((SUM('Data-Credit &amp; Degree'!H22:J22)*T21)))</f>
        <v>0</v>
      </c>
      <c r="T21" s="584">
        <f>IF(Dashboard!$C$16="yes",Weights!C21,1)</f>
        <v>0</v>
      </c>
      <c r="U21" s="566">
        <f>ROUND((V21*Dashboard!$D$36)+(W21*Dashboard!$D$31),-2)</f>
        <v>0</v>
      </c>
      <c r="V21" s="590">
        <f t="shared" si="0"/>
        <v>0</v>
      </c>
      <c r="W21" s="578">
        <f t="shared" si="1"/>
        <v>0</v>
      </c>
      <c r="X21" s="566">
        <f>IF(A21="Graduate School",((SUM('Data-Credit &amp; Degree'!T51:V51)*AD21))*AC21,(SUM('Data-Credit &amp; Degree'!E51:G51)+(SUM('Data-Credit &amp; Degree'!T51:V51)*AD21))*AC21)</f>
        <v>0</v>
      </c>
      <c r="Y21" s="567">
        <f>IF(A21="Graduate School",((SUM('Data-Credit &amp; Degree'!W51:Y51)*AD21))*AB21,(SUM('Data-Credit &amp; Degree'!H51:J51)+(SUM('Data-Credit &amp; Degree'!W51:Y51)*AD21))*AB21)</f>
        <v>0</v>
      </c>
      <c r="Z21" s="567">
        <f>(SUM('Data-Credit &amp; Degree'!K51:M51)/5)*AB21</f>
        <v>0</v>
      </c>
      <c r="AA21" s="571">
        <f>SUM('Data-Credit &amp; Degree'!N22:P22)*AB21</f>
        <v>0</v>
      </c>
      <c r="AB21" s="592">
        <f>IF((OR(A21="Pharmacy",A21="Veterinary Medicine")),IF(Dashboard!$C$14="yes",Dashboard!$C$15,IF(Dashboard!$C$17="yes",Weights!F21,1)),IF(Dashboard!$C$17="yes",Weights!D21,1))</f>
        <v>0</v>
      </c>
      <c r="AC21" s="588">
        <f>IF(Dashboard!$C$17="yes",Weights!E21,1)</f>
        <v>0</v>
      </c>
      <c r="AD21" s="589">
        <f>IF(A21="Graduate School",Dashboard!$B$33*Dashboard!$B$35,Dashboard!$B$33*Dashboard!$B$34)</f>
        <v>0.99995999999999996</v>
      </c>
    </row>
    <row r="22" spans="1:30" s="49" customFormat="1">
      <c r="A22" s="49" t="s">
        <v>343</v>
      </c>
      <c r="B22" s="566">
        <f>ROUND(Dashboard!$D$28*(('Data-Credit &amp; Degree'!AU23+'Data-Credit &amp; Degree'!AV23+'Data-Credit &amp; Degree'!AW23)/('Data-Credit &amp; Degree'!$AU$24+'Data-Credit &amp; Degree'!$AV$24+'Data-Credit &amp; Degree'!$AW$24)),-2)</f>
        <v>0</v>
      </c>
      <c r="C22" s="567">
        <f>ROUND(Dashboard!$D$22*'Productivity Calc'!D22,-2)</f>
        <v>10600</v>
      </c>
      <c r="D22" s="578">
        <f>+(E22+F22+G22)/($E$23+$F$23+$G$23)</f>
        <v>1.6328000555763676E-4</v>
      </c>
      <c r="E22" s="566">
        <f>+Dashboard!$B$23*'Productivity Calc'!H22</f>
        <v>130.42499999999998</v>
      </c>
      <c r="F22" s="567">
        <f>+Dashboard!$B$25*'Productivity Calc'!I22</f>
        <v>18.305999999999997</v>
      </c>
      <c r="G22" s="571">
        <f>+Dashboard!$B$27*'Productivity Calc'!J22</f>
        <v>0</v>
      </c>
      <c r="H22" s="566">
        <f>IF(A22="PHHS",IF(Dashboard!$C$12="no",SUM('Data-Credit &amp; Degree'!$B$16:$G$16)+SUM('Data-Credit &amp; Degree'!$B$26:$D$26),SUM('Data-Credit &amp; Degree'!$B$16:$G$16)+(SUM('Data-Credit &amp; Degree'!$B$26:$D$26)*Dashboard!$C$13)),SUM('Data-Credit &amp; Degree'!B23:G23))</f>
        <v>185</v>
      </c>
      <c r="I22" s="567">
        <f>+'Data-Credit &amp; Degree'!K23+'Data-Credit &amp; Degree'!L23+'Data-Credit &amp; Degree'!M23</f>
        <v>18</v>
      </c>
      <c r="J22" s="567">
        <f>+'Data-Credit &amp; Degree'!Q23+'Data-Credit &amp; Degree'!R23+'Data-Credit &amp; Degree'!S23</f>
        <v>0</v>
      </c>
      <c r="K22" s="579"/>
      <c r="L22" s="579"/>
      <c r="M22" s="579"/>
      <c r="N22" s="580">
        <f>ROUND(IF(A22="PHHS",Dashboard!$D$48*((SUM('Data-Credit &amp; Degree'!AX23:AZ23,'Data-Credit &amp; Degree'!$AX$26:$AZ$26)/(SUM('Data-Credit &amp; Degree'!$AX$24:$AZ$24,'Data-Credit &amp; Degree'!$AX$26:$AZ$26)))),Dashboard!$D$48*((SUM('Data-Credit &amp; Degree'!AX23:AZ23)/(SUM('Data-Credit &amp; Degree'!$AX$24:$AZ$24,'Data-Credit &amp; Degree'!$AX$26:$AZ$26))))),-2)</f>
        <v>0</v>
      </c>
      <c r="O22" s="574"/>
      <c r="P22" s="570"/>
      <c r="Q22" s="587">
        <f>ROUND((Dashboard!$D$29*(R22/'Productivity Calc'!$R$23))+(Dashboard!$D$30*(S22/$S$23)),-2)</f>
        <v>2000</v>
      </c>
      <c r="R22" s="575"/>
      <c r="S22" s="533">
        <f>(((SUM('Data-Credit &amp; Degree'!H23:J23)*T22)))</f>
        <v>93.639890081451838</v>
      </c>
      <c r="T22" s="584">
        <f>IF(Dashboard!$C$16="yes",Weights!C22,1)</f>
        <v>0.95550908246379429</v>
      </c>
      <c r="U22" s="566">
        <f>ROUND((V22*Dashboard!$D$36)+(W22*Dashboard!$D$31),-2)</f>
        <v>0</v>
      </c>
      <c r="V22" s="590">
        <f t="shared" ref="V22" si="3">AA22/$AA$23</f>
        <v>0</v>
      </c>
      <c r="W22" s="578">
        <f>(SUM(X22:Z22)/SUM($X$23:$Z$23))</f>
        <v>0</v>
      </c>
      <c r="X22" s="566"/>
      <c r="Y22" s="567"/>
      <c r="Z22" s="567"/>
      <c r="AA22" s="571">
        <f>SUM('Data-Credit &amp; Degree'!N23:P23)*AB22</f>
        <v>0</v>
      </c>
      <c r="AB22" s="592">
        <f>IF((OR(A22="Pharmacy",A22="Veterinary Medicine")),IF(Dashboard!$C$14="yes",Dashboard!$C$15,IF(Dashboard!$C$17="yes",Weights!F22,1)),IF(Dashboard!$C$17="yes",Weights!D22,1))</f>
        <v>2.0860803827751191</v>
      </c>
      <c r="AC22" s="588">
        <f>IF(Dashboard!$C$17="yes",Weights!E22,1)</f>
        <v>3.2494553686934022</v>
      </c>
      <c r="AD22" s="589">
        <f>IF(A22="Graduate School",Dashboard!$B$33*Dashboard!$B$35,Dashboard!$B$33*Dashboard!$B$34)</f>
        <v>0.99995999999999996</v>
      </c>
    </row>
    <row r="23" spans="1:30" ht="15.75" thickBot="1">
      <c r="B23" s="276">
        <f>SUM(B5:B22)</f>
        <v>721300</v>
      </c>
      <c r="C23" s="276">
        <f t="shared" ref="C23:AA23" si="4">SUM(C5:C22)</f>
        <v>64909000</v>
      </c>
      <c r="D23" s="406">
        <f t="shared" si="4"/>
        <v>1</v>
      </c>
      <c r="E23" s="276">
        <f t="shared" si="4"/>
        <v>676744.67736787035</v>
      </c>
      <c r="F23" s="276">
        <f t="shared" si="4"/>
        <v>182654.20133430121</v>
      </c>
      <c r="G23" s="276">
        <f t="shared" si="4"/>
        <v>51496.48470776491</v>
      </c>
      <c r="H23" s="276">
        <f t="shared" si="4"/>
        <v>959921.5281813764</v>
      </c>
      <c r="I23" s="276">
        <f t="shared" si="4"/>
        <v>179600.98459616638</v>
      </c>
      <c r="J23" s="276">
        <f t="shared" si="4"/>
        <v>25132.496197054617</v>
      </c>
      <c r="K23" s="276">
        <f t="shared" si="4"/>
        <v>3556700</v>
      </c>
      <c r="L23" s="276">
        <f t="shared" si="4"/>
        <v>1397200</v>
      </c>
      <c r="M23" s="276">
        <f t="shared" si="4"/>
        <v>815600</v>
      </c>
      <c r="N23" s="276">
        <f t="shared" si="4"/>
        <v>721300</v>
      </c>
      <c r="O23" s="276">
        <f t="shared" si="4"/>
        <v>107705000</v>
      </c>
      <c r="P23" s="276">
        <f t="shared" si="4"/>
        <v>5457000</v>
      </c>
      <c r="Q23" s="276">
        <f t="shared" si="4"/>
        <v>38945500</v>
      </c>
      <c r="R23" s="276">
        <f t="shared" si="4"/>
        <v>22762.398902110112</v>
      </c>
      <c r="S23" s="276">
        <f t="shared" si="4"/>
        <v>822078.77059184632</v>
      </c>
      <c r="T23" s="276"/>
      <c r="U23" s="276">
        <f t="shared" si="4"/>
        <v>24521100</v>
      </c>
      <c r="V23" s="406">
        <f>SUM(V5:V22)</f>
        <v>1.0000000000000002</v>
      </c>
      <c r="W23" s="406">
        <f t="shared" si="4"/>
        <v>0.99999999999999989</v>
      </c>
      <c r="X23" s="276">
        <f t="shared" si="4"/>
        <v>2262.1359000004372</v>
      </c>
      <c r="Y23" s="276">
        <f t="shared" si="4"/>
        <v>7172.3256025433257</v>
      </c>
      <c r="Z23" s="276">
        <f t="shared" si="4"/>
        <v>392.90342586484184</v>
      </c>
      <c r="AA23" s="276">
        <f t="shared" si="4"/>
        <v>644330.11634938465</v>
      </c>
      <c r="AB23" s="276"/>
      <c r="AC23" s="276"/>
      <c r="AD23" s="276"/>
    </row>
    <row r="24" spans="1:30" ht="15.75" thickTop="1"/>
    <row r="25" spans="1:30">
      <c r="A25" t="s">
        <v>447</v>
      </c>
    </row>
    <row r="26" spans="1:30">
      <c r="M26" s="126"/>
    </row>
  </sheetData>
  <mergeCells count="14">
    <mergeCell ref="B1:AD1"/>
    <mergeCell ref="X3:Z3"/>
    <mergeCell ref="U2:AD2"/>
    <mergeCell ref="Q2:T2"/>
    <mergeCell ref="R3:S3"/>
    <mergeCell ref="AB3:AD3"/>
    <mergeCell ref="O2:P2"/>
    <mergeCell ref="B2:I2"/>
    <mergeCell ref="H3:J3"/>
    <mergeCell ref="E3:G3"/>
    <mergeCell ref="K2:N2"/>
    <mergeCell ref="B3:C3"/>
    <mergeCell ref="K3:N3"/>
    <mergeCell ref="O3:P3"/>
  </mergeCells>
  <pageMargins left="0.7" right="0.7" top="0.75" bottom="0.75" header="0.3" footer="0.3"/>
  <pageSetup orientation="portrait" horizontalDpi="1200" verticalDpi="1200"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X49"/>
  <sheetViews>
    <sheetView workbookViewId="0">
      <selection sqref="A1:B1"/>
    </sheetView>
  </sheetViews>
  <sheetFormatPr defaultColWidth="8.85546875" defaultRowHeight="15"/>
  <cols>
    <col min="1" max="1" width="40" bestFit="1" customWidth="1"/>
    <col min="2" max="2" width="13.140625" customWidth="1"/>
    <col min="3" max="3" width="12.42578125" bestFit="1" customWidth="1"/>
    <col min="4" max="4" width="13.42578125" customWidth="1"/>
    <col min="5" max="5" width="12.42578125" bestFit="1" customWidth="1"/>
    <col min="6" max="6" width="14.42578125" customWidth="1"/>
    <col min="7" max="7" width="11" bestFit="1" customWidth="1"/>
    <col min="8" max="8" width="13.7109375" bestFit="1" customWidth="1"/>
    <col min="9" max="9" width="14.7109375" bestFit="1" customWidth="1"/>
    <col min="10" max="10" width="14.7109375" customWidth="1"/>
    <col min="11" max="11" width="14.7109375" style="626" customWidth="1"/>
    <col min="12" max="12" width="14.7109375" style="1161" customWidth="1"/>
    <col min="13" max="13" width="14.7109375" style="984" customWidth="1"/>
    <col min="14" max="14" width="13.140625" bestFit="1" customWidth="1"/>
    <col min="15" max="17" width="14.7109375" bestFit="1" customWidth="1"/>
    <col min="18" max="18" width="14.7109375" style="1161" customWidth="1"/>
    <col min="19" max="19" width="14.7109375" style="984" customWidth="1"/>
    <col min="21" max="21" width="11.5703125" style="521" bestFit="1" customWidth="1"/>
    <col min="22" max="22" width="9.7109375" bestFit="1" customWidth="1"/>
    <col min="23" max="23" width="10.5703125" bestFit="1" customWidth="1"/>
  </cols>
  <sheetData>
    <row r="1" spans="1:24" ht="15.75">
      <c r="A1" s="1259" t="s">
        <v>378</v>
      </c>
      <c r="B1" s="1259"/>
      <c r="H1" s="1130"/>
      <c r="I1" s="1130"/>
      <c r="J1" s="1130"/>
      <c r="K1" s="1130"/>
      <c r="L1" s="1130"/>
      <c r="M1" s="1130"/>
      <c r="N1" s="1130"/>
      <c r="O1" s="1130"/>
    </row>
    <row r="2" spans="1:24">
      <c r="A2" t="s">
        <v>370</v>
      </c>
      <c r="H2" s="1130"/>
      <c r="I2" s="1130"/>
      <c r="J2" s="1130"/>
      <c r="K2" s="1130"/>
      <c r="L2" s="1130"/>
      <c r="M2" s="1130"/>
      <c r="N2" s="1130"/>
      <c r="O2" s="1130"/>
    </row>
    <row r="3" spans="1:24">
      <c r="C3" s="219"/>
      <c r="H3" s="1130"/>
      <c r="I3" s="1130"/>
      <c r="J3" s="1130"/>
      <c r="K3" s="1130"/>
      <c r="L3" s="1130"/>
      <c r="M3" s="1130"/>
      <c r="N3" s="1130"/>
      <c r="O3" s="1130"/>
    </row>
    <row r="4" spans="1:24" ht="51">
      <c r="A4" s="220"/>
      <c r="B4" s="221" t="s">
        <v>171</v>
      </c>
      <c r="C4" s="221" t="s">
        <v>172</v>
      </c>
      <c r="D4" s="221" t="s">
        <v>541</v>
      </c>
      <c r="E4" s="221" t="s">
        <v>173</v>
      </c>
      <c r="F4" s="221" t="s">
        <v>581</v>
      </c>
    </row>
    <row r="5" spans="1:24">
      <c r="A5" s="222" t="s">
        <v>174</v>
      </c>
      <c r="B5" s="223"/>
      <c r="C5" s="223"/>
      <c r="D5" s="223"/>
      <c r="E5" s="223"/>
      <c r="F5" s="223">
        <f>ROUND(E28*0.03,-2)+300000+10000</f>
        <v>1381400</v>
      </c>
    </row>
    <row r="6" spans="1:24">
      <c r="A6" s="167"/>
      <c r="B6" s="224"/>
      <c r="C6" s="224"/>
      <c r="D6" s="224"/>
      <c r="E6" s="224"/>
      <c r="F6" s="224"/>
      <c r="H6" s="1260" t="s">
        <v>371</v>
      </c>
      <c r="I6" s="1261"/>
      <c r="J6" s="1261"/>
      <c r="K6" s="1261"/>
      <c r="L6" s="1261"/>
      <c r="M6" s="1261"/>
      <c r="N6" s="1261"/>
      <c r="O6" s="1261"/>
      <c r="P6" s="1261"/>
      <c r="Q6" s="1261"/>
      <c r="R6" s="1261"/>
      <c r="S6" s="1262"/>
    </row>
    <row r="7" spans="1:24">
      <c r="A7" s="225"/>
      <c r="B7" s="224"/>
      <c r="C7" s="224"/>
      <c r="D7" s="224"/>
      <c r="E7" s="224"/>
      <c r="F7" s="224"/>
      <c r="G7" s="523"/>
      <c r="H7" s="1242" t="s">
        <v>231</v>
      </c>
      <c r="I7" s="1243"/>
      <c r="J7" s="1243"/>
      <c r="K7" s="1243"/>
      <c r="L7" s="1243"/>
      <c r="M7" s="1244"/>
      <c r="N7" s="1253" t="s">
        <v>373</v>
      </c>
      <c r="O7" s="1254"/>
      <c r="P7" s="1254"/>
      <c r="Q7" s="1254"/>
      <c r="R7" s="1254"/>
      <c r="S7" s="1255"/>
    </row>
    <row r="8" spans="1:24">
      <c r="A8" s="225" t="s">
        <v>132</v>
      </c>
      <c r="B8" s="224"/>
      <c r="C8" s="224"/>
      <c r="D8" s="224"/>
      <c r="E8" s="224"/>
      <c r="F8" s="224"/>
      <c r="H8" s="824">
        <v>2019</v>
      </c>
      <c r="I8" s="277">
        <v>2020</v>
      </c>
      <c r="J8" s="277">
        <v>2021</v>
      </c>
      <c r="K8" s="1152">
        <v>2022</v>
      </c>
      <c r="L8" s="1163" t="s">
        <v>824</v>
      </c>
      <c r="M8" s="987" t="s">
        <v>828</v>
      </c>
      <c r="N8" s="824">
        <v>2019</v>
      </c>
      <c r="O8" s="277">
        <v>2020</v>
      </c>
      <c r="P8" s="277">
        <v>2021</v>
      </c>
      <c r="Q8" s="1152">
        <v>2022</v>
      </c>
      <c r="R8" s="1163" t="s">
        <v>824</v>
      </c>
      <c r="S8" s="987" t="s">
        <v>828</v>
      </c>
    </row>
    <row r="9" spans="1:24">
      <c r="A9" s="186" t="s">
        <v>136</v>
      </c>
      <c r="B9" s="226"/>
      <c r="C9" s="226"/>
      <c r="D9" s="226"/>
      <c r="E9" s="226"/>
      <c r="F9" s="226"/>
      <c r="H9" s="988"/>
      <c r="I9" s="989"/>
      <c r="J9" s="989"/>
      <c r="K9" s="989"/>
      <c r="L9" s="989"/>
      <c r="M9" s="989"/>
      <c r="N9" s="988"/>
      <c r="O9" s="990"/>
      <c r="P9" s="990"/>
      <c r="Q9" s="990"/>
      <c r="R9" s="990"/>
      <c r="S9" s="989"/>
    </row>
    <row r="10" spans="1:24">
      <c r="A10" s="179" t="s">
        <v>138</v>
      </c>
      <c r="B10" s="227">
        <f>+M10</f>
        <v>2102368.54</v>
      </c>
      <c r="C10" s="227">
        <f>+S10</f>
        <v>915083.00815000001</v>
      </c>
      <c r="D10" s="227">
        <f>-0.1*B10-0.1*C10</f>
        <v>-301745.15481500002</v>
      </c>
      <c r="E10" s="227">
        <f>SUM(B10:D10)</f>
        <v>2715706.3933350001</v>
      </c>
      <c r="F10" s="227">
        <f>ROUND(0.97*E10,-3)</f>
        <v>2634000</v>
      </c>
      <c r="G10" s="523"/>
      <c r="H10" s="991">
        <v>2043780</v>
      </c>
      <c r="I10" s="541">
        <v>2177049</v>
      </c>
      <c r="J10" s="541">
        <v>2089884.5</v>
      </c>
      <c r="K10" s="611">
        <v>2063905</v>
      </c>
      <c r="L10" s="611">
        <v>2109570.0499999998</v>
      </c>
      <c r="M10" s="992">
        <v>2102368.54</v>
      </c>
      <c r="N10" s="991">
        <v>672899.5</v>
      </c>
      <c r="O10" s="541">
        <v>818285.5</v>
      </c>
      <c r="P10" s="611">
        <v>823569</v>
      </c>
      <c r="Q10" s="611">
        <v>862553.5</v>
      </c>
      <c r="R10" s="611">
        <v>888430.10499999998</v>
      </c>
      <c r="S10" s="992">
        <v>915083.00815000001</v>
      </c>
      <c r="U10" s="523"/>
      <c r="V10" s="523"/>
      <c r="W10" s="523"/>
      <c r="X10" s="523"/>
    </row>
    <row r="11" spans="1:24">
      <c r="A11" s="179" t="s">
        <v>140</v>
      </c>
      <c r="B11" s="227">
        <f t="shared" ref="B11:B26" si="0">+M11</f>
        <v>10511491.310000001</v>
      </c>
      <c r="C11" s="227">
        <f t="shared" ref="C11:C26" si="1">+S11</f>
        <v>1917158.7887788636</v>
      </c>
      <c r="D11" s="227">
        <f t="shared" ref="D11:D22" si="2">-0.1*B11-0.1*C11</f>
        <v>-1242865.0098778864</v>
      </c>
      <c r="E11" s="227">
        <f>SUM(B11:D11)</f>
        <v>11185785.088900978</v>
      </c>
      <c r="F11" s="227">
        <f t="shared" ref="F11:F27" si="3">ROUND(0.97*E11,-3)</f>
        <v>10850000</v>
      </c>
      <c r="G11" s="523"/>
      <c r="H11" s="991">
        <v>8930933</v>
      </c>
      <c r="I11" s="541">
        <v>9244702</v>
      </c>
      <c r="J11" s="541">
        <v>9581956.6999999993</v>
      </c>
      <c r="K11" s="611">
        <v>9968250.5</v>
      </c>
      <c r="L11" s="611">
        <v>10134772.65</v>
      </c>
      <c r="M11" s="992">
        <v>10511491.310000001</v>
      </c>
      <c r="N11" s="991">
        <v>1869725</v>
      </c>
      <c r="O11" s="541">
        <v>1866755</v>
      </c>
      <c r="P11" s="541">
        <v>1929250.5</v>
      </c>
      <c r="Q11" s="611">
        <v>1891953</v>
      </c>
      <c r="R11" s="611">
        <v>1899872.1109735793</v>
      </c>
      <c r="S11" s="992">
        <v>1917158.7887788636</v>
      </c>
      <c r="U11" s="523"/>
      <c r="V11" s="523"/>
      <c r="W11" s="523"/>
      <c r="X11" s="523"/>
    </row>
    <row r="12" spans="1:24">
      <c r="A12" s="186" t="s">
        <v>141</v>
      </c>
      <c r="B12" s="223">
        <f t="shared" si="0"/>
        <v>152348.24400000001</v>
      </c>
      <c r="C12" s="223">
        <f t="shared" si="1"/>
        <v>0</v>
      </c>
      <c r="D12" s="223">
        <f t="shared" si="2"/>
        <v>-15234.824400000001</v>
      </c>
      <c r="E12" s="223">
        <f>SUM(B12:D12)</f>
        <v>137113.41959999999</v>
      </c>
      <c r="F12" s="223">
        <f t="shared" si="3"/>
        <v>133000</v>
      </c>
      <c r="G12" s="523"/>
      <c r="H12" s="993">
        <v>121860</v>
      </c>
      <c r="I12" s="990">
        <v>127335</v>
      </c>
      <c r="J12" s="990">
        <v>118390.8</v>
      </c>
      <c r="K12" s="1153">
        <v>143616</v>
      </c>
      <c r="L12" s="1153">
        <v>147924.48000000001</v>
      </c>
      <c r="M12" s="994">
        <v>152348.24400000001</v>
      </c>
      <c r="N12" s="993"/>
      <c r="O12" s="990"/>
      <c r="P12" s="990"/>
      <c r="Q12" s="1153"/>
      <c r="R12" s="1153"/>
      <c r="S12" s="994"/>
      <c r="U12" s="523"/>
      <c r="V12" s="523"/>
      <c r="W12" s="523"/>
      <c r="X12" s="523"/>
    </row>
    <row r="13" spans="1:24">
      <c r="A13" s="179" t="s">
        <v>142</v>
      </c>
      <c r="B13" s="227">
        <f t="shared" si="0"/>
        <v>0</v>
      </c>
      <c r="C13" s="227">
        <f t="shared" si="1"/>
        <v>143348.6955</v>
      </c>
      <c r="D13" s="227">
        <f t="shared" si="2"/>
        <v>-14334.869550000001</v>
      </c>
      <c r="E13" s="227">
        <f>SUM(B13:D13)</f>
        <v>129013.82595</v>
      </c>
      <c r="F13" s="227">
        <f t="shared" si="3"/>
        <v>125000</v>
      </c>
      <c r="G13" s="523"/>
      <c r="H13" s="991"/>
      <c r="I13" s="541"/>
      <c r="J13" s="541"/>
      <c r="K13" s="611"/>
      <c r="L13" s="611"/>
      <c r="M13" s="992"/>
      <c r="N13" s="991">
        <v>232657</v>
      </c>
      <c r="O13" s="541">
        <v>197771.5</v>
      </c>
      <c r="P13" s="541">
        <v>178511.5</v>
      </c>
      <c r="Q13" s="611">
        <v>164814.5</v>
      </c>
      <c r="R13" s="611">
        <v>161065.95000000001</v>
      </c>
      <c r="S13" s="992">
        <v>143348.6955</v>
      </c>
      <c r="U13" s="523"/>
      <c r="V13" s="523"/>
      <c r="W13" s="523"/>
      <c r="X13" s="523"/>
    </row>
    <row r="14" spans="1:24">
      <c r="A14" s="179" t="s">
        <v>143</v>
      </c>
      <c r="B14" s="227">
        <f t="shared" si="0"/>
        <v>0</v>
      </c>
      <c r="C14" s="227">
        <f t="shared" si="1"/>
        <v>0</v>
      </c>
      <c r="D14" s="224">
        <f t="shared" si="2"/>
        <v>0</v>
      </c>
      <c r="E14" s="227">
        <f t="shared" ref="E14:E15" si="4">SUM(B14:D14)</f>
        <v>0</v>
      </c>
      <c r="F14" s="227">
        <f t="shared" si="3"/>
        <v>0</v>
      </c>
      <c r="G14" s="523"/>
      <c r="H14" s="575"/>
      <c r="I14" s="533"/>
      <c r="J14" s="533"/>
      <c r="K14" s="611"/>
      <c r="L14" s="611"/>
      <c r="M14" s="992"/>
      <c r="N14" s="575"/>
      <c r="O14" s="533"/>
      <c r="P14" s="533"/>
      <c r="Q14" s="611"/>
      <c r="R14" s="611"/>
      <c r="S14" s="992"/>
      <c r="U14" s="523"/>
      <c r="V14" s="523"/>
      <c r="W14" s="523"/>
      <c r="X14" s="523"/>
    </row>
    <row r="15" spans="1:24">
      <c r="A15" s="186" t="s">
        <v>144</v>
      </c>
      <c r="B15" s="223">
        <f t="shared" si="0"/>
        <v>173778.33333333337</v>
      </c>
      <c r="C15" s="223">
        <f t="shared" si="1"/>
        <v>0</v>
      </c>
      <c r="D15" s="223">
        <f>-0.1*B15-0.1*C15</f>
        <v>-17377.833333333339</v>
      </c>
      <c r="E15" s="223">
        <f t="shared" si="4"/>
        <v>156400.50000000003</v>
      </c>
      <c r="F15" s="223">
        <f t="shared" si="3"/>
        <v>152000</v>
      </c>
      <c r="G15" s="523"/>
      <c r="H15" s="993"/>
      <c r="I15" s="990">
        <v>137790</v>
      </c>
      <c r="J15" s="990">
        <v>125250</v>
      </c>
      <c r="K15" s="1153">
        <v>159700</v>
      </c>
      <c r="L15" s="1153">
        <v>162823.33333333334</v>
      </c>
      <c r="M15" s="994">
        <v>173778.33333333337</v>
      </c>
      <c r="N15" s="993"/>
      <c r="O15" s="990"/>
      <c r="P15" s="990"/>
      <c r="Q15" s="1153"/>
      <c r="R15" s="1153"/>
      <c r="S15" s="994"/>
      <c r="U15" s="523"/>
      <c r="V15" s="523"/>
      <c r="W15" s="523"/>
      <c r="X15" s="523"/>
    </row>
    <row r="16" spans="1:24">
      <c r="A16" s="179" t="s">
        <v>145</v>
      </c>
      <c r="B16" s="224">
        <f t="shared" si="0"/>
        <v>0</v>
      </c>
      <c r="C16" s="224">
        <f t="shared" si="1"/>
        <v>0</v>
      </c>
      <c r="D16" s="224">
        <f t="shared" ref="D16:D19" si="5">-0.1*B16-0.1*C16</f>
        <v>0</v>
      </c>
      <c r="E16" s="38"/>
      <c r="F16" s="224">
        <f t="shared" si="3"/>
        <v>0</v>
      </c>
      <c r="G16" s="523"/>
      <c r="H16" s="575"/>
      <c r="I16" s="533"/>
      <c r="J16" s="533"/>
      <c r="K16" s="611"/>
      <c r="L16" s="611"/>
      <c r="M16" s="992"/>
      <c r="N16" s="575"/>
      <c r="O16" s="533"/>
      <c r="P16" s="533"/>
      <c r="Q16" s="611"/>
      <c r="R16" s="611"/>
      <c r="S16" s="992"/>
      <c r="U16" s="523"/>
      <c r="V16" s="523"/>
      <c r="W16" s="523"/>
      <c r="X16" s="523"/>
    </row>
    <row r="17" spans="1:24">
      <c r="A17" s="179" t="s">
        <v>146</v>
      </c>
      <c r="B17" s="224">
        <f t="shared" si="0"/>
        <v>0</v>
      </c>
      <c r="C17" s="224">
        <f t="shared" si="1"/>
        <v>9518840</v>
      </c>
      <c r="D17" s="224">
        <f t="shared" si="5"/>
        <v>-951884</v>
      </c>
      <c r="E17" s="224">
        <f>SUM(B17:D17)</f>
        <v>8566956</v>
      </c>
      <c r="F17" s="1035">
        <f>+E17</f>
        <v>8566956</v>
      </c>
      <c r="G17" s="224"/>
      <c r="H17" s="575"/>
      <c r="I17" s="533"/>
      <c r="J17" s="533"/>
      <c r="K17" s="611"/>
      <c r="L17" s="611"/>
      <c r="M17" s="992"/>
      <c r="N17" s="575">
        <v>4448894.5</v>
      </c>
      <c r="O17" s="533">
        <v>4348249</v>
      </c>
      <c r="P17" s="995">
        <v>4209107</v>
      </c>
      <c r="Q17" s="611">
        <v>4147816</v>
      </c>
      <c r="R17" s="611">
        <v>9048444</v>
      </c>
      <c r="S17" s="1086">
        <f>+'Vet Med &amp; Pharm'!B10+'Vet Med &amp; Pharm'!B11+'Vet Med &amp; Pharm'!B12</f>
        <v>9518840</v>
      </c>
      <c r="T17" s="1033"/>
      <c r="U17" s="523"/>
      <c r="V17" s="523"/>
      <c r="W17" s="523"/>
      <c r="X17" s="523"/>
    </row>
    <row r="18" spans="1:24">
      <c r="A18" s="186" t="s">
        <v>147</v>
      </c>
      <c r="B18" s="223">
        <f t="shared" si="0"/>
        <v>0</v>
      </c>
      <c r="C18" s="223">
        <f t="shared" si="1"/>
        <v>0</v>
      </c>
      <c r="D18" s="223">
        <f t="shared" si="5"/>
        <v>0</v>
      </c>
      <c r="E18" s="223"/>
      <c r="F18" s="223">
        <f t="shared" si="3"/>
        <v>0</v>
      </c>
      <c r="G18" s="523"/>
      <c r="H18" s="993"/>
      <c r="I18" s="990"/>
      <c r="J18" s="990"/>
      <c r="K18" s="1153"/>
      <c r="L18" s="1153"/>
      <c r="M18" s="994"/>
      <c r="N18" s="993"/>
      <c r="O18" s="990"/>
      <c r="P18" s="996"/>
      <c r="Q18" s="1153"/>
      <c r="R18" s="1153"/>
      <c r="S18" s="994"/>
      <c r="U18" s="523"/>
      <c r="V18" s="523"/>
      <c r="W18" s="523"/>
      <c r="X18" s="523"/>
    </row>
    <row r="19" spans="1:24">
      <c r="A19" s="179" t="s">
        <v>148</v>
      </c>
      <c r="B19" s="224">
        <f t="shared" si="0"/>
        <v>0</v>
      </c>
      <c r="C19" s="224">
        <f t="shared" si="1"/>
        <v>11954541</v>
      </c>
      <c r="D19" s="224">
        <f t="shared" si="5"/>
        <v>-1195454.1000000001</v>
      </c>
      <c r="E19" s="224">
        <f>SUM(B19:D19)</f>
        <v>10759086.9</v>
      </c>
      <c r="F19" s="1035">
        <f>+E19</f>
        <v>10759086.9</v>
      </c>
      <c r="G19" s="224"/>
      <c r="H19" s="575"/>
      <c r="I19" s="533"/>
      <c r="J19" s="533"/>
      <c r="K19" s="611"/>
      <c r="L19" s="611"/>
      <c r="M19" s="992"/>
      <c r="N19" s="575">
        <v>3380959</v>
      </c>
      <c r="O19" s="533">
        <v>3889596</v>
      </c>
      <c r="P19" s="995">
        <v>4235706.5</v>
      </c>
      <c r="Q19" s="611">
        <v>4364706.5</v>
      </c>
      <c r="R19" s="611">
        <v>11520520</v>
      </c>
      <c r="S19" s="1086">
        <f>+'Vet Med &amp; Pharm'!B31+'Vet Med &amp; Pharm'!B32</f>
        <v>11954541</v>
      </c>
      <c r="T19" s="1033"/>
      <c r="U19" s="523"/>
      <c r="V19" s="523"/>
      <c r="W19" s="523"/>
      <c r="X19" s="523"/>
    </row>
    <row r="20" spans="1:24">
      <c r="A20" s="179" t="s">
        <v>149</v>
      </c>
      <c r="B20" s="224">
        <f t="shared" si="0"/>
        <v>0</v>
      </c>
      <c r="C20" s="224">
        <f t="shared" si="1"/>
        <v>0</v>
      </c>
      <c r="D20" s="224">
        <f>-0.1*B20-0.1*C20</f>
        <v>0</v>
      </c>
      <c r="E20" s="224">
        <f>SUM(B20:D20)</f>
        <v>0</v>
      </c>
      <c r="F20" s="224">
        <f t="shared" si="3"/>
        <v>0</v>
      </c>
      <c r="G20" s="224"/>
      <c r="H20" s="575"/>
      <c r="I20" s="533"/>
      <c r="J20" s="533"/>
      <c r="K20" s="611"/>
      <c r="L20" s="611"/>
      <c r="M20" s="992"/>
      <c r="N20" s="575"/>
      <c r="O20" s="533"/>
      <c r="P20" s="541"/>
      <c r="Q20" s="611"/>
      <c r="R20" s="611"/>
      <c r="S20" s="992"/>
      <c r="U20" s="523"/>
      <c r="V20" s="523"/>
      <c r="W20" s="523"/>
      <c r="X20" s="523"/>
    </row>
    <row r="21" spans="1:24">
      <c r="A21" s="186" t="s">
        <v>801</v>
      </c>
      <c r="B21" s="223">
        <f t="shared" si="0"/>
        <v>2292074.4500000002</v>
      </c>
      <c r="C21" s="223">
        <f t="shared" si="1"/>
        <v>0</v>
      </c>
      <c r="D21" s="223">
        <f t="shared" si="2"/>
        <v>-229207.44500000004</v>
      </c>
      <c r="E21" s="223">
        <f>SUM(B21:D21)</f>
        <v>2062867.0050000001</v>
      </c>
      <c r="F21" s="223">
        <f>ROUND(0.97*E21,-3)</f>
        <v>2001000</v>
      </c>
      <c r="G21" s="224"/>
      <c r="H21" s="997">
        <v>1902000</v>
      </c>
      <c r="I21" s="998">
        <v>2012500</v>
      </c>
      <c r="J21" s="999">
        <v>2100500</v>
      </c>
      <c r="K21" s="1153">
        <v>2160500</v>
      </c>
      <c r="L21" s="1153">
        <v>2225315</v>
      </c>
      <c r="M21" s="994">
        <v>2292074.4500000002</v>
      </c>
      <c r="N21" s="997"/>
      <c r="O21" s="990"/>
      <c r="P21" s="990"/>
      <c r="Q21" s="990"/>
      <c r="R21" s="990"/>
      <c r="S21" s="994"/>
      <c r="U21" s="523"/>
      <c r="V21" s="523"/>
      <c r="W21" s="523"/>
      <c r="X21" s="523"/>
    </row>
    <row r="22" spans="1:24">
      <c r="A22" s="179" t="s">
        <v>150</v>
      </c>
      <c r="B22" s="224">
        <f t="shared" si="0"/>
        <v>0</v>
      </c>
      <c r="C22" s="224">
        <f t="shared" si="1"/>
        <v>0</v>
      </c>
      <c r="D22" s="224">
        <f t="shared" si="2"/>
        <v>0</v>
      </c>
      <c r="E22" s="224">
        <f>SUM(B22:D22)</f>
        <v>0</v>
      </c>
      <c r="F22" s="224">
        <f t="shared" si="3"/>
        <v>0</v>
      </c>
      <c r="G22" s="523"/>
      <c r="H22" s="1000"/>
      <c r="I22" s="1001"/>
      <c r="J22" s="1001"/>
      <c r="K22" s="1002"/>
      <c r="L22" s="1002"/>
      <c r="M22" s="1002"/>
      <c r="N22" s="1000"/>
      <c r="O22" s="533"/>
      <c r="P22" s="533"/>
      <c r="Q22" s="533"/>
      <c r="R22" s="533"/>
      <c r="S22" s="1002"/>
      <c r="T22" s="523"/>
      <c r="U22" s="523"/>
      <c r="W22" s="523"/>
    </row>
    <row r="23" spans="1:24">
      <c r="A23" s="179" t="s">
        <v>175</v>
      </c>
      <c r="B23" s="224">
        <f t="shared" si="0"/>
        <v>0</v>
      </c>
      <c r="C23" s="224">
        <f t="shared" si="1"/>
        <v>0</v>
      </c>
      <c r="D23" s="224"/>
      <c r="E23" s="224"/>
      <c r="F23" s="224">
        <f t="shared" si="3"/>
        <v>0</v>
      </c>
      <c r="G23" s="523"/>
      <c r="H23" s="1000"/>
      <c r="I23" s="1001"/>
      <c r="J23" s="1001"/>
      <c r="K23" s="1002"/>
      <c r="L23" s="1002"/>
      <c r="M23" s="1002"/>
      <c r="N23" s="1000"/>
      <c r="O23" s="533"/>
      <c r="P23" s="533"/>
      <c r="Q23" s="533"/>
      <c r="R23" s="533"/>
      <c r="S23" s="1002"/>
      <c r="U23" s="523"/>
      <c r="W23" s="523"/>
    </row>
    <row r="24" spans="1:24">
      <c r="A24" s="196" t="s">
        <v>151</v>
      </c>
      <c r="B24" s="223">
        <f t="shared" si="0"/>
        <v>0</v>
      </c>
      <c r="C24" s="223">
        <f t="shared" si="1"/>
        <v>0</v>
      </c>
      <c r="D24" s="223"/>
      <c r="E24" s="223"/>
      <c r="F24" s="223">
        <f t="shared" si="3"/>
        <v>0</v>
      </c>
      <c r="G24" s="523"/>
      <c r="H24" s="997"/>
      <c r="I24" s="998"/>
      <c r="J24" s="998"/>
      <c r="K24" s="1003"/>
      <c r="L24" s="1003"/>
      <c r="M24" s="1003"/>
      <c r="N24" s="997"/>
      <c r="O24" s="990"/>
      <c r="P24" s="990"/>
      <c r="Q24" s="990"/>
      <c r="R24" s="990"/>
      <c r="S24" s="1003"/>
      <c r="U24" s="523"/>
      <c r="W24" s="523"/>
    </row>
    <row r="25" spans="1:24">
      <c r="A25" s="197" t="s">
        <v>152</v>
      </c>
      <c r="B25" s="224">
        <f t="shared" si="0"/>
        <v>0</v>
      </c>
      <c r="C25" s="224">
        <f t="shared" si="1"/>
        <v>0</v>
      </c>
      <c r="D25" s="224"/>
      <c r="E25" s="224"/>
      <c r="F25" s="224">
        <f t="shared" si="3"/>
        <v>0</v>
      </c>
      <c r="G25" s="523"/>
      <c r="H25" s="1000"/>
      <c r="I25" s="1001"/>
      <c r="J25" s="1001"/>
      <c r="K25" s="1002"/>
      <c r="L25" s="1002"/>
      <c r="M25" s="1002"/>
      <c r="N25" s="1000"/>
      <c r="O25" s="533"/>
      <c r="P25" s="533"/>
      <c r="Q25" s="533"/>
      <c r="R25" s="533"/>
      <c r="S25" s="1002"/>
      <c r="U25" s="523"/>
      <c r="W25" s="523"/>
    </row>
    <row r="26" spans="1:24">
      <c r="A26" s="179" t="s">
        <v>153</v>
      </c>
      <c r="B26" s="224">
        <f t="shared" si="0"/>
        <v>0</v>
      </c>
      <c r="C26" s="224">
        <f t="shared" si="1"/>
        <v>0</v>
      </c>
      <c r="D26" s="224"/>
      <c r="E26" s="224"/>
      <c r="F26" s="224">
        <f t="shared" si="3"/>
        <v>0</v>
      </c>
      <c r="G26" s="523"/>
      <c r="H26" s="1000"/>
      <c r="I26" s="1001"/>
      <c r="J26" s="1001"/>
      <c r="K26" s="1002"/>
      <c r="L26" s="1002"/>
      <c r="M26" s="1002"/>
      <c r="N26" s="1000"/>
      <c r="O26" s="533"/>
      <c r="P26" s="533"/>
      <c r="Q26" s="533"/>
      <c r="R26" s="533"/>
      <c r="S26" s="1002"/>
      <c r="U26" s="523"/>
      <c r="W26" s="523"/>
    </row>
    <row r="27" spans="1:24">
      <c r="A27" s="196" t="s">
        <v>154</v>
      </c>
      <c r="B27" s="223"/>
      <c r="C27" s="223"/>
      <c r="D27" s="223"/>
      <c r="E27" s="223"/>
      <c r="F27" s="223">
        <f t="shared" si="3"/>
        <v>0</v>
      </c>
      <c r="G27" s="523"/>
      <c r="H27" s="1004"/>
      <c r="I27" s="1005"/>
      <c r="J27" s="1005"/>
      <c r="K27" s="1006"/>
      <c r="L27" s="1006"/>
      <c r="M27" s="1006"/>
      <c r="N27" s="1004"/>
      <c r="O27" s="1007"/>
      <c r="P27" s="1007"/>
      <c r="Q27" s="1007"/>
      <c r="R27" s="1007"/>
      <c r="S27" s="1006"/>
      <c r="U27" s="523"/>
      <c r="W27" s="523"/>
    </row>
    <row r="28" spans="1:24">
      <c r="A28" s="210" t="s">
        <v>155</v>
      </c>
      <c r="B28" s="229">
        <f>SUM(B9:B27)</f>
        <v>15232060.877333336</v>
      </c>
      <c r="C28" s="229">
        <f>SUM(C9:C27)</f>
        <v>24448971.492428862</v>
      </c>
      <c r="D28" s="229">
        <f>SUM(D9:D27)</f>
        <v>-3968103.2369762193</v>
      </c>
      <c r="E28" s="229">
        <f>SUM(E9:E27)</f>
        <v>35712929.132785983</v>
      </c>
      <c r="F28" s="229">
        <f>SUM(F5:F27)</f>
        <v>36602442.899999999</v>
      </c>
      <c r="G28" s="523"/>
      <c r="H28" s="1008">
        <f>SUM(H9:H27)</f>
        <v>12998573</v>
      </c>
      <c r="I28" s="1009">
        <f>SUM(I9:I27)</f>
        <v>13699376</v>
      </c>
      <c r="J28" s="1009">
        <f>SUM(J9:J27)</f>
        <v>14015982</v>
      </c>
      <c r="K28" s="1154">
        <f>SUM(K9:K27)</f>
        <v>14495971.5</v>
      </c>
      <c r="L28" s="1154">
        <f t="shared" ref="L28:M28" si="6">SUM(L9:L27)</f>
        <v>14780405.513333334</v>
      </c>
      <c r="M28" s="1154">
        <f t="shared" si="6"/>
        <v>15232060.877333336</v>
      </c>
      <c r="N28" s="1010">
        <f t="shared" ref="N28:P28" si="7">SUM(N9:N27)</f>
        <v>10605135</v>
      </c>
      <c r="O28" s="1011">
        <f t="shared" si="7"/>
        <v>11120657</v>
      </c>
      <c r="P28" s="1011">
        <f t="shared" si="7"/>
        <v>11376144.5</v>
      </c>
      <c r="Q28" s="1011">
        <f t="shared" ref="Q28:S28" si="8">SUM(Q9:Q27)</f>
        <v>11431843.5</v>
      </c>
      <c r="R28" s="1011">
        <f t="shared" si="8"/>
        <v>23518332.165973581</v>
      </c>
      <c r="S28" s="1012">
        <f t="shared" si="8"/>
        <v>24448971.492428862</v>
      </c>
      <c r="U28" s="523"/>
      <c r="W28" s="523"/>
    </row>
    <row r="29" spans="1:24">
      <c r="H29" s="534"/>
      <c r="I29" s="534"/>
      <c r="J29" s="534"/>
      <c r="K29" s="534"/>
      <c r="L29" s="534"/>
      <c r="M29" s="534"/>
      <c r="N29" s="534"/>
      <c r="O29" s="534"/>
      <c r="P29" s="534"/>
    </row>
    <row r="30" spans="1:24">
      <c r="H30" s="545"/>
      <c r="I30" s="545"/>
      <c r="J30" s="545"/>
      <c r="K30" s="545"/>
      <c r="L30" s="545"/>
      <c r="M30" s="545"/>
      <c r="N30" s="534"/>
      <c r="O30" s="534"/>
      <c r="P30" s="534"/>
    </row>
    <row r="31" spans="1:24">
      <c r="A31" s="179" t="s">
        <v>374</v>
      </c>
      <c r="H31" s="480"/>
      <c r="I31" s="480"/>
      <c r="J31" s="480"/>
      <c r="K31" s="480"/>
      <c r="L31" s="480"/>
      <c r="M31" s="480"/>
      <c r="N31" s="480"/>
      <c r="O31" s="481"/>
    </row>
    <row r="32" spans="1:24">
      <c r="A32" s="179" t="s">
        <v>376</v>
      </c>
      <c r="H32" s="480"/>
      <c r="I32" s="480"/>
      <c r="J32" s="480"/>
      <c r="K32" s="480"/>
      <c r="L32" s="480"/>
      <c r="M32" s="480"/>
      <c r="N32" s="480"/>
      <c r="O32" s="481"/>
    </row>
    <row r="33" spans="1:18">
      <c r="A33" s="179" t="s">
        <v>375</v>
      </c>
      <c r="H33" s="480"/>
      <c r="I33" s="480"/>
      <c r="J33" s="480"/>
      <c r="K33" s="480"/>
      <c r="L33" s="480"/>
      <c r="M33" s="480"/>
      <c r="N33" s="218"/>
      <c r="O33" s="218"/>
      <c r="P33" s="218"/>
    </row>
    <row r="34" spans="1:18">
      <c r="A34" t="s">
        <v>733</v>
      </c>
      <c r="H34" s="480"/>
      <c r="I34" s="480"/>
      <c r="J34" s="480"/>
      <c r="K34" s="480"/>
      <c r="L34" s="480"/>
      <c r="M34" s="480"/>
      <c r="N34" s="480"/>
      <c r="O34" s="481"/>
    </row>
    <row r="35" spans="1:18" s="1033" customFormat="1">
      <c r="H35" s="480"/>
      <c r="I35" s="480"/>
      <c r="J35" s="480"/>
      <c r="K35" s="480"/>
      <c r="L35" s="480"/>
      <c r="M35" s="480"/>
      <c r="N35" s="480"/>
      <c r="O35" s="481"/>
      <c r="R35" s="1161"/>
    </row>
    <row r="36" spans="1:18" s="1033" customFormat="1">
      <c r="H36" s="480"/>
      <c r="I36" s="480"/>
      <c r="J36" s="480"/>
      <c r="K36" s="480"/>
      <c r="L36" s="480"/>
      <c r="M36" s="480"/>
      <c r="N36" s="480"/>
      <c r="O36" s="481"/>
      <c r="R36" s="1161"/>
    </row>
    <row r="37" spans="1:18">
      <c r="A37" s="492" t="s">
        <v>731</v>
      </c>
      <c r="H37" s="480"/>
      <c r="I37" s="480"/>
      <c r="J37" s="480"/>
      <c r="K37" s="480"/>
      <c r="L37" s="480"/>
      <c r="M37" s="480"/>
      <c r="N37" s="480"/>
      <c r="O37" s="481"/>
    </row>
    <row r="38" spans="1:18">
      <c r="A38" s="492" t="s">
        <v>377</v>
      </c>
      <c r="C38" s="1036"/>
      <c r="D38" s="80"/>
      <c r="H38" s="480"/>
      <c r="I38" s="480"/>
      <c r="J38" s="480"/>
      <c r="K38" s="480"/>
      <c r="L38" s="480"/>
      <c r="M38" s="480"/>
      <c r="N38" s="480"/>
      <c r="O38" s="481"/>
    </row>
    <row r="39" spans="1:18">
      <c r="A39" s="1033" t="s">
        <v>732</v>
      </c>
      <c r="C39" s="1036"/>
      <c r="D39" s="80"/>
      <c r="H39" s="480"/>
      <c r="I39" s="480"/>
      <c r="J39" s="480"/>
      <c r="K39" s="480"/>
      <c r="L39" s="480"/>
      <c r="M39" s="480"/>
      <c r="N39" s="480"/>
      <c r="O39" s="481"/>
    </row>
    <row r="40" spans="1:18">
      <c r="H40" s="480"/>
      <c r="I40" s="480"/>
      <c r="J40" s="480"/>
      <c r="K40" s="480"/>
      <c r="L40" s="480"/>
      <c r="M40" s="480"/>
      <c r="N40" s="480"/>
      <c r="O40" s="481"/>
    </row>
    <row r="41" spans="1:18">
      <c r="H41" s="480"/>
      <c r="I41" s="480"/>
      <c r="J41" s="480"/>
      <c r="K41" s="480"/>
      <c r="L41" s="480"/>
      <c r="M41" s="480"/>
      <c r="N41" s="480"/>
      <c r="O41" s="481"/>
    </row>
    <row r="42" spans="1:18">
      <c r="H42" s="480"/>
      <c r="I42" s="480"/>
      <c r="J42" s="480"/>
      <c r="K42" s="480"/>
      <c r="L42" s="480"/>
      <c r="M42" s="480"/>
      <c r="N42" s="480"/>
      <c r="O42" s="481"/>
    </row>
    <row r="43" spans="1:18">
      <c r="H43" s="480"/>
      <c r="I43" s="480"/>
      <c r="J43" s="480"/>
      <c r="K43" s="480"/>
      <c r="L43" s="480"/>
      <c r="M43" s="480"/>
      <c r="N43" s="480"/>
      <c r="O43" s="481"/>
    </row>
    <row r="44" spans="1:18">
      <c r="H44" s="480"/>
      <c r="I44" s="480"/>
      <c r="J44" s="480"/>
      <c r="K44" s="480"/>
      <c r="L44" s="480"/>
      <c r="M44" s="480"/>
      <c r="N44" s="480"/>
      <c r="O44" s="481"/>
    </row>
    <row r="45" spans="1:18">
      <c r="H45" s="480"/>
      <c r="I45" s="480"/>
      <c r="J45" s="480"/>
      <c r="K45" s="480"/>
      <c r="L45" s="480"/>
      <c r="M45" s="480"/>
      <c r="N45" s="480"/>
      <c r="O45" s="481"/>
    </row>
    <row r="46" spans="1:18">
      <c r="H46" s="480"/>
      <c r="I46" s="480"/>
      <c r="J46" s="480"/>
      <c r="K46" s="480"/>
      <c r="L46" s="480"/>
      <c r="M46" s="480"/>
    </row>
    <row r="47" spans="1:18">
      <c r="H47" s="480"/>
      <c r="I47" s="480"/>
      <c r="J47" s="480"/>
      <c r="K47" s="480"/>
      <c r="L47" s="480"/>
      <c r="M47" s="480"/>
    </row>
    <row r="48" spans="1:18">
      <c r="H48" s="480"/>
      <c r="I48" s="480"/>
      <c r="J48" s="480"/>
      <c r="K48" s="480"/>
      <c r="L48" s="480"/>
      <c r="M48" s="480"/>
    </row>
    <row r="49" spans="8:13">
      <c r="H49" s="480"/>
      <c r="I49" s="480"/>
      <c r="J49" s="480"/>
      <c r="K49" s="480"/>
      <c r="L49" s="480"/>
      <c r="M49" s="480"/>
    </row>
  </sheetData>
  <mergeCells count="4">
    <mergeCell ref="A1:B1"/>
    <mergeCell ref="H7:M7"/>
    <mergeCell ref="N7:S7"/>
    <mergeCell ref="H6:S6"/>
  </mergeCells>
  <pageMargins left="0.7" right="0.7" top="0.75" bottom="0.75" header="0.3" footer="0.3"/>
  <pageSetup orientation="portrait" horizontalDpi="1200" verticalDpi="1200"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S61"/>
  <sheetViews>
    <sheetView workbookViewId="0"/>
  </sheetViews>
  <sheetFormatPr defaultColWidth="12.42578125" defaultRowHeight="15"/>
  <cols>
    <col min="1" max="1" width="28.42578125" customWidth="1"/>
    <col min="2" max="2" width="13.140625" customWidth="1"/>
    <col min="5" max="5" width="25.7109375" customWidth="1"/>
    <col min="6" max="6" width="16.42578125" customWidth="1"/>
    <col min="7" max="7" width="14.7109375" customWidth="1"/>
    <col min="8" max="8" width="15.42578125" customWidth="1"/>
    <col min="9" max="9" width="16" customWidth="1"/>
    <col min="10" max="10" width="16" style="521" customWidth="1"/>
    <col min="11" max="11" width="16" style="984" customWidth="1"/>
    <col min="12" max="12" width="16" style="1161" customWidth="1"/>
    <col min="13" max="13" width="16" style="627" customWidth="1"/>
    <col min="14" max="14" width="14.7109375" style="627" customWidth="1"/>
    <col min="15" max="16" width="2" style="1161" customWidth="1"/>
    <col min="17" max="17" width="15" bestFit="1" customWidth="1"/>
    <col min="18" max="19" width="14.28515625" bestFit="1" customWidth="1"/>
  </cols>
  <sheetData>
    <row r="1" spans="1:19" ht="15.75">
      <c r="A1" s="259" t="s">
        <v>381</v>
      </c>
    </row>
    <row r="2" spans="1:19">
      <c r="A2" t="s">
        <v>382</v>
      </c>
      <c r="I2" s="532"/>
      <c r="J2" s="532"/>
      <c r="K2" s="532"/>
      <c r="L2" s="532"/>
      <c r="M2" s="532"/>
      <c r="N2" s="532"/>
      <c r="O2" s="532"/>
      <c r="P2" s="532"/>
    </row>
    <row r="3" spans="1:19">
      <c r="A3" t="s">
        <v>383</v>
      </c>
    </row>
    <row r="4" spans="1:19">
      <c r="E4" s="80"/>
      <c r="F4" s="80"/>
      <c r="G4" s="80"/>
      <c r="H4" s="80"/>
      <c r="I4" s="80"/>
      <c r="J4" s="80"/>
      <c r="K4" s="80"/>
      <c r="L4" s="80"/>
      <c r="M4" s="80"/>
      <c r="N4" s="80"/>
      <c r="O4" s="80"/>
      <c r="P4" s="80"/>
    </row>
    <row r="5" spans="1:19" ht="15.75">
      <c r="A5" s="635" t="s">
        <v>385</v>
      </c>
      <c r="B5" s="636"/>
      <c r="E5" s="80" t="s">
        <v>384</v>
      </c>
      <c r="F5" s="49"/>
      <c r="G5" s="49"/>
      <c r="H5" s="49"/>
      <c r="I5" s="630"/>
      <c r="J5" s="630"/>
      <c r="K5" s="630"/>
      <c r="L5" s="630"/>
      <c r="M5" s="630"/>
      <c r="N5" s="630"/>
      <c r="O5" s="630"/>
      <c r="P5" s="630"/>
      <c r="Q5" s="80"/>
      <c r="R5" s="80"/>
    </row>
    <row r="6" spans="1:19" ht="25.5">
      <c r="A6" s="372"/>
      <c r="B6" s="373" t="s">
        <v>601</v>
      </c>
      <c r="E6" s="374" t="s">
        <v>386</v>
      </c>
      <c r="F6" s="631" t="s">
        <v>558</v>
      </c>
      <c r="G6" s="632" t="s">
        <v>387</v>
      </c>
      <c r="H6" s="632" t="s">
        <v>553</v>
      </c>
      <c r="I6" s="632" t="s">
        <v>596</v>
      </c>
      <c r="J6" s="632" t="s">
        <v>681</v>
      </c>
      <c r="K6" s="632" t="s">
        <v>800</v>
      </c>
      <c r="L6" s="632" t="s">
        <v>821</v>
      </c>
      <c r="M6" s="633" t="s">
        <v>822</v>
      </c>
      <c r="N6" s="633"/>
      <c r="O6" s="633"/>
      <c r="P6" s="633"/>
      <c r="Q6" s="80"/>
      <c r="R6" s="80"/>
    </row>
    <row r="7" spans="1:19">
      <c r="A7" s="375" t="s">
        <v>211</v>
      </c>
      <c r="B7" s="377">
        <f>M8</f>
        <v>12244000</v>
      </c>
      <c r="E7" s="378" t="s">
        <v>561</v>
      </c>
      <c r="F7" s="49"/>
      <c r="G7" s="49"/>
      <c r="H7" s="49"/>
      <c r="I7" s="125"/>
      <c r="J7" s="125"/>
      <c r="K7" s="125"/>
      <c r="L7" s="125"/>
      <c r="M7" s="125"/>
      <c r="N7" s="125"/>
      <c r="O7" s="125"/>
      <c r="P7" s="125"/>
      <c r="Q7" s="80"/>
      <c r="R7" s="80"/>
    </row>
    <row r="8" spans="1:19">
      <c r="A8" s="375" t="s">
        <v>212</v>
      </c>
      <c r="B8" s="377">
        <f>+M9</f>
        <v>13744000</v>
      </c>
      <c r="E8" s="1022" t="s">
        <v>211</v>
      </c>
      <c r="F8" s="380">
        <v>5937897</v>
      </c>
      <c r="G8" s="381">
        <v>6872121</v>
      </c>
      <c r="H8" s="381">
        <v>7842314</v>
      </c>
      <c r="I8" s="380">
        <v>8973405</v>
      </c>
      <c r="J8" s="380">
        <v>10748032</v>
      </c>
      <c r="K8" s="380">
        <v>10929593</v>
      </c>
      <c r="L8" s="380">
        <v>11114220.775681278</v>
      </c>
      <c r="M8" s="380">
        <v>12244000</v>
      </c>
      <c r="N8" s="380"/>
      <c r="O8" s="380"/>
      <c r="P8" s="380"/>
      <c r="Q8" s="866"/>
      <c r="R8" s="228"/>
      <c r="S8" s="141"/>
    </row>
    <row r="9" spans="1:19">
      <c r="A9" s="375" t="s">
        <v>213</v>
      </c>
      <c r="B9" s="377">
        <f>+M11</f>
        <v>4256000</v>
      </c>
      <c r="E9" s="1023" t="s">
        <v>212</v>
      </c>
      <c r="F9" s="380">
        <v>3085635</v>
      </c>
      <c r="G9" s="381">
        <v>4228605</v>
      </c>
      <c r="H9" s="381">
        <f>4558291+1483738</f>
        <v>6042029</v>
      </c>
      <c r="I9" s="380">
        <f>5636899+1514961</f>
        <v>7151860</v>
      </c>
      <c r="J9" s="380">
        <f>7288955+2348953</f>
        <v>9637908</v>
      </c>
      <c r="K9" s="380">
        <v>10757076</v>
      </c>
      <c r="L9" s="380">
        <v>12281368.286956541</v>
      </c>
      <c r="M9" s="380">
        <v>13744000</v>
      </c>
      <c r="N9" s="380"/>
      <c r="O9" s="380"/>
      <c r="P9" s="380"/>
      <c r="Q9" s="866"/>
      <c r="R9" s="228"/>
      <c r="S9" s="141"/>
    </row>
    <row r="10" spans="1:19">
      <c r="A10" s="383" t="s">
        <v>214</v>
      </c>
      <c r="B10" s="377">
        <f>+M13</f>
        <v>2381000</v>
      </c>
      <c r="E10" s="1023" t="s">
        <v>388</v>
      </c>
      <c r="F10" s="380">
        <v>1306248</v>
      </c>
      <c r="G10" s="381">
        <v>1800635</v>
      </c>
      <c r="H10" s="381">
        <v>1857658</v>
      </c>
      <c r="I10" s="380">
        <v>1976855</v>
      </c>
      <c r="J10" s="380">
        <v>2929175</v>
      </c>
      <c r="K10" s="380">
        <v>2927319</v>
      </c>
      <c r="L10" s="380">
        <v>2925464.1362116016</v>
      </c>
      <c r="M10" s="380">
        <v>3386000</v>
      </c>
      <c r="N10" s="380"/>
      <c r="O10" s="380"/>
      <c r="P10" s="380"/>
      <c r="Q10" s="866"/>
      <c r="R10" s="228"/>
      <c r="S10" s="141"/>
    </row>
    <row r="11" spans="1:19">
      <c r="A11" s="375" t="s">
        <v>215</v>
      </c>
      <c r="B11" s="377">
        <f>+M15</f>
        <v>108000</v>
      </c>
      <c r="E11" s="1023" t="s">
        <v>213</v>
      </c>
      <c r="F11" s="380">
        <v>1776225</v>
      </c>
      <c r="G11" s="381">
        <v>2097263</v>
      </c>
      <c r="H11" s="381">
        <f>2320690+110455</f>
        <v>2431145</v>
      </c>
      <c r="I11" s="380">
        <f>3002736+121339</f>
        <v>3124075</v>
      </c>
      <c r="J11" s="380">
        <f>3315696+137457</f>
        <v>3453153</v>
      </c>
      <c r="K11" s="380">
        <v>3649056</v>
      </c>
      <c r="L11" s="380">
        <v>3880111.7125409134</v>
      </c>
      <c r="M11" s="380">
        <v>4256000</v>
      </c>
      <c r="N11" s="380"/>
      <c r="O11" s="380"/>
      <c r="P11" s="380"/>
      <c r="Q11" s="866"/>
      <c r="R11" s="228"/>
      <c r="S11" s="141"/>
    </row>
    <row r="12" spans="1:19">
      <c r="A12" s="375" t="s">
        <v>216</v>
      </c>
      <c r="B12" s="377">
        <f>+M17</f>
        <v>14678000</v>
      </c>
      <c r="E12" s="1023" t="s">
        <v>219</v>
      </c>
      <c r="F12" s="380">
        <v>11795739</v>
      </c>
      <c r="G12" s="381">
        <v>14620783</v>
      </c>
      <c r="H12" s="381">
        <f>7733423+6890331</f>
        <v>14623754</v>
      </c>
      <c r="I12" s="380">
        <f>9290529+7576117</f>
        <v>16866646</v>
      </c>
      <c r="J12" s="380">
        <f>11600669+9456907</f>
        <v>21057576</v>
      </c>
      <c r="K12" s="380">
        <v>23399455</v>
      </c>
      <c r="L12" s="380">
        <v>25241126.819993775</v>
      </c>
      <c r="M12" s="380">
        <v>28046000</v>
      </c>
      <c r="N12" s="380"/>
      <c r="O12" s="380"/>
      <c r="P12" s="380"/>
      <c r="Q12" s="866"/>
      <c r="R12" s="228"/>
      <c r="S12" s="141"/>
    </row>
    <row r="13" spans="1:19">
      <c r="A13" s="375" t="s">
        <v>131</v>
      </c>
      <c r="B13" s="377">
        <f>+M19</f>
        <v>636000</v>
      </c>
      <c r="E13" s="1023" t="s">
        <v>389</v>
      </c>
      <c r="F13" s="380">
        <v>1317598</v>
      </c>
      <c r="G13" s="381">
        <v>1451243</v>
      </c>
      <c r="H13" s="381">
        <v>1432867</v>
      </c>
      <c r="I13" s="380">
        <v>1691373</v>
      </c>
      <c r="J13" s="380">
        <v>1860432</v>
      </c>
      <c r="K13" s="380">
        <v>2033724</v>
      </c>
      <c r="L13" s="380">
        <v>2223156.0272463961</v>
      </c>
      <c r="M13" s="380">
        <v>2381000</v>
      </c>
      <c r="N13" s="380"/>
      <c r="O13" s="380"/>
      <c r="P13" s="380"/>
      <c r="Q13" s="866"/>
      <c r="R13" s="228"/>
      <c r="S13" s="141"/>
    </row>
    <row r="14" spans="1:19">
      <c r="A14" s="383" t="s">
        <v>217</v>
      </c>
      <c r="B14" s="377">
        <f>+M14</f>
        <v>21871000</v>
      </c>
      <c r="E14" s="1023" t="s">
        <v>217</v>
      </c>
      <c r="F14" s="380">
        <v>11377603</v>
      </c>
      <c r="G14" s="381">
        <v>12649629</v>
      </c>
      <c r="H14" s="381">
        <v>14244632</v>
      </c>
      <c r="I14" s="380">
        <v>15887979</v>
      </c>
      <c r="J14" s="380">
        <v>19007069</v>
      </c>
      <c r="K14" s="380">
        <v>19504045</v>
      </c>
      <c r="L14" s="380">
        <v>20014015.095146626</v>
      </c>
      <c r="M14" s="380">
        <v>21871000</v>
      </c>
      <c r="N14" s="380"/>
      <c r="O14" s="380"/>
      <c r="P14" s="380"/>
      <c r="Q14" s="866"/>
      <c r="R14" s="228"/>
      <c r="S14" s="141"/>
    </row>
    <row r="15" spans="1:19">
      <c r="A15" s="375" t="s">
        <v>218</v>
      </c>
      <c r="B15" s="377">
        <f>M18</f>
        <v>0</v>
      </c>
      <c r="E15" s="1023" t="s">
        <v>215</v>
      </c>
      <c r="F15" s="380">
        <v>22464</v>
      </c>
      <c r="G15" s="381">
        <v>38304</v>
      </c>
      <c r="H15" s="381">
        <v>47060</v>
      </c>
      <c r="I15" s="380">
        <v>45158</v>
      </c>
      <c r="J15" s="380">
        <v>57549</v>
      </c>
      <c r="K15" s="380">
        <v>77210</v>
      </c>
      <c r="L15" s="380">
        <v>103587.22027135194</v>
      </c>
      <c r="M15" s="380">
        <v>108000</v>
      </c>
      <c r="N15" s="380"/>
      <c r="O15" s="380"/>
      <c r="P15" s="380"/>
      <c r="Q15" s="866"/>
      <c r="R15" s="228"/>
      <c r="S15" s="141"/>
    </row>
    <row r="16" spans="1:19">
      <c r="A16" s="375" t="s">
        <v>219</v>
      </c>
      <c r="B16" s="377">
        <f>M12</f>
        <v>28046000</v>
      </c>
      <c r="E16" s="1023" t="s">
        <v>390</v>
      </c>
      <c r="F16" s="380">
        <v>2855981</v>
      </c>
      <c r="G16" s="381">
        <v>3630210</v>
      </c>
      <c r="H16" s="381">
        <v>4098251</v>
      </c>
      <c r="I16" s="380">
        <f>4757322+44893</f>
        <v>4802215</v>
      </c>
      <c r="J16" s="380">
        <f>5360332+60391</f>
        <v>5420723</v>
      </c>
      <c r="K16" s="380">
        <v>5606131</v>
      </c>
      <c r="L16" s="380">
        <v>5801801.5967326351</v>
      </c>
      <c r="M16" s="380">
        <v>6292000</v>
      </c>
      <c r="N16" s="380"/>
      <c r="O16" s="380"/>
      <c r="P16" s="380"/>
      <c r="Q16" s="866"/>
      <c r="R16" s="228"/>
      <c r="S16" s="141"/>
    </row>
    <row r="17" spans="1:19">
      <c r="A17" s="375" t="s">
        <v>220</v>
      </c>
      <c r="B17" s="377">
        <f>M16</f>
        <v>6292000</v>
      </c>
      <c r="E17" s="1023" t="s">
        <v>216</v>
      </c>
      <c r="F17" s="380">
        <v>4448154</v>
      </c>
      <c r="G17" s="381">
        <v>5082202</v>
      </c>
      <c r="H17" s="381">
        <v>5932434</v>
      </c>
      <c r="I17" s="380">
        <v>7398982</v>
      </c>
      <c r="J17" s="380">
        <v>10236617</v>
      </c>
      <c r="K17" s="380">
        <v>11470134</v>
      </c>
      <c r="L17" s="380">
        <v>12852291.269997409</v>
      </c>
      <c r="M17" s="380">
        <v>14678000</v>
      </c>
      <c r="N17" s="380"/>
      <c r="O17" s="380"/>
      <c r="P17" s="380"/>
      <c r="Q17" s="866"/>
      <c r="R17" s="228"/>
      <c r="S17" s="141"/>
    </row>
    <row r="18" spans="1:19">
      <c r="A18" s="383" t="s">
        <v>221</v>
      </c>
      <c r="B18" s="377">
        <f>M10</f>
        <v>3386000</v>
      </c>
      <c r="E18" s="1023" t="s">
        <v>218</v>
      </c>
      <c r="F18" s="380">
        <v>0</v>
      </c>
      <c r="G18" s="381">
        <v>0</v>
      </c>
      <c r="H18" s="381">
        <v>2786</v>
      </c>
      <c r="I18" s="380">
        <v>0</v>
      </c>
      <c r="J18" s="380">
        <v>0</v>
      </c>
      <c r="K18" s="380">
        <v>0</v>
      </c>
      <c r="L18" s="380">
        <v>0</v>
      </c>
      <c r="M18" s="380">
        <v>0</v>
      </c>
      <c r="N18" s="380"/>
      <c r="O18" s="380"/>
      <c r="P18" s="380"/>
      <c r="Q18" s="228"/>
      <c r="R18" s="228"/>
      <c r="S18" s="141"/>
    </row>
    <row r="19" spans="1:19">
      <c r="A19" s="375" t="s">
        <v>222</v>
      </c>
      <c r="B19" s="377"/>
      <c r="E19" s="1024" t="s">
        <v>391</v>
      </c>
      <c r="F19" s="380">
        <v>152748</v>
      </c>
      <c r="G19" s="385">
        <v>246927</v>
      </c>
      <c r="H19" s="385">
        <v>293815</v>
      </c>
      <c r="I19" s="380">
        <v>313493</v>
      </c>
      <c r="J19" s="380">
        <v>395439</v>
      </c>
      <c r="K19" s="380">
        <v>484772</v>
      </c>
      <c r="L19" s="380">
        <v>594287.07348263974</v>
      </c>
      <c r="M19" s="380">
        <v>636000</v>
      </c>
      <c r="N19" s="380"/>
      <c r="O19" s="380"/>
      <c r="P19" s="380"/>
      <c r="Q19" s="228"/>
      <c r="R19" s="228"/>
      <c r="S19" s="141"/>
    </row>
    <row r="20" spans="1:19">
      <c r="A20" s="375" t="s">
        <v>223</v>
      </c>
      <c r="B20" s="377"/>
      <c r="E20" s="1025" t="s">
        <v>392</v>
      </c>
      <c r="F20" s="380">
        <v>0</v>
      </c>
      <c r="G20" s="385">
        <v>0</v>
      </c>
      <c r="H20" s="385">
        <v>0</v>
      </c>
      <c r="I20" s="380">
        <v>0</v>
      </c>
      <c r="J20" s="380">
        <v>0</v>
      </c>
      <c r="K20" s="380">
        <v>0</v>
      </c>
      <c r="L20" s="380">
        <v>0</v>
      </c>
      <c r="M20" s="380">
        <v>0</v>
      </c>
      <c r="N20" s="380"/>
      <c r="O20" s="380"/>
      <c r="P20" s="380"/>
      <c r="Q20" s="228"/>
      <c r="R20" s="228"/>
      <c r="S20" s="141"/>
    </row>
    <row r="21" spans="1:19">
      <c r="A21" s="383" t="s">
        <v>224</v>
      </c>
      <c r="B21" s="377">
        <f>M25</f>
        <v>63000</v>
      </c>
      <c r="E21" s="1026" t="s">
        <v>393</v>
      </c>
      <c r="F21" s="380">
        <v>0</v>
      </c>
      <c r="G21" s="385">
        <v>0</v>
      </c>
      <c r="H21" s="385">
        <v>0</v>
      </c>
      <c r="I21" s="380">
        <v>0</v>
      </c>
      <c r="J21" s="380">
        <v>0</v>
      </c>
      <c r="K21" s="380">
        <v>0</v>
      </c>
      <c r="L21" s="380">
        <v>0</v>
      </c>
      <c r="M21" s="380">
        <v>0</v>
      </c>
      <c r="N21" s="380"/>
      <c r="O21" s="380"/>
      <c r="P21" s="380"/>
      <c r="Q21" s="228"/>
      <c r="R21" s="228"/>
      <c r="S21" s="141"/>
    </row>
    <row r="22" spans="1:19">
      <c r="A22" s="375" t="s">
        <v>225</v>
      </c>
      <c r="B22" s="935">
        <f>+M23</f>
        <v>0</v>
      </c>
      <c r="E22" s="1023" t="s">
        <v>394</v>
      </c>
      <c r="F22" s="380">
        <v>0</v>
      </c>
      <c r="G22" s="385">
        <v>0</v>
      </c>
      <c r="H22" s="385">
        <v>0</v>
      </c>
      <c r="I22" s="380">
        <v>0</v>
      </c>
      <c r="J22" s="380">
        <v>0</v>
      </c>
      <c r="K22" s="380">
        <v>0</v>
      </c>
      <c r="L22" s="380">
        <v>0</v>
      </c>
      <c r="M22" s="380">
        <v>0</v>
      </c>
      <c r="N22" s="380"/>
      <c r="O22" s="380"/>
      <c r="P22" s="380"/>
      <c r="Q22" s="228"/>
      <c r="R22" s="228"/>
      <c r="S22" s="141"/>
    </row>
    <row r="23" spans="1:19">
      <c r="A23" s="386" t="s">
        <v>226</v>
      </c>
      <c r="B23" s="935">
        <f>+M24</f>
        <v>0</v>
      </c>
      <c r="E23" s="1023" t="s">
        <v>225</v>
      </c>
      <c r="F23" s="380">
        <v>62496</v>
      </c>
      <c r="G23" s="385">
        <v>68590</v>
      </c>
      <c r="H23" s="385">
        <v>77399</v>
      </c>
      <c r="I23" s="380">
        <v>52577</v>
      </c>
      <c r="J23" s="380">
        <v>33264</v>
      </c>
      <c r="K23" s="380">
        <v>83628</v>
      </c>
      <c r="L23" s="1027">
        <v>0</v>
      </c>
      <c r="M23" s="1027">
        <v>0</v>
      </c>
      <c r="N23" s="380"/>
      <c r="O23" s="380"/>
      <c r="P23" s="380"/>
      <c r="Q23" s="228"/>
      <c r="R23" s="228"/>
      <c r="S23" s="141"/>
    </row>
    <row r="24" spans="1:19">
      <c r="A24" s="386" t="s">
        <v>566</v>
      </c>
      <c r="B24" s="377">
        <f>+M21+M26</f>
        <v>0</v>
      </c>
      <c r="E24" s="1023" t="s">
        <v>572</v>
      </c>
      <c r="F24" s="380">
        <v>0</v>
      </c>
      <c r="G24" s="385">
        <v>0</v>
      </c>
      <c r="H24" s="385">
        <v>167494</v>
      </c>
      <c r="I24" s="380">
        <v>380318</v>
      </c>
      <c r="J24" s="380">
        <v>0</v>
      </c>
      <c r="K24" s="380">
        <v>0</v>
      </c>
      <c r="L24" s="1027">
        <v>0</v>
      </c>
      <c r="M24" s="1027">
        <v>0</v>
      </c>
      <c r="N24" s="380"/>
      <c r="O24" s="380"/>
      <c r="P24" s="380"/>
      <c r="Q24" s="228"/>
      <c r="R24" s="228"/>
      <c r="S24" s="141"/>
    </row>
    <row r="25" spans="1:19">
      <c r="A25" s="387"/>
      <c r="B25" s="388">
        <f>SUM(B7:B24)</f>
        <v>107705000</v>
      </c>
      <c r="E25" s="1022" t="s">
        <v>224</v>
      </c>
      <c r="F25" s="380">
        <v>0</v>
      </c>
      <c r="G25" s="380">
        <v>0</v>
      </c>
      <c r="H25" s="380">
        <v>13623</v>
      </c>
      <c r="I25" s="380">
        <v>28063</v>
      </c>
      <c r="J25" s="380">
        <v>42079</v>
      </c>
      <c r="K25" s="380">
        <v>46350</v>
      </c>
      <c r="L25" s="380">
        <v>51054.20067476952</v>
      </c>
      <c r="M25" s="380">
        <v>63000</v>
      </c>
      <c r="N25" s="380"/>
      <c r="O25" s="380"/>
      <c r="P25" s="380"/>
      <c r="Q25" s="541"/>
      <c r="R25" s="228"/>
      <c r="S25" s="141"/>
    </row>
    <row r="26" spans="1:19" s="984" customFormat="1">
      <c r="A26" s="1020"/>
      <c r="B26" s="1021"/>
      <c r="E26" s="1022" t="s">
        <v>730</v>
      </c>
      <c r="F26" s="380">
        <v>0</v>
      </c>
      <c r="G26" s="380">
        <v>0</v>
      </c>
      <c r="H26" s="380">
        <v>0</v>
      </c>
      <c r="I26" s="380">
        <v>0</v>
      </c>
      <c r="J26" s="380">
        <v>0</v>
      </c>
      <c r="K26" s="380">
        <v>3958</v>
      </c>
      <c r="L26" s="1027">
        <v>0</v>
      </c>
      <c r="M26" s="1027">
        <v>0</v>
      </c>
      <c r="N26" s="380"/>
      <c r="O26" s="380"/>
      <c r="P26" s="380"/>
      <c r="Q26" s="541"/>
      <c r="R26" s="228"/>
      <c r="S26" s="141"/>
    </row>
    <row r="27" spans="1:19" ht="15.75">
      <c r="B27" s="336"/>
      <c r="D27" s="531"/>
      <c r="E27" s="1023" t="s">
        <v>396</v>
      </c>
      <c r="F27" s="380">
        <v>0</v>
      </c>
      <c r="G27" s="380">
        <v>0</v>
      </c>
      <c r="H27" s="351">
        <v>0</v>
      </c>
      <c r="I27" s="380">
        <v>0</v>
      </c>
      <c r="J27" s="380">
        <v>0</v>
      </c>
      <c r="K27" s="380">
        <v>0</v>
      </c>
      <c r="L27" s="380"/>
      <c r="M27" s="380">
        <v>0</v>
      </c>
      <c r="N27" s="380"/>
      <c r="O27" s="380"/>
      <c r="P27" s="380"/>
      <c r="Q27" s="541"/>
      <c r="R27" s="228"/>
      <c r="S27" s="141"/>
    </row>
    <row r="28" spans="1:19" ht="16.5" thickBot="1">
      <c r="B28" s="389"/>
      <c r="C28" s="376"/>
      <c r="E28" s="390"/>
      <c r="F28" s="407">
        <f>SUM(F8:F27)</f>
        <v>44138788</v>
      </c>
      <c r="G28" s="408">
        <f>SUM(G8:G27)</f>
        <v>52786512</v>
      </c>
      <c r="H28" s="408">
        <f>SUM(H8:H25)</f>
        <v>59107261</v>
      </c>
      <c r="I28" s="407">
        <f>SUM(I8:I27)</f>
        <v>68692999</v>
      </c>
      <c r="J28" s="407">
        <f>SUM(J8:J27)</f>
        <v>84879016</v>
      </c>
      <c r="K28" s="407">
        <f>SUM(K8:K27)</f>
        <v>90972451</v>
      </c>
      <c r="L28" s="407">
        <f>SUM(L8:L27)</f>
        <v>97082484.214935929</v>
      </c>
      <c r="M28" s="408">
        <f>SUM(M8:M27)</f>
        <v>107705000</v>
      </c>
      <c r="N28" s="408">
        <f t="shared" ref="N28" si="0">SUM(N8:N27)</f>
        <v>0</v>
      </c>
      <c r="O28" s="408"/>
      <c r="P28" s="408"/>
      <c r="Q28" s="381"/>
    </row>
    <row r="29" spans="1:19" ht="16.5" thickTop="1">
      <c r="B29" s="336"/>
      <c r="C29" s="376"/>
      <c r="E29" s="49"/>
      <c r="F29" s="391"/>
      <c r="G29" s="392"/>
      <c r="H29" s="392"/>
      <c r="I29" s="392"/>
      <c r="J29" s="382"/>
      <c r="K29" s="382"/>
      <c r="L29" s="382"/>
      <c r="M29" s="382"/>
      <c r="N29" s="382"/>
      <c r="O29" s="382"/>
      <c r="P29" s="382"/>
      <c r="Q29" s="381"/>
      <c r="R29" s="144"/>
    </row>
    <row r="30" spans="1:19">
      <c r="A30" s="393" t="s">
        <v>397</v>
      </c>
      <c r="B30" s="395">
        <f>M30+M31+M32</f>
        <v>6293870</v>
      </c>
      <c r="C30" s="376"/>
      <c r="E30" s="393" t="s">
        <v>397</v>
      </c>
      <c r="F30" s="396" t="s">
        <v>569</v>
      </c>
      <c r="G30" s="396"/>
      <c r="H30" s="396"/>
      <c r="I30" s="396"/>
      <c r="J30" s="396"/>
      <c r="K30" s="49"/>
      <c r="L30" s="1167"/>
      <c r="M30" s="1193">
        <f>+M36-M35-M34-M33-M28+M31</f>
        <v>8293870</v>
      </c>
      <c r="N30" s="125"/>
      <c r="O30" s="49"/>
      <c r="P30" s="49"/>
      <c r="Q30" s="381"/>
    </row>
    <row r="31" spans="1:19" s="770" customFormat="1">
      <c r="A31" s="49" t="s">
        <v>398</v>
      </c>
      <c r="B31" s="377">
        <f>M33</f>
        <v>15688416</v>
      </c>
      <c r="C31" s="376"/>
      <c r="E31" s="797" t="s">
        <v>397</v>
      </c>
      <c r="F31" s="49" t="s">
        <v>652</v>
      </c>
      <c r="G31" s="49"/>
      <c r="H31" s="49"/>
      <c r="I31" s="49"/>
      <c r="J31" s="49"/>
      <c r="K31" s="49"/>
      <c r="L31" s="49"/>
      <c r="M31" s="228"/>
      <c r="N31" s="125" t="s">
        <v>425</v>
      </c>
      <c r="O31" s="49"/>
      <c r="P31" s="49"/>
      <c r="Q31" s="381"/>
    </row>
    <row r="32" spans="1:19">
      <c r="A32" s="49" t="s">
        <v>399</v>
      </c>
      <c r="B32" s="377">
        <f>M34</f>
        <v>25196871</v>
      </c>
      <c r="C32" s="376"/>
      <c r="E32" s="797" t="s">
        <v>397</v>
      </c>
      <c r="M32" s="1193">
        <v>-2000000</v>
      </c>
      <c r="N32" s="80" t="s">
        <v>425</v>
      </c>
    </row>
    <row r="33" spans="1:16">
      <c r="A33" s="49" t="s">
        <v>400</v>
      </c>
      <c r="B33" s="377">
        <f>M35</f>
        <v>48730700</v>
      </c>
      <c r="C33" s="376"/>
      <c r="E33" s="49" t="s">
        <v>398</v>
      </c>
      <c r="F33" s="539" t="s">
        <v>565</v>
      </c>
      <c r="G33" s="49"/>
      <c r="H33" s="380"/>
      <c r="I33" s="380"/>
      <c r="J33" s="381"/>
      <c r="K33" s="381"/>
      <c r="L33" s="381"/>
      <c r="M33" s="228">
        <f>ROUND(+(M36-M35+M31)*0.1,0)</f>
        <v>15688416</v>
      </c>
      <c r="N33" s="381"/>
      <c r="O33" s="381"/>
      <c r="P33" s="381"/>
    </row>
    <row r="34" spans="1:16">
      <c r="A34" s="49"/>
      <c r="B34" s="377"/>
      <c r="C34" s="397"/>
      <c r="E34" s="49" t="s">
        <v>399</v>
      </c>
      <c r="F34" s="49" t="s">
        <v>568</v>
      </c>
      <c r="G34" s="49"/>
      <c r="H34" s="285"/>
      <c r="I34" s="380"/>
      <c r="J34" s="381"/>
      <c r="K34" s="381"/>
      <c r="L34" s="381"/>
      <c r="M34" s="1194">
        <f>+F60</f>
        <v>25196871</v>
      </c>
      <c r="N34" s="381"/>
      <c r="O34" s="381"/>
      <c r="P34" s="381"/>
    </row>
    <row r="35" spans="1:16" ht="15.75">
      <c r="A35" s="399"/>
      <c r="B35" s="401"/>
      <c r="C35" s="376"/>
      <c r="E35" s="49" t="s">
        <v>401</v>
      </c>
      <c r="F35" s="49" t="s">
        <v>598</v>
      </c>
      <c r="G35" s="49"/>
      <c r="H35" s="380"/>
      <c r="I35" s="380"/>
      <c r="J35" s="381"/>
      <c r="K35" s="381"/>
      <c r="L35" s="381"/>
      <c r="M35" s="228">
        <f>ROUND(+'Step 0 Revenue Detail'!L49,-2)</f>
        <v>48730700</v>
      </c>
      <c r="N35" s="1032">
        <f>+M35/M36</f>
        <v>0.23699989733718513</v>
      </c>
      <c r="O35" s="381"/>
      <c r="P35" s="381"/>
    </row>
    <row r="36" spans="1:16">
      <c r="C36" s="376"/>
      <c r="E36" s="277" t="s">
        <v>402</v>
      </c>
      <c r="F36" s="277" t="s">
        <v>559</v>
      </c>
      <c r="G36" s="277"/>
      <c r="H36" s="398"/>
      <c r="I36" s="398"/>
      <c r="J36" s="540"/>
      <c r="K36" s="381"/>
      <c r="L36" s="381"/>
      <c r="M36" s="1195">
        <f>+'Step 0 Revenue Detail'!F42</f>
        <v>205614857</v>
      </c>
      <c r="N36" s="381"/>
      <c r="O36" s="381"/>
      <c r="P36" s="381"/>
    </row>
    <row r="37" spans="1:16">
      <c r="A37" s="125"/>
      <c r="B37" s="376"/>
      <c r="C37" s="376"/>
      <c r="E37" s="49"/>
      <c r="F37" s="49"/>
      <c r="G37" s="49"/>
      <c r="H37" s="49"/>
      <c r="I37" s="380"/>
      <c r="M37" s="228">
        <f>+M36-M35-M34-M33-M30-M28</f>
        <v>0</v>
      </c>
      <c r="N37" s="49"/>
      <c r="O37" s="49"/>
      <c r="P37" s="49"/>
    </row>
    <row r="38" spans="1:16">
      <c r="B38" s="376"/>
      <c r="C38" s="376"/>
      <c r="E38" s="771" t="s">
        <v>726</v>
      </c>
      <c r="F38" s="125"/>
      <c r="G38" s="125"/>
      <c r="H38" s="125"/>
      <c r="I38" s="125"/>
      <c r="J38" s="125"/>
      <c r="K38" s="125"/>
      <c r="L38" s="125"/>
      <c r="M38" s="805"/>
      <c r="N38" s="125"/>
      <c r="O38" s="125"/>
      <c r="P38" s="125"/>
    </row>
    <row r="39" spans="1:16">
      <c r="B39" s="376"/>
      <c r="C39" s="376"/>
      <c r="E39" s="772" t="s">
        <v>634</v>
      </c>
      <c r="F39" s="773">
        <f>+M28*0.8588</f>
        <v>92497054</v>
      </c>
      <c r="G39" s="636" t="s">
        <v>635</v>
      </c>
      <c r="H39" s="636"/>
      <c r="I39" s="636"/>
      <c r="J39" s="536"/>
      <c r="K39" s="536"/>
      <c r="L39" s="536"/>
      <c r="M39" s="805" t="s">
        <v>636</v>
      </c>
      <c r="N39" s="536"/>
      <c r="O39" s="536"/>
      <c r="P39" s="536"/>
    </row>
    <row r="40" spans="1:16">
      <c r="B40" s="376"/>
      <c r="E40" s="772" t="s">
        <v>636</v>
      </c>
      <c r="F40" s="773">
        <f>+M28*0.1412</f>
        <v>15207946</v>
      </c>
      <c r="G40" s="636"/>
      <c r="H40" s="636"/>
      <c r="I40" s="636"/>
      <c r="K40" s="537"/>
      <c r="L40" s="537" t="s">
        <v>212</v>
      </c>
      <c r="M40" s="854">
        <v>3424000</v>
      </c>
      <c r="N40" s="537"/>
      <c r="O40" s="537"/>
      <c r="P40" s="537"/>
    </row>
    <row r="41" spans="1:16" ht="15.75" thickBot="1">
      <c r="A41" s="163"/>
      <c r="B41" s="376"/>
      <c r="E41" s="636" t="s">
        <v>637</v>
      </c>
      <c r="F41" s="774">
        <f>+F39+F40</f>
        <v>107705000</v>
      </c>
      <c r="G41" s="636"/>
      <c r="H41" s="636"/>
      <c r="I41" s="636"/>
      <c r="K41" s="537"/>
      <c r="L41" s="537" t="s">
        <v>213</v>
      </c>
      <c r="M41" s="854">
        <v>182000</v>
      </c>
      <c r="N41" s="537"/>
      <c r="O41" s="537"/>
      <c r="P41" s="537"/>
    </row>
    <row r="42" spans="1:16" ht="15.75" thickTop="1">
      <c r="E42" s="636"/>
      <c r="F42" s="636"/>
      <c r="G42" s="773"/>
      <c r="H42" s="636"/>
      <c r="I42" s="636"/>
      <c r="K42" s="537"/>
      <c r="L42" s="537" t="s">
        <v>219</v>
      </c>
      <c r="M42" s="854">
        <v>12414000</v>
      </c>
      <c r="N42" s="537"/>
      <c r="O42" s="537"/>
      <c r="P42" s="537"/>
    </row>
    <row r="43" spans="1:16">
      <c r="E43" s="775" t="s">
        <v>638</v>
      </c>
      <c r="F43" s="776">
        <f>+M36</f>
        <v>205614857</v>
      </c>
      <c r="G43" s="773"/>
      <c r="H43" s="636"/>
      <c r="I43" s="636"/>
      <c r="K43" s="536"/>
      <c r="L43" s="536" t="s">
        <v>220</v>
      </c>
      <c r="M43" s="855">
        <v>121000</v>
      </c>
      <c r="N43" s="536"/>
      <c r="O43" s="536"/>
      <c r="P43" s="536"/>
    </row>
    <row r="44" spans="1:16" s="867" customFormat="1">
      <c r="E44" s="777" t="s">
        <v>639</v>
      </c>
      <c r="F44" s="778">
        <f>+M35</f>
        <v>48730700</v>
      </c>
      <c r="G44" s="636"/>
      <c r="H44" s="636"/>
      <c r="I44" s="636"/>
      <c r="J44" s="538"/>
      <c r="K44" s="538"/>
      <c r="L44" s="538"/>
      <c r="M44" s="538">
        <f>SUM(M40:M43)</f>
        <v>16141000</v>
      </c>
      <c r="N44" s="538"/>
      <c r="O44" s="538"/>
      <c r="P44" s="538"/>
    </row>
    <row r="45" spans="1:16">
      <c r="E45" s="777" t="s">
        <v>652</v>
      </c>
      <c r="F45" s="778">
        <f>-M31</f>
        <v>0</v>
      </c>
      <c r="G45" s="636"/>
      <c r="H45" s="636"/>
      <c r="I45" s="636"/>
      <c r="J45" s="538"/>
      <c r="K45" s="538"/>
      <c r="L45" s="538"/>
      <c r="M45" s="538"/>
      <c r="N45" s="538"/>
      <c r="O45" s="538"/>
      <c r="P45" s="538"/>
    </row>
    <row r="46" spans="1:16">
      <c r="E46" s="779" t="s">
        <v>640</v>
      </c>
      <c r="F46" s="780">
        <f>+'Step 0 Revenue Detail'!L50</f>
        <v>16901541</v>
      </c>
      <c r="G46" s="636"/>
      <c r="H46" s="781"/>
      <c r="I46" s="636"/>
      <c r="J46" s="125"/>
      <c r="K46" s="125"/>
      <c r="L46" s="125"/>
      <c r="M46" s="125"/>
      <c r="N46" s="125"/>
      <c r="O46" s="125"/>
      <c r="P46" s="125"/>
    </row>
    <row r="47" spans="1:16">
      <c r="E47" s="636"/>
      <c r="F47" s="781">
        <f>+F43-F44-F46-F45</f>
        <v>139982616</v>
      </c>
      <c r="G47" s="636"/>
      <c r="H47" s="636"/>
      <c r="I47" s="636"/>
    </row>
    <row r="48" spans="1:16">
      <c r="E48" s="636"/>
      <c r="F48" s="636"/>
      <c r="G48" s="636"/>
      <c r="H48" s="636" t="s">
        <v>641</v>
      </c>
      <c r="I48" s="773">
        <f>+F46</f>
        <v>16901541</v>
      </c>
    </row>
    <row r="49" spans="5:13">
      <c r="E49" s="772" t="s">
        <v>642</v>
      </c>
      <c r="F49" s="782">
        <f>+(F47*0.1)</f>
        <v>13998261.600000001</v>
      </c>
      <c r="G49" s="636"/>
      <c r="H49" s="636" t="s">
        <v>643</v>
      </c>
      <c r="I49" s="782">
        <f>+F46*0.1</f>
        <v>1690154.1</v>
      </c>
      <c r="M49" s="218"/>
    </row>
    <row r="50" spans="5:13">
      <c r="E50" s="636"/>
      <c r="F50" s="636"/>
      <c r="G50" s="636"/>
      <c r="H50" s="636"/>
      <c r="I50" s="636"/>
    </row>
    <row r="51" spans="5:13">
      <c r="E51" s="636" t="s">
        <v>644</v>
      </c>
      <c r="F51" s="781">
        <f>+F47-F49</f>
        <v>125984354.40000001</v>
      </c>
      <c r="G51" s="636"/>
      <c r="H51" s="636"/>
      <c r="I51" s="636"/>
    </row>
    <row r="52" spans="5:13">
      <c r="E52" s="636"/>
      <c r="F52" s="636"/>
      <c r="G52" s="636"/>
      <c r="H52" s="636"/>
      <c r="I52" s="636"/>
    </row>
    <row r="53" spans="5:13">
      <c r="E53" s="636" t="s">
        <v>645</v>
      </c>
      <c r="F53" s="782">
        <f>+F51*0.8</f>
        <v>100787483.52000001</v>
      </c>
      <c r="G53" s="773"/>
      <c r="H53" s="773" t="s">
        <v>646</v>
      </c>
      <c r="I53" s="781">
        <f>+I48-I49</f>
        <v>15211386.9</v>
      </c>
    </row>
    <row r="54" spans="5:13">
      <c r="E54" s="636" t="s">
        <v>647</v>
      </c>
      <c r="F54" s="782">
        <f>+F51*0.2</f>
        <v>25196870.880000003</v>
      </c>
      <c r="G54" s="636"/>
      <c r="H54" s="636"/>
      <c r="I54" s="636"/>
    </row>
    <row r="55" spans="5:13" ht="15.75" thickBot="1">
      <c r="E55" s="636"/>
      <c r="F55" s="782"/>
      <c r="G55" s="636"/>
      <c r="H55" s="636"/>
      <c r="I55" s="636"/>
    </row>
    <row r="56" spans="5:13">
      <c r="E56" s="783" t="s">
        <v>638</v>
      </c>
      <c r="F56" s="784">
        <f>+F43</f>
        <v>205614857</v>
      </c>
      <c r="G56" s="785"/>
      <c r="H56" s="785"/>
      <c r="I56" s="786"/>
    </row>
    <row r="57" spans="5:13">
      <c r="E57" s="787" t="s">
        <v>639</v>
      </c>
      <c r="F57" s="788">
        <f>6+F44</f>
        <v>48730706</v>
      </c>
      <c r="G57" s="789"/>
      <c r="H57" s="789"/>
      <c r="I57" s="790"/>
    </row>
    <row r="58" spans="5:13">
      <c r="E58" s="787" t="s">
        <v>648</v>
      </c>
      <c r="F58" s="788">
        <f>ROUND(+F49+I49,0)</f>
        <v>15688416</v>
      </c>
      <c r="G58" s="789"/>
      <c r="H58" s="789"/>
      <c r="I58" s="790"/>
    </row>
    <row r="59" spans="5:13">
      <c r="E59" s="787" t="s">
        <v>649</v>
      </c>
      <c r="F59" s="791">
        <f>+ROUND(F53+I53,0)</f>
        <v>115998870</v>
      </c>
      <c r="G59" s="789" t="s">
        <v>650</v>
      </c>
      <c r="H59" s="792">
        <f>+F59-F41</f>
        <v>8293870</v>
      </c>
      <c r="I59" s="790"/>
    </row>
    <row r="60" spans="5:13">
      <c r="E60" s="787" t="s">
        <v>651</v>
      </c>
      <c r="F60" s="791">
        <f>ROUND(+F54,0)</f>
        <v>25196871</v>
      </c>
      <c r="G60" s="789"/>
      <c r="H60" s="789"/>
      <c r="I60" s="790"/>
    </row>
    <row r="61" spans="5:13" ht="15.75" thickBot="1">
      <c r="E61" s="793"/>
      <c r="F61" s="794">
        <f>+F56-F57-F58-F59-F60+M31</f>
        <v>-6</v>
      </c>
      <c r="G61" s="794"/>
      <c r="H61" s="795"/>
      <c r="I61" s="796"/>
    </row>
  </sheetData>
  <pageMargins left="0.7" right="0.7" top="0.75" bottom="0.75" header="0.3" footer="0.3"/>
  <pageSetup orientation="portrait"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54"/>
  <sheetViews>
    <sheetView workbookViewId="0"/>
  </sheetViews>
  <sheetFormatPr defaultColWidth="12.42578125" defaultRowHeight="15"/>
  <cols>
    <col min="1" max="1" width="28.42578125" customWidth="1"/>
    <col min="2" max="2" width="13.140625" customWidth="1"/>
    <col min="3" max="3" width="19.140625" customWidth="1"/>
    <col min="4" max="4" width="26.140625" customWidth="1"/>
    <col min="5" max="5" width="16.7109375" customWidth="1"/>
    <col min="6" max="6" width="13.28515625" customWidth="1"/>
    <col min="7" max="7" width="12.42578125" customWidth="1"/>
    <col min="8" max="8" width="11.28515625" bestFit="1" customWidth="1"/>
    <col min="9" max="9" width="15.42578125" bestFit="1" customWidth="1"/>
    <col min="10" max="10" width="15.42578125" style="984" customWidth="1"/>
    <col min="11" max="11" width="15.42578125" style="1161" customWidth="1"/>
    <col min="12" max="12" width="17" customWidth="1"/>
  </cols>
  <sheetData>
    <row r="1" spans="1:15" ht="15.75">
      <c r="A1" s="259" t="s">
        <v>404</v>
      </c>
    </row>
    <row r="2" spans="1:15">
      <c r="A2" t="s">
        <v>382</v>
      </c>
    </row>
    <row r="3" spans="1:15">
      <c r="A3" t="s">
        <v>383</v>
      </c>
      <c r="M3" s="627"/>
      <c r="N3" s="627"/>
      <c r="O3" s="627"/>
    </row>
    <row r="4" spans="1:15">
      <c r="E4" s="80"/>
      <c r="F4" s="80"/>
      <c r="G4" s="80"/>
      <c r="H4" s="80"/>
      <c r="I4" s="80"/>
      <c r="J4" s="80"/>
      <c r="K4" s="80"/>
      <c r="L4" s="80"/>
      <c r="M4" s="627"/>
      <c r="N4" s="627"/>
      <c r="O4" s="627"/>
    </row>
    <row r="5" spans="1:15">
      <c r="D5" s="80" t="s">
        <v>405</v>
      </c>
      <c r="I5" s="521"/>
      <c r="M5" s="627"/>
      <c r="N5" s="627"/>
      <c r="O5" s="627"/>
    </row>
    <row r="6" spans="1:15" ht="15.75">
      <c r="A6" s="635" t="s">
        <v>406</v>
      </c>
      <c r="B6" s="636"/>
      <c r="D6" s="374" t="s">
        <v>386</v>
      </c>
      <c r="E6" s="631" t="s">
        <v>2</v>
      </c>
      <c r="F6" s="631" t="s">
        <v>555</v>
      </c>
      <c r="G6" s="631" t="s">
        <v>556</v>
      </c>
      <c r="H6" s="631" t="s">
        <v>562</v>
      </c>
      <c r="I6" s="631" t="s">
        <v>633</v>
      </c>
      <c r="J6" s="631" t="s">
        <v>707</v>
      </c>
      <c r="K6" s="631" t="s">
        <v>821</v>
      </c>
      <c r="L6" s="633" t="s">
        <v>822</v>
      </c>
      <c r="M6" s="627"/>
      <c r="N6" s="627"/>
      <c r="O6" s="627"/>
    </row>
    <row r="7" spans="1:15" ht="25.5">
      <c r="A7" s="372"/>
      <c r="B7" s="373" t="s">
        <v>557</v>
      </c>
      <c r="D7" s="378" t="s">
        <v>561</v>
      </c>
      <c r="G7" s="634"/>
      <c r="H7" s="634"/>
      <c r="I7" s="634"/>
      <c r="J7" s="630"/>
      <c r="K7" s="630"/>
      <c r="L7" s="630"/>
    </row>
    <row r="8" spans="1:15">
      <c r="A8" s="375" t="s">
        <v>211</v>
      </c>
      <c r="B8" s="376">
        <f>L8</f>
        <v>512000</v>
      </c>
      <c r="D8" s="379" t="s">
        <v>211</v>
      </c>
      <c r="E8" s="524">
        <v>559794</v>
      </c>
      <c r="F8" s="524">
        <v>428684</v>
      </c>
      <c r="G8" s="524">
        <v>463229</v>
      </c>
      <c r="H8" s="524">
        <v>489827.28</v>
      </c>
      <c r="I8" s="524">
        <v>396326.52</v>
      </c>
      <c r="J8" s="522">
        <v>511772.8</v>
      </c>
      <c r="K8" s="522">
        <v>500769.68480000005</v>
      </c>
      <c r="L8" s="402">
        <v>512000</v>
      </c>
    </row>
    <row r="9" spans="1:15">
      <c r="A9" s="375" t="s">
        <v>212</v>
      </c>
      <c r="B9" s="376">
        <f>L9</f>
        <v>270000</v>
      </c>
      <c r="D9" s="379" t="s">
        <v>212</v>
      </c>
      <c r="E9" s="524">
        <v>589485</v>
      </c>
      <c r="F9" s="524">
        <v>680703</v>
      </c>
      <c r="G9" s="524">
        <v>613075</v>
      </c>
      <c r="H9" s="524">
        <v>494420.88</v>
      </c>
      <c r="I9" s="524">
        <v>484143.52</v>
      </c>
      <c r="J9" s="522">
        <v>310562.90000000002</v>
      </c>
      <c r="K9" s="522">
        <v>303885.79765000002</v>
      </c>
      <c r="L9" s="524">
        <v>270000</v>
      </c>
    </row>
    <row r="10" spans="1:15">
      <c r="A10" s="375" t="s">
        <v>213</v>
      </c>
      <c r="B10" s="376">
        <f>L11</f>
        <v>15000</v>
      </c>
      <c r="D10" s="379" t="s">
        <v>388</v>
      </c>
      <c r="E10" s="524">
        <v>208710</v>
      </c>
      <c r="F10" s="524">
        <v>167154</v>
      </c>
      <c r="G10" s="524">
        <v>147418</v>
      </c>
      <c r="H10" s="522">
        <v>149917.68</v>
      </c>
      <c r="I10" s="524">
        <v>104574.24</v>
      </c>
      <c r="J10" s="522">
        <v>150592.32000000001</v>
      </c>
      <c r="K10" s="522">
        <v>147354.58512</v>
      </c>
      <c r="L10" s="524">
        <v>148000</v>
      </c>
    </row>
    <row r="11" spans="1:15">
      <c r="A11" s="383" t="s">
        <v>214</v>
      </c>
      <c r="B11" s="376">
        <f>L13</f>
        <v>55000</v>
      </c>
      <c r="D11" s="379" t="s">
        <v>213</v>
      </c>
      <c r="E11" s="525">
        <v>99984</v>
      </c>
      <c r="F11" s="525">
        <v>106134</v>
      </c>
      <c r="G11" s="525">
        <v>63804</v>
      </c>
      <c r="H11" s="522">
        <v>81920.34</v>
      </c>
      <c r="I11" s="524">
        <v>43574.239999999998</v>
      </c>
      <c r="J11" s="522">
        <v>18974.560000000001</v>
      </c>
      <c r="K11" s="522">
        <v>18566.606960000001</v>
      </c>
      <c r="L11" s="524">
        <v>15000</v>
      </c>
    </row>
    <row r="12" spans="1:15">
      <c r="A12" s="375" t="s">
        <v>215</v>
      </c>
      <c r="B12" s="376">
        <f>L15</f>
        <v>23000</v>
      </c>
      <c r="D12" s="379" t="s">
        <v>219</v>
      </c>
      <c r="E12" s="524">
        <v>1617970</v>
      </c>
      <c r="F12" s="524">
        <v>1671408</v>
      </c>
      <c r="G12" s="524">
        <v>1878727</v>
      </c>
      <c r="H12" s="522">
        <v>1330496.72</v>
      </c>
      <c r="I12" s="524">
        <v>1776980.8</v>
      </c>
      <c r="J12" s="522">
        <v>1840941.04</v>
      </c>
      <c r="K12" s="522">
        <v>1801360.80764</v>
      </c>
      <c r="L12" s="524">
        <v>1900000</v>
      </c>
    </row>
    <row r="13" spans="1:15">
      <c r="A13" s="375" t="s">
        <v>216</v>
      </c>
      <c r="B13" s="376">
        <f>L17</f>
        <v>1793000</v>
      </c>
      <c r="D13" s="379" t="s">
        <v>389</v>
      </c>
      <c r="E13" s="526">
        <v>95695</v>
      </c>
      <c r="F13" s="522">
        <v>73450</v>
      </c>
      <c r="G13" s="522">
        <v>42892</v>
      </c>
      <c r="H13" s="522">
        <v>40096.080000000002</v>
      </c>
      <c r="I13" s="524">
        <v>45898.8</v>
      </c>
      <c r="J13" s="522">
        <v>50727.26</v>
      </c>
      <c r="K13" s="522">
        <v>49636.623910000002</v>
      </c>
      <c r="L13" s="524">
        <v>55000</v>
      </c>
    </row>
    <row r="14" spans="1:15">
      <c r="A14" s="375" t="s">
        <v>131</v>
      </c>
      <c r="B14" s="376">
        <f>L19</f>
        <v>40000</v>
      </c>
      <c r="D14" s="379" t="s">
        <v>217</v>
      </c>
      <c r="E14" s="524">
        <v>1059231</v>
      </c>
      <c r="F14" s="524">
        <v>899770</v>
      </c>
      <c r="G14" s="524">
        <v>842299</v>
      </c>
      <c r="H14" s="522">
        <v>749488.79</v>
      </c>
      <c r="I14" s="524">
        <v>515258.24</v>
      </c>
      <c r="J14" s="522">
        <v>425117.6</v>
      </c>
      <c r="K14" s="522">
        <v>415977.57159999997</v>
      </c>
      <c r="L14" s="524">
        <v>350000</v>
      </c>
    </row>
    <row r="15" spans="1:15">
      <c r="A15" s="383" t="s">
        <v>217</v>
      </c>
      <c r="B15" s="376">
        <f>L14</f>
        <v>350000</v>
      </c>
      <c r="D15" s="379" t="s">
        <v>215</v>
      </c>
      <c r="E15" s="525">
        <v>90516</v>
      </c>
      <c r="F15" s="525">
        <v>43829</v>
      </c>
      <c r="G15" s="525">
        <v>58720</v>
      </c>
      <c r="H15" s="522">
        <v>79373.600000000006</v>
      </c>
      <c r="I15" s="524">
        <v>73988.08</v>
      </c>
      <c r="J15" s="522">
        <v>42363.360000000001</v>
      </c>
      <c r="K15" s="522">
        <v>41452.547760000001</v>
      </c>
      <c r="L15" s="524">
        <v>23000</v>
      </c>
    </row>
    <row r="16" spans="1:15">
      <c r="A16" s="375" t="s">
        <v>218</v>
      </c>
      <c r="B16" s="376">
        <f>L18</f>
        <v>0</v>
      </c>
      <c r="D16" s="379" t="s">
        <v>390</v>
      </c>
      <c r="E16" s="524">
        <v>667750</v>
      </c>
      <c r="F16" s="524">
        <v>575668</v>
      </c>
      <c r="G16" s="524">
        <v>485395</v>
      </c>
      <c r="H16" s="522">
        <v>378356</v>
      </c>
      <c r="I16" s="524">
        <v>237298.32</v>
      </c>
      <c r="J16" s="522">
        <v>347588.48</v>
      </c>
      <c r="K16" s="522">
        <v>340115.32767999999</v>
      </c>
      <c r="L16" s="524">
        <v>325000</v>
      </c>
    </row>
    <row r="17" spans="1:13">
      <c r="A17" s="375" t="s">
        <v>219</v>
      </c>
      <c r="B17" s="376">
        <f>L12</f>
        <v>1900000</v>
      </c>
      <c r="D17" s="379" t="s">
        <v>216</v>
      </c>
      <c r="E17" s="524">
        <v>2302578</v>
      </c>
      <c r="F17" s="524">
        <v>1947732</v>
      </c>
      <c r="G17" s="524">
        <v>1809130</v>
      </c>
      <c r="H17" s="522">
        <v>1784836.44</v>
      </c>
      <c r="I17" s="524">
        <v>1886831.52</v>
      </c>
      <c r="J17" s="522">
        <v>1816473.6000000001</v>
      </c>
      <c r="K17" s="522">
        <v>1777419.4176</v>
      </c>
      <c r="L17" s="524">
        <v>1793000</v>
      </c>
    </row>
    <row r="18" spans="1:13">
      <c r="A18" s="375" t="s">
        <v>220</v>
      </c>
      <c r="B18" s="376">
        <f>L16</f>
        <v>325000</v>
      </c>
      <c r="D18" s="379" t="s">
        <v>218</v>
      </c>
      <c r="E18" s="524">
        <v>0</v>
      </c>
      <c r="F18" s="524">
        <v>0</v>
      </c>
      <c r="G18" s="524">
        <v>0</v>
      </c>
      <c r="H18" s="522">
        <v>0</v>
      </c>
      <c r="I18" s="524">
        <f t="shared" ref="I18" si="0">+H18*(1+0.03)*(1+-0.08)</f>
        <v>0</v>
      </c>
      <c r="J18" s="522">
        <v>0</v>
      </c>
      <c r="K18" s="522">
        <v>0</v>
      </c>
      <c r="L18" s="524">
        <v>0</v>
      </c>
    </row>
    <row r="19" spans="1:13">
      <c r="A19" s="383" t="s">
        <v>221</v>
      </c>
      <c r="B19" s="376">
        <f>L10</f>
        <v>148000</v>
      </c>
      <c r="D19" s="384" t="s">
        <v>391</v>
      </c>
      <c r="E19" s="524">
        <v>116559</v>
      </c>
      <c r="F19" s="524">
        <v>84406</v>
      </c>
      <c r="G19" s="524">
        <v>96594</v>
      </c>
      <c r="H19" s="522">
        <v>154659.84</v>
      </c>
      <c r="I19" s="524">
        <v>91515</v>
      </c>
      <c r="J19" s="522">
        <v>46415.040000000001</v>
      </c>
      <c r="K19" s="522">
        <v>45417.11664</v>
      </c>
      <c r="L19" s="524">
        <v>40000</v>
      </c>
    </row>
    <row r="20" spans="1:13">
      <c r="A20" s="375" t="s">
        <v>222</v>
      </c>
      <c r="B20" s="376">
        <f>L21</f>
        <v>0</v>
      </c>
      <c r="D20" s="384" t="s">
        <v>392</v>
      </c>
      <c r="E20" s="525">
        <v>69373</v>
      </c>
      <c r="F20" s="525">
        <v>47490</v>
      </c>
      <c r="G20" s="525">
        <v>57310</v>
      </c>
      <c r="H20" s="522">
        <v>0</v>
      </c>
      <c r="I20" s="524">
        <f>+H20*(1+0.03)*(1+-0.08)</f>
        <v>0</v>
      </c>
      <c r="J20" s="522">
        <v>0</v>
      </c>
      <c r="K20" s="522">
        <v>0</v>
      </c>
      <c r="L20" s="524">
        <v>0</v>
      </c>
    </row>
    <row r="21" spans="1:13">
      <c r="A21" s="375" t="s">
        <v>223</v>
      </c>
      <c r="B21" s="376">
        <f>L20</f>
        <v>0</v>
      </c>
      <c r="D21" s="384" t="s">
        <v>570</v>
      </c>
      <c r="E21" s="524">
        <v>968</v>
      </c>
      <c r="F21" s="524">
        <v>0</v>
      </c>
      <c r="G21" s="524">
        <v>0</v>
      </c>
      <c r="H21" s="522">
        <v>0</v>
      </c>
      <c r="I21" s="524">
        <f>+H21*(1+0.03)*(1+-0.08)</f>
        <v>0</v>
      </c>
      <c r="J21" s="522">
        <v>0</v>
      </c>
      <c r="K21" s="522">
        <v>0</v>
      </c>
      <c r="L21" s="524">
        <v>0</v>
      </c>
    </row>
    <row r="22" spans="1:13">
      <c r="A22" s="383" t="s">
        <v>224</v>
      </c>
      <c r="B22" s="376">
        <f>L25</f>
        <v>11000</v>
      </c>
      <c r="D22" s="379" t="s">
        <v>342</v>
      </c>
      <c r="E22" s="524">
        <v>0</v>
      </c>
      <c r="F22" s="529">
        <v>2519</v>
      </c>
      <c r="G22" s="524">
        <v>0</v>
      </c>
      <c r="H22" s="522">
        <v>0</v>
      </c>
      <c r="I22" s="524">
        <f>+H22*(1+0.03)*(1+-0.08)</f>
        <v>0</v>
      </c>
      <c r="J22" s="522">
        <v>0</v>
      </c>
      <c r="K22" s="522">
        <v>0</v>
      </c>
      <c r="L22" s="524">
        <v>0</v>
      </c>
    </row>
    <row r="23" spans="1:13">
      <c r="A23" s="375" t="s">
        <v>225</v>
      </c>
      <c r="B23" s="376">
        <f>L24+L23</f>
        <v>15000</v>
      </c>
      <c r="D23" s="379" t="s">
        <v>225</v>
      </c>
      <c r="E23" s="527">
        <v>0</v>
      </c>
      <c r="F23" s="524">
        <v>0</v>
      </c>
      <c r="G23" s="637">
        <v>0</v>
      </c>
      <c r="H23" s="522">
        <v>0</v>
      </c>
      <c r="I23" s="524">
        <f>+H23*(1+0.03)*(1+-0.08)</f>
        <v>0</v>
      </c>
      <c r="J23" s="522">
        <v>0</v>
      </c>
      <c r="K23" s="522">
        <v>0</v>
      </c>
      <c r="L23" s="524">
        <v>0</v>
      </c>
    </row>
    <row r="24" spans="1:13">
      <c r="A24" s="386" t="s">
        <v>226</v>
      </c>
      <c r="B24" s="376">
        <f>L26</f>
        <v>0</v>
      </c>
      <c r="D24" s="379" t="s">
        <v>571</v>
      </c>
      <c r="E24" s="523">
        <v>48239</v>
      </c>
      <c r="F24" s="523">
        <v>49090</v>
      </c>
      <c r="G24" s="523">
        <v>67224</v>
      </c>
      <c r="H24" s="522">
        <v>85478.399999999994</v>
      </c>
      <c r="I24" s="524">
        <v>28391</v>
      </c>
      <c r="J24" s="522">
        <v>19353.599999999999</v>
      </c>
      <c r="K24" s="522">
        <v>18937.497599999999</v>
      </c>
      <c r="L24" s="524">
        <v>15000</v>
      </c>
    </row>
    <row r="25" spans="1:13">
      <c r="A25" s="387"/>
      <c r="B25" s="388">
        <f>SUM(B8:B24)</f>
        <v>5457000</v>
      </c>
      <c r="D25" s="797" t="s">
        <v>224</v>
      </c>
      <c r="E25" s="523">
        <v>1193</v>
      </c>
      <c r="F25" s="523">
        <v>638</v>
      </c>
      <c r="G25" s="523">
        <v>3984</v>
      </c>
      <c r="H25" s="522">
        <v>4173.4399999999996</v>
      </c>
      <c r="I25" s="524">
        <v>9871</v>
      </c>
      <c r="J25" s="522">
        <v>9031.68</v>
      </c>
      <c r="K25" s="522">
        <v>8837.4988799999992</v>
      </c>
      <c r="L25" s="524">
        <v>11000</v>
      </c>
    </row>
    <row r="26" spans="1:13">
      <c r="D26" s="379" t="s">
        <v>407</v>
      </c>
      <c r="E26" s="523">
        <v>104234</v>
      </c>
      <c r="F26" s="523">
        <v>141793</v>
      </c>
      <c r="G26" s="523">
        <v>191961</v>
      </c>
      <c r="H26" s="535">
        <v>170778.56</v>
      </c>
      <c r="I26" s="524">
        <v>0</v>
      </c>
      <c r="J26" s="524">
        <v>0</v>
      </c>
      <c r="K26" s="524">
        <v>0</v>
      </c>
      <c r="L26" s="524">
        <v>0</v>
      </c>
    </row>
    <row r="27" spans="1:13" ht="15.75" thickBot="1">
      <c r="D27" s="403" t="s">
        <v>43</v>
      </c>
      <c r="E27" s="404">
        <f>SUM(E8:E26)</f>
        <v>7632279</v>
      </c>
      <c r="F27" s="528">
        <f t="shared" ref="F27:L27" si="1">SUM(F8:F26)</f>
        <v>6920468</v>
      </c>
      <c r="G27" s="528">
        <f t="shared" si="1"/>
        <v>6821762</v>
      </c>
      <c r="H27" s="528">
        <f t="shared" si="1"/>
        <v>5993824.0500000007</v>
      </c>
      <c r="I27" s="528">
        <f t="shared" si="1"/>
        <v>5694651.2800000003</v>
      </c>
      <c r="J27" s="528">
        <f>SUM(J8:J26)</f>
        <v>5589914.2399999993</v>
      </c>
      <c r="K27" s="528">
        <f>SUM(K8:K26)</f>
        <v>5469731.0838399995</v>
      </c>
      <c r="L27" s="528">
        <f t="shared" si="1"/>
        <v>5457000</v>
      </c>
    </row>
    <row r="28" spans="1:13" ht="15.75" thickTop="1">
      <c r="A28" s="394" t="s">
        <v>408</v>
      </c>
      <c r="B28" s="394">
        <f>L29</f>
        <v>850000</v>
      </c>
      <c r="H28" s="521"/>
      <c r="I28" s="521"/>
    </row>
    <row r="29" spans="1:13">
      <c r="A29" s="376" t="s">
        <v>452</v>
      </c>
      <c r="B29" s="377">
        <f>L30</f>
        <v>554000</v>
      </c>
      <c r="D29" s="379" t="s">
        <v>408</v>
      </c>
      <c r="I29" s="126"/>
      <c r="J29" s="523"/>
      <c r="K29" s="523"/>
      <c r="L29" s="970">
        <v>850000</v>
      </c>
      <c r="M29" s="80"/>
    </row>
    <row r="30" spans="1:13">
      <c r="A30" s="376" t="s">
        <v>453</v>
      </c>
      <c r="B30" s="377">
        <f>L31</f>
        <v>997200</v>
      </c>
      <c r="D30" s="49" t="s">
        <v>563</v>
      </c>
      <c r="H30" s="402"/>
      <c r="I30" s="126"/>
      <c r="J30" s="523"/>
      <c r="K30" s="523"/>
      <c r="L30" s="141">
        <f>ROUND(0.1*L33,-2)</f>
        <v>554000</v>
      </c>
      <c r="M30" s="80"/>
    </row>
    <row r="31" spans="1:13">
      <c r="A31" s="376"/>
      <c r="B31" s="376"/>
      <c r="D31" s="49" t="s">
        <v>564</v>
      </c>
      <c r="H31" s="402"/>
      <c r="I31" s="126"/>
      <c r="J31" s="523"/>
      <c r="K31" s="523"/>
      <c r="L31" s="141">
        <f>ROUND(0.18*L33,-2)</f>
        <v>997200</v>
      </c>
      <c r="M31" s="80"/>
    </row>
    <row r="32" spans="1:13">
      <c r="A32" s="400" t="s">
        <v>402</v>
      </c>
      <c r="B32" s="400">
        <f>SUM(B25:B31)</f>
        <v>7858200</v>
      </c>
      <c r="D32" s="49" t="s">
        <v>401</v>
      </c>
      <c r="H32" s="126"/>
      <c r="I32" s="126"/>
      <c r="J32" s="523"/>
      <c r="K32" s="523"/>
      <c r="L32" s="141"/>
      <c r="M32" s="80"/>
    </row>
    <row r="33" spans="1:13">
      <c r="A33" s="376"/>
      <c r="B33" s="376"/>
      <c r="D33" s="49" t="s">
        <v>402</v>
      </c>
      <c r="H33" s="126"/>
      <c r="I33" s="126" t="s">
        <v>554</v>
      </c>
      <c r="J33" s="523"/>
      <c r="K33" s="523"/>
      <c r="L33" s="141">
        <f>+'Step 0 Revenue Detail'!F43</f>
        <v>5539900</v>
      </c>
      <c r="M33" s="80"/>
    </row>
    <row r="34" spans="1:13">
      <c r="A34" s="376"/>
      <c r="B34" s="376"/>
      <c r="I34" t="s">
        <v>550</v>
      </c>
      <c r="L34" s="141">
        <f>SUM(L29:L31)+L27</f>
        <v>7858200</v>
      </c>
      <c r="M34" s="80"/>
    </row>
    <row r="35" spans="1:13">
      <c r="A35" s="376"/>
      <c r="B35" s="376"/>
      <c r="C35" s="376"/>
      <c r="D35" s="376"/>
      <c r="E35" s="376"/>
      <c r="I35" t="s">
        <v>551</v>
      </c>
      <c r="L35" s="530">
        <f>+L34-B32</f>
        <v>0</v>
      </c>
      <c r="M35" s="80"/>
    </row>
    <row r="36" spans="1:13">
      <c r="A36" s="376"/>
      <c r="B36" s="521"/>
      <c r="C36" s="521"/>
      <c r="D36" s="521"/>
      <c r="E36" s="285"/>
      <c r="G36" s="49"/>
      <c r="H36" s="49"/>
      <c r="I36" s="49"/>
      <c r="J36" s="49"/>
      <c r="K36" s="49"/>
      <c r="L36" s="561"/>
      <c r="M36" s="80"/>
    </row>
    <row r="37" spans="1:13">
      <c r="A37" s="376"/>
      <c r="B37" s="521"/>
      <c r="C37" s="521"/>
      <c r="D37" s="521"/>
      <c r="E37" s="285"/>
      <c r="G37" s="49" t="s">
        <v>654</v>
      </c>
      <c r="H37" s="49"/>
      <c r="I37" s="49"/>
      <c r="J37" s="49"/>
      <c r="K37" s="49"/>
      <c r="L37" s="561"/>
      <c r="M37" s="80"/>
    </row>
    <row r="38" spans="1:13">
      <c r="B38" s="521"/>
      <c r="C38" s="521"/>
      <c r="D38" s="521"/>
      <c r="E38" s="285"/>
      <c r="G38" s="49" t="s">
        <v>555</v>
      </c>
      <c r="H38" s="49" t="s">
        <v>655</v>
      </c>
      <c r="I38" s="49"/>
      <c r="J38" s="49"/>
      <c r="K38" s="49"/>
      <c r="L38" s="561"/>
      <c r="M38" s="80"/>
    </row>
    <row r="39" spans="1:13">
      <c r="B39" s="521"/>
      <c r="C39" s="521"/>
      <c r="D39" s="521"/>
      <c r="E39" s="285"/>
      <c r="G39" s="49" t="s">
        <v>556</v>
      </c>
      <c r="H39" s="49" t="s">
        <v>656</v>
      </c>
      <c r="I39" s="49"/>
      <c r="J39" s="49"/>
      <c r="K39" s="49"/>
      <c r="L39" s="561"/>
    </row>
    <row r="40" spans="1:13">
      <c r="B40" s="521"/>
      <c r="C40" s="521"/>
      <c r="D40" s="521"/>
      <c r="E40" s="285"/>
      <c r="G40" s="125" t="s">
        <v>562</v>
      </c>
      <c r="H40" s="49" t="s">
        <v>657</v>
      </c>
      <c r="I40" s="49"/>
      <c r="J40" s="49"/>
      <c r="K40" s="49"/>
      <c r="L40" s="561"/>
    </row>
    <row r="41" spans="1:13">
      <c r="B41" s="521"/>
      <c r="C41" s="521"/>
      <c r="D41" s="521"/>
      <c r="E41" s="285"/>
      <c r="G41" s="125" t="s">
        <v>633</v>
      </c>
      <c r="H41" s="125" t="s">
        <v>658</v>
      </c>
      <c r="I41" s="49"/>
      <c r="J41" s="49"/>
      <c r="K41" s="49"/>
      <c r="L41" s="561"/>
    </row>
    <row r="42" spans="1:13">
      <c r="B42" s="521"/>
      <c r="C42" s="521"/>
      <c r="D42" s="521"/>
      <c r="E42" s="285"/>
      <c r="G42" s="125" t="s">
        <v>707</v>
      </c>
      <c r="H42" s="1132">
        <v>848204</v>
      </c>
      <c r="I42" s="49"/>
      <c r="J42" s="1132"/>
      <c r="K42" s="1132"/>
      <c r="L42" s="561"/>
    </row>
    <row r="43" spans="1:13">
      <c r="B43" s="521"/>
      <c r="C43" s="521"/>
      <c r="D43" s="521"/>
      <c r="E43" s="285"/>
      <c r="G43" s="125" t="s">
        <v>794</v>
      </c>
      <c r="H43" s="125" t="s">
        <v>860</v>
      </c>
      <c r="I43" s="49"/>
      <c r="J43" s="49"/>
      <c r="K43" s="49"/>
      <c r="L43" s="561"/>
    </row>
    <row r="44" spans="1:13">
      <c r="B44" s="521"/>
      <c r="C44" s="521"/>
      <c r="D44" s="521"/>
      <c r="E44" s="285"/>
      <c r="G44" s="49"/>
      <c r="H44" s="49"/>
      <c r="I44" s="49"/>
      <c r="J44" s="49"/>
      <c r="K44" s="49"/>
      <c r="L44" s="561"/>
    </row>
    <row r="45" spans="1:13">
      <c r="B45" s="521"/>
      <c r="C45" s="521"/>
      <c r="D45" s="521"/>
      <c r="E45" s="561"/>
      <c r="G45" s="49"/>
      <c r="H45" s="49"/>
      <c r="I45" s="49"/>
      <c r="J45" s="49"/>
      <c r="K45" s="49"/>
      <c r="L45" s="561"/>
    </row>
    <row r="46" spans="1:13">
      <c r="E46" s="285"/>
      <c r="G46" s="49"/>
      <c r="H46" s="49"/>
      <c r="I46" s="49"/>
      <c r="J46" s="49"/>
      <c r="K46" s="49"/>
      <c r="L46" s="561"/>
    </row>
    <row r="47" spans="1:13">
      <c r="G47" s="49"/>
      <c r="H47" s="49"/>
      <c r="I47" s="49"/>
      <c r="J47" s="49"/>
      <c r="K47" s="49"/>
      <c r="L47" s="561"/>
    </row>
    <row r="48" spans="1:13">
      <c r="G48" s="49"/>
      <c r="H48" s="49"/>
      <c r="I48" s="49"/>
      <c r="J48" s="49"/>
      <c r="K48" s="49"/>
      <c r="L48" s="561"/>
    </row>
    <row r="49" spans="6:6">
      <c r="F49" s="218"/>
    </row>
    <row r="51" spans="6:6">
      <c r="F51" s="285"/>
    </row>
    <row r="54" spans="6:6">
      <c r="F54" s="218"/>
    </row>
  </sheetData>
  <pageMargins left="0.7" right="0.7" top="0.75" bottom="0.75" header="0.3" footer="0.3"/>
  <pageSetup orientation="portrait" horizontalDpi="1200" verticalDpi="12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M74"/>
  <sheetViews>
    <sheetView workbookViewId="0"/>
  </sheetViews>
  <sheetFormatPr defaultColWidth="12.42578125" defaultRowHeight="15"/>
  <cols>
    <col min="1" max="1" width="43.140625" bestFit="1" customWidth="1"/>
    <col min="2" max="2" width="14.28515625" bestFit="1" customWidth="1"/>
    <col min="4" max="4" width="20.42578125" bestFit="1" customWidth="1"/>
    <col min="5" max="5" width="19.85546875" bestFit="1" customWidth="1"/>
    <col min="6" max="6" width="17.42578125" style="621" bestFit="1" customWidth="1"/>
    <col min="7" max="7" width="12.7109375" customWidth="1"/>
    <col min="8" max="8" width="9.140625" bestFit="1" customWidth="1"/>
    <col min="9" max="9" width="10.7109375" customWidth="1"/>
    <col min="10" max="10" width="14.28515625" bestFit="1" customWidth="1"/>
    <col min="11" max="12" width="13.28515625" bestFit="1" customWidth="1"/>
    <col min="13" max="15" width="13.7109375" customWidth="1"/>
    <col min="16" max="16" width="13.140625" customWidth="1"/>
    <col min="18" max="18" width="13.28515625" customWidth="1"/>
  </cols>
  <sheetData>
    <row r="1" spans="1:13" ht="21">
      <c r="A1" s="413" t="s">
        <v>439</v>
      </c>
      <c r="B1" s="413"/>
      <c r="C1" s="414"/>
      <c r="F1" s="619"/>
    </row>
    <row r="2" spans="1:13" ht="15.75">
      <c r="A2" s="259" t="s">
        <v>440</v>
      </c>
      <c r="F2" s="619"/>
    </row>
    <row r="3" spans="1:13" ht="32.25" thickBot="1">
      <c r="A3" s="415"/>
      <c r="B3" s="416" t="s">
        <v>599</v>
      </c>
      <c r="C3" s="418" t="s">
        <v>600</v>
      </c>
      <c r="D3" s="620" t="s">
        <v>687</v>
      </c>
      <c r="E3" s="620" t="s">
        <v>807</v>
      </c>
      <c r="F3" s="620" t="s">
        <v>824</v>
      </c>
      <c r="G3" s="417" t="s">
        <v>441</v>
      </c>
    </row>
    <row r="4" spans="1:13" ht="15.75" thickTop="1">
      <c r="A4" s="181" t="s">
        <v>132</v>
      </c>
      <c r="C4" s="243"/>
      <c r="D4" s="1161"/>
      <c r="E4" s="621"/>
    </row>
    <row r="5" spans="1:13">
      <c r="A5" s="186" t="s">
        <v>136</v>
      </c>
      <c r="B5" s="488">
        <f>ROUND(Dashboard!$D$41*(C5),-2)</f>
        <v>1616500</v>
      </c>
      <c r="C5" s="432">
        <f t="shared" ref="C5:C23" si="0">G5/G$45</f>
        <v>0.18678469389733562</v>
      </c>
      <c r="D5" s="488">
        <v>7988857.5199999996</v>
      </c>
      <c r="E5" s="488">
        <v>8261896.9299999997</v>
      </c>
      <c r="F5" s="488">
        <v>7890000</v>
      </c>
      <c r="G5" s="488">
        <f t="shared" ref="G5:G23" si="1">AVERAGE(D5,E5,F5)</f>
        <v>8046918.1499999994</v>
      </c>
      <c r="I5" s="141"/>
      <c r="J5" s="141"/>
      <c r="M5" s="523"/>
    </row>
    <row r="6" spans="1:13">
      <c r="A6" s="189" t="s">
        <v>138</v>
      </c>
      <c r="B6" s="267">
        <f>ROUND(Dashboard!$D$41*(C6),-2)</f>
        <v>12700</v>
      </c>
      <c r="C6" s="433">
        <f t="shared" si="0"/>
        <v>1.4700764151220559E-3</v>
      </c>
      <c r="D6" s="267">
        <v>15635.09</v>
      </c>
      <c r="E6" s="267">
        <v>43363.1</v>
      </c>
      <c r="F6" s="267">
        <v>131000</v>
      </c>
      <c r="G6" s="488">
        <f t="shared" si="1"/>
        <v>63332.73</v>
      </c>
      <c r="I6" s="141"/>
      <c r="J6" s="141"/>
      <c r="M6" s="523"/>
    </row>
    <row r="7" spans="1:13">
      <c r="A7" s="179" t="s">
        <v>140</v>
      </c>
      <c r="B7" s="267">
        <f>ROUND(Dashboard!$D$41*(C7),-2)</f>
        <v>2068000</v>
      </c>
      <c r="C7" s="433">
        <f t="shared" si="0"/>
        <v>0.23895083085212435</v>
      </c>
      <c r="D7" s="267">
        <v>10132053.939999999</v>
      </c>
      <c r="E7" s="267">
        <v>10783847.720000001</v>
      </c>
      <c r="F7" s="267">
        <v>9967000</v>
      </c>
      <c r="G7" s="488">
        <f t="shared" si="1"/>
        <v>10294300.553333333</v>
      </c>
      <c r="I7" s="141"/>
      <c r="J7" s="141"/>
      <c r="M7" s="523"/>
    </row>
    <row r="8" spans="1:13">
      <c r="A8" s="186" t="s">
        <v>141</v>
      </c>
      <c r="B8" s="488">
        <f>ROUND(Dashboard!$D$41*(C8),-2)</f>
        <v>348400</v>
      </c>
      <c r="C8" s="432">
        <f t="shared" si="0"/>
        <v>4.025754277300226E-2</v>
      </c>
      <c r="D8" s="488">
        <v>1645567.36</v>
      </c>
      <c r="E8" s="488">
        <v>1868468.47</v>
      </c>
      <c r="F8" s="488">
        <v>1689000</v>
      </c>
      <c r="G8" s="488">
        <f t="shared" si="1"/>
        <v>1734345.2766666666</v>
      </c>
      <c r="I8" s="141"/>
      <c r="J8" s="141"/>
      <c r="M8" s="523"/>
    </row>
    <row r="9" spans="1:13">
      <c r="A9" s="189" t="s">
        <v>142</v>
      </c>
      <c r="B9" s="267">
        <f>ROUND(Dashboard!$D$41*(C9),-2)</f>
        <v>737500</v>
      </c>
      <c r="C9" s="433">
        <f t="shared" si="0"/>
        <v>8.521104442814495E-2</v>
      </c>
      <c r="D9" s="267">
        <v>3744113.34</v>
      </c>
      <c r="E9" s="267">
        <v>3789881.66</v>
      </c>
      <c r="F9" s="267">
        <v>3479000</v>
      </c>
      <c r="G9" s="488">
        <f t="shared" si="1"/>
        <v>3670998.3333333335</v>
      </c>
      <c r="I9" s="141"/>
      <c r="J9" s="141"/>
      <c r="M9" s="523"/>
    </row>
    <row r="10" spans="1:13">
      <c r="A10" s="179" t="s">
        <v>143</v>
      </c>
      <c r="B10" s="267">
        <f>ROUND(Dashboard!$D$41*(C10),-2)</f>
        <v>32400</v>
      </c>
      <c r="C10" s="433">
        <f t="shared" si="0"/>
        <v>3.7467153856798195E-3</v>
      </c>
      <c r="D10" s="267">
        <v>165495.20000000001</v>
      </c>
      <c r="E10" s="267">
        <v>194744.35</v>
      </c>
      <c r="F10" s="267">
        <v>124000</v>
      </c>
      <c r="G10" s="488">
        <f t="shared" si="1"/>
        <v>161413.18333333335</v>
      </c>
      <c r="I10" s="141"/>
      <c r="J10" s="141"/>
      <c r="M10" s="523"/>
    </row>
    <row r="11" spans="1:13">
      <c r="A11" s="186" t="s">
        <v>144</v>
      </c>
      <c r="B11" s="488">
        <f>ROUND(Dashboard!$D$41*(C11),-2)</f>
        <v>62100</v>
      </c>
      <c r="C11" s="432">
        <f t="shared" si="0"/>
        <v>7.1752713267934087E-3</v>
      </c>
      <c r="D11" s="488">
        <v>268610.49</v>
      </c>
      <c r="E11" s="488">
        <v>333748.49</v>
      </c>
      <c r="F11" s="488">
        <v>325000</v>
      </c>
      <c r="G11" s="488">
        <f t="shared" si="1"/>
        <v>309119.65999999997</v>
      </c>
      <c r="I11" s="141"/>
      <c r="J11" s="141"/>
      <c r="M11" s="523"/>
    </row>
    <row r="12" spans="1:13">
      <c r="A12" s="179" t="s">
        <v>145</v>
      </c>
      <c r="B12" s="267">
        <f>ROUND(Dashboard!$D$41*(C12),-2)</f>
        <v>2161700</v>
      </c>
      <c r="C12" s="433">
        <f t="shared" si="0"/>
        <v>0.24977450464879689</v>
      </c>
      <c r="D12" s="267">
        <v>10393675.09</v>
      </c>
      <c r="E12" s="267">
        <v>11027118.77</v>
      </c>
      <c r="F12" s="267">
        <v>10861000</v>
      </c>
      <c r="G12" s="488">
        <f t="shared" si="1"/>
        <v>10760597.953333333</v>
      </c>
      <c r="I12" s="141"/>
      <c r="J12" s="141"/>
      <c r="M12" s="523"/>
    </row>
    <row r="13" spans="1:13">
      <c r="A13" s="179" t="s">
        <v>146</v>
      </c>
      <c r="B13" s="500">
        <f>ROUND(Dashboard!$D$41*(C13),-2)</f>
        <v>0</v>
      </c>
      <c r="C13" s="434">
        <f t="shared" si="0"/>
        <v>0</v>
      </c>
      <c r="D13" s="931"/>
      <c r="E13" s="931"/>
      <c r="F13" s="931"/>
      <c r="G13" s="932"/>
      <c r="I13" s="141"/>
      <c r="J13" s="141"/>
      <c r="M13" s="523"/>
    </row>
    <row r="14" spans="1:13">
      <c r="A14" s="186" t="s">
        <v>147</v>
      </c>
      <c r="B14" s="488">
        <f>ROUND(Dashboard!$D$41*(C14),-2)</f>
        <v>668300</v>
      </c>
      <c r="C14" s="432">
        <f t="shared" si="0"/>
        <v>7.7216247520714751E-2</v>
      </c>
      <c r="D14" s="488">
        <v>3032979.68</v>
      </c>
      <c r="E14" s="488">
        <v>3586737.78</v>
      </c>
      <c r="F14" s="488">
        <v>3360000</v>
      </c>
      <c r="G14" s="488">
        <f t="shared" si="1"/>
        <v>3326572.4866666668</v>
      </c>
      <c r="I14" s="141"/>
      <c r="J14" s="141"/>
      <c r="M14" s="523"/>
    </row>
    <row r="15" spans="1:13">
      <c r="A15" s="179" t="s">
        <v>148</v>
      </c>
      <c r="B15" s="500">
        <f>ROUND(Dashboard!$D$41*(C15),-2)</f>
        <v>0</v>
      </c>
      <c r="C15" s="434">
        <f t="shared" si="0"/>
        <v>0</v>
      </c>
      <c r="D15" s="931"/>
      <c r="E15" s="931"/>
      <c r="F15" s="931"/>
      <c r="G15" s="932"/>
      <c r="I15" s="141"/>
      <c r="J15" s="141"/>
      <c r="M15" s="523"/>
    </row>
    <row r="16" spans="1:13">
      <c r="A16" s="179" t="s">
        <v>149</v>
      </c>
      <c r="B16" s="267">
        <f>ROUND(Dashboard!$D$41*(C16),-2)</f>
        <v>0</v>
      </c>
      <c r="C16" s="434">
        <f t="shared" si="0"/>
        <v>0</v>
      </c>
      <c r="D16" s="267">
        <v>0</v>
      </c>
      <c r="E16" s="267">
        <v>0</v>
      </c>
      <c r="F16" s="267"/>
      <c r="G16" s="488">
        <f t="shared" si="1"/>
        <v>0</v>
      </c>
      <c r="I16" s="141"/>
      <c r="J16" s="141"/>
      <c r="M16" s="523"/>
    </row>
    <row r="17" spans="1:13">
      <c r="A17" s="186" t="s">
        <v>801</v>
      </c>
      <c r="B17" s="488">
        <f>ROUND(Dashboard!$D$41*(C17),-2)</f>
        <v>0</v>
      </c>
      <c r="C17" s="628">
        <f t="shared" si="0"/>
        <v>0</v>
      </c>
      <c r="D17" s="488">
        <v>0</v>
      </c>
      <c r="E17" s="488">
        <v>0</v>
      </c>
      <c r="F17" s="488"/>
      <c r="G17" s="488">
        <f t="shared" si="1"/>
        <v>0</v>
      </c>
      <c r="I17" s="141"/>
      <c r="J17" s="141"/>
      <c r="M17" s="523"/>
    </row>
    <row r="18" spans="1:13">
      <c r="A18" s="189" t="s">
        <v>150</v>
      </c>
      <c r="B18" s="496">
        <f>ROUND(Dashboard!$D$41*(C18),-2)</f>
        <v>0</v>
      </c>
      <c r="C18" s="434">
        <f t="shared" si="0"/>
        <v>0</v>
      </c>
      <c r="D18" s="933"/>
      <c r="E18" s="933"/>
      <c r="F18" s="933"/>
      <c r="G18" s="932"/>
      <c r="I18" s="141"/>
      <c r="J18" s="141"/>
      <c r="M18" s="523"/>
    </row>
    <row r="19" spans="1:13">
      <c r="A19" s="179" t="s">
        <v>175</v>
      </c>
      <c r="B19" s="491">
        <f>ROUND(Dashboard!$D$41*(C19),-2)</f>
        <v>0</v>
      </c>
      <c r="C19" s="434">
        <f t="shared" si="0"/>
        <v>0</v>
      </c>
      <c r="D19" s="491">
        <v>0</v>
      </c>
      <c r="E19" s="491">
        <v>0</v>
      </c>
      <c r="F19" s="491"/>
      <c r="G19" s="488">
        <f t="shared" si="1"/>
        <v>0</v>
      </c>
      <c r="I19" s="141"/>
      <c r="J19" s="141"/>
      <c r="M19" s="523"/>
    </row>
    <row r="20" spans="1:13">
      <c r="A20" s="196" t="s">
        <v>151</v>
      </c>
      <c r="B20" s="489">
        <f>ROUND(Dashboard!$D$41*(C20),-2)</f>
        <v>1400</v>
      </c>
      <c r="C20" s="628">
        <f t="shared" si="0"/>
        <v>1.6415037363326786E-4</v>
      </c>
      <c r="D20" s="489">
        <v>0</v>
      </c>
      <c r="E20" s="489">
        <v>16215.41</v>
      </c>
      <c r="F20" s="489">
        <v>5000</v>
      </c>
      <c r="G20" s="488">
        <f t="shared" si="1"/>
        <v>7071.8033333333333</v>
      </c>
      <c r="I20" s="141"/>
      <c r="J20" s="141"/>
      <c r="M20" s="523"/>
    </row>
    <row r="21" spans="1:13">
      <c r="A21" s="604" t="s">
        <v>152</v>
      </c>
      <c r="B21" s="496">
        <f>ROUND(Dashboard!$D$41*(C21),-2)</f>
        <v>0</v>
      </c>
      <c r="C21" s="434">
        <f t="shared" si="0"/>
        <v>0</v>
      </c>
      <c r="D21" s="496">
        <v>0</v>
      </c>
      <c r="E21" s="496">
        <v>0</v>
      </c>
      <c r="F21" s="496"/>
      <c r="G21" s="488">
        <f t="shared" si="1"/>
        <v>0</v>
      </c>
      <c r="I21" s="141"/>
      <c r="J21" s="141"/>
      <c r="M21" s="523"/>
    </row>
    <row r="22" spans="1:13">
      <c r="A22" s="179" t="s">
        <v>153</v>
      </c>
      <c r="B22" s="491">
        <f>ROUND(Dashboard!$D$41*(C22),-2)</f>
        <v>0</v>
      </c>
      <c r="C22" s="433">
        <f t="shared" si="0"/>
        <v>0</v>
      </c>
      <c r="D22" s="934"/>
      <c r="E22" s="934"/>
      <c r="F22" s="934"/>
      <c r="G22" s="932"/>
      <c r="I22" s="141"/>
      <c r="J22" s="141"/>
      <c r="M22" s="523"/>
    </row>
    <row r="23" spans="1:13">
      <c r="A23" s="196" t="s">
        <v>154</v>
      </c>
      <c r="B23" s="268">
        <f>ROUND(Dashboard!$D$41*(C23),-2)</f>
        <v>945500</v>
      </c>
      <c r="C23" s="435">
        <f t="shared" si="0"/>
        <v>0.10924892237865251</v>
      </c>
      <c r="D23" s="268">
        <v>4476679.6500000004</v>
      </c>
      <c r="E23" s="268">
        <v>5190060.8600000003</v>
      </c>
      <c r="F23" s="268">
        <v>4453000</v>
      </c>
      <c r="G23" s="488">
        <f t="shared" si="1"/>
        <v>4706580.1700000009</v>
      </c>
      <c r="I23" s="141"/>
      <c r="J23" s="141"/>
      <c r="M23" s="523"/>
    </row>
    <row r="24" spans="1:13">
      <c r="A24" s="201"/>
      <c r="B24" s="201"/>
      <c r="C24" s="201"/>
      <c r="D24" s="201"/>
      <c r="E24" s="420"/>
      <c r="F24" s="420"/>
      <c r="G24" s="201"/>
      <c r="I24" s="141"/>
      <c r="J24" s="141"/>
      <c r="M24" s="523"/>
    </row>
    <row r="25" spans="1:13" ht="15.75">
      <c r="A25" s="179"/>
      <c r="B25" s="80"/>
      <c r="C25" s="423"/>
      <c r="D25" s="80"/>
      <c r="E25" s="421"/>
      <c r="F25" s="421"/>
      <c r="G25" s="80"/>
      <c r="I25" s="141"/>
      <c r="J25" s="141"/>
      <c r="M25" s="523"/>
    </row>
    <row r="26" spans="1:13" ht="15.75">
      <c r="A26" s="177"/>
      <c r="C26" s="423"/>
      <c r="E26" s="422"/>
      <c r="F26" s="422"/>
      <c r="I26" s="141"/>
      <c r="J26" s="141"/>
      <c r="M26" s="523"/>
    </row>
    <row r="27" spans="1:13">
      <c r="A27" s="189" t="s">
        <v>156</v>
      </c>
      <c r="B27" s="190"/>
      <c r="C27" s="434"/>
      <c r="D27" s="190"/>
      <c r="E27" s="419"/>
      <c r="F27" s="419"/>
      <c r="G27" s="190"/>
      <c r="I27" s="141"/>
      <c r="J27" s="141"/>
      <c r="M27" s="523"/>
    </row>
    <row r="28" spans="1:13">
      <c r="A28" s="186" t="s">
        <v>157</v>
      </c>
      <c r="B28" s="488">
        <f>ROUND(Dashboard!$D$41*(C28),-2)</f>
        <v>0</v>
      </c>
      <c r="C28" s="432">
        <f t="shared" ref="C28:C43" si="2">G28/G$45</f>
        <v>0</v>
      </c>
      <c r="D28" s="932"/>
      <c r="E28" s="932"/>
      <c r="F28" s="932"/>
      <c r="G28" s="932"/>
      <c r="I28" s="141"/>
      <c r="J28" s="141"/>
      <c r="M28" s="523"/>
    </row>
    <row r="29" spans="1:13">
      <c r="A29" s="603" t="s">
        <v>158</v>
      </c>
      <c r="B29" s="267">
        <f>ROUND(Dashboard!$D$41*(C29),-2)</f>
        <v>0</v>
      </c>
      <c r="C29" s="433">
        <f t="shared" si="2"/>
        <v>0</v>
      </c>
      <c r="D29" s="932"/>
      <c r="E29" s="932"/>
      <c r="F29" s="932"/>
      <c r="G29" s="932"/>
      <c r="I29" s="141"/>
      <c r="J29" s="141"/>
      <c r="M29" s="523"/>
    </row>
    <row r="30" spans="1:13">
      <c r="A30" s="492" t="s">
        <v>159</v>
      </c>
      <c r="B30" s="267">
        <f>ROUND(Dashboard!$D$41*(C30),-2)</f>
        <v>0</v>
      </c>
      <c r="C30" s="433">
        <f t="shared" si="2"/>
        <v>0</v>
      </c>
      <c r="D30" s="932"/>
      <c r="E30" s="932"/>
      <c r="F30" s="932"/>
      <c r="G30" s="932"/>
      <c r="I30" s="141"/>
      <c r="J30" s="141"/>
      <c r="M30" s="523"/>
    </row>
    <row r="31" spans="1:13">
      <c r="A31" s="186" t="s">
        <v>160</v>
      </c>
      <c r="B31" s="488">
        <f>ROUND(Dashboard!$D$41*(C31),-2)</f>
        <v>0</v>
      </c>
      <c r="C31" s="629">
        <f t="shared" si="2"/>
        <v>0</v>
      </c>
      <c r="D31" s="932"/>
      <c r="E31" s="932"/>
      <c r="F31" s="932"/>
      <c r="G31" s="932"/>
      <c r="I31" s="141"/>
      <c r="J31" s="141"/>
      <c r="M31" s="523"/>
    </row>
    <row r="32" spans="1:13">
      <c r="A32" s="189" t="s">
        <v>161</v>
      </c>
      <c r="B32" s="267">
        <f>ROUND(Dashboard!$D$41*(C32),-2)</f>
        <v>0</v>
      </c>
      <c r="C32" s="433">
        <f t="shared" si="2"/>
        <v>0</v>
      </c>
      <c r="D32" s="932"/>
      <c r="E32" s="932"/>
      <c r="F32" s="932"/>
      <c r="G32" s="932"/>
      <c r="I32" s="141"/>
      <c r="J32" s="141"/>
      <c r="M32" s="523"/>
    </row>
    <row r="33" spans="1:13" s="871" customFormat="1">
      <c r="A33" s="189" t="s">
        <v>632</v>
      </c>
      <c r="B33" s="267">
        <f>ROUND(Dashboard!$D$41*(C33),-2)</f>
        <v>0</v>
      </c>
      <c r="C33" s="433">
        <f t="shared" si="2"/>
        <v>0</v>
      </c>
      <c r="D33" s="932"/>
      <c r="E33" s="932"/>
      <c r="F33" s="932"/>
      <c r="G33" s="932"/>
      <c r="I33" s="141"/>
      <c r="J33" s="141"/>
      <c r="M33" s="523"/>
    </row>
    <row r="34" spans="1:13">
      <c r="A34" s="492" t="s">
        <v>162</v>
      </c>
      <c r="B34" s="267">
        <f>ROUND(Dashboard!$D$41*(C34),-2)</f>
        <v>0</v>
      </c>
      <c r="C34" s="433">
        <f t="shared" si="2"/>
        <v>0</v>
      </c>
      <c r="D34" s="932"/>
      <c r="E34" s="932"/>
      <c r="F34" s="932"/>
      <c r="G34" s="932"/>
      <c r="I34" s="141"/>
      <c r="J34" s="141"/>
      <c r="M34" s="523"/>
    </row>
    <row r="35" spans="1:13">
      <c r="A35" s="602" t="s">
        <v>697</v>
      </c>
      <c r="B35" s="488">
        <f>ROUND(Dashboard!$D$41*(C35),-2)</f>
        <v>0</v>
      </c>
      <c r="C35" s="432">
        <f t="shared" si="2"/>
        <v>0</v>
      </c>
      <c r="D35" s="932"/>
      <c r="E35" s="932"/>
      <c r="F35" s="932"/>
      <c r="G35" s="932"/>
      <c r="I35" s="141"/>
      <c r="J35" s="141"/>
      <c r="M35" s="523"/>
    </row>
    <row r="36" spans="1:13">
      <c r="A36" s="492" t="s">
        <v>163</v>
      </c>
      <c r="B36" s="267">
        <f>ROUND(Dashboard!$D$41*(C36),-2)</f>
        <v>0</v>
      </c>
      <c r="C36" s="433">
        <f t="shared" si="2"/>
        <v>0</v>
      </c>
      <c r="D36" s="932"/>
      <c r="E36" s="932"/>
      <c r="F36" s="932"/>
      <c r="G36" s="932"/>
      <c r="I36" s="141"/>
      <c r="J36" s="141"/>
      <c r="M36" s="523"/>
    </row>
    <row r="37" spans="1:13">
      <c r="A37" s="604" t="s">
        <v>698</v>
      </c>
      <c r="B37" s="500">
        <f>ROUND(Dashboard!$D$41*(C37),-2)</f>
        <v>0</v>
      </c>
      <c r="C37" s="434">
        <f t="shared" si="2"/>
        <v>0</v>
      </c>
      <c r="D37" s="931"/>
      <c r="E37" s="931"/>
      <c r="F37" s="931"/>
      <c r="G37" s="931"/>
      <c r="I37" s="141"/>
      <c r="J37" s="141"/>
      <c r="M37" s="523"/>
    </row>
    <row r="38" spans="1:13">
      <c r="A38" s="186" t="s">
        <v>362</v>
      </c>
      <c r="B38" s="488">
        <f>ROUND(Dashboard!$D$41*(C38),-2)</f>
        <v>0</v>
      </c>
      <c r="C38" s="628">
        <f t="shared" si="2"/>
        <v>0</v>
      </c>
      <c r="D38" s="932"/>
      <c r="E38" s="932"/>
      <c r="F38" s="932"/>
      <c r="G38" s="932"/>
      <c r="I38" s="141"/>
      <c r="J38" s="141"/>
      <c r="M38" s="523"/>
    </row>
    <row r="39" spans="1:13">
      <c r="A39" s="492" t="s">
        <v>699</v>
      </c>
      <c r="B39" s="500">
        <f>ROUND(Dashboard!$D$41*(C39),-2)</f>
        <v>0</v>
      </c>
      <c r="C39" s="434">
        <f t="shared" si="2"/>
        <v>0</v>
      </c>
      <c r="D39" s="931"/>
      <c r="E39" s="931"/>
      <c r="F39" s="931"/>
      <c r="G39" s="931"/>
      <c r="I39" s="141"/>
      <c r="J39" s="141"/>
      <c r="M39" s="523"/>
    </row>
    <row r="40" spans="1:13">
      <c r="A40" s="492" t="s">
        <v>164</v>
      </c>
      <c r="B40" s="267">
        <f>ROUND(Dashboard!$D$41*(C40),-2)</f>
        <v>0</v>
      </c>
      <c r="C40" s="434">
        <f t="shared" si="2"/>
        <v>0</v>
      </c>
      <c r="D40" s="932"/>
      <c r="E40" s="932"/>
      <c r="F40" s="932"/>
      <c r="G40" s="932"/>
      <c r="I40" s="141"/>
      <c r="J40" s="141"/>
      <c r="M40" s="523"/>
    </row>
    <row r="41" spans="1:13">
      <c r="A41" s="186" t="s">
        <v>165</v>
      </c>
      <c r="B41" s="488">
        <f>ROUND(Dashboard!$D$41*(C41),-2)</f>
        <v>0</v>
      </c>
      <c r="C41" s="628">
        <f t="shared" si="2"/>
        <v>0</v>
      </c>
      <c r="D41" s="932"/>
      <c r="E41" s="932"/>
      <c r="F41" s="932"/>
      <c r="G41" s="932"/>
      <c r="I41" s="141"/>
      <c r="J41" s="141"/>
      <c r="M41" s="523"/>
    </row>
    <row r="42" spans="1:13">
      <c r="A42" s="492" t="s">
        <v>167</v>
      </c>
      <c r="B42" s="491">
        <f>ROUND(Dashboard!$D$41*(C42),-2)</f>
        <v>0</v>
      </c>
      <c r="C42" s="434">
        <f t="shared" si="2"/>
        <v>0</v>
      </c>
      <c r="D42" s="934"/>
      <c r="E42" s="934"/>
      <c r="F42" s="934"/>
      <c r="G42" s="934"/>
      <c r="I42" s="141"/>
      <c r="J42" s="141"/>
      <c r="M42" s="523"/>
    </row>
    <row r="43" spans="1:13">
      <c r="A43" s="602" t="s">
        <v>680</v>
      </c>
      <c r="B43" s="489">
        <f>ROUND(Dashboard!$D$41*(C43),-2)</f>
        <v>0</v>
      </c>
      <c r="C43" s="628">
        <f t="shared" si="2"/>
        <v>0</v>
      </c>
      <c r="D43" s="934"/>
      <c r="E43" s="934"/>
      <c r="F43" s="934"/>
      <c r="G43" s="934"/>
      <c r="I43" s="141"/>
      <c r="J43" s="141"/>
      <c r="M43" s="523"/>
    </row>
    <row r="44" spans="1:13">
      <c r="A44" s="211"/>
      <c r="B44" s="211"/>
      <c r="C44" s="436"/>
      <c r="D44" s="211"/>
      <c r="E44" s="211"/>
      <c r="F44" s="211"/>
      <c r="G44" s="211"/>
    </row>
    <row r="45" spans="1:13" ht="15.75" thickBot="1">
      <c r="A45" s="213" t="s">
        <v>437</v>
      </c>
      <c r="B45" s="214">
        <f>SUM(B5:B44)</f>
        <v>8654500</v>
      </c>
      <c r="C45" s="437">
        <f t="shared" ref="C45:G45" si="3">SUM(C5:C44)</f>
        <v>0.99999999999999989</v>
      </c>
      <c r="D45" s="1159">
        <f t="shared" si="3"/>
        <v>41863667.359999992</v>
      </c>
      <c r="E45" s="214">
        <f t="shared" si="3"/>
        <v>45096083.539999992</v>
      </c>
      <c r="F45" s="214">
        <f t="shared" si="3"/>
        <v>42284000</v>
      </c>
      <c r="G45" s="214">
        <f t="shared" si="3"/>
        <v>43081250.300000004</v>
      </c>
    </row>
    <row r="46" spans="1:13" ht="15.75" thickTop="1">
      <c r="B46" s="217"/>
      <c r="C46" s="217"/>
      <c r="D46" s="217"/>
      <c r="E46" s="217"/>
      <c r="F46" s="217"/>
    </row>
    <row r="47" spans="1:13" s="900" customFormat="1">
      <c r="A47" s="900" t="s">
        <v>215</v>
      </c>
      <c r="B47" s="217"/>
      <c r="C47" s="217"/>
      <c r="D47" s="217">
        <v>1574265.87</v>
      </c>
      <c r="E47" s="217">
        <v>1767092.01</v>
      </c>
      <c r="F47" s="217">
        <v>1565000</v>
      </c>
    </row>
    <row r="48" spans="1:13" s="900" customFormat="1">
      <c r="A48" s="900" t="s">
        <v>700</v>
      </c>
      <c r="B48" s="217"/>
      <c r="C48" s="217"/>
      <c r="D48" s="217">
        <v>698567.91</v>
      </c>
      <c r="E48" s="217">
        <v>641599.31000000006</v>
      </c>
      <c r="F48" s="217">
        <v>636000</v>
      </c>
    </row>
    <row r="49" spans="1:10">
      <c r="A49" t="s">
        <v>438</v>
      </c>
      <c r="B49" s="424"/>
      <c r="C49" s="424"/>
      <c r="D49" s="424">
        <v>427095.9</v>
      </c>
      <c r="E49" s="424">
        <v>463697.29</v>
      </c>
      <c r="F49" s="424">
        <v>414000</v>
      </c>
    </row>
    <row r="50" spans="1:10" ht="15.75" thickBot="1">
      <c r="D50" s="214">
        <f>SUM(D45:D49)</f>
        <v>44563597.039999984</v>
      </c>
      <c r="E50" s="214">
        <f>SUM(E45:E49)</f>
        <v>47968472.149999991</v>
      </c>
      <c r="F50" s="214">
        <f>SUM(F45:F49)</f>
        <v>44899000</v>
      </c>
    </row>
    <row r="51" spans="1:10" ht="15.75" thickTop="1">
      <c r="D51" s="425"/>
      <c r="E51" s="425"/>
      <c r="G51" s="285"/>
      <c r="H51" s="285"/>
      <c r="I51" s="426"/>
      <c r="J51" s="426"/>
    </row>
    <row r="52" spans="1:10">
      <c r="D52" s="425"/>
      <c r="E52" s="425"/>
      <c r="G52" s="285"/>
      <c r="H52" s="285"/>
    </row>
    <row r="53" spans="1:10">
      <c r="D53" s="425"/>
      <c r="E53" s="425"/>
      <c r="F53" s="425"/>
      <c r="G53" s="285"/>
      <c r="H53" s="285"/>
      <c r="I53" s="217"/>
      <c r="J53" s="217"/>
    </row>
    <row r="54" spans="1:10">
      <c r="D54" s="425"/>
      <c r="E54" s="425"/>
      <c r="G54" s="285"/>
      <c r="H54" s="285"/>
    </row>
    <row r="55" spans="1:10">
      <c r="E55" s="427"/>
    </row>
    <row r="56" spans="1:10">
      <c r="E56" s="428"/>
      <c r="F56" s="622"/>
    </row>
    <row r="57" spans="1:10">
      <c r="E57" s="429"/>
      <c r="F57" s="623"/>
    </row>
    <row r="58" spans="1:10">
      <c r="E58" s="409"/>
    </row>
    <row r="59" spans="1:10">
      <c r="E59" s="409"/>
    </row>
    <row r="60" spans="1:10">
      <c r="E60" s="409"/>
    </row>
    <row r="61" spans="1:10">
      <c r="E61" s="429"/>
      <c r="F61" s="623"/>
    </row>
    <row r="62" spans="1:10">
      <c r="E62" s="429"/>
      <c r="F62" s="623"/>
    </row>
    <row r="63" spans="1:10">
      <c r="E63" s="409"/>
    </row>
    <row r="64" spans="1:10">
      <c r="E64" s="409"/>
    </row>
    <row r="65" spans="5:7">
      <c r="E65" s="429"/>
      <c r="F65" s="623"/>
    </row>
    <row r="66" spans="5:7">
      <c r="E66" s="409"/>
    </row>
    <row r="67" spans="5:7">
      <c r="E67" s="430"/>
      <c r="F67" s="624"/>
    </row>
    <row r="68" spans="5:7">
      <c r="E68" s="405"/>
    </row>
    <row r="69" spans="5:7">
      <c r="E69" s="409"/>
    </row>
    <row r="70" spans="5:7">
      <c r="E70" s="409"/>
    </row>
    <row r="71" spans="5:7">
      <c r="E71" s="409"/>
    </row>
    <row r="72" spans="5:7">
      <c r="E72" s="405"/>
    </row>
    <row r="73" spans="5:7">
      <c r="G73" s="405"/>
    </row>
    <row r="74" spans="5:7">
      <c r="G74" s="431"/>
    </row>
  </sheetData>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A94"/>
  <sheetViews>
    <sheetView workbookViewId="0"/>
  </sheetViews>
  <sheetFormatPr defaultColWidth="8.85546875" defaultRowHeight="15"/>
  <cols>
    <col min="1" max="1" width="26.140625" bestFit="1" customWidth="1"/>
    <col min="2" max="10" width="9" bestFit="1" customWidth="1"/>
    <col min="11" max="11" width="10.7109375" customWidth="1"/>
    <col min="12" max="12" width="8.85546875" customWidth="1"/>
    <col min="13" max="13" width="10" customWidth="1"/>
    <col min="14" max="14" width="10.140625" customWidth="1"/>
    <col min="15" max="15" width="10.85546875" customWidth="1"/>
    <col min="16" max="16" width="10.42578125" customWidth="1"/>
    <col min="17" max="18" width="8" bestFit="1" customWidth="1"/>
    <col min="19" max="19" width="8.42578125" bestFit="1" customWidth="1"/>
    <col min="20" max="28" width="9" bestFit="1" customWidth="1"/>
    <col min="29" max="31" width="8" bestFit="1" customWidth="1"/>
    <col min="32" max="34" width="9" bestFit="1" customWidth="1"/>
    <col min="35" max="37" width="8" bestFit="1" customWidth="1"/>
    <col min="38" max="38" width="7.7109375" bestFit="1" customWidth="1"/>
    <col min="39" max="46" width="8" customWidth="1"/>
    <col min="47" max="48" width="8" bestFit="1" customWidth="1"/>
    <col min="49" max="49" width="8.42578125" bestFit="1" customWidth="1"/>
    <col min="50" max="51" width="8" bestFit="1" customWidth="1"/>
    <col min="52" max="52" width="8.42578125" bestFit="1" customWidth="1"/>
    <col min="53" max="55" width="5.42578125" bestFit="1" customWidth="1"/>
  </cols>
  <sheetData>
    <row r="1" spans="1:52">
      <c r="B1" s="1283" t="s">
        <v>589</v>
      </c>
      <c r="C1" s="1283"/>
      <c r="D1" s="1283"/>
      <c r="E1" s="1283"/>
      <c r="F1" s="1283"/>
      <c r="G1" s="1283"/>
      <c r="H1" s="1283"/>
      <c r="I1" s="1283"/>
      <c r="J1" s="1283"/>
      <c r="K1" s="1283"/>
      <c r="L1" s="1283"/>
      <c r="M1" s="1283"/>
      <c r="N1" s="1283"/>
      <c r="O1" s="1283"/>
      <c r="P1" s="1283"/>
      <c r="Q1" s="1283"/>
      <c r="R1" s="1283"/>
      <c r="S1" s="1283"/>
      <c r="T1" s="1283"/>
      <c r="U1" s="1283"/>
      <c r="V1" s="1283"/>
      <c r="W1" s="1283"/>
      <c r="X1" s="1283"/>
      <c r="Y1" s="1283"/>
      <c r="Z1" s="1283"/>
      <c r="AA1" s="1283"/>
      <c r="AB1" s="1283"/>
      <c r="AC1" s="1283"/>
      <c r="AD1" s="1283"/>
      <c r="AE1" s="1283"/>
      <c r="AF1" s="1283"/>
      <c r="AG1" s="1283"/>
      <c r="AH1" s="1283"/>
      <c r="AI1" s="1283"/>
      <c r="AJ1" s="1283"/>
      <c r="AK1" s="1283"/>
      <c r="AL1" s="1283"/>
      <c r="AM1" s="1283"/>
      <c r="AN1" s="1283"/>
      <c r="AO1" s="1283"/>
      <c r="AP1" s="1283"/>
      <c r="AQ1" s="1283"/>
      <c r="AR1" s="1283"/>
      <c r="AS1" s="1283"/>
      <c r="AT1" s="1283"/>
      <c r="AU1" s="1283"/>
      <c r="AV1" s="1283"/>
      <c r="AW1" s="1283"/>
      <c r="AX1" s="1283" t="s">
        <v>228</v>
      </c>
      <c r="AY1" s="1283"/>
      <c r="AZ1" s="1283"/>
    </row>
    <row r="2" spans="1:52">
      <c r="A2" s="271" t="s">
        <v>804</v>
      </c>
      <c r="B2" s="1276" t="s">
        <v>521</v>
      </c>
      <c r="C2" s="1277"/>
      <c r="D2" s="1277"/>
      <c r="E2" s="1277"/>
      <c r="F2" s="1277"/>
      <c r="G2" s="1277"/>
      <c r="H2" s="1277"/>
      <c r="I2" s="1277"/>
      <c r="J2" s="1277"/>
      <c r="K2" s="1277"/>
      <c r="L2" s="1277"/>
      <c r="M2" s="1277"/>
      <c r="N2" s="1277"/>
      <c r="O2" s="1277"/>
      <c r="P2" s="1277"/>
      <c r="Q2" s="1277"/>
      <c r="R2" s="1277"/>
      <c r="S2" s="1278"/>
      <c r="T2" s="1245" t="s">
        <v>588</v>
      </c>
      <c r="U2" s="1246"/>
      <c r="V2" s="1246"/>
      <c r="W2" s="1246"/>
      <c r="X2" s="1246"/>
      <c r="Y2" s="1246"/>
      <c r="Z2" s="1246"/>
      <c r="AA2" s="1246"/>
      <c r="AB2" s="1246"/>
      <c r="AC2" s="1246"/>
      <c r="AD2" s="1246"/>
      <c r="AE2" s="1246"/>
      <c r="AF2" s="1246"/>
      <c r="AG2" s="1246"/>
      <c r="AH2" s="1246"/>
      <c r="AI2" s="1246"/>
      <c r="AJ2" s="1246"/>
      <c r="AK2" s="1247"/>
      <c r="AL2" s="1245" t="s">
        <v>522</v>
      </c>
      <c r="AM2" s="1246"/>
      <c r="AN2" s="1246"/>
      <c r="AO2" s="1246"/>
      <c r="AP2" s="1246"/>
      <c r="AQ2" s="1246"/>
      <c r="AR2" s="1246"/>
      <c r="AS2" s="1246"/>
      <c r="AT2" s="1247"/>
      <c r="AU2" s="1245" t="s">
        <v>519</v>
      </c>
      <c r="AV2" s="1246"/>
      <c r="AW2" s="1246"/>
      <c r="AX2" s="1246"/>
      <c r="AY2" s="1246"/>
      <c r="AZ2" s="1247"/>
    </row>
    <row r="3" spans="1:52">
      <c r="A3" t="s">
        <v>805</v>
      </c>
      <c r="B3" s="1242" t="s">
        <v>206</v>
      </c>
      <c r="C3" s="1243"/>
      <c r="D3" s="1243"/>
      <c r="E3" s="1243"/>
      <c r="F3" s="1243"/>
      <c r="G3" s="1244"/>
      <c r="H3" s="1253" t="s">
        <v>207</v>
      </c>
      <c r="I3" s="1254"/>
      <c r="J3" s="1254"/>
      <c r="K3" s="1254"/>
      <c r="L3" s="1254"/>
      <c r="M3" s="1255"/>
      <c r="N3" s="1248" t="s">
        <v>208</v>
      </c>
      <c r="O3" s="1269"/>
      <c r="P3" s="1269"/>
      <c r="Q3" s="1269"/>
      <c r="R3" s="1269"/>
      <c r="S3" s="1249"/>
      <c r="T3" s="1242" t="s">
        <v>206</v>
      </c>
      <c r="U3" s="1243"/>
      <c r="V3" s="1243"/>
      <c r="W3" s="1243"/>
      <c r="X3" s="1243"/>
      <c r="Y3" s="1244"/>
      <c r="Z3" s="1253" t="s">
        <v>207</v>
      </c>
      <c r="AA3" s="1254"/>
      <c r="AB3" s="1254"/>
      <c r="AC3" s="1254"/>
      <c r="AD3" s="1254"/>
      <c r="AE3" s="1255"/>
      <c r="AF3" s="1248" t="s">
        <v>208</v>
      </c>
      <c r="AG3" s="1269"/>
      <c r="AH3" s="1269"/>
      <c r="AI3" s="1269"/>
      <c r="AJ3" s="1269"/>
      <c r="AK3" s="1249"/>
      <c r="AL3" s="1284" t="s">
        <v>523</v>
      </c>
      <c r="AM3" s="1285"/>
      <c r="AN3" s="1285"/>
      <c r="AO3" s="1285"/>
      <c r="AP3" s="1285"/>
      <c r="AQ3" s="1285"/>
      <c r="AR3" s="1285"/>
      <c r="AS3" s="1285"/>
      <c r="AT3" s="1286"/>
      <c r="AU3" s="1242" t="s">
        <v>224</v>
      </c>
      <c r="AV3" s="1243"/>
      <c r="AW3" s="1244"/>
      <c r="AX3" s="1287" t="s">
        <v>241</v>
      </c>
      <c r="AY3" s="1288"/>
      <c r="AZ3" s="1289"/>
    </row>
    <row r="4" spans="1:52">
      <c r="B4" s="1280" t="s">
        <v>209</v>
      </c>
      <c r="C4" s="1281"/>
      <c r="D4" s="1281"/>
      <c r="E4" s="1276" t="s">
        <v>210</v>
      </c>
      <c r="F4" s="1277"/>
      <c r="G4" s="1278"/>
      <c r="H4" s="1280" t="s">
        <v>209</v>
      </c>
      <c r="I4" s="1281"/>
      <c r="J4" s="1282"/>
      <c r="K4" s="1276" t="s">
        <v>210</v>
      </c>
      <c r="L4" s="1277"/>
      <c r="M4" s="1278"/>
      <c r="N4" s="1280" t="s">
        <v>209</v>
      </c>
      <c r="O4" s="1281"/>
      <c r="P4" s="1282"/>
      <c r="Q4" s="1276" t="s">
        <v>210</v>
      </c>
      <c r="R4" s="1277"/>
      <c r="S4" s="1277"/>
      <c r="T4" s="1280" t="s">
        <v>209</v>
      </c>
      <c r="U4" s="1281"/>
      <c r="V4" s="1282"/>
      <c r="W4" s="1276" t="s">
        <v>210</v>
      </c>
      <c r="X4" s="1277"/>
      <c r="Y4" s="1278"/>
      <c r="Z4" s="1280" t="s">
        <v>209</v>
      </c>
      <c r="AA4" s="1281"/>
      <c r="AB4" s="1282"/>
      <c r="AC4" s="1276" t="s">
        <v>210</v>
      </c>
      <c r="AD4" s="1277"/>
      <c r="AE4" s="1278"/>
      <c r="AF4" s="1280" t="s">
        <v>209</v>
      </c>
      <c r="AG4" s="1281"/>
      <c r="AH4" s="1282"/>
      <c r="AI4" s="1276" t="s">
        <v>210</v>
      </c>
      <c r="AJ4" s="1277"/>
      <c r="AK4" s="1277"/>
      <c r="AL4" s="1276" t="s">
        <v>418</v>
      </c>
      <c r="AM4" s="1277"/>
      <c r="AN4" s="1278"/>
      <c r="AO4" s="1276" t="s">
        <v>207</v>
      </c>
      <c r="AP4" s="1277"/>
      <c r="AQ4" s="1278"/>
      <c r="AR4" s="1276" t="s">
        <v>520</v>
      </c>
      <c r="AS4" s="1277"/>
      <c r="AT4" s="1278"/>
      <c r="AU4" s="1242" t="s">
        <v>43</v>
      </c>
      <c r="AV4" s="1243"/>
      <c r="AW4" s="1244"/>
      <c r="AX4" s="1280" t="s">
        <v>43</v>
      </c>
      <c r="AY4" s="1281"/>
      <c r="AZ4" s="1282"/>
    </row>
    <row r="5" spans="1:52">
      <c r="A5" s="272"/>
      <c r="B5" s="49">
        <v>2021</v>
      </c>
      <c r="C5" s="49">
        <v>2022</v>
      </c>
      <c r="D5" s="98">
        <v>2023</v>
      </c>
      <c r="E5" s="49">
        <v>2021</v>
      </c>
      <c r="F5" s="49">
        <v>2022</v>
      </c>
      <c r="G5" s="98">
        <v>2023</v>
      </c>
      <c r="H5" s="49">
        <v>2021</v>
      </c>
      <c r="I5" s="49">
        <v>2022</v>
      </c>
      <c r="J5" s="98">
        <v>2023</v>
      </c>
      <c r="K5" s="49">
        <v>2021</v>
      </c>
      <c r="L5" s="49">
        <v>2022</v>
      </c>
      <c r="M5" s="98">
        <v>2023</v>
      </c>
      <c r="N5" s="49">
        <v>2021</v>
      </c>
      <c r="O5" s="49">
        <v>2022</v>
      </c>
      <c r="P5" s="98">
        <v>2023</v>
      </c>
      <c r="Q5" s="49">
        <v>2021</v>
      </c>
      <c r="R5" s="49">
        <v>2022</v>
      </c>
      <c r="S5" s="98">
        <v>2023</v>
      </c>
      <c r="T5" s="49">
        <v>2021</v>
      </c>
      <c r="U5" s="49">
        <v>2022</v>
      </c>
      <c r="V5" s="98">
        <v>2023</v>
      </c>
      <c r="W5" s="49">
        <v>2021</v>
      </c>
      <c r="X5" s="49">
        <v>2022</v>
      </c>
      <c r="Y5" s="98">
        <v>2023</v>
      </c>
      <c r="Z5" s="49">
        <v>2021</v>
      </c>
      <c r="AA5" s="49">
        <v>2022</v>
      </c>
      <c r="AB5" s="98">
        <v>2023</v>
      </c>
      <c r="AC5" s="49">
        <v>2021</v>
      </c>
      <c r="AD5" s="49">
        <v>2022</v>
      </c>
      <c r="AE5" s="98">
        <v>2023</v>
      </c>
      <c r="AF5" s="49">
        <v>2021</v>
      </c>
      <c r="AG5" s="49">
        <v>2022</v>
      </c>
      <c r="AH5" s="98">
        <v>2023</v>
      </c>
      <c r="AI5" s="49">
        <v>2021</v>
      </c>
      <c r="AJ5" s="49">
        <v>2022</v>
      </c>
      <c r="AK5" s="49">
        <v>2023</v>
      </c>
      <c r="AL5" s="565">
        <v>2021</v>
      </c>
      <c r="AM5" s="49">
        <v>2022</v>
      </c>
      <c r="AN5" s="98">
        <v>2023</v>
      </c>
      <c r="AO5" s="565">
        <v>2021</v>
      </c>
      <c r="AP5" s="49">
        <v>2022</v>
      </c>
      <c r="AQ5" s="98">
        <v>2023</v>
      </c>
      <c r="AR5" s="565">
        <v>2021</v>
      </c>
      <c r="AS5" s="49">
        <v>2022</v>
      </c>
      <c r="AT5" s="98">
        <v>2023</v>
      </c>
      <c r="AU5" s="49">
        <v>2021</v>
      </c>
      <c r="AV5" s="49">
        <v>2022</v>
      </c>
      <c r="AW5" s="98">
        <v>2023</v>
      </c>
      <c r="AX5" s="49">
        <v>2021</v>
      </c>
      <c r="AY5" s="49">
        <v>2022</v>
      </c>
      <c r="AZ5" s="98">
        <v>2023</v>
      </c>
    </row>
    <row r="6" spans="1:52">
      <c r="A6" t="s">
        <v>211</v>
      </c>
      <c r="B6" s="566">
        <f>+T6</f>
        <v>4245</v>
      </c>
      <c r="C6" s="567">
        <f t="shared" ref="C6:D6" si="0">+U6</f>
        <v>4836</v>
      </c>
      <c r="D6" s="567">
        <f t="shared" si="0"/>
        <v>5250.7860809679923</v>
      </c>
      <c r="E6" s="566">
        <f>+W6+AL6</f>
        <v>10807</v>
      </c>
      <c r="F6" s="567">
        <f t="shared" ref="F6" si="1">+X6+AM6</f>
        <v>11872</v>
      </c>
      <c r="G6" s="571">
        <f>+Y6+AN6</f>
        <v>12636.447475180679</v>
      </c>
      <c r="H6" s="572">
        <f>+Z6</f>
        <v>13543</v>
      </c>
      <c r="I6" s="568">
        <f t="shared" ref="I6:J6" si="2">+AA6</f>
        <v>12217</v>
      </c>
      <c r="J6" s="573">
        <f t="shared" si="2"/>
        <v>11202.820378576957</v>
      </c>
      <c r="K6" s="572">
        <f>+AC6+AO6</f>
        <v>7369</v>
      </c>
      <c r="L6" s="568">
        <f t="shared" ref="L6:M6" si="3">+AD6+AP6</f>
        <v>7266</v>
      </c>
      <c r="M6" s="573">
        <f t="shared" si="3"/>
        <v>7049.8871819703481</v>
      </c>
      <c r="N6" s="574">
        <f>+AF6</f>
        <v>11242</v>
      </c>
      <c r="O6" s="569">
        <f t="shared" ref="O6:P6" si="4">+AG6</f>
        <v>11402</v>
      </c>
      <c r="P6" s="570">
        <f t="shared" si="4"/>
        <v>11616.157566698017</v>
      </c>
      <c r="Q6" s="574">
        <f>+AI6+AR6</f>
        <v>1029</v>
      </c>
      <c r="R6" s="569">
        <f t="shared" ref="R6:S6" si="5">+AJ6+AS6</f>
        <v>889</v>
      </c>
      <c r="S6" s="569">
        <f t="shared" si="5"/>
        <v>1038.3880151735548</v>
      </c>
      <c r="T6" s="567">
        <v>4245</v>
      </c>
      <c r="U6" s="567">
        <v>4836</v>
      </c>
      <c r="V6" s="571">
        <v>5250.7860809679923</v>
      </c>
      <c r="W6" s="567">
        <v>7286</v>
      </c>
      <c r="X6" s="567">
        <v>7876</v>
      </c>
      <c r="Y6" s="571">
        <v>8835.4474751806792</v>
      </c>
      <c r="Z6" s="568">
        <v>13543</v>
      </c>
      <c r="AA6" s="568">
        <v>12217</v>
      </c>
      <c r="AB6" s="573">
        <v>11202.820378576957</v>
      </c>
      <c r="AC6" s="568">
        <v>5656</v>
      </c>
      <c r="AD6" s="568">
        <v>5123</v>
      </c>
      <c r="AE6" s="573">
        <v>5165.8871819703481</v>
      </c>
      <c r="AF6" s="569">
        <v>11242</v>
      </c>
      <c r="AG6" s="569">
        <v>11402</v>
      </c>
      <c r="AH6" s="570">
        <v>11616.157566698017</v>
      </c>
      <c r="AI6" s="569">
        <v>1023</v>
      </c>
      <c r="AJ6" s="569">
        <v>886</v>
      </c>
      <c r="AK6" s="569">
        <v>1033.3880151735548</v>
      </c>
      <c r="AL6" s="568">
        <v>3521</v>
      </c>
      <c r="AM6" s="568">
        <v>3996</v>
      </c>
      <c r="AN6" s="573">
        <v>3801</v>
      </c>
      <c r="AO6" s="568">
        <v>1713</v>
      </c>
      <c r="AP6" s="568">
        <v>2143</v>
      </c>
      <c r="AQ6" s="573">
        <v>1884</v>
      </c>
      <c r="AR6" s="572">
        <v>6</v>
      </c>
      <c r="AS6" s="568">
        <v>3</v>
      </c>
      <c r="AT6" s="573">
        <v>5</v>
      </c>
      <c r="AU6" s="533">
        <v>94</v>
      </c>
      <c r="AV6" s="533">
        <v>86</v>
      </c>
      <c r="AW6" s="576">
        <v>0</v>
      </c>
      <c r="AX6" s="567">
        <v>1278</v>
      </c>
      <c r="AY6" s="567">
        <v>1443</v>
      </c>
      <c r="AZ6" s="571">
        <v>1308.4387759660488</v>
      </c>
    </row>
    <row r="7" spans="1:52">
      <c r="A7" t="s">
        <v>212</v>
      </c>
      <c r="B7" s="566">
        <f t="shared" ref="B7:B20" si="6">+T7</f>
        <v>29466</v>
      </c>
      <c r="C7" s="567">
        <f t="shared" ref="C7:C20" si="7">+U7</f>
        <v>29614</v>
      </c>
      <c r="D7" s="567">
        <f t="shared" ref="D7:D20" si="8">+V7</f>
        <v>31583.728518733711</v>
      </c>
      <c r="E7" s="566">
        <f t="shared" ref="E7:E20" si="9">+W7+AL7</f>
        <v>2397</v>
      </c>
      <c r="F7" s="567">
        <f t="shared" ref="F7:F20" si="10">+X7+AM7</f>
        <v>1604</v>
      </c>
      <c r="G7" s="571">
        <f>+Y7+AN7</f>
        <v>1850.4329255102559</v>
      </c>
      <c r="H7" s="572">
        <f t="shared" ref="H7:H20" si="11">+Z7</f>
        <v>41670</v>
      </c>
      <c r="I7" s="568">
        <f t="shared" ref="I7:I20" si="12">+AA7</f>
        <v>32441</v>
      </c>
      <c r="J7" s="573">
        <f t="shared" ref="J7:J20" si="13">+AB7</f>
        <v>32370.665681321574</v>
      </c>
      <c r="K7" s="572">
        <f t="shared" ref="K7:K20" si="14">+AC7+AO7</f>
        <v>4629</v>
      </c>
      <c r="L7" s="568">
        <f t="shared" ref="L7:L20" si="15">+AD7+AP7</f>
        <v>3659</v>
      </c>
      <c r="M7" s="573">
        <f t="shared" ref="M7:M20" si="16">+AE7+AQ7</f>
        <v>3500.681045019478</v>
      </c>
      <c r="N7" s="574">
        <f t="shared" ref="N7:N20" si="17">+AF7</f>
        <v>2882</v>
      </c>
      <c r="O7" s="569">
        <f t="shared" ref="O7:O20" si="18">+AG7</f>
        <v>2892</v>
      </c>
      <c r="P7" s="570">
        <f t="shared" ref="P7:P20" si="19">+AH7</f>
        <v>4088.7193641182766</v>
      </c>
      <c r="Q7" s="574">
        <f t="shared" ref="Q7:Q20" si="20">+AI7+AR7</f>
        <v>457</v>
      </c>
      <c r="R7" s="569">
        <f t="shared" ref="R7:R20" si="21">+AJ7+AS7</f>
        <v>330</v>
      </c>
      <c r="S7" s="569">
        <f t="shared" ref="S7:S20" si="22">+AK7+AT7</f>
        <v>213.03150221296536</v>
      </c>
      <c r="T7" s="567">
        <v>29466</v>
      </c>
      <c r="U7" s="567">
        <v>29614</v>
      </c>
      <c r="V7" s="571">
        <v>31583.728518733711</v>
      </c>
      <c r="W7" s="567">
        <v>2397</v>
      </c>
      <c r="X7" s="567">
        <v>1604</v>
      </c>
      <c r="Y7" s="571">
        <v>1850.4329255102559</v>
      </c>
      <c r="Z7" s="568">
        <v>41670</v>
      </c>
      <c r="AA7" s="568">
        <v>32441</v>
      </c>
      <c r="AB7" s="573">
        <v>32370.665681321574</v>
      </c>
      <c r="AC7" s="568">
        <v>4629</v>
      </c>
      <c r="AD7" s="568">
        <v>3659</v>
      </c>
      <c r="AE7" s="573">
        <v>3500.681045019478</v>
      </c>
      <c r="AF7" s="569">
        <v>2882</v>
      </c>
      <c r="AG7" s="569">
        <v>2892</v>
      </c>
      <c r="AH7" s="570">
        <v>4088.7193641182766</v>
      </c>
      <c r="AI7" s="569">
        <v>457</v>
      </c>
      <c r="AJ7" s="569">
        <v>330</v>
      </c>
      <c r="AK7" s="569">
        <v>213.03150221296536</v>
      </c>
      <c r="AL7" s="568"/>
      <c r="AM7" s="568"/>
      <c r="AN7" s="573">
        <v>0</v>
      </c>
      <c r="AO7" s="568"/>
      <c r="AP7" s="568"/>
      <c r="AQ7" s="573">
        <v>0</v>
      </c>
      <c r="AR7" s="572"/>
      <c r="AS7" s="568"/>
      <c r="AT7" s="573">
        <v>0</v>
      </c>
      <c r="AU7" s="533">
        <v>1719</v>
      </c>
      <c r="AV7" s="533">
        <v>1541</v>
      </c>
      <c r="AW7" s="576">
        <v>1908.8934517618723</v>
      </c>
      <c r="AX7" s="567">
        <v>2891</v>
      </c>
      <c r="AY7" s="567">
        <v>2812</v>
      </c>
      <c r="AZ7" s="571">
        <v>2745.7093531937735</v>
      </c>
    </row>
    <row r="8" spans="1:52">
      <c r="A8" t="s">
        <v>213</v>
      </c>
      <c r="B8" s="566">
        <f t="shared" si="6"/>
        <v>30</v>
      </c>
      <c r="C8" s="567">
        <f t="shared" si="7"/>
        <v>30</v>
      </c>
      <c r="D8" s="567">
        <f t="shared" si="8"/>
        <v>23</v>
      </c>
      <c r="E8" s="566">
        <f t="shared" si="9"/>
        <v>2511</v>
      </c>
      <c r="F8" s="567">
        <f t="shared" si="10"/>
        <v>1767</v>
      </c>
      <c r="G8" s="571">
        <f t="shared" ref="G8:G20" si="23">+Y8+AN8</f>
        <v>1328.5784842589319</v>
      </c>
      <c r="H8" s="572">
        <f t="shared" si="11"/>
        <v>226</v>
      </c>
      <c r="I8" s="568">
        <f t="shared" si="12"/>
        <v>78</v>
      </c>
      <c r="J8" s="573">
        <f t="shared" si="13"/>
        <v>201</v>
      </c>
      <c r="K8" s="572">
        <f t="shared" si="14"/>
        <v>2745</v>
      </c>
      <c r="L8" s="568">
        <f t="shared" si="15"/>
        <v>2285</v>
      </c>
      <c r="M8" s="573">
        <f t="shared" si="16"/>
        <v>1655.0345629305023</v>
      </c>
      <c r="N8" s="574">
        <f t="shared" si="17"/>
        <v>1208</v>
      </c>
      <c r="O8" s="569">
        <f t="shared" si="18"/>
        <v>763</v>
      </c>
      <c r="P8" s="570">
        <f t="shared" si="19"/>
        <v>641.36060719169234</v>
      </c>
      <c r="Q8" s="574">
        <f t="shared" si="20"/>
        <v>123</v>
      </c>
      <c r="R8" s="569">
        <f t="shared" si="21"/>
        <v>89</v>
      </c>
      <c r="S8" s="569">
        <f t="shared" si="22"/>
        <v>133.66666666666666</v>
      </c>
      <c r="T8" s="567">
        <v>30</v>
      </c>
      <c r="U8" s="567">
        <v>30</v>
      </c>
      <c r="V8" s="571">
        <v>23</v>
      </c>
      <c r="W8" s="567">
        <v>2511</v>
      </c>
      <c r="X8" s="567">
        <v>1767</v>
      </c>
      <c r="Y8" s="571">
        <v>1328.5784842589319</v>
      </c>
      <c r="Z8" s="568">
        <v>226</v>
      </c>
      <c r="AA8" s="568">
        <v>78</v>
      </c>
      <c r="AB8" s="573">
        <v>201</v>
      </c>
      <c r="AC8" s="568">
        <v>2745</v>
      </c>
      <c r="AD8" s="568">
        <v>2285</v>
      </c>
      <c r="AE8" s="573">
        <v>1655.0345629305023</v>
      </c>
      <c r="AF8" s="569">
        <v>1208</v>
      </c>
      <c r="AG8" s="569">
        <v>763</v>
      </c>
      <c r="AH8" s="570">
        <v>641.36060719169234</v>
      </c>
      <c r="AI8" s="569">
        <v>123</v>
      </c>
      <c r="AJ8" s="569">
        <v>89</v>
      </c>
      <c r="AK8" s="569">
        <v>133.66666666666666</v>
      </c>
      <c r="AL8" s="568"/>
      <c r="AM8" s="568"/>
      <c r="AN8" s="573">
        <v>0</v>
      </c>
      <c r="AO8" s="568"/>
      <c r="AP8" s="568"/>
      <c r="AQ8" s="573">
        <v>0</v>
      </c>
      <c r="AR8" s="572"/>
      <c r="AS8" s="568"/>
      <c r="AT8" s="573">
        <v>0</v>
      </c>
      <c r="AU8" s="533">
        <v>120</v>
      </c>
      <c r="AV8" s="533">
        <v>90</v>
      </c>
      <c r="AW8" s="576">
        <v>0</v>
      </c>
      <c r="AX8" s="567">
        <v>4853</v>
      </c>
      <c r="AY8" s="567">
        <v>4670</v>
      </c>
      <c r="AZ8" s="571">
        <v>4093.1995223889512</v>
      </c>
    </row>
    <row r="9" spans="1:52">
      <c r="A9" t="s">
        <v>214</v>
      </c>
      <c r="B9" s="566">
        <f t="shared" si="6"/>
        <v>2143</v>
      </c>
      <c r="C9" s="567">
        <f t="shared" si="7"/>
        <v>2623</v>
      </c>
      <c r="D9" s="567">
        <f t="shared" si="8"/>
        <v>3223.0583077078718</v>
      </c>
      <c r="E9" s="566">
        <f t="shared" si="9"/>
        <v>696</v>
      </c>
      <c r="F9" s="567">
        <f t="shared" si="10"/>
        <v>726</v>
      </c>
      <c r="G9" s="571">
        <f t="shared" si="23"/>
        <v>838.68655240606461</v>
      </c>
      <c r="H9" s="572">
        <f t="shared" si="11"/>
        <v>5413</v>
      </c>
      <c r="I9" s="568">
        <f t="shared" si="12"/>
        <v>6027</v>
      </c>
      <c r="J9" s="573">
        <f t="shared" si="13"/>
        <v>5884.3559485829755</v>
      </c>
      <c r="K9" s="572">
        <f t="shared" si="14"/>
        <v>1018</v>
      </c>
      <c r="L9" s="568">
        <f t="shared" si="15"/>
        <v>971</v>
      </c>
      <c r="M9" s="573">
        <f t="shared" si="16"/>
        <v>1011.3333333333334</v>
      </c>
      <c r="N9" s="574">
        <f t="shared" si="17"/>
        <v>2586</v>
      </c>
      <c r="O9" s="569">
        <f t="shared" si="18"/>
        <v>2410</v>
      </c>
      <c r="P9" s="570">
        <f t="shared" si="19"/>
        <v>1964.8927305399088</v>
      </c>
      <c r="Q9" s="574">
        <f t="shared" si="20"/>
        <v>401</v>
      </c>
      <c r="R9" s="569">
        <f t="shared" si="21"/>
        <v>478</v>
      </c>
      <c r="S9" s="569">
        <f t="shared" si="22"/>
        <v>451</v>
      </c>
      <c r="T9" s="567">
        <v>2143</v>
      </c>
      <c r="U9" s="567">
        <v>2623</v>
      </c>
      <c r="V9" s="571">
        <v>3223.0583077078718</v>
      </c>
      <c r="W9" s="567">
        <v>696</v>
      </c>
      <c r="X9" s="567">
        <v>726</v>
      </c>
      <c r="Y9" s="571">
        <v>838.68655240606461</v>
      </c>
      <c r="Z9" s="568">
        <v>5413</v>
      </c>
      <c r="AA9" s="568">
        <v>6027</v>
      </c>
      <c r="AB9" s="573">
        <v>5884.3559485829755</v>
      </c>
      <c r="AC9" s="568">
        <v>1018</v>
      </c>
      <c r="AD9" s="568">
        <v>971</v>
      </c>
      <c r="AE9" s="573">
        <v>1011.3333333333334</v>
      </c>
      <c r="AF9" s="569">
        <v>2586</v>
      </c>
      <c r="AG9" s="569">
        <v>2410</v>
      </c>
      <c r="AH9" s="570">
        <v>1964.8927305399088</v>
      </c>
      <c r="AI9" s="569">
        <v>401</v>
      </c>
      <c r="AJ9" s="569">
        <v>478</v>
      </c>
      <c r="AK9" s="569">
        <v>451</v>
      </c>
      <c r="AL9" s="568"/>
      <c r="AM9" s="568"/>
      <c r="AN9" s="573">
        <v>0</v>
      </c>
      <c r="AO9" s="568"/>
      <c r="AP9" s="568"/>
      <c r="AQ9" s="573">
        <v>0</v>
      </c>
      <c r="AR9" s="572"/>
      <c r="AS9" s="568"/>
      <c r="AT9" s="573">
        <v>0</v>
      </c>
      <c r="AU9" s="533">
        <v>0</v>
      </c>
      <c r="AV9" s="533">
        <v>0</v>
      </c>
      <c r="AW9" s="576">
        <v>0</v>
      </c>
      <c r="AX9" s="567">
        <v>1593</v>
      </c>
      <c r="AY9" s="567">
        <v>1607</v>
      </c>
      <c r="AZ9" s="571">
        <v>1227.8948479729729</v>
      </c>
    </row>
    <row r="10" spans="1:52">
      <c r="A10" t="s">
        <v>215</v>
      </c>
      <c r="B10" s="912"/>
      <c r="C10" s="913"/>
      <c r="D10" s="913"/>
      <c r="E10" s="912"/>
      <c r="F10" s="913"/>
      <c r="G10" s="914">
        <f t="shared" si="23"/>
        <v>0</v>
      </c>
      <c r="H10" s="915"/>
      <c r="I10" s="916"/>
      <c r="J10" s="917"/>
      <c r="K10" s="915"/>
      <c r="L10" s="916"/>
      <c r="M10" s="917"/>
      <c r="N10" s="918"/>
      <c r="O10" s="919"/>
      <c r="P10" s="920"/>
      <c r="Q10" s="918"/>
      <c r="R10" s="919"/>
      <c r="S10" s="919"/>
      <c r="T10" s="913">
        <v>0</v>
      </c>
      <c r="U10" s="913">
        <v>0</v>
      </c>
      <c r="V10" s="914">
        <v>0</v>
      </c>
      <c r="W10" s="913">
        <v>0</v>
      </c>
      <c r="X10" s="913">
        <v>0</v>
      </c>
      <c r="Y10" s="914">
        <v>0</v>
      </c>
      <c r="Z10" s="916">
        <v>0</v>
      </c>
      <c r="AA10" s="916">
        <v>0</v>
      </c>
      <c r="AB10" s="917">
        <v>0</v>
      </c>
      <c r="AC10" s="916">
        <v>0</v>
      </c>
      <c r="AD10" s="916">
        <v>0</v>
      </c>
      <c r="AE10" s="917">
        <v>0</v>
      </c>
      <c r="AF10" s="919">
        <v>0</v>
      </c>
      <c r="AG10" s="919">
        <v>0</v>
      </c>
      <c r="AH10" s="920">
        <v>0</v>
      </c>
      <c r="AI10" s="919">
        <v>0</v>
      </c>
      <c r="AJ10" s="919">
        <v>0</v>
      </c>
      <c r="AK10" s="919">
        <v>0</v>
      </c>
      <c r="AL10" s="916"/>
      <c r="AM10" s="916"/>
      <c r="AN10" s="917"/>
      <c r="AO10" s="916"/>
      <c r="AP10" s="916"/>
      <c r="AQ10" s="917" t="s">
        <v>835</v>
      </c>
      <c r="AR10" s="915"/>
      <c r="AS10" s="916"/>
      <c r="AT10" s="917" t="s">
        <v>835</v>
      </c>
      <c r="AU10" s="924">
        <v>0</v>
      </c>
      <c r="AV10" s="924">
        <v>0</v>
      </c>
      <c r="AW10" s="925">
        <v>0</v>
      </c>
      <c r="AX10" s="913">
        <v>0</v>
      </c>
      <c r="AY10" s="913">
        <v>0</v>
      </c>
      <c r="AZ10" s="914">
        <v>0</v>
      </c>
    </row>
    <row r="11" spans="1:52">
      <c r="A11" t="s">
        <v>216</v>
      </c>
      <c r="B11" s="566">
        <f t="shared" si="6"/>
        <v>30339</v>
      </c>
      <c r="C11" s="567">
        <f t="shared" si="7"/>
        <v>31291</v>
      </c>
      <c r="D11" s="567">
        <f t="shared" si="8"/>
        <v>32003.661211806666</v>
      </c>
      <c r="E11" s="566">
        <f t="shared" si="9"/>
        <v>76196</v>
      </c>
      <c r="F11" s="567">
        <f t="shared" si="10"/>
        <v>77990</v>
      </c>
      <c r="G11" s="571">
        <f t="shared" si="23"/>
        <v>83105.712881180501</v>
      </c>
      <c r="H11" s="572">
        <f t="shared" si="11"/>
        <v>39663</v>
      </c>
      <c r="I11" s="568">
        <f t="shared" si="12"/>
        <v>36580</v>
      </c>
      <c r="J11" s="573">
        <f t="shared" si="13"/>
        <v>36718.497680968001</v>
      </c>
      <c r="K11" s="572">
        <f t="shared" si="14"/>
        <v>16849</v>
      </c>
      <c r="L11" s="568">
        <f t="shared" si="15"/>
        <v>14971</v>
      </c>
      <c r="M11" s="573">
        <f t="shared" si="16"/>
        <v>14507.315416206824</v>
      </c>
      <c r="N11" s="574">
        <f t="shared" si="17"/>
        <v>14831</v>
      </c>
      <c r="O11" s="569">
        <f t="shared" si="18"/>
        <v>14991</v>
      </c>
      <c r="P11" s="570">
        <f t="shared" si="19"/>
        <v>14360.871050325919</v>
      </c>
      <c r="Q11" s="574">
        <f t="shared" si="20"/>
        <v>2981</v>
      </c>
      <c r="R11" s="569">
        <f t="shared" si="21"/>
        <v>2763</v>
      </c>
      <c r="S11" s="569">
        <f t="shared" si="22"/>
        <v>2452.7482113800652</v>
      </c>
      <c r="T11" s="567">
        <v>30339</v>
      </c>
      <c r="U11" s="567">
        <v>31291</v>
      </c>
      <c r="V11" s="571">
        <v>32003.661211806666</v>
      </c>
      <c r="W11" s="567">
        <v>79717</v>
      </c>
      <c r="X11" s="567">
        <v>81986</v>
      </c>
      <c r="Y11" s="571">
        <v>86906.712881180501</v>
      </c>
      <c r="Z11" s="568">
        <v>39663</v>
      </c>
      <c r="AA11" s="568">
        <v>36580</v>
      </c>
      <c r="AB11" s="573">
        <v>36718.497680968001</v>
      </c>
      <c r="AC11" s="568">
        <v>18562</v>
      </c>
      <c r="AD11" s="568">
        <v>17114</v>
      </c>
      <c r="AE11" s="573">
        <v>16391.315416206824</v>
      </c>
      <c r="AF11" s="569">
        <v>14831</v>
      </c>
      <c r="AG11" s="569">
        <v>14991</v>
      </c>
      <c r="AH11" s="570">
        <v>14360.871050325919</v>
      </c>
      <c r="AI11" s="569">
        <v>2987</v>
      </c>
      <c r="AJ11" s="569">
        <v>2766</v>
      </c>
      <c r="AK11" s="569">
        <v>2457.7482113800652</v>
      </c>
      <c r="AL11" s="568">
        <v>-3521</v>
      </c>
      <c r="AM11" s="568">
        <v>-3996</v>
      </c>
      <c r="AN11" s="573">
        <v>-3801</v>
      </c>
      <c r="AO11" s="568">
        <v>-1713</v>
      </c>
      <c r="AP11" s="568">
        <v>-2143</v>
      </c>
      <c r="AQ11" s="573">
        <v>-1884</v>
      </c>
      <c r="AR11" s="572">
        <v>-6</v>
      </c>
      <c r="AS11" s="568">
        <v>-3</v>
      </c>
      <c r="AT11" s="573">
        <v>-5</v>
      </c>
      <c r="AU11" s="533">
        <v>3645</v>
      </c>
      <c r="AV11" s="533">
        <v>3734</v>
      </c>
      <c r="AW11" s="576">
        <v>3420.6654634605043</v>
      </c>
      <c r="AX11" s="567">
        <v>6644</v>
      </c>
      <c r="AY11" s="567">
        <v>6691</v>
      </c>
      <c r="AZ11" s="571">
        <v>6777.506203517044</v>
      </c>
    </row>
    <row r="12" spans="1:52">
      <c r="A12" t="s">
        <v>131</v>
      </c>
      <c r="B12" s="566">
        <f t="shared" si="6"/>
        <v>0</v>
      </c>
      <c r="C12" s="567">
        <f t="shared" si="7"/>
        <v>0</v>
      </c>
      <c r="D12" s="567">
        <f t="shared" si="8"/>
        <v>0</v>
      </c>
      <c r="E12" s="566">
        <f t="shared" si="9"/>
        <v>0</v>
      </c>
      <c r="F12" s="567">
        <f t="shared" si="10"/>
        <v>0</v>
      </c>
      <c r="G12" s="571">
        <f t="shared" si="23"/>
        <v>0</v>
      </c>
      <c r="H12" s="572">
        <f t="shared" si="11"/>
        <v>4</v>
      </c>
      <c r="I12" s="568">
        <f t="shared" si="12"/>
        <v>0</v>
      </c>
      <c r="J12" s="573">
        <f t="shared" si="13"/>
        <v>0</v>
      </c>
      <c r="K12" s="572">
        <f t="shared" si="14"/>
        <v>12</v>
      </c>
      <c r="L12" s="568">
        <f t="shared" si="15"/>
        <v>0</v>
      </c>
      <c r="M12" s="573">
        <f t="shared" si="16"/>
        <v>9.3333333333333339</v>
      </c>
      <c r="N12" s="574">
        <f t="shared" si="17"/>
        <v>1449</v>
      </c>
      <c r="O12" s="569">
        <f t="shared" si="18"/>
        <v>1390</v>
      </c>
      <c r="P12" s="570">
        <f t="shared" si="19"/>
        <v>1331.1822316289104</v>
      </c>
      <c r="Q12" s="574">
        <f t="shared" si="20"/>
        <v>410</v>
      </c>
      <c r="R12" s="569">
        <f t="shared" si="21"/>
        <v>374</v>
      </c>
      <c r="S12" s="569">
        <f t="shared" si="22"/>
        <v>406.66666666666669</v>
      </c>
      <c r="T12" s="567">
        <v>0</v>
      </c>
      <c r="U12" s="567">
        <v>0</v>
      </c>
      <c r="V12" s="571">
        <v>0</v>
      </c>
      <c r="W12" s="567">
        <v>0</v>
      </c>
      <c r="X12" s="567">
        <v>0</v>
      </c>
      <c r="Y12" s="571">
        <v>0</v>
      </c>
      <c r="Z12" s="568">
        <v>4</v>
      </c>
      <c r="AA12" s="568">
        <v>0</v>
      </c>
      <c r="AB12" s="573">
        <v>0</v>
      </c>
      <c r="AC12" s="568">
        <v>12</v>
      </c>
      <c r="AD12" s="568">
        <v>0</v>
      </c>
      <c r="AE12" s="573">
        <v>9.3333333333333339</v>
      </c>
      <c r="AF12" s="569">
        <v>1449</v>
      </c>
      <c r="AG12" s="569">
        <v>1390</v>
      </c>
      <c r="AH12" s="570">
        <v>1331.1822316289104</v>
      </c>
      <c r="AI12" s="569">
        <v>410</v>
      </c>
      <c r="AJ12" s="569">
        <v>374</v>
      </c>
      <c r="AK12" s="569">
        <v>406.66666666666669</v>
      </c>
      <c r="AL12" s="568"/>
      <c r="AM12" s="568"/>
      <c r="AN12" s="573"/>
      <c r="AO12" s="568"/>
      <c r="AP12" s="568"/>
      <c r="AQ12" s="573"/>
      <c r="AR12" s="572"/>
      <c r="AS12" s="568"/>
      <c r="AT12" s="573"/>
      <c r="AU12" s="533">
        <v>0</v>
      </c>
      <c r="AV12" s="533">
        <v>0</v>
      </c>
      <c r="AW12" s="576">
        <v>0</v>
      </c>
      <c r="AX12" s="567">
        <v>0</v>
      </c>
      <c r="AY12" s="567">
        <v>0</v>
      </c>
      <c r="AZ12" s="571" t="s">
        <v>835</v>
      </c>
    </row>
    <row r="13" spans="1:52">
      <c r="A13" t="s">
        <v>217</v>
      </c>
      <c r="B13" s="566">
        <f t="shared" si="6"/>
        <v>24292</v>
      </c>
      <c r="C13" s="567">
        <f t="shared" si="7"/>
        <v>25383</v>
      </c>
      <c r="D13" s="567">
        <f t="shared" si="8"/>
        <v>28642.608731446169</v>
      </c>
      <c r="E13" s="566">
        <f t="shared" si="9"/>
        <v>59762</v>
      </c>
      <c r="F13" s="567">
        <f t="shared" si="10"/>
        <v>63469</v>
      </c>
      <c r="G13" s="571">
        <f t="shared" si="23"/>
        <v>63492.792799920593</v>
      </c>
      <c r="H13" s="572">
        <f t="shared" si="11"/>
        <v>32237</v>
      </c>
      <c r="I13" s="568">
        <f t="shared" si="12"/>
        <v>32652</v>
      </c>
      <c r="J13" s="573">
        <f t="shared" si="13"/>
        <v>33027.187777988525</v>
      </c>
      <c r="K13" s="572">
        <f t="shared" si="14"/>
        <v>20976</v>
      </c>
      <c r="L13" s="568">
        <f t="shared" si="15"/>
        <v>18999</v>
      </c>
      <c r="M13" s="573">
        <f t="shared" si="16"/>
        <v>18336.413462672361</v>
      </c>
      <c r="N13" s="574">
        <f t="shared" si="17"/>
        <v>6864</v>
      </c>
      <c r="O13" s="569">
        <f t="shared" si="18"/>
        <v>7085</v>
      </c>
      <c r="P13" s="570">
        <f t="shared" si="19"/>
        <v>6923.6919558038289</v>
      </c>
      <c r="Q13" s="574">
        <f t="shared" si="20"/>
        <v>2170</v>
      </c>
      <c r="R13" s="569">
        <f t="shared" si="21"/>
        <v>1921</v>
      </c>
      <c r="S13" s="569">
        <f t="shared" si="22"/>
        <v>1628.2451140065148</v>
      </c>
      <c r="T13" s="567">
        <f>24307-15</f>
        <v>24292</v>
      </c>
      <c r="U13" s="567">
        <f>25446-63</f>
        <v>25383</v>
      </c>
      <c r="V13" s="571">
        <v>28642.608731446169</v>
      </c>
      <c r="W13" s="567">
        <v>59762</v>
      </c>
      <c r="X13" s="567">
        <f>63490-21</f>
        <v>63469</v>
      </c>
      <c r="Y13" s="571">
        <v>63492.792799920593</v>
      </c>
      <c r="Z13" s="568">
        <v>32237</v>
      </c>
      <c r="AA13" s="568">
        <f>32700-48</f>
        <v>32652</v>
      </c>
      <c r="AB13" s="573">
        <v>33027.187777988525</v>
      </c>
      <c r="AC13" s="568">
        <v>20976</v>
      </c>
      <c r="AD13" s="568">
        <f>19007-8</f>
        <v>18999</v>
      </c>
      <c r="AE13" s="573">
        <v>18336.413462672361</v>
      </c>
      <c r="AF13" s="569">
        <v>6864</v>
      </c>
      <c r="AG13" s="569">
        <v>7085</v>
      </c>
      <c r="AH13" s="570">
        <v>6923.6919558038289</v>
      </c>
      <c r="AI13" s="569">
        <v>2170</v>
      </c>
      <c r="AJ13" s="569">
        <v>1921</v>
      </c>
      <c r="AK13" s="569">
        <v>1628.2451140065148</v>
      </c>
      <c r="AL13" s="568"/>
      <c r="AM13" s="568"/>
      <c r="AN13" s="573"/>
      <c r="AO13" s="568"/>
      <c r="AP13" s="568"/>
      <c r="AQ13" s="573"/>
      <c r="AR13" s="572"/>
      <c r="AS13" s="568"/>
      <c r="AT13" s="573"/>
      <c r="AU13" s="533">
        <v>2110</v>
      </c>
      <c r="AV13" s="533">
        <v>2077</v>
      </c>
      <c r="AW13" s="576">
        <v>2009.6644549235625</v>
      </c>
      <c r="AX13" s="567">
        <v>7778</v>
      </c>
      <c r="AY13" s="567">
        <v>8407</v>
      </c>
      <c r="AZ13" s="571">
        <v>8627.2767571933782</v>
      </c>
    </row>
    <row r="14" spans="1:52">
      <c r="A14" t="s">
        <v>218</v>
      </c>
      <c r="B14" s="912"/>
      <c r="C14" s="913"/>
      <c r="D14" s="913"/>
      <c r="E14" s="912"/>
      <c r="F14" s="913"/>
      <c r="G14" s="914"/>
      <c r="H14" s="915"/>
      <c r="I14" s="916"/>
      <c r="J14" s="917"/>
      <c r="K14" s="915"/>
      <c r="L14" s="916"/>
      <c r="M14" s="917"/>
      <c r="N14" s="918"/>
      <c r="O14" s="919"/>
      <c r="P14" s="920"/>
      <c r="Q14" s="918"/>
      <c r="R14" s="919"/>
      <c r="S14" s="919"/>
      <c r="T14" s="913">
        <v>0</v>
      </c>
      <c r="U14" s="913">
        <v>0</v>
      </c>
      <c r="V14" s="914">
        <v>0</v>
      </c>
      <c r="W14" s="913">
        <v>0</v>
      </c>
      <c r="X14" s="913">
        <v>0</v>
      </c>
      <c r="Y14" s="914">
        <v>0</v>
      </c>
      <c r="Z14" s="916">
        <v>0</v>
      </c>
      <c r="AA14" s="916">
        <v>0</v>
      </c>
      <c r="AB14" s="917">
        <v>0</v>
      </c>
      <c r="AC14" s="916">
        <v>0</v>
      </c>
      <c r="AD14" s="916">
        <v>0</v>
      </c>
      <c r="AE14" s="917">
        <v>0</v>
      </c>
      <c r="AF14" s="919">
        <v>0</v>
      </c>
      <c r="AG14" s="919">
        <v>0</v>
      </c>
      <c r="AH14" s="920">
        <v>0</v>
      </c>
      <c r="AI14" s="919">
        <v>0</v>
      </c>
      <c r="AJ14" s="919">
        <v>0</v>
      </c>
      <c r="AK14" s="919">
        <v>0</v>
      </c>
      <c r="AL14" s="916"/>
      <c r="AM14" s="916"/>
      <c r="AN14" s="917"/>
      <c r="AO14" s="916"/>
      <c r="AP14" s="916"/>
      <c r="AQ14" s="917"/>
      <c r="AR14" s="915"/>
      <c r="AS14" s="916"/>
      <c r="AT14" s="917"/>
      <c r="AU14" s="924">
        <v>0</v>
      </c>
      <c r="AV14" s="924">
        <v>0</v>
      </c>
      <c r="AW14" s="925">
        <v>0</v>
      </c>
      <c r="AX14" s="913">
        <v>0</v>
      </c>
      <c r="AY14" s="913">
        <v>0</v>
      </c>
      <c r="AZ14" s="914">
        <v>0</v>
      </c>
    </row>
    <row r="15" spans="1:52">
      <c r="A15" t="s">
        <v>219</v>
      </c>
      <c r="B15" s="566">
        <f t="shared" si="6"/>
        <v>30457</v>
      </c>
      <c r="C15" s="567">
        <f t="shared" si="7"/>
        <v>31424</v>
      </c>
      <c r="D15" s="567">
        <f t="shared" si="8"/>
        <v>35405.22281749238</v>
      </c>
      <c r="E15" s="566">
        <f t="shared" si="9"/>
        <v>2415</v>
      </c>
      <c r="F15" s="567">
        <f t="shared" si="10"/>
        <v>2182</v>
      </c>
      <c r="G15" s="571">
        <f t="shared" si="23"/>
        <v>1999.8232555499599</v>
      </c>
      <c r="H15" s="572">
        <f t="shared" si="11"/>
        <v>87559</v>
      </c>
      <c r="I15" s="568">
        <f t="shared" si="12"/>
        <v>83317</v>
      </c>
      <c r="J15" s="573">
        <f t="shared" si="13"/>
        <v>81348.203493188412</v>
      </c>
      <c r="K15" s="572">
        <f t="shared" si="14"/>
        <v>1558</v>
      </c>
      <c r="L15" s="568">
        <f t="shared" si="15"/>
        <v>1257</v>
      </c>
      <c r="M15" s="573">
        <f t="shared" si="16"/>
        <v>1087.4577639633064</v>
      </c>
      <c r="N15" s="574">
        <f t="shared" si="17"/>
        <v>33306</v>
      </c>
      <c r="O15" s="569">
        <f t="shared" si="18"/>
        <v>31316</v>
      </c>
      <c r="P15" s="570">
        <f t="shared" si="19"/>
        <v>31332.923747245441</v>
      </c>
      <c r="Q15" s="574">
        <f t="shared" si="20"/>
        <v>864</v>
      </c>
      <c r="R15" s="569">
        <f t="shared" si="21"/>
        <v>537</v>
      </c>
      <c r="S15" s="569">
        <f t="shared" si="22"/>
        <v>519.93774988591406</v>
      </c>
      <c r="T15" s="567">
        <v>30457</v>
      </c>
      <c r="U15" s="567">
        <v>31424</v>
      </c>
      <c r="V15" s="571">
        <v>35405.22281749238</v>
      </c>
      <c r="W15" s="567">
        <v>2415</v>
      </c>
      <c r="X15" s="567">
        <v>2182</v>
      </c>
      <c r="Y15" s="571">
        <v>1999.8232555499599</v>
      </c>
      <c r="Z15" s="568">
        <v>87559</v>
      </c>
      <c r="AA15" s="568">
        <v>83317</v>
      </c>
      <c r="AB15" s="573">
        <v>81348.203493188412</v>
      </c>
      <c r="AC15" s="568">
        <v>1558</v>
      </c>
      <c r="AD15" s="568">
        <v>1257</v>
      </c>
      <c r="AE15" s="573">
        <v>1087.4577639633064</v>
      </c>
      <c r="AF15" s="569">
        <v>33306</v>
      </c>
      <c r="AG15" s="569">
        <v>31316</v>
      </c>
      <c r="AH15" s="570">
        <v>31332.923747245441</v>
      </c>
      <c r="AI15" s="569">
        <v>864</v>
      </c>
      <c r="AJ15" s="569">
        <v>537</v>
      </c>
      <c r="AK15" s="569">
        <v>519.93774988591406</v>
      </c>
      <c r="AL15" s="568"/>
      <c r="AM15" s="568"/>
      <c r="AN15" s="573"/>
      <c r="AO15" s="568"/>
      <c r="AP15" s="568"/>
      <c r="AQ15" s="573"/>
      <c r="AR15" s="572"/>
      <c r="AS15" s="568"/>
      <c r="AT15" s="573"/>
      <c r="AU15" s="533">
        <v>1179</v>
      </c>
      <c r="AV15" s="533">
        <v>1307</v>
      </c>
      <c r="AW15" s="576">
        <v>1389.8900369165344</v>
      </c>
      <c r="AX15" s="567">
        <v>4369</v>
      </c>
      <c r="AY15" s="567">
        <v>4896</v>
      </c>
      <c r="AZ15" s="571">
        <v>5513.922584027122</v>
      </c>
    </row>
    <row r="16" spans="1:52">
      <c r="A16" t="s">
        <v>220</v>
      </c>
      <c r="B16" s="566">
        <f t="shared" si="6"/>
        <v>6073</v>
      </c>
      <c r="C16" s="567">
        <f t="shared" si="7"/>
        <v>6282</v>
      </c>
      <c r="D16" s="567">
        <f t="shared" si="8"/>
        <v>6156.9174181545814</v>
      </c>
      <c r="E16" s="566">
        <f t="shared" si="9"/>
        <v>10881</v>
      </c>
      <c r="F16" s="567">
        <f t="shared" si="10"/>
        <v>12358</v>
      </c>
      <c r="G16" s="571">
        <f t="shared" si="23"/>
        <v>12384.924911400058</v>
      </c>
      <c r="H16" s="572">
        <f t="shared" si="11"/>
        <v>18626</v>
      </c>
      <c r="I16" s="568">
        <f t="shared" si="12"/>
        <v>15510</v>
      </c>
      <c r="J16" s="573">
        <f t="shared" si="13"/>
        <v>13249.713421411261</v>
      </c>
      <c r="K16" s="572">
        <f t="shared" si="14"/>
        <v>2832</v>
      </c>
      <c r="L16" s="568">
        <f t="shared" si="15"/>
        <v>2652</v>
      </c>
      <c r="M16" s="573">
        <f t="shared" si="16"/>
        <v>3269.3460767724182</v>
      </c>
      <c r="N16" s="574">
        <f t="shared" si="17"/>
        <v>7313</v>
      </c>
      <c r="O16" s="569">
        <f t="shared" si="18"/>
        <v>7105</v>
      </c>
      <c r="P16" s="570">
        <f t="shared" si="19"/>
        <v>6051.0507438297927</v>
      </c>
      <c r="Q16" s="574">
        <f t="shared" si="20"/>
        <v>309</v>
      </c>
      <c r="R16" s="569">
        <f t="shared" si="21"/>
        <v>194</v>
      </c>
      <c r="S16" s="569">
        <f t="shared" si="22"/>
        <v>139.81227106227107</v>
      </c>
      <c r="T16" s="567">
        <v>6073</v>
      </c>
      <c r="U16" s="567">
        <v>6282</v>
      </c>
      <c r="V16" s="571">
        <v>6156.9174181545814</v>
      </c>
      <c r="W16" s="567">
        <v>10881</v>
      </c>
      <c r="X16" s="567">
        <v>12358</v>
      </c>
      <c r="Y16" s="571">
        <v>12384.924911400058</v>
      </c>
      <c r="Z16" s="568">
        <v>18626</v>
      </c>
      <c r="AA16" s="568">
        <v>15510</v>
      </c>
      <c r="AB16" s="573">
        <v>13249.713421411261</v>
      </c>
      <c r="AC16" s="568">
        <v>2832</v>
      </c>
      <c r="AD16" s="568">
        <v>2652</v>
      </c>
      <c r="AE16" s="573">
        <v>3269.3460767724182</v>
      </c>
      <c r="AF16" s="569">
        <v>7313</v>
      </c>
      <c r="AG16" s="569">
        <v>7105</v>
      </c>
      <c r="AH16" s="570">
        <v>6051.0507438297927</v>
      </c>
      <c r="AI16" s="569">
        <v>309</v>
      </c>
      <c r="AJ16" s="569">
        <v>194</v>
      </c>
      <c r="AK16" s="569">
        <v>139.81227106227107</v>
      </c>
      <c r="AL16" s="568"/>
      <c r="AM16" s="568"/>
      <c r="AN16" s="573"/>
      <c r="AO16" s="568"/>
      <c r="AP16" s="568"/>
      <c r="AQ16" s="573"/>
      <c r="AR16" s="572"/>
      <c r="AS16" s="568"/>
      <c r="AT16" s="573"/>
      <c r="AU16" s="533">
        <v>83</v>
      </c>
      <c r="AV16" s="533">
        <v>77</v>
      </c>
      <c r="AW16" s="576">
        <v>0</v>
      </c>
      <c r="AX16" s="567">
        <v>3529</v>
      </c>
      <c r="AY16" s="567">
        <v>6056</v>
      </c>
      <c r="AZ16" s="571">
        <v>8693.4093336911683</v>
      </c>
    </row>
    <row r="17" spans="1:53">
      <c r="A17" t="s">
        <v>221</v>
      </c>
      <c r="B17" s="566">
        <f t="shared" si="6"/>
        <v>1845</v>
      </c>
      <c r="C17" s="567">
        <f t="shared" si="7"/>
        <v>2005</v>
      </c>
      <c r="D17" s="567">
        <f t="shared" si="8"/>
        <v>2401.4279206512601</v>
      </c>
      <c r="E17" s="566">
        <f t="shared" si="9"/>
        <v>5644</v>
      </c>
      <c r="F17" s="567">
        <f t="shared" si="10"/>
        <v>5809</v>
      </c>
      <c r="G17" s="571">
        <f t="shared" si="23"/>
        <v>8450.8396170859287</v>
      </c>
      <c r="H17" s="572">
        <f t="shared" si="11"/>
        <v>3897</v>
      </c>
      <c r="I17" s="568">
        <f t="shared" si="12"/>
        <v>3652</v>
      </c>
      <c r="J17" s="573">
        <f t="shared" si="13"/>
        <v>3241.2167904686112</v>
      </c>
      <c r="K17" s="572">
        <f t="shared" si="14"/>
        <v>3686</v>
      </c>
      <c r="L17" s="568">
        <f t="shared" si="15"/>
        <v>4104</v>
      </c>
      <c r="M17" s="573">
        <f t="shared" si="16"/>
        <v>3406.5407743489823</v>
      </c>
      <c r="N17" s="574">
        <f t="shared" si="17"/>
        <v>3883</v>
      </c>
      <c r="O17" s="569">
        <f t="shared" si="18"/>
        <v>3979</v>
      </c>
      <c r="P17" s="570">
        <f t="shared" si="19"/>
        <v>4180.7428699968341</v>
      </c>
      <c r="Q17" s="574">
        <f t="shared" si="20"/>
        <v>833</v>
      </c>
      <c r="R17" s="569">
        <f t="shared" si="21"/>
        <v>997</v>
      </c>
      <c r="S17" s="569">
        <f t="shared" si="22"/>
        <v>0</v>
      </c>
      <c r="T17" s="567">
        <v>1845</v>
      </c>
      <c r="U17" s="567">
        <v>2005</v>
      </c>
      <c r="V17" s="571">
        <v>2401.4279206512601</v>
      </c>
      <c r="W17" s="567">
        <v>5644</v>
      </c>
      <c r="X17" s="567">
        <v>5809</v>
      </c>
      <c r="Y17" s="571">
        <v>8450.8396170859287</v>
      </c>
      <c r="Z17" s="568">
        <v>3897</v>
      </c>
      <c r="AA17" s="568">
        <v>3652</v>
      </c>
      <c r="AB17" s="573">
        <v>3241.2167904686112</v>
      </c>
      <c r="AC17" s="568">
        <v>3686</v>
      </c>
      <c r="AD17" s="568">
        <v>4104</v>
      </c>
      <c r="AE17" s="573">
        <v>3406.5407743489823</v>
      </c>
      <c r="AF17" s="569">
        <v>3883</v>
      </c>
      <c r="AG17" s="569">
        <v>3979</v>
      </c>
      <c r="AH17" s="570">
        <v>4180.7428699968341</v>
      </c>
      <c r="AI17" s="569">
        <v>833</v>
      </c>
      <c r="AJ17" s="569">
        <v>997</v>
      </c>
      <c r="AK17" s="569">
        <v>0</v>
      </c>
      <c r="AL17" s="568"/>
      <c r="AM17" s="568"/>
      <c r="AN17" s="573"/>
      <c r="AO17" s="568"/>
      <c r="AP17" s="568"/>
      <c r="AQ17" s="573"/>
      <c r="AR17" s="572"/>
      <c r="AS17" s="568"/>
      <c r="AT17" s="573"/>
      <c r="AU17" s="533">
        <v>66</v>
      </c>
      <c r="AV17" s="533">
        <v>72</v>
      </c>
      <c r="AW17" s="576">
        <v>96.893772893772876</v>
      </c>
      <c r="AX17" s="567">
        <v>657</v>
      </c>
      <c r="AY17" s="567">
        <v>627</v>
      </c>
      <c r="AZ17" s="571">
        <v>1335.6709438886473</v>
      </c>
    </row>
    <row r="18" spans="1:53">
      <c r="A18" t="s">
        <v>222</v>
      </c>
      <c r="B18" s="912"/>
      <c r="C18" s="913"/>
      <c r="D18" s="913"/>
      <c r="E18" s="912"/>
      <c r="F18" s="913"/>
      <c r="G18" s="914"/>
      <c r="H18" s="915"/>
      <c r="I18" s="916"/>
      <c r="J18" s="917"/>
      <c r="K18" s="915"/>
      <c r="L18" s="916"/>
      <c r="M18" s="917"/>
      <c r="N18" s="918"/>
      <c r="O18" s="919"/>
      <c r="P18" s="920">
        <f t="shared" si="19"/>
        <v>0</v>
      </c>
      <c r="Q18" s="918"/>
      <c r="R18" s="919"/>
      <c r="S18" s="919">
        <f t="shared" si="22"/>
        <v>0</v>
      </c>
      <c r="T18" s="913">
        <v>0</v>
      </c>
      <c r="U18" s="913">
        <v>0</v>
      </c>
      <c r="V18" s="914"/>
      <c r="W18" s="913">
        <v>0</v>
      </c>
      <c r="X18" s="913">
        <v>0</v>
      </c>
      <c r="Y18" s="914">
        <v>0</v>
      </c>
      <c r="Z18" s="916">
        <v>0</v>
      </c>
      <c r="AA18" s="916">
        <v>0</v>
      </c>
      <c r="AB18" s="917"/>
      <c r="AC18" s="916">
        <v>0</v>
      </c>
      <c r="AD18" s="916">
        <v>0</v>
      </c>
      <c r="AE18" s="917">
        <v>0</v>
      </c>
      <c r="AF18" s="919">
        <v>0</v>
      </c>
      <c r="AG18" s="919">
        <v>0</v>
      </c>
      <c r="AH18" s="920">
        <v>0</v>
      </c>
      <c r="AI18" s="919">
        <v>0</v>
      </c>
      <c r="AJ18" s="919">
        <v>0</v>
      </c>
      <c r="AK18" s="919">
        <v>0</v>
      </c>
      <c r="AL18" s="916"/>
      <c r="AM18" s="916"/>
      <c r="AN18" s="917"/>
      <c r="AO18" s="916"/>
      <c r="AP18" s="916"/>
      <c r="AQ18" s="917"/>
      <c r="AR18" s="915"/>
      <c r="AS18" s="916"/>
      <c r="AT18" s="917"/>
      <c r="AU18" s="924">
        <v>0</v>
      </c>
      <c r="AV18" s="924">
        <v>0</v>
      </c>
      <c r="AW18" s="925">
        <v>0</v>
      </c>
      <c r="AX18" s="913">
        <v>0</v>
      </c>
      <c r="AY18" s="913">
        <v>0</v>
      </c>
      <c r="AZ18" s="914">
        <v>0</v>
      </c>
    </row>
    <row r="19" spans="1:53">
      <c r="A19" t="s">
        <v>223</v>
      </c>
      <c r="B19" s="566">
        <f t="shared" si="6"/>
        <v>0</v>
      </c>
      <c r="C19" s="567">
        <f t="shared" si="7"/>
        <v>0</v>
      </c>
      <c r="D19" s="567">
        <f t="shared" si="8"/>
        <v>0</v>
      </c>
      <c r="E19" s="566">
        <f t="shared" si="9"/>
        <v>0</v>
      </c>
      <c r="F19" s="567">
        <f t="shared" si="10"/>
        <v>0</v>
      </c>
      <c r="G19" s="571">
        <f t="shared" si="23"/>
        <v>0</v>
      </c>
      <c r="H19" s="572">
        <f t="shared" si="11"/>
        <v>0</v>
      </c>
      <c r="I19" s="568">
        <f t="shared" si="12"/>
        <v>0</v>
      </c>
      <c r="J19" s="573">
        <f t="shared" si="13"/>
        <v>0</v>
      </c>
      <c r="K19" s="572">
        <f t="shared" si="14"/>
        <v>0</v>
      </c>
      <c r="L19" s="568">
        <f t="shared" si="15"/>
        <v>0</v>
      </c>
      <c r="M19" s="573">
        <f t="shared" si="16"/>
        <v>0</v>
      </c>
      <c r="N19" s="574">
        <f t="shared" si="17"/>
        <v>0</v>
      </c>
      <c r="O19" s="569">
        <f t="shared" si="18"/>
        <v>0</v>
      </c>
      <c r="P19" s="570">
        <f t="shared" si="19"/>
        <v>0</v>
      </c>
      <c r="Q19" s="574">
        <f t="shared" si="20"/>
        <v>0</v>
      </c>
      <c r="R19" s="569">
        <f t="shared" si="21"/>
        <v>0</v>
      </c>
      <c r="S19" s="569">
        <f t="shared" si="22"/>
        <v>0</v>
      </c>
      <c r="T19" s="567">
        <v>0</v>
      </c>
      <c r="U19" s="567">
        <v>0</v>
      </c>
      <c r="V19" s="571"/>
      <c r="W19" s="567">
        <v>0</v>
      </c>
      <c r="X19" s="567">
        <v>0</v>
      </c>
      <c r="Y19" s="571">
        <v>0</v>
      </c>
      <c r="Z19" s="568">
        <v>0</v>
      </c>
      <c r="AA19" s="568">
        <v>0</v>
      </c>
      <c r="AB19" s="573"/>
      <c r="AC19" s="568">
        <v>0</v>
      </c>
      <c r="AD19" s="568">
        <v>0</v>
      </c>
      <c r="AE19" s="573">
        <v>0</v>
      </c>
      <c r="AF19" s="569">
        <v>0</v>
      </c>
      <c r="AG19" s="569">
        <v>0</v>
      </c>
      <c r="AH19" s="570"/>
      <c r="AI19" s="569">
        <v>0</v>
      </c>
      <c r="AJ19" s="569">
        <v>0</v>
      </c>
      <c r="AK19" s="569"/>
      <c r="AL19" s="568"/>
      <c r="AM19" s="568"/>
      <c r="AN19" s="573"/>
      <c r="AO19" s="568"/>
      <c r="AP19" s="568"/>
      <c r="AQ19" s="573"/>
      <c r="AR19" s="572"/>
      <c r="AS19" s="568"/>
      <c r="AT19" s="573"/>
      <c r="AU19" s="533">
        <v>0</v>
      </c>
      <c r="AV19" s="533">
        <v>0</v>
      </c>
      <c r="AW19" s="576">
        <v>0</v>
      </c>
      <c r="AX19" s="567">
        <v>0</v>
      </c>
      <c r="AY19" s="567">
        <v>0</v>
      </c>
      <c r="AZ19" s="571" t="s">
        <v>835</v>
      </c>
    </row>
    <row r="20" spans="1:53">
      <c r="A20" t="s">
        <v>224</v>
      </c>
      <c r="B20" s="566">
        <f t="shared" si="6"/>
        <v>0</v>
      </c>
      <c r="C20" s="567">
        <f t="shared" si="7"/>
        <v>0</v>
      </c>
      <c r="D20" s="567">
        <f t="shared" si="8"/>
        <v>0</v>
      </c>
      <c r="E20" s="566">
        <f t="shared" si="9"/>
        <v>476</v>
      </c>
      <c r="F20" s="567">
        <f t="shared" si="10"/>
        <v>437</v>
      </c>
      <c r="G20" s="571">
        <f t="shared" si="23"/>
        <v>531.72827192290754</v>
      </c>
      <c r="H20" s="572">
        <f t="shared" si="11"/>
        <v>0</v>
      </c>
      <c r="I20" s="568">
        <f t="shared" si="12"/>
        <v>0</v>
      </c>
      <c r="J20" s="573">
        <f t="shared" si="13"/>
        <v>0</v>
      </c>
      <c r="K20" s="572">
        <f t="shared" si="14"/>
        <v>2109</v>
      </c>
      <c r="L20" s="568">
        <f t="shared" si="15"/>
        <v>2836</v>
      </c>
      <c r="M20" s="573">
        <f t="shared" si="16"/>
        <v>2966.6416456155116</v>
      </c>
      <c r="N20" s="574">
        <f t="shared" si="17"/>
        <v>0</v>
      </c>
      <c r="O20" s="569">
        <f t="shared" si="18"/>
        <v>0</v>
      </c>
      <c r="P20" s="570">
        <f t="shared" si="19"/>
        <v>0</v>
      </c>
      <c r="Q20" s="574">
        <f t="shared" si="20"/>
        <v>0</v>
      </c>
      <c r="R20" s="569">
        <f t="shared" si="21"/>
        <v>0</v>
      </c>
      <c r="S20" s="569">
        <f t="shared" si="22"/>
        <v>0</v>
      </c>
      <c r="T20" s="567">
        <v>0</v>
      </c>
      <c r="U20" s="567">
        <v>0</v>
      </c>
      <c r="V20" s="571"/>
      <c r="W20" s="567">
        <v>476</v>
      </c>
      <c r="X20" s="567">
        <v>437</v>
      </c>
      <c r="Y20" s="571">
        <v>531.72827192290754</v>
      </c>
      <c r="Z20" s="568">
        <v>0</v>
      </c>
      <c r="AA20" s="568">
        <v>0</v>
      </c>
      <c r="AB20" s="573"/>
      <c r="AC20" s="568">
        <v>2109</v>
      </c>
      <c r="AD20" s="568">
        <v>2836</v>
      </c>
      <c r="AE20" s="573">
        <v>2966.6416456155116</v>
      </c>
      <c r="AF20" s="569">
        <v>0</v>
      </c>
      <c r="AG20" s="569">
        <v>0</v>
      </c>
      <c r="AH20" s="570"/>
      <c r="AI20" s="569">
        <v>0</v>
      </c>
      <c r="AJ20" s="569">
        <v>0</v>
      </c>
      <c r="AK20" s="569"/>
      <c r="AL20" s="568"/>
      <c r="AM20" s="568"/>
      <c r="AN20" s="573"/>
      <c r="AO20" s="568"/>
      <c r="AP20" s="568"/>
      <c r="AQ20" s="573"/>
      <c r="AR20" s="572"/>
      <c r="AS20" s="568"/>
      <c r="AT20" s="573"/>
      <c r="AU20" s="533">
        <v>2585</v>
      </c>
      <c r="AV20" s="533">
        <v>3273</v>
      </c>
      <c r="AW20" s="576">
        <v>3498.1961043542674</v>
      </c>
      <c r="AX20" s="567">
        <v>21</v>
      </c>
      <c r="AY20" s="567">
        <v>28</v>
      </c>
      <c r="AZ20" s="571">
        <v>53.155555555555559</v>
      </c>
    </row>
    <row r="21" spans="1:53">
      <c r="A21" t="s">
        <v>225</v>
      </c>
      <c r="B21" s="912"/>
      <c r="C21" s="913"/>
      <c r="D21" s="913"/>
      <c r="E21" s="912"/>
      <c r="F21" s="913"/>
      <c r="G21" s="914"/>
      <c r="H21" s="915"/>
      <c r="I21" s="916"/>
      <c r="J21" s="917"/>
      <c r="K21" s="915"/>
      <c r="L21" s="916"/>
      <c r="M21" s="917"/>
      <c r="N21" s="918"/>
      <c r="O21" s="919"/>
      <c r="P21" s="920"/>
      <c r="Q21" s="918"/>
      <c r="R21" s="919"/>
      <c r="S21" s="919"/>
      <c r="T21" s="913">
        <v>0</v>
      </c>
      <c r="U21" s="913">
        <v>0</v>
      </c>
      <c r="V21" s="914">
        <v>0</v>
      </c>
      <c r="W21" s="913">
        <v>0</v>
      </c>
      <c r="X21" s="913">
        <v>0</v>
      </c>
      <c r="Y21" s="914">
        <v>0</v>
      </c>
      <c r="Z21" s="916">
        <v>0</v>
      </c>
      <c r="AA21" s="916">
        <v>0</v>
      </c>
      <c r="AB21" s="917">
        <v>0</v>
      </c>
      <c r="AC21" s="916">
        <v>0</v>
      </c>
      <c r="AD21" s="916">
        <v>0</v>
      </c>
      <c r="AE21" s="917">
        <v>0</v>
      </c>
      <c r="AF21" s="919">
        <v>0</v>
      </c>
      <c r="AG21" s="919">
        <v>0</v>
      </c>
      <c r="AH21" s="920"/>
      <c r="AI21" s="919">
        <v>0</v>
      </c>
      <c r="AJ21" s="919">
        <v>0</v>
      </c>
      <c r="AK21" s="919"/>
      <c r="AL21" s="916"/>
      <c r="AM21" s="916"/>
      <c r="AN21" s="917"/>
      <c r="AO21" s="916"/>
      <c r="AP21" s="916"/>
      <c r="AQ21" s="917"/>
      <c r="AR21" s="915"/>
      <c r="AS21" s="916"/>
      <c r="AT21" s="917"/>
      <c r="AU21" s="924">
        <v>0</v>
      </c>
      <c r="AV21" s="924">
        <v>0</v>
      </c>
      <c r="AW21" s="925">
        <v>0</v>
      </c>
      <c r="AX21" s="913">
        <v>0</v>
      </c>
      <c r="AY21" s="913">
        <v>0</v>
      </c>
      <c r="AZ21" s="914">
        <v>0</v>
      </c>
    </row>
    <row r="22" spans="1:53">
      <c r="A22" t="s">
        <v>226</v>
      </c>
      <c r="B22" s="912"/>
      <c r="C22" s="913"/>
      <c r="D22" s="913"/>
      <c r="E22" s="912"/>
      <c r="F22" s="913"/>
      <c r="G22" s="914"/>
      <c r="H22" s="915"/>
      <c r="I22" s="916"/>
      <c r="J22" s="917"/>
      <c r="K22" s="915"/>
      <c r="L22" s="916"/>
      <c r="M22" s="917"/>
      <c r="N22" s="918"/>
      <c r="O22" s="919"/>
      <c r="P22" s="920"/>
      <c r="Q22" s="918"/>
      <c r="R22" s="919"/>
      <c r="S22" s="919"/>
      <c r="T22" s="913">
        <v>0</v>
      </c>
      <c r="U22" s="913">
        <v>0</v>
      </c>
      <c r="V22" s="914"/>
      <c r="W22" s="913">
        <v>0</v>
      </c>
      <c r="X22" s="913">
        <v>0</v>
      </c>
      <c r="Y22" s="914">
        <v>0</v>
      </c>
      <c r="Z22" s="916">
        <v>0</v>
      </c>
      <c r="AA22" s="916">
        <v>0</v>
      </c>
      <c r="AB22" s="917"/>
      <c r="AC22" s="916">
        <v>0</v>
      </c>
      <c r="AD22" s="916">
        <v>0</v>
      </c>
      <c r="AE22" s="917">
        <v>0</v>
      </c>
      <c r="AF22" s="919">
        <v>0</v>
      </c>
      <c r="AG22" s="919">
        <v>0</v>
      </c>
      <c r="AH22" s="920"/>
      <c r="AI22" s="919">
        <v>0</v>
      </c>
      <c r="AJ22" s="919">
        <v>0</v>
      </c>
      <c r="AK22" s="919"/>
      <c r="AL22" s="916"/>
      <c r="AM22" s="916"/>
      <c r="AN22" s="917"/>
      <c r="AO22" s="916"/>
      <c r="AP22" s="916"/>
      <c r="AQ22" s="917"/>
      <c r="AR22" s="915"/>
      <c r="AS22" s="916"/>
      <c r="AT22" s="917"/>
      <c r="AU22" s="924">
        <v>0</v>
      </c>
      <c r="AV22" s="924">
        <v>0</v>
      </c>
      <c r="AW22" s="925">
        <v>0</v>
      </c>
      <c r="AX22" s="913">
        <v>0</v>
      </c>
      <c r="AY22" s="913">
        <v>0</v>
      </c>
      <c r="AZ22" s="914">
        <v>0</v>
      </c>
    </row>
    <row r="23" spans="1:53" s="49" customFormat="1">
      <c r="A23" s="49" t="s">
        <v>728</v>
      </c>
      <c r="B23" s="566">
        <f>+T23</f>
        <v>15</v>
      </c>
      <c r="C23" s="567">
        <f t="shared" ref="C23:D23" si="24">+U23</f>
        <v>63</v>
      </c>
      <c r="D23" s="567">
        <f t="shared" si="24"/>
        <v>60</v>
      </c>
      <c r="E23" s="566">
        <f t="shared" ref="E23:G23" si="25">+W23+AL23</f>
        <v>6</v>
      </c>
      <c r="F23" s="567">
        <f t="shared" si="25"/>
        <v>21</v>
      </c>
      <c r="G23" s="571">
        <f t="shared" si="25"/>
        <v>20</v>
      </c>
      <c r="H23" s="572">
        <f t="shared" ref="H23:J23" si="26">+Z23</f>
        <v>0</v>
      </c>
      <c r="I23" s="568">
        <f t="shared" si="26"/>
        <v>48</v>
      </c>
      <c r="J23" s="573">
        <f t="shared" si="26"/>
        <v>50</v>
      </c>
      <c r="K23" s="572">
        <f t="shared" ref="K23:M23" si="27">+AC23+AO23</f>
        <v>0</v>
      </c>
      <c r="L23" s="568">
        <f t="shared" si="27"/>
        <v>8</v>
      </c>
      <c r="M23" s="573">
        <f t="shared" si="27"/>
        <v>10</v>
      </c>
      <c r="N23" s="574">
        <f t="shared" ref="N23:P23" si="28">+AF23</f>
        <v>0</v>
      </c>
      <c r="O23" s="569">
        <f t="shared" si="28"/>
        <v>0</v>
      </c>
      <c r="P23" s="570">
        <f t="shared" si="28"/>
        <v>0</v>
      </c>
      <c r="Q23" s="574">
        <f t="shared" ref="Q23:S23" si="29">+AI23+AR23</f>
        <v>0</v>
      </c>
      <c r="R23" s="569">
        <f t="shared" si="29"/>
        <v>0</v>
      </c>
      <c r="S23" s="569">
        <f t="shared" si="29"/>
        <v>0</v>
      </c>
      <c r="T23" s="567">
        <v>15</v>
      </c>
      <c r="U23" s="567">
        <v>63</v>
      </c>
      <c r="V23" s="571">
        <v>60</v>
      </c>
      <c r="W23" s="567">
        <v>6</v>
      </c>
      <c r="X23" s="567">
        <v>21</v>
      </c>
      <c r="Y23" s="571">
        <v>20</v>
      </c>
      <c r="Z23" s="568">
        <v>0</v>
      </c>
      <c r="AA23" s="568">
        <v>48</v>
      </c>
      <c r="AB23" s="573">
        <v>50</v>
      </c>
      <c r="AC23" s="568">
        <v>0</v>
      </c>
      <c r="AD23" s="568">
        <v>8</v>
      </c>
      <c r="AE23" s="573">
        <v>10</v>
      </c>
      <c r="AF23" s="569">
        <v>0</v>
      </c>
      <c r="AG23" s="569">
        <v>0</v>
      </c>
      <c r="AH23" s="570"/>
      <c r="AI23" s="569">
        <v>0</v>
      </c>
      <c r="AJ23" s="569">
        <v>0</v>
      </c>
      <c r="AK23" s="569"/>
      <c r="AL23" s="568"/>
      <c r="AM23" s="568"/>
      <c r="AN23" s="573"/>
      <c r="AO23" s="568"/>
      <c r="AP23" s="568"/>
      <c r="AQ23" s="573"/>
      <c r="AR23" s="572"/>
      <c r="AS23" s="568"/>
      <c r="AT23" s="573"/>
      <c r="AU23" s="533">
        <v>0</v>
      </c>
      <c r="AV23" s="533">
        <v>0</v>
      </c>
      <c r="AW23" s="576">
        <v>0</v>
      </c>
      <c r="AX23" s="567">
        <v>0</v>
      </c>
      <c r="AY23" s="567">
        <v>0</v>
      </c>
      <c r="AZ23" s="571"/>
    </row>
    <row r="24" spans="1:53" ht="15.75" thickBot="1">
      <c r="A24" t="s">
        <v>43</v>
      </c>
      <c r="B24" s="273">
        <f>SUM(B6:B23)</f>
        <v>128905</v>
      </c>
      <c r="C24" s="273">
        <f t="shared" ref="C24:AZ24" si="30">SUM(C6:C23)</f>
        <v>133551</v>
      </c>
      <c r="D24" s="273">
        <f t="shared" si="30"/>
        <v>144750.41100696064</v>
      </c>
      <c r="E24" s="273">
        <f t="shared" si="30"/>
        <v>171791</v>
      </c>
      <c r="F24" s="273">
        <f t="shared" si="30"/>
        <v>178235</v>
      </c>
      <c r="G24" s="273">
        <f t="shared" si="30"/>
        <v>186639.96717441591</v>
      </c>
      <c r="H24" s="274">
        <f t="shared" si="30"/>
        <v>242838</v>
      </c>
      <c r="I24" s="274">
        <f t="shared" si="30"/>
        <v>222522</v>
      </c>
      <c r="J24" s="274">
        <f t="shared" si="30"/>
        <v>217293.66117250631</v>
      </c>
      <c r="K24" s="274">
        <f t="shared" si="30"/>
        <v>63783</v>
      </c>
      <c r="L24" s="274">
        <f t="shared" si="30"/>
        <v>59008</v>
      </c>
      <c r="M24" s="274">
        <f t="shared" si="30"/>
        <v>56809.984596166403</v>
      </c>
      <c r="N24" s="275">
        <f t="shared" si="30"/>
        <v>85564</v>
      </c>
      <c r="O24" s="275">
        <f t="shared" si="30"/>
        <v>83333</v>
      </c>
      <c r="P24" s="275">
        <f t="shared" si="30"/>
        <v>82491.592867378611</v>
      </c>
      <c r="Q24" s="275">
        <f t="shared" si="30"/>
        <v>9577</v>
      </c>
      <c r="R24" s="275">
        <f t="shared" si="30"/>
        <v>8572</v>
      </c>
      <c r="S24" s="275">
        <f t="shared" si="30"/>
        <v>6983.4961970546192</v>
      </c>
      <c r="T24" s="273">
        <f t="shared" si="30"/>
        <v>128905</v>
      </c>
      <c r="U24" s="273">
        <f t="shared" si="30"/>
        <v>133551</v>
      </c>
      <c r="V24" s="273">
        <f t="shared" si="30"/>
        <v>144750.41100696064</v>
      </c>
      <c r="W24" s="273">
        <f t="shared" si="30"/>
        <v>171791</v>
      </c>
      <c r="X24" s="273">
        <f t="shared" si="30"/>
        <v>178235</v>
      </c>
      <c r="Y24" s="273">
        <f t="shared" si="30"/>
        <v>186639.96717441591</v>
      </c>
      <c r="Z24" s="274">
        <f t="shared" si="30"/>
        <v>242838</v>
      </c>
      <c r="AA24" s="274">
        <f t="shared" si="30"/>
        <v>222522</v>
      </c>
      <c r="AB24" s="274">
        <f t="shared" si="30"/>
        <v>217293.66117250631</v>
      </c>
      <c r="AC24" s="274">
        <f t="shared" si="30"/>
        <v>63783</v>
      </c>
      <c r="AD24" s="274">
        <f>SUM(AD6:AD23)</f>
        <v>59008</v>
      </c>
      <c r="AE24" s="274">
        <f t="shared" si="30"/>
        <v>56809.984596166403</v>
      </c>
      <c r="AF24" s="275">
        <f t="shared" ref="AF24" si="31">SUM(AF6:AF23)</f>
        <v>85564</v>
      </c>
      <c r="AG24" s="275">
        <f t="shared" si="30"/>
        <v>83333</v>
      </c>
      <c r="AH24" s="275">
        <f t="shared" si="30"/>
        <v>82491.592867378611</v>
      </c>
      <c r="AI24" s="275">
        <f t="shared" ref="AI24" si="32">SUM(AI6:AI23)</f>
        <v>9577</v>
      </c>
      <c r="AJ24" s="275">
        <f t="shared" si="30"/>
        <v>8572</v>
      </c>
      <c r="AK24" s="275">
        <f t="shared" si="30"/>
        <v>6983.4961970546192</v>
      </c>
      <c r="AL24" s="274">
        <f t="shared" ref="AL24" si="33">SUM(AL6:AL23)</f>
        <v>0</v>
      </c>
      <c r="AM24" s="274">
        <f t="shared" si="30"/>
        <v>0</v>
      </c>
      <c r="AN24" s="274">
        <f t="shared" si="30"/>
        <v>0</v>
      </c>
      <c r="AO24" s="274">
        <f t="shared" ref="AO24" si="34">SUM(AO6:AO23)</f>
        <v>0</v>
      </c>
      <c r="AP24" s="274">
        <f t="shared" si="30"/>
        <v>0</v>
      </c>
      <c r="AQ24" s="274">
        <f t="shared" si="30"/>
        <v>0</v>
      </c>
      <c r="AR24" s="274">
        <f t="shared" si="30"/>
        <v>0</v>
      </c>
      <c r="AS24" s="274">
        <f t="shared" si="30"/>
        <v>0</v>
      </c>
      <c r="AT24" s="274">
        <f t="shared" si="30"/>
        <v>0</v>
      </c>
      <c r="AU24" s="283">
        <f t="shared" ref="AU24" si="35">SUM(AU6:AU23)</f>
        <v>11601</v>
      </c>
      <c r="AV24" s="283">
        <f t="shared" si="30"/>
        <v>12257</v>
      </c>
      <c r="AW24" s="283">
        <f>SUM(AW6:AW23)</f>
        <v>12324.203284310513</v>
      </c>
      <c r="AX24" s="273">
        <f t="shared" ref="AX24" si="36">SUM(AX6:AX23)</f>
        <v>33613</v>
      </c>
      <c r="AY24" s="273">
        <f t="shared" si="30"/>
        <v>37237</v>
      </c>
      <c r="AZ24" s="273">
        <f t="shared" si="30"/>
        <v>40376.183877394651</v>
      </c>
      <c r="BA24" s="541"/>
    </row>
    <row r="25" spans="1:53" ht="15.75" thickTop="1">
      <c r="B25" s="141"/>
      <c r="C25" s="141"/>
      <c r="D25" s="141"/>
      <c r="E25" s="141"/>
      <c r="F25" s="141"/>
      <c r="G25" s="141"/>
      <c r="H25" s="141"/>
      <c r="I25" s="141"/>
      <c r="J25" s="141"/>
      <c r="K25" s="141"/>
      <c r="L25" s="141"/>
      <c r="M25" s="141"/>
      <c r="N25" s="141"/>
      <c r="O25" s="141"/>
      <c r="P25" s="141"/>
      <c r="Q25" s="141"/>
      <c r="R25" s="141"/>
      <c r="S25" s="141"/>
      <c r="T25" s="1265"/>
      <c r="U25" s="1265"/>
      <c r="V25" s="1265"/>
      <c r="W25" s="1265"/>
      <c r="X25" s="1265"/>
      <c r="Y25" s="1265"/>
      <c r="Z25" s="1265"/>
      <c r="AA25" s="1265"/>
      <c r="AB25" s="1265"/>
      <c r="AC25" s="1265"/>
      <c r="AD25" s="1265"/>
      <c r="AE25" s="1265"/>
      <c r="AF25" s="1265"/>
      <c r="AG25" s="1265"/>
      <c r="AH25" s="1265"/>
      <c r="AI25" s="1265"/>
      <c r="AJ25" s="1265"/>
      <c r="AK25" s="1265"/>
      <c r="AL25" s="1279"/>
      <c r="AM25" s="1279"/>
      <c r="AN25" s="1279"/>
      <c r="AO25" s="1279"/>
      <c r="AP25" s="1279"/>
      <c r="AQ25" s="1279"/>
      <c r="AR25" s="1279"/>
      <c r="AS25" s="1279"/>
      <c r="AT25" s="1279"/>
      <c r="AU25" s="1279"/>
      <c r="AV25" s="1279"/>
      <c r="AW25" s="1279"/>
      <c r="AX25" s="1279"/>
      <c r="AY25" s="1279"/>
      <c r="AZ25" s="1279"/>
    </row>
    <row r="26" spans="1:53">
      <c r="A26" t="s">
        <v>227</v>
      </c>
      <c r="B26" s="141">
        <f>+T26</f>
        <v>4773</v>
      </c>
      <c r="C26" s="141">
        <f t="shared" ref="C26:D26" si="37">+U26</f>
        <v>9286</v>
      </c>
      <c r="D26" s="141">
        <f t="shared" si="37"/>
        <v>10632</v>
      </c>
      <c r="E26" s="141"/>
      <c r="F26" s="141"/>
      <c r="G26" s="141"/>
      <c r="H26" s="141"/>
      <c r="I26" s="141"/>
      <c r="J26" s="141"/>
      <c r="K26" s="141"/>
      <c r="L26" s="141"/>
      <c r="M26" s="141"/>
      <c r="N26" s="141"/>
      <c r="O26" s="141"/>
      <c r="P26" s="141"/>
      <c r="Q26" s="141"/>
      <c r="R26" s="141"/>
      <c r="S26" s="141"/>
      <c r="T26" s="141">
        <v>4773</v>
      </c>
      <c r="U26" s="141">
        <v>9286</v>
      </c>
      <c r="V26" s="141">
        <v>10632</v>
      </c>
      <c r="W26" s="141"/>
      <c r="X26" s="141"/>
      <c r="Y26" s="141"/>
      <c r="Z26" s="141"/>
      <c r="AA26" s="141"/>
      <c r="AB26" s="141"/>
      <c r="AC26" s="141"/>
      <c r="AD26" s="141"/>
      <c r="AE26" s="141"/>
      <c r="AF26" s="141"/>
      <c r="AG26" s="141"/>
      <c r="AH26" s="141"/>
      <c r="AI26" s="141"/>
      <c r="AJ26" s="141"/>
      <c r="AK26" s="141"/>
      <c r="AL26" s="1290"/>
      <c r="AM26" s="1290"/>
      <c r="AN26" s="1290"/>
      <c r="AO26" s="1290"/>
      <c r="AP26" s="1290"/>
      <c r="AQ26" s="1290"/>
      <c r="AR26" s="1290"/>
      <c r="AS26" s="1290"/>
      <c r="AT26" s="1290"/>
      <c r="AU26" s="984">
        <v>56</v>
      </c>
      <c r="AV26" s="984">
        <v>20</v>
      </c>
      <c r="AW26" s="984">
        <v>27</v>
      </c>
      <c r="AX26" s="984">
        <v>151</v>
      </c>
      <c r="AY26" s="984">
        <v>318</v>
      </c>
      <c r="AZ26" s="984">
        <v>292</v>
      </c>
    </row>
    <row r="27" spans="1:53">
      <c r="B27" s="141"/>
      <c r="C27" s="141"/>
      <c r="D27" s="141"/>
      <c r="E27" s="141"/>
      <c r="F27" s="141"/>
      <c r="G27" s="141"/>
      <c r="H27" s="141"/>
      <c r="I27" s="141"/>
      <c r="J27" s="141"/>
      <c r="K27" s="141"/>
      <c r="L27" s="141"/>
      <c r="M27" s="141"/>
      <c r="N27" s="141"/>
      <c r="O27" s="141"/>
      <c r="P27" s="141"/>
      <c r="Q27" s="141"/>
      <c r="R27" s="141"/>
      <c r="S27" s="141"/>
      <c r="T27" s="141"/>
      <c r="U27" s="141"/>
      <c r="V27" s="141"/>
      <c r="W27" s="141"/>
      <c r="X27" s="141"/>
      <c r="Y27" s="141"/>
      <c r="Z27" s="141"/>
      <c r="AA27" s="141"/>
      <c r="AB27" s="141"/>
      <c r="AC27" s="141"/>
      <c r="AD27" s="141"/>
      <c r="AE27" s="141"/>
      <c r="AF27" s="141"/>
      <c r="AG27" s="141"/>
      <c r="AH27" s="141"/>
      <c r="AI27" s="141"/>
      <c r="AJ27" s="141"/>
      <c r="AK27" s="141"/>
      <c r="AL27" s="521"/>
      <c r="AM27" s="521"/>
      <c r="AN27" s="521"/>
      <c r="AO27" s="521"/>
      <c r="AP27" s="521"/>
      <c r="AQ27" s="521"/>
      <c r="AR27" s="521"/>
      <c r="AS27" s="521"/>
      <c r="AT27" s="521"/>
      <c r="AU27" s="984"/>
      <c r="AV27" s="984"/>
      <c r="AW27" s="984"/>
      <c r="AX27" s="512">
        <f>+AX24+AX26</f>
        <v>33764</v>
      </c>
      <c r="AY27" s="512">
        <f t="shared" ref="AY27:AZ27" si="38">+AY24+AY26</f>
        <v>37555</v>
      </c>
      <c r="AZ27" s="512">
        <f t="shared" si="38"/>
        <v>40668.183877394651</v>
      </c>
    </row>
    <row r="28" spans="1:53" s="277" customFormat="1">
      <c r="T28" s="644"/>
      <c r="U28" s="644"/>
      <c r="V28" s="644"/>
    </row>
    <row r="29" spans="1:53" s="49" customFormat="1">
      <c r="T29" s="1130"/>
      <c r="U29" s="1130"/>
      <c r="V29" s="1130"/>
    </row>
    <row r="30" spans="1:53">
      <c r="A30" s="594" t="s">
        <v>808</v>
      </c>
      <c r="B30" s="1270" t="s">
        <v>229</v>
      </c>
      <c r="C30" s="1271"/>
      <c r="D30" s="1271"/>
      <c r="E30" s="1271"/>
      <c r="F30" s="1271"/>
      <c r="G30" s="1271"/>
      <c r="H30" s="1271"/>
      <c r="I30" s="1271"/>
      <c r="J30" s="1271"/>
      <c r="K30" s="1271"/>
      <c r="L30" s="1271"/>
      <c r="M30" s="1271"/>
      <c r="N30" s="1271"/>
      <c r="O30" s="1271"/>
      <c r="P30" s="1271"/>
      <c r="Q30" s="1271"/>
      <c r="R30" s="1271"/>
      <c r="S30" s="1272"/>
      <c r="T30" s="1270" t="s">
        <v>428</v>
      </c>
      <c r="U30" s="1271"/>
      <c r="V30" s="1271"/>
      <c r="W30" s="1271"/>
      <c r="X30" s="1271"/>
      <c r="Y30" s="1271"/>
      <c r="Z30" s="1271"/>
      <c r="AA30" s="1271"/>
      <c r="AB30" s="1272"/>
      <c r="AC30" s="1270" t="s">
        <v>236</v>
      </c>
      <c r="AD30" s="1271"/>
      <c r="AE30" s="1271"/>
      <c r="AF30" s="1271"/>
      <c r="AG30" s="1271"/>
      <c r="AH30" s="1271"/>
      <c r="AI30" s="1271"/>
      <c r="AJ30" s="1271"/>
      <c r="AK30" s="1272"/>
    </row>
    <row r="31" spans="1:53">
      <c r="B31" s="1273" t="s">
        <v>230</v>
      </c>
      <c r="C31" s="1274"/>
      <c r="D31" s="1274"/>
      <c r="E31" s="1274"/>
      <c r="F31" s="1274"/>
      <c r="G31" s="1274"/>
      <c r="H31" s="1274"/>
      <c r="I31" s="1274"/>
      <c r="J31" s="1274"/>
      <c r="K31" s="1274"/>
      <c r="L31" s="1274"/>
      <c r="M31" s="1274"/>
      <c r="N31" s="1274"/>
      <c r="O31" s="1274"/>
      <c r="P31" s="1274"/>
      <c r="Q31" s="1274"/>
      <c r="R31" s="1274"/>
      <c r="S31" s="1275"/>
      <c r="T31" s="1273" t="s">
        <v>432</v>
      </c>
      <c r="U31" s="1274"/>
      <c r="V31" s="1274"/>
      <c r="W31" s="1274"/>
      <c r="X31" s="1274"/>
      <c r="Y31" s="1274"/>
      <c r="Z31" s="1274"/>
      <c r="AA31" s="1274"/>
      <c r="AB31" s="1275"/>
      <c r="AC31" s="1273" t="s">
        <v>230</v>
      </c>
      <c r="AD31" s="1274"/>
      <c r="AE31" s="1274"/>
      <c r="AF31" s="1274"/>
      <c r="AG31" s="1274"/>
      <c r="AH31" s="1274"/>
      <c r="AI31" s="1274"/>
      <c r="AJ31" s="1274"/>
      <c r="AK31" s="1275"/>
    </row>
    <row r="32" spans="1:53">
      <c r="B32" s="1242"/>
      <c r="C32" s="1243"/>
      <c r="D32" s="1244"/>
      <c r="E32" s="1253"/>
      <c r="F32" s="1254"/>
      <c r="G32" s="1255"/>
      <c r="H32" s="1248"/>
      <c r="I32" s="1269"/>
      <c r="J32" s="1249"/>
      <c r="K32" s="1253"/>
      <c r="L32" s="1254"/>
      <c r="M32" s="1255"/>
      <c r="N32" s="1242"/>
      <c r="O32" s="1243"/>
      <c r="P32" s="1244"/>
      <c r="Q32" s="1253"/>
      <c r="R32" s="1254"/>
      <c r="S32" s="1255"/>
      <c r="T32" s="598"/>
      <c r="U32" s="599"/>
      <c r="V32" s="600"/>
      <c r="W32" s="598"/>
      <c r="X32" s="599"/>
      <c r="Y32" s="600"/>
      <c r="Z32" s="598"/>
      <c r="AA32" s="599"/>
      <c r="AB32" s="600"/>
      <c r="AC32" s="1242"/>
      <c r="AD32" s="1243"/>
      <c r="AE32" s="1244"/>
      <c r="AF32" s="1253"/>
      <c r="AG32" s="1254"/>
      <c r="AH32" s="1255"/>
      <c r="AI32" s="1248"/>
      <c r="AJ32" s="1269"/>
      <c r="AK32" s="1249"/>
    </row>
    <row r="33" spans="1:37">
      <c r="B33" s="1266" t="s">
        <v>231</v>
      </c>
      <c r="C33" s="1267"/>
      <c r="D33" s="1268"/>
      <c r="E33" s="1266" t="s">
        <v>232</v>
      </c>
      <c r="F33" s="1267"/>
      <c r="G33" s="1268"/>
      <c r="H33" s="1266" t="s">
        <v>233</v>
      </c>
      <c r="I33" s="1267"/>
      <c r="J33" s="1268"/>
      <c r="K33" s="1266" t="s">
        <v>234</v>
      </c>
      <c r="L33" s="1267"/>
      <c r="M33" s="1268"/>
      <c r="N33" s="1266" t="s">
        <v>235</v>
      </c>
      <c r="O33" s="1267"/>
      <c r="P33" s="1268"/>
      <c r="Q33" s="1266" t="s">
        <v>243</v>
      </c>
      <c r="R33" s="1267"/>
      <c r="S33" s="1268"/>
      <c r="T33" s="1266" t="s">
        <v>429</v>
      </c>
      <c r="U33" s="1267"/>
      <c r="V33" s="1268"/>
      <c r="W33" s="1266" t="s">
        <v>430</v>
      </c>
      <c r="X33" s="1267"/>
      <c r="Y33" s="1268"/>
      <c r="Z33" s="1266" t="s">
        <v>431</v>
      </c>
      <c r="AA33" s="1267"/>
      <c r="AB33" s="1268"/>
      <c r="AC33" s="1266" t="s">
        <v>237</v>
      </c>
      <c r="AD33" s="1267"/>
      <c r="AE33" s="1268"/>
      <c r="AF33" s="1266" t="s">
        <v>238</v>
      </c>
      <c r="AG33" s="1267"/>
      <c r="AH33" s="1268"/>
      <c r="AI33" s="1266" t="s">
        <v>594</v>
      </c>
      <c r="AJ33" s="1267"/>
      <c r="AK33" s="1268"/>
    </row>
    <row r="34" spans="1:37">
      <c r="A34" s="272"/>
      <c r="B34" s="49">
        <v>2021</v>
      </c>
      <c r="C34" s="49">
        <v>2022</v>
      </c>
      <c r="D34" s="98">
        <v>2023</v>
      </c>
      <c r="E34" s="49">
        <v>2021</v>
      </c>
      <c r="F34" s="49">
        <v>2022</v>
      </c>
      <c r="G34" s="98">
        <v>2023</v>
      </c>
      <c r="H34" s="49">
        <v>2021</v>
      </c>
      <c r="I34" s="49">
        <v>2022</v>
      </c>
      <c r="J34" s="98">
        <v>2023</v>
      </c>
      <c r="K34" s="49">
        <v>2021</v>
      </c>
      <c r="L34" s="49">
        <v>2022</v>
      </c>
      <c r="M34" s="98">
        <v>2023</v>
      </c>
      <c r="N34" s="49">
        <v>2021</v>
      </c>
      <c r="O34" s="49">
        <v>2022</v>
      </c>
      <c r="P34" s="98">
        <v>2023</v>
      </c>
      <c r="Q34" s="49">
        <v>2021</v>
      </c>
      <c r="R34" s="49">
        <v>2022</v>
      </c>
      <c r="S34" s="98">
        <v>2023</v>
      </c>
      <c r="T34" s="49">
        <v>2021</v>
      </c>
      <c r="U34" s="49">
        <v>2022</v>
      </c>
      <c r="V34" s="98">
        <v>2023</v>
      </c>
      <c r="W34" s="49">
        <v>2021</v>
      </c>
      <c r="X34" s="49">
        <v>2022</v>
      </c>
      <c r="Y34" s="98">
        <v>2023</v>
      </c>
      <c r="Z34" s="49">
        <v>2021</v>
      </c>
      <c r="AA34" s="49">
        <v>2022</v>
      </c>
      <c r="AB34" s="98">
        <v>2023</v>
      </c>
      <c r="AC34" s="49">
        <v>2021</v>
      </c>
      <c r="AD34" s="49">
        <v>2022</v>
      </c>
      <c r="AE34" s="98">
        <v>2023</v>
      </c>
      <c r="AF34" s="49">
        <v>2021</v>
      </c>
      <c r="AG34" s="49">
        <v>2022</v>
      </c>
      <c r="AH34" s="98">
        <v>2023</v>
      </c>
      <c r="AI34" s="49">
        <v>2021</v>
      </c>
      <c r="AJ34" s="49">
        <v>2022</v>
      </c>
      <c r="AK34" s="98">
        <v>2023</v>
      </c>
    </row>
    <row r="35" spans="1:37">
      <c r="A35" t="s">
        <v>211</v>
      </c>
      <c r="B35" s="567">
        <v>438</v>
      </c>
      <c r="C35" s="567">
        <v>445</v>
      </c>
      <c r="D35" s="571">
        <v>485.22665845326804</v>
      </c>
      <c r="E35" s="568">
        <v>21</v>
      </c>
      <c r="F35" s="568">
        <v>34</v>
      </c>
      <c r="G35" s="573">
        <v>30.774746218447582</v>
      </c>
      <c r="H35" s="569">
        <v>66</v>
      </c>
      <c r="I35" s="569">
        <v>84</v>
      </c>
      <c r="J35" s="570">
        <v>79.826534238370044</v>
      </c>
      <c r="K35" s="568">
        <v>77</v>
      </c>
      <c r="L35" s="568">
        <v>89</v>
      </c>
      <c r="M35" s="573">
        <v>111</v>
      </c>
      <c r="N35" s="567">
        <v>7</v>
      </c>
      <c r="O35" s="567">
        <v>5</v>
      </c>
      <c r="P35" s="571">
        <v>6</v>
      </c>
      <c r="Q35" s="639">
        <v>140</v>
      </c>
      <c r="R35" s="639">
        <v>124</v>
      </c>
      <c r="S35" s="573">
        <v>128</v>
      </c>
      <c r="T35" s="569">
        <v>4</v>
      </c>
      <c r="U35" s="569">
        <v>5.5</v>
      </c>
      <c r="V35" s="570">
        <v>4.5</v>
      </c>
      <c r="W35" s="569">
        <v>2.5</v>
      </c>
      <c r="X35" s="569">
        <v>1.5</v>
      </c>
      <c r="Y35" s="570">
        <v>4.333333333333333</v>
      </c>
      <c r="Z35" s="597"/>
      <c r="AA35" s="595"/>
      <c r="AB35" s="596"/>
      <c r="AC35" s="567">
        <v>24</v>
      </c>
      <c r="AD35" s="567">
        <v>32</v>
      </c>
      <c r="AE35" s="571">
        <v>31.405455226665943</v>
      </c>
      <c r="AF35" s="568">
        <v>193</v>
      </c>
      <c r="AG35" s="568">
        <v>223</v>
      </c>
      <c r="AH35" s="573">
        <v>233.92681490141507</v>
      </c>
      <c r="AI35" s="569">
        <v>104</v>
      </c>
      <c r="AJ35" s="569">
        <v>129</v>
      </c>
      <c r="AK35" s="570">
        <v>130.84626482839045</v>
      </c>
    </row>
    <row r="36" spans="1:37">
      <c r="A36" t="s">
        <v>212</v>
      </c>
      <c r="B36" s="567">
        <v>1054</v>
      </c>
      <c r="C36" s="567">
        <v>917</v>
      </c>
      <c r="D36" s="571">
        <v>1033.1813614976083</v>
      </c>
      <c r="E36" s="568">
        <v>1</v>
      </c>
      <c r="F36" s="568">
        <v>1</v>
      </c>
      <c r="G36" s="573">
        <v>0.97050505050505054</v>
      </c>
      <c r="H36" s="569">
        <v>145</v>
      </c>
      <c r="I36" s="569">
        <v>154</v>
      </c>
      <c r="J36" s="570">
        <v>209.77110457655053</v>
      </c>
      <c r="K36" s="568">
        <v>12</v>
      </c>
      <c r="L36" s="568">
        <v>15</v>
      </c>
      <c r="M36" s="573">
        <v>21.333333333333336</v>
      </c>
      <c r="N36" s="567">
        <v>0</v>
      </c>
      <c r="O36" s="567">
        <v>0</v>
      </c>
      <c r="P36" s="571">
        <v>0</v>
      </c>
      <c r="Q36" s="639">
        <v>199</v>
      </c>
      <c r="R36" s="639">
        <v>189</v>
      </c>
      <c r="S36" s="573">
        <v>202.66666666666666</v>
      </c>
      <c r="T36" s="569">
        <v>0</v>
      </c>
      <c r="U36" s="569">
        <v>0</v>
      </c>
      <c r="V36" s="570">
        <v>0</v>
      </c>
      <c r="W36" s="569">
        <v>0</v>
      </c>
      <c r="X36" s="569">
        <v>0</v>
      </c>
      <c r="Y36" s="570">
        <v>0</v>
      </c>
      <c r="Z36" s="597"/>
      <c r="AA36" s="595"/>
      <c r="AB36" s="596"/>
      <c r="AC36" s="567">
        <v>268</v>
      </c>
      <c r="AD36" s="567">
        <v>183</v>
      </c>
      <c r="AE36" s="571">
        <v>246.39308877381197</v>
      </c>
      <c r="AF36" s="568">
        <v>276</v>
      </c>
      <c r="AG36" s="568">
        <v>248</v>
      </c>
      <c r="AH36" s="573">
        <v>288.39850247214287</v>
      </c>
      <c r="AI36" s="569">
        <v>265</v>
      </c>
      <c r="AJ36" s="569">
        <v>219</v>
      </c>
      <c r="AK36" s="570">
        <v>265.77898383548967</v>
      </c>
    </row>
    <row r="37" spans="1:37">
      <c r="A37" t="s">
        <v>213</v>
      </c>
      <c r="B37" s="567">
        <v>75</v>
      </c>
      <c r="C37" s="567">
        <v>49</v>
      </c>
      <c r="D37" s="571">
        <v>47.755205067965584</v>
      </c>
      <c r="E37" s="568">
        <v>23</v>
      </c>
      <c r="F37" s="568">
        <v>26</v>
      </c>
      <c r="G37" s="573">
        <v>25.7403202081919</v>
      </c>
      <c r="H37" s="569">
        <v>77</v>
      </c>
      <c r="I37" s="569">
        <v>86</v>
      </c>
      <c r="J37" s="570">
        <v>88.299720487400137</v>
      </c>
      <c r="K37" s="568">
        <v>33</v>
      </c>
      <c r="L37" s="568">
        <v>10</v>
      </c>
      <c r="M37" s="573">
        <v>24.333333333333336</v>
      </c>
      <c r="N37" s="567">
        <v>0</v>
      </c>
      <c r="O37" s="567">
        <v>0</v>
      </c>
      <c r="P37" s="571">
        <v>0</v>
      </c>
      <c r="Q37" s="639">
        <v>40</v>
      </c>
      <c r="R37" s="639">
        <v>48</v>
      </c>
      <c r="S37" s="573">
        <v>40.333333333333336</v>
      </c>
      <c r="T37" s="569">
        <v>0</v>
      </c>
      <c r="U37" s="569">
        <v>0</v>
      </c>
      <c r="V37" s="570">
        <v>0.33333333333333331</v>
      </c>
      <c r="W37" s="569">
        <v>0</v>
      </c>
      <c r="X37" s="569">
        <v>1</v>
      </c>
      <c r="Y37" s="570">
        <v>0.66666666666666663</v>
      </c>
      <c r="Z37" s="597"/>
      <c r="AA37" s="595"/>
      <c r="AB37" s="596"/>
      <c r="AC37" s="567"/>
      <c r="AD37" s="567">
        <v>2</v>
      </c>
      <c r="AE37" s="571">
        <v>1.0884712227888358</v>
      </c>
      <c r="AF37" s="568">
        <v>41</v>
      </c>
      <c r="AG37" s="568">
        <v>35</v>
      </c>
      <c r="AH37" s="573">
        <v>37.392649627103978</v>
      </c>
      <c r="AI37" s="569">
        <v>52</v>
      </c>
      <c r="AJ37" s="569">
        <v>61</v>
      </c>
      <c r="AK37" s="570">
        <v>56.464444682170857</v>
      </c>
    </row>
    <row r="38" spans="1:37">
      <c r="A38" t="s">
        <v>214</v>
      </c>
      <c r="B38" s="567">
        <v>199</v>
      </c>
      <c r="C38" s="567">
        <v>166</v>
      </c>
      <c r="D38" s="571">
        <v>199.23846126772955</v>
      </c>
      <c r="E38" s="568">
        <v>10</v>
      </c>
      <c r="F38" s="568">
        <v>10</v>
      </c>
      <c r="G38" s="573">
        <v>8.912289176025439</v>
      </c>
      <c r="H38" s="569">
        <v>54</v>
      </c>
      <c r="I38" s="569">
        <v>60</v>
      </c>
      <c r="J38" s="570">
        <v>60.630430086410058</v>
      </c>
      <c r="K38" s="568">
        <v>31</v>
      </c>
      <c r="L38" s="568">
        <v>25</v>
      </c>
      <c r="M38" s="573">
        <v>33</v>
      </c>
      <c r="N38" s="567">
        <v>1</v>
      </c>
      <c r="O38" s="567">
        <v>2</v>
      </c>
      <c r="P38" s="571">
        <v>2.333333333333333</v>
      </c>
      <c r="Q38" s="639">
        <v>10</v>
      </c>
      <c r="R38" s="639">
        <v>10</v>
      </c>
      <c r="S38" s="573">
        <v>10</v>
      </c>
      <c r="T38" s="569">
        <v>0</v>
      </c>
      <c r="U38" s="569">
        <v>0</v>
      </c>
      <c r="V38" s="570">
        <v>0.33333333333333331</v>
      </c>
      <c r="W38" s="569">
        <v>2</v>
      </c>
      <c r="X38" s="569">
        <v>1.5</v>
      </c>
      <c r="Y38" s="570">
        <v>2.1666666666666665</v>
      </c>
      <c r="Z38" s="597"/>
      <c r="AA38" s="595"/>
      <c r="AB38" s="596"/>
      <c r="AC38" s="567">
        <v>14</v>
      </c>
      <c r="AD38" s="567">
        <v>11</v>
      </c>
      <c r="AE38" s="571">
        <v>13.576085825433093</v>
      </c>
      <c r="AF38" s="568">
        <v>112</v>
      </c>
      <c r="AG38" s="568">
        <v>81</v>
      </c>
      <c r="AH38" s="573">
        <v>104.56153527828512</v>
      </c>
      <c r="AI38" s="569">
        <v>47</v>
      </c>
      <c r="AJ38" s="569">
        <v>36</v>
      </c>
      <c r="AK38" s="570">
        <v>45.039992544287273</v>
      </c>
    </row>
    <row r="39" spans="1:37">
      <c r="A39" t="s">
        <v>215</v>
      </c>
      <c r="B39" s="913">
        <v>0</v>
      </c>
      <c r="C39" s="913">
        <v>0</v>
      </c>
      <c r="D39" s="914">
        <v>0</v>
      </c>
      <c r="E39" s="916">
        <v>0</v>
      </c>
      <c r="F39" s="916">
        <v>0</v>
      </c>
      <c r="G39" s="917">
        <v>0</v>
      </c>
      <c r="H39" s="919">
        <v>0</v>
      </c>
      <c r="I39" s="919">
        <v>0</v>
      </c>
      <c r="J39" s="920">
        <v>0</v>
      </c>
      <c r="K39" s="916">
        <v>0</v>
      </c>
      <c r="L39" s="916">
        <v>0</v>
      </c>
      <c r="M39" s="917">
        <v>0</v>
      </c>
      <c r="N39" s="913">
        <v>0</v>
      </c>
      <c r="O39" s="913">
        <v>0</v>
      </c>
      <c r="P39" s="914">
        <v>0</v>
      </c>
      <c r="Q39" s="908">
        <v>0</v>
      </c>
      <c r="R39" s="908">
        <v>0</v>
      </c>
      <c r="S39" s="917">
        <v>0</v>
      </c>
      <c r="T39" s="919">
        <v>0</v>
      </c>
      <c r="U39" s="919">
        <v>0</v>
      </c>
      <c r="V39" s="920">
        <v>0</v>
      </c>
      <c r="W39" s="919">
        <v>0</v>
      </c>
      <c r="X39" s="919">
        <v>0</v>
      </c>
      <c r="Y39" s="920">
        <v>0</v>
      </c>
      <c r="Z39" s="921"/>
      <c r="AA39" s="922"/>
      <c r="AB39" s="923"/>
      <c r="AC39" s="913"/>
      <c r="AD39" s="913"/>
      <c r="AE39" s="914"/>
      <c r="AF39" s="916"/>
      <c r="AG39" s="916"/>
      <c r="AH39" s="917"/>
      <c r="AI39" s="919"/>
      <c r="AJ39" s="919"/>
      <c r="AK39" s="920"/>
    </row>
    <row r="40" spans="1:37">
      <c r="A40" t="s">
        <v>216</v>
      </c>
      <c r="B40" s="567">
        <v>641</v>
      </c>
      <c r="C40" s="567">
        <v>627</v>
      </c>
      <c r="D40" s="571">
        <v>671.59761800669537</v>
      </c>
      <c r="E40" s="568">
        <v>50</v>
      </c>
      <c r="F40" s="568">
        <v>51</v>
      </c>
      <c r="G40" s="573">
        <v>48.47597358809719</v>
      </c>
      <c r="H40" s="569">
        <v>71</v>
      </c>
      <c r="I40" s="569">
        <v>94</v>
      </c>
      <c r="J40" s="570">
        <v>84.135986280836718</v>
      </c>
      <c r="K40" s="568">
        <v>8</v>
      </c>
      <c r="L40" s="568">
        <v>3</v>
      </c>
      <c r="M40" s="573">
        <v>5.3333333333333348</v>
      </c>
      <c r="N40" s="567">
        <v>0</v>
      </c>
      <c r="O40" s="567">
        <v>0</v>
      </c>
      <c r="P40" s="571">
        <v>0</v>
      </c>
      <c r="Q40" s="639">
        <v>468</v>
      </c>
      <c r="R40" s="639">
        <v>433</v>
      </c>
      <c r="S40" s="573">
        <v>466.66666666666669</v>
      </c>
      <c r="T40" s="569">
        <v>2</v>
      </c>
      <c r="U40" s="569">
        <v>3</v>
      </c>
      <c r="V40" s="570">
        <v>2</v>
      </c>
      <c r="W40" s="569">
        <v>3</v>
      </c>
      <c r="X40" s="569">
        <v>0.5</v>
      </c>
      <c r="Y40" s="570">
        <v>1.1666666666666667</v>
      </c>
      <c r="Z40" s="597"/>
      <c r="AA40" s="595"/>
      <c r="AB40" s="596"/>
      <c r="AC40" s="567">
        <v>55</v>
      </c>
      <c r="AD40" s="567">
        <v>67</v>
      </c>
      <c r="AE40" s="571">
        <v>63.90539202308539</v>
      </c>
      <c r="AF40" s="568">
        <v>235</v>
      </c>
      <c r="AG40" s="568">
        <v>205</v>
      </c>
      <c r="AH40" s="573">
        <v>230.6027241208773</v>
      </c>
      <c r="AI40" s="569">
        <v>243</v>
      </c>
      <c r="AJ40" s="569">
        <v>226</v>
      </c>
      <c r="AK40" s="570">
        <v>245.77614257395186</v>
      </c>
    </row>
    <row r="41" spans="1:37">
      <c r="A41" t="s">
        <v>131</v>
      </c>
      <c r="B41" s="567">
        <v>0</v>
      </c>
      <c r="C41" s="567">
        <v>0</v>
      </c>
      <c r="D41" s="571">
        <v>0</v>
      </c>
      <c r="E41" s="568">
        <v>14</v>
      </c>
      <c r="F41" s="568">
        <v>18</v>
      </c>
      <c r="G41" s="573">
        <v>11.492549109477554</v>
      </c>
      <c r="H41" s="569">
        <v>51</v>
      </c>
      <c r="I41" s="569">
        <v>56</v>
      </c>
      <c r="J41" s="570">
        <v>59.226478169023082</v>
      </c>
      <c r="K41" s="568">
        <v>18</v>
      </c>
      <c r="L41" s="568">
        <v>16</v>
      </c>
      <c r="M41" s="573">
        <v>21</v>
      </c>
      <c r="N41" s="567">
        <v>0</v>
      </c>
      <c r="O41" s="567">
        <v>0</v>
      </c>
      <c r="P41" s="571">
        <v>0</v>
      </c>
      <c r="Q41" s="639">
        <v>18</v>
      </c>
      <c r="R41" s="639">
        <v>21</v>
      </c>
      <c r="S41" s="573">
        <v>19.666666666666668</v>
      </c>
      <c r="T41" s="569">
        <v>1</v>
      </c>
      <c r="U41" s="569">
        <v>3</v>
      </c>
      <c r="V41" s="570">
        <v>1.3333333333333333</v>
      </c>
      <c r="W41" s="569">
        <v>1</v>
      </c>
      <c r="X41" s="569">
        <v>16.5</v>
      </c>
      <c r="Y41" s="570">
        <v>8.8333333333333339</v>
      </c>
      <c r="Z41" s="597"/>
      <c r="AA41" s="595"/>
      <c r="AB41" s="596"/>
      <c r="AC41" s="567">
        <v>24</v>
      </c>
      <c r="AD41" s="567">
        <v>14</v>
      </c>
      <c r="AE41" s="571">
        <v>20.394284378793781</v>
      </c>
      <c r="AF41" s="568">
        <v>6</v>
      </c>
      <c r="AG41" s="568">
        <v>9</v>
      </c>
      <c r="AH41" s="573">
        <v>7.9010969282081867</v>
      </c>
      <c r="AI41" s="569">
        <v>12</v>
      </c>
      <c r="AJ41" s="569">
        <v>14</v>
      </c>
      <c r="AK41" s="570">
        <v>13.763993250227472</v>
      </c>
    </row>
    <row r="42" spans="1:37">
      <c r="A42" t="s">
        <v>217</v>
      </c>
      <c r="B42" s="567">
        <v>1089</v>
      </c>
      <c r="C42" s="567">
        <v>959</v>
      </c>
      <c r="D42" s="571">
        <v>1068.0061908135826</v>
      </c>
      <c r="E42" s="568">
        <v>12</v>
      </c>
      <c r="F42" s="568">
        <v>12</v>
      </c>
      <c r="G42" s="573">
        <v>13.048477273674125</v>
      </c>
      <c r="H42" s="569">
        <v>72</v>
      </c>
      <c r="I42" s="569">
        <v>64</v>
      </c>
      <c r="J42" s="570">
        <v>76.375332153618047</v>
      </c>
      <c r="K42" s="568">
        <v>1</v>
      </c>
      <c r="L42" s="568">
        <v>3</v>
      </c>
      <c r="M42" s="573">
        <v>4.333333333333333</v>
      </c>
      <c r="N42" s="567">
        <v>76</v>
      </c>
      <c r="O42" s="567">
        <v>76</v>
      </c>
      <c r="P42" s="571">
        <v>87.333333333333329</v>
      </c>
      <c r="Q42" s="639">
        <v>556</v>
      </c>
      <c r="R42" s="639">
        <v>488</v>
      </c>
      <c r="S42" s="573">
        <v>526</v>
      </c>
      <c r="T42" s="569">
        <v>1</v>
      </c>
      <c r="U42" s="569">
        <v>0</v>
      </c>
      <c r="V42" s="570">
        <v>1</v>
      </c>
      <c r="W42" s="569">
        <v>8.5</v>
      </c>
      <c r="X42" s="569">
        <v>12</v>
      </c>
      <c r="Y42" s="570">
        <v>9.5</v>
      </c>
      <c r="Z42" s="597"/>
      <c r="AA42" s="595"/>
      <c r="AB42" s="596"/>
      <c r="AC42" s="567">
        <v>75</v>
      </c>
      <c r="AD42" s="567">
        <v>51</v>
      </c>
      <c r="AE42" s="571">
        <v>66.065328199454513</v>
      </c>
      <c r="AF42" s="568">
        <v>501</v>
      </c>
      <c r="AG42" s="568">
        <v>439</v>
      </c>
      <c r="AH42" s="573">
        <v>496.438108840197</v>
      </c>
      <c r="AI42" s="569">
        <v>352</v>
      </c>
      <c r="AJ42" s="569">
        <v>346</v>
      </c>
      <c r="AK42" s="570">
        <v>369.85281373020899</v>
      </c>
    </row>
    <row r="43" spans="1:37">
      <c r="A43" t="s">
        <v>218</v>
      </c>
      <c r="B43" s="913">
        <v>0</v>
      </c>
      <c r="C43" s="913">
        <v>0</v>
      </c>
      <c r="D43" s="914">
        <v>0</v>
      </c>
      <c r="E43" s="916">
        <v>0</v>
      </c>
      <c r="F43" s="916">
        <v>0</v>
      </c>
      <c r="G43" s="917">
        <v>0</v>
      </c>
      <c r="H43" s="919">
        <v>0</v>
      </c>
      <c r="I43" s="919">
        <v>0</v>
      </c>
      <c r="J43" s="920">
        <v>0</v>
      </c>
      <c r="K43" s="916">
        <v>0</v>
      </c>
      <c r="L43" s="916">
        <v>0</v>
      </c>
      <c r="M43" s="917">
        <v>0</v>
      </c>
      <c r="N43" s="913">
        <v>0</v>
      </c>
      <c r="O43" s="913">
        <v>0</v>
      </c>
      <c r="P43" s="914">
        <v>0</v>
      </c>
      <c r="Q43" s="908">
        <v>0</v>
      </c>
      <c r="R43" s="908">
        <v>0</v>
      </c>
      <c r="S43" s="917">
        <v>0</v>
      </c>
      <c r="T43" s="919">
        <v>0</v>
      </c>
      <c r="U43" s="919">
        <v>0</v>
      </c>
      <c r="V43" s="920">
        <v>0</v>
      </c>
      <c r="W43" s="919">
        <v>0</v>
      </c>
      <c r="X43" s="919">
        <v>0</v>
      </c>
      <c r="Y43" s="920">
        <v>0</v>
      </c>
      <c r="Z43" s="921"/>
      <c r="AA43" s="922"/>
      <c r="AB43" s="923"/>
      <c r="AC43" s="913"/>
      <c r="AD43" s="913"/>
      <c r="AE43" s="914"/>
      <c r="AF43" s="916"/>
      <c r="AG43" s="916"/>
      <c r="AH43" s="917"/>
      <c r="AI43" s="919"/>
      <c r="AJ43" s="919"/>
      <c r="AK43" s="920"/>
    </row>
    <row r="44" spans="1:37">
      <c r="A44" t="s">
        <v>219</v>
      </c>
      <c r="B44" s="567">
        <v>1638</v>
      </c>
      <c r="C44" s="567">
        <v>1755</v>
      </c>
      <c r="D44" s="571">
        <v>1804.3141502116052</v>
      </c>
      <c r="E44" s="568">
        <v>85</v>
      </c>
      <c r="F44" s="568">
        <v>90</v>
      </c>
      <c r="G44" s="573">
        <v>82.460713350299955</v>
      </c>
      <c r="H44" s="569">
        <v>362</v>
      </c>
      <c r="I44" s="569">
        <v>348</v>
      </c>
      <c r="J44" s="570">
        <v>348.59096467395813</v>
      </c>
      <c r="K44" s="568">
        <v>1</v>
      </c>
      <c r="L44" s="568">
        <v>7</v>
      </c>
      <c r="M44" s="573">
        <v>9.6666666666666643</v>
      </c>
      <c r="N44" s="567">
        <v>4</v>
      </c>
      <c r="O44" s="567">
        <v>10</v>
      </c>
      <c r="P44" s="571">
        <v>14.666666666666668</v>
      </c>
      <c r="Q44" s="639">
        <v>184</v>
      </c>
      <c r="R44" s="639">
        <v>180</v>
      </c>
      <c r="S44" s="573">
        <v>174</v>
      </c>
      <c r="T44" s="569">
        <v>0</v>
      </c>
      <c r="U44" s="569">
        <v>0</v>
      </c>
      <c r="V44" s="570">
        <v>0.16666666666666666</v>
      </c>
      <c r="W44" s="569">
        <v>0</v>
      </c>
      <c r="X44" s="569">
        <v>0.5</v>
      </c>
      <c r="Y44" s="570">
        <v>1.8333333333333333</v>
      </c>
      <c r="Z44" s="597"/>
      <c r="AA44" s="595"/>
      <c r="AB44" s="596"/>
      <c r="AC44" s="567">
        <v>458</v>
      </c>
      <c r="AD44" s="567">
        <v>385</v>
      </c>
      <c r="AE44" s="571">
        <v>444.42283094608706</v>
      </c>
      <c r="AF44" s="568">
        <v>382</v>
      </c>
      <c r="AG44" s="568">
        <v>431</v>
      </c>
      <c r="AH44" s="573">
        <v>426.85462273808304</v>
      </c>
      <c r="AI44" s="569">
        <v>503</v>
      </c>
      <c r="AJ44" s="569">
        <v>598</v>
      </c>
      <c r="AK44" s="570">
        <v>577.64474064036654</v>
      </c>
    </row>
    <row r="45" spans="1:37">
      <c r="A45" t="s">
        <v>220</v>
      </c>
      <c r="B45" s="567">
        <v>615</v>
      </c>
      <c r="C45" s="567">
        <v>529</v>
      </c>
      <c r="D45" s="571">
        <v>533.10359913687751</v>
      </c>
      <c r="E45" s="568">
        <v>17</v>
      </c>
      <c r="F45" s="568">
        <v>31</v>
      </c>
      <c r="G45" s="573">
        <v>21.181003584229394</v>
      </c>
      <c r="H45" s="569">
        <v>75</v>
      </c>
      <c r="I45" s="569">
        <v>94</v>
      </c>
      <c r="J45" s="570">
        <v>82.838589679379808</v>
      </c>
      <c r="K45" s="568">
        <v>4</v>
      </c>
      <c r="L45" s="568">
        <v>4</v>
      </c>
      <c r="M45" s="573">
        <v>4.6666666666666661</v>
      </c>
      <c r="N45" s="567">
        <v>2</v>
      </c>
      <c r="O45" s="567">
        <v>2</v>
      </c>
      <c r="P45" s="571">
        <v>2.6666666666666665</v>
      </c>
      <c r="Q45" s="639">
        <v>81</v>
      </c>
      <c r="R45" s="639">
        <v>84</v>
      </c>
      <c r="S45" s="573">
        <v>76.666666666666671</v>
      </c>
      <c r="T45" s="569">
        <v>1</v>
      </c>
      <c r="U45" s="569">
        <v>0</v>
      </c>
      <c r="V45" s="570">
        <v>0.33333333333333331</v>
      </c>
      <c r="W45" s="569">
        <v>0.5</v>
      </c>
      <c r="X45" s="569">
        <v>1.5</v>
      </c>
      <c r="Y45" s="570">
        <v>0.66666666666666663</v>
      </c>
      <c r="Z45" s="597"/>
      <c r="AA45" s="595"/>
      <c r="AB45" s="596"/>
      <c r="AC45" s="567">
        <v>39</v>
      </c>
      <c r="AD45" s="567">
        <v>31</v>
      </c>
      <c r="AE45" s="571">
        <v>32.760352714398344</v>
      </c>
      <c r="AF45" s="568">
        <v>258</v>
      </c>
      <c r="AG45" s="568">
        <v>241</v>
      </c>
      <c r="AH45" s="573">
        <v>234.26086466527937</v>
      </c>
      <c r="AI45" s="569">
        <v>217</v>
      </c>
      <c r="AJ45" s="569">
        <v>212</v>
      </c>
      <c r="AK45" s="570">
        <v>201.5730951372976</v>
      </c>
    </row>
    <row r="46" spans="1:37">
      <c r="A46" t="s">
        <v>221</v>
      </c>
      <c r="B46" s="567">
        <v>185</v>
      </c>
      <c r="C46" s="567">
        <v>189</v>
      </c>
      <c r="D46" s="571">
        <v>201.42246948250872</v>
      </c>
      <c r="E46" s="568">
        <v>9</v>
      </c>
      <c r="F46" s="568">
        <v>14</v>
      </c>
      <c r="G46" s="573">
        <v>10.168737415168916</v>
      </c>
      <c r="H46" s="569">
        <v>24</v>
      </c>
      <c r="I46" s="569">
        <v>23</v>
      </c>
      <c r="J46" s="570">
        <v>17.417083119218908</v>
      </c>
      <c r="K46" s="568">
        <v>51</v>
      </c>
      <c r="L46" s="568">
        <v>45</v>
      </c>
      <c r="M46" s="573">
        <v>51</v>
      </c>
      <c r="N46" s="567">
        <v>62</v>
      </c>
      <c r="O46" s="567">
        <v>66</v>
      </c>
      <c r="P46" s="571">
        <v>70.666666666666657</v>
      </c>
      <c r="Q46" s="639">
        <v>26</v>
      </c>
      <c r="R46" s="639">
        <v>30</v>
      </c>
      <c r="S46" s="573">
        <v>27</v>
      </c>
      <c r="T46" s="569">
        <v>0</v>
      </c>
      <c r="U46" s="569">
        <v>1.5</v>
      </c>
      <c r="V46" s="570">
        <v>0.66666666666666663</v>
      </c>
      <c r="W46" s="569">
        <v>6</v>
      </c>
      <c r="X46" s="569">
        <v>2</v>
      </c>
      <c r="Y46" s="570">
        <v>5.333333333333333</v>
      </c>
      <c r="Z46" s="597"/>
      <c r="AA46" s="595"/>
      <c r="AB46" s="596"/>
      <c r="AC46" s="567">
        <v>16</v>
      </c>
      <c r="AD46" s="567">
        <v>21</v>
      </c>
      <c r="AE46" s="571">
        <v>19.401601972017268</v>
      </c>
      <c r="AF46" s="568">
        <v>103</v>
      </c>
      <c r="AG46" s="568">
        <v>75</v>
      </c>
      <c r="AH46" s="573">
        <v>93.582903265496242</v>
      </c>
      <c r="AI46" s="569">
        <v>78</v>
      </c>
      <c r="AJ46" s="569">
        <v>62</v>
      </c>
      <c r="AK46" s="570">
        <v>73.576131014030977</v>
      </c>
    </row>
    <row r="47" spans="1:37">
      <c r="A47" t="s">
        <v>222</v>
      </c>
      <c r="B47" s="913">
        <v>0</v>
      </c>
      <c r="C47" s="913">
        <v>0</v>
      </c>
      <c r="D47" s="914">
        <v>0</v>
      </c>
      <c r="E47" s="916">
        <v>0</v>
      </c>
      <c r="F47" s="916">
        <v>0</v>
      </c>
      <c r="G47" s="917"/>
      <c r="H47" s="919">
        <v>0</v>
      </c>
      <c r="I47" s="919">
        <v>0</v>
      </c>
      <c r="J47" s="920"/>
      <c r="K47" s="916">
        <v>0</v>
      </c>
      <c r="L47" s="916">
        <v>0</v>
      </c>
      <c r="M47" s="917">
        <v>0</v>
      </c>
      <c r="N47" s="913">
        <v>0</v>
      </c>
      <c r="O47" s="913">
        <v>0</v>
      </c>
      <c r="P47" s="914"/>
      <c r="Q47" s="908">
        <v>0</v>
      </c>
      <c r="R47" s="908">
        <v>0</v>
      </c>
      <c r="S47" s="917">
        <v>0</v>
      </c>
      <c r="T47" s="919">
        <v>0</v>
      </c>
      <c r="U47" s="919">
        <v>0</v>
      </c>
      <c r="V47" s="920">
        <v>0</v>
      </c>
      <c r="W47" s="919">
        <v>0</v>
      </c>
      <c r="X47" s="919">
        <v>0</v>
      </c>
      <c r="Y47" s="920">
        <v>0</v>
      </c>
      <c r="Z47" s="921"/>
      <c r="AA47" s="922"/>
      <c r="AB47" s="923"/>
      <c r="AC47" s="913"/>
      <c r="AD47" s="913"/>
      <c r="AE47" s="914"/>
      <c r="AF47" s="916"/>
      <c r="AG47" s="916"/>
      <c r="AH47" s="917"/>
      <c r="AI47" s="919"/>
      <c r="AJ47" s="919"/>
      <c r="AK47" s="920"/>
    </row>
    <row r="48" spans="1:37">
      <c r="A48" t="s">
        <v>223</v>
      </c>
      <c r="B48" s="567">
        <v>0</v>
      </c>
      <c r="C48" s="567">
        <v>0</v>
      </c>
      <c r="D48" s="571">
        <v>0</v>
      </c>
      <c r="E48" s="568">
        <v>0</v>
      </c>
      <c r="F48" s="568">
        <v>0</v>
      </c>
      <c r="G48" s="573"/>
      <c r="H48" s="569">
        <v>0</v>
      </c>
      <c r="I48" s="569">
        <v>0</v>
      </c>
      <c r="J48" s="570"/>
      <c r="K48" s="568">
        <v>0</v>
      </c>
      <c r="L48" s="568">
        <v>0</v>
      </c>
      <c r="M48" s="573"/>
      <c r="N48" s="567">
        <v>0</v>
      </c>
      <c r="O48" s="567">
        <v>0</v>
      </c>
      <c r="P48" s="571"/>
      <c r="Q48" s="639"/>
      <c r="R48" s="639"/>
      <c r="S48" s="573"/>
      <c r="T48" s="569">
        <v>0</v>
      </c>
      <c r="U48" s="569">
        <v>0</v>
      </c>
      <c r="V48" s="570">
        <v>0</v>
      </c>
      <c r="W48" s="569">
        <v>0</v>
      </c>
      <c r="X48" s="569">
        <v>3</v>
      </c>
      <c r="Y48" s="570">
        <v>1.6666666666666667</v>
      </c>
      <c r="Z48" s="597"/>
      <c r="AA48" s="595"/>
      <c r="AB48" s="596"/>
      <c r="AC48" s="567"/>
      <c r="AD48" s="567"/>
      <c r="AE48" s="571">
        <v>0</v>
      </c>
      <c r="AF48" s="568"/>
      <c r="AG48" s="568"/>
      <c r="AH48" s="573">
        <v>0</v>
      </c>
      <c r="AI48" s="569"/>
      <c r="AJ48" s="569"/>
      <c r="AK48" s="570">
        <v>0</v>
      </c>
    </row>
    <row r="49" spans="1:38">
      <c r="A49" t="s">
        <v>224</v>
      </c>
      <c r="B49" s="567">
        <v>217</v>
      </c>
      <c r="C49" s="567">
        <v>196</v>
      </c>
      <c r="D49" s="571">
        <v>221.67040032024741</v>
      </c>
      <c r="E49" s="568">
        <v>0</v>
      </c>
      <c r="F49" s="568">
        <v>0</v>
      </c>
      <c r="G49" s="573">
        <v>0</v>
      </c>
      <c r="H49" s="569">
        <v>0</v>
      </c>
      <c r="I49" s="569">
        <v>0</v>
      </c>
      <c r="J49" s="570"/>
      <c r="K49" s="568">
        <v>0</v>
      </c>
      <c r="L49" s="568">
        <v>0</v>
      </c>
      <c r="M49" s="573"/>
      <c r="N49" s="567">
        <v>0</v>
      </c>
      <c r="O49" s="567">
        <v>0</v>
      </c>
      <c r="P49" s="571"/>
      <c r="Q49" s="639"/>
      <c r="R49" s="639"/>
      <c r="S49" s="573"/>
      <c r="T49" s="569">
        <v>0</v>
      </c>
      <c r="U49" s="569">
        <v>0</v>
      </c>
      <c r="V49" s="570">
        <v>0</v>
      </c>
      <c r="W49" s="569">
        <v>0</v>
      </c>
      <c r="X49" s="569">
        <v>0</v>
      </c>
      <c r="Y49" s="570">
        <v>0</v>
      </c>
      <c r="Z49" s="597"/>
      <c r="AA49" s="595"/>
      <c r="AB49" s="596"/>
      <c r="AC49" s="567">
        <v>7</v>
      </c>
      <c r="AD49" s="567">
        <v>4</v>
      </c>
      <c r="AE49" s="571">
        <v>5.8372718978340323</v>
      </c>
      <c r="AF49" s="568">
        <v>46</v>
      </c>
      <c r="AG49" s="568">
        <v>32</v>
      </c>
      <c r="AH49" s="573">
        <v>41.590562272067487</v>
      </c>
      <c r="AI49" s="569">
        <v>55</v>
      </c>
      <c r="AJ49" s="569">
        <v>70</v>
      </c>
      <c r="AK49" s="570">
        <v>67.67587106551332</v>
      </c>
    </row>
    <row r="50" spans="1:38">
      <c r="A50" t="s">
        <v>225</v>
      </c>
      <c r="B50" s="913">
        <v>0</v>
      </c>
      <c r="C50" s="913">
        <v>0</v>
      </c>
      <c r="D50" s="914">
        <v>0</v>
      </c>
      <c r="E50" s="916">
        <v>0</v>
      </c>
      <c r="F50" s="916">
        <v>0</v>
      </c>
      <c r="G50" s="917">
        <v>0</v>
      </c>
      <c r="H50" s="919">
        <v>0</v>
      </c>
      <c r="I50" s="919">
        <v>0</v>
      </c>
      <c r="J50" s="920"/>
      <c r="K50" s="916">
        <v>0</v>
      </c>
      <c r="L50" s="916">
        <v>0</v>
      </c>
      <c r="M50" s="917"/>
      <c r="N50" s="913">
        <v>0</v>
      </c>
      <c r="O50" s="913">
        <v>0</v>
      </c>
      <c r="P50" s="914"/>
      <c r="Q50" s="908"/>
      <c r="R50" s="908"/>
      <c r="S50" s="917"/>
      <c r="T50" s="919">
        <v>0</v>
      </c>
      <c r="U50" s="919">
        <v>0</v>
      </c>
      <c r="V50" s="920">
        <v>0</v>
      </c>
      <c r="W50" s="919">
        <v>0</v>
      </c>
      <c r="X50" s="919">
        <v>0</v>
      </c>
      <c r="Y50" s="920">
        <v>0</v>
      </c>
      <c r="Z50" s="921"/>
      <c r="AA50" s="922"/>
      <c r="AB50" s="923"/>
      <c r="AC50" s="913"/>
      <c r="AD50" s="913"/>
      <c r="AE50" s="914">
        <v>0</v>
      </c>
      <c r="AF50" s="916"/>
      <c r="AG50" s="916"/>
      <c r="AH50" s="917">
        <v>0</v>
      </c>
      <c r="AI50" s="919"/>
      <c r="AJ50" s="919"/>
      <c r="AK50" s="920">
        <v>0</v>
      </c>
    </row>
    <row r="51" spans="1:38">
      <c r="A51" t="s">
        <v>226</v>
      </c>
      <c r="B51" s="902">
        <v>0</v>
      </c>
      <c r="C51" s="902">
        <v>0</v>
      </c>
      <c r="D51" s="903">
        <v>0</v>
      </c>
      <c r="E51" s="904">
        <v>0</v>
      </c>
      <c r="F51" s="904">
        <v>0</v>
      </c>
      <c r="G51" s="905">
        <v>0</v>
      </c>
      <c r="H51" s="906">
        <v>0</v>
      </c>
      <c r="I51" s="906">
        <v>0</v>
      </c>
      <c r="J51" s="907"/>
      <c r="K51" s="904">
        <v>0</v>
      </c>
      <c r="L51" s="904">
        <v>0</v>
      </c>
      <c r="M51" s="905"/>
      <c r="N51" s="902">
        <v>0</v>
      </c>
      <c r="O51" s="902">
        <v>0</v>
      </c>
      <c r="P51" s="903"/>
      <c r="Q51" s="908"/>
      <c r="R51" s="908"/>
      <c r="S51" s="905"/>
      <c r="T51" s="906">
        <v>0</v>
      </c>
      <c r="U51" s="906">
        <v>0</v>
      </c>
      <c r="V51" s="907">
        <v>0</v>
      </c>
      <c r="W51" s="906">
        <v>0</v>
      </c>
      <c r="X51" s="906">
        <v>0</v>
      </c>
      <c r="Y51" s="907">
        <v>0</v>
      </c>
      <c r="Z51" s="909"/>
      <c r="AA51" s="910"/>
      <c r="AB51" s="911"/>
      <c r="AC51" s="902"/>
      <c r="AD51" s="902"/>
      <c r="AE51" s="903">
        <v>0</v>
      </c>
      <c r="AF51" s="904"/>
      <c r="AG51" s="904"/>
      <c r="AH51" s="905">
        <v>0</v>
      </c>
      <c r="AI51" s="906"/>
      <c r="AJ51" s="906"/>
      <c r="AK51" s="907">
        <v>0</v>
      </c>
    </row>
    <row r="52" spans="1:38" ht="15.75" thickBot="1">
      <c r="A52" t="s">
        <v>43</v>
      </c>
      <c r="B52" s="273">
        <f>SUM(B35:B51)</f>
        <v>6151</v>
      </c>
      <c r="C52" s="273">
        <f>SUM(C35:C51)</f>
        <v>5832</v>
      </c>
      <c r="D52" s="273">
        <f>SUM(D35:D51)</f>
        <v>6265.5161142580882</v>
      </c>
      <c r="E52" s="274">
        <f t="shared" ref="E52:AB52" si="39">SUM(E35:E51)</f>
        <v>242</v>
      </c>
      <c r="F52" s="274">
        <f t="shared" si="39"/>
        <v>287</v>
      </c>
      <c r="G52" s="274">
        <f t="shared" si="39"/>
        <v>253.22531497411711</v>
      </c>
      <c r="H52" s="275">
        <f>SUM(H35:H51)</f>
        <v>997</v>
      </c>
      <c r="I52" s="275">
        <f t="shared" si="39"/>
        <v>1063</v>
      </c>
      <c r="J52" s="275">
        <f t="shared" si="39"/>
        <v>1107.1122234647653</v>
      </c>
      <c r="K52" s="274">
        <f t="shared" si="39"/>
        <v>236</v>
      </c>
      <c r="L52" s="274">
        <f t="shared" si="39"/>
        <v>217</v>
      </c>
      <c r="M52" s="274">
        <f t="shared" si="39"/>
        <v>285.66666666666669</v>
      </c>
      <c r="N52" s="273">
        <f t="shared" si="39"/>
        <v>152</v>
      </c>
      <c r="O52" s="273">
        <f t="shared" si="39"/>
        <v>161</v>
      </c>
      <c r="P52" s="273">
        <f t="shared" si="39"/>
        <v>183.66666666666666</v>
      </c>
      <c r="Q52" s="274">
        <f t="shared" si="39"/>
        <v>1722</v>
      </c>
      <c r="R52" s="274">
        <f t="shared" si="39"/>
        <v>1607</v>
      </c>
      <c r="S52" s="274">
        <f t="shared" si="39"/>
        <v>1671</v>
      </c>
      <c r="T52" s="275">
        <f>SUM(T35:T51)</f>
        <v>9</v>
      </c>
      <c r="U52" s="275">
        <f t="shared" ref="U52:Y52" si="40">SUM(U35:U51)</f>
        <v>13</v>
      </c>
      <c r="V52" s="275">
        <f t="shared" si="40"/>
        <v>10.666666666666666</v>
      </c>
      <c r="W52" s="275">
        <f t="shared" si="40"/>
        <v>23.5</v>
      </c>
      <c r="X52" s="275">
        <f t="shared" si="40"/>
        <v>40</v>
      </c>
      <c r="Y52" s="275">
        <f t="shared" si="40"/>
        <v>36.166666666666664</v>
      </c>
      <c r="Z52" s="275">
        <f t="shared" si="39"/>
        <v>0</v>
      </c>
      <c r="AA52" s="275">
        <f t="shared" si="39"/>
        <v>0</v>
      </c>
      <c r="AB52" s="275">
        <f t="shared" si="39"/>
        <v>0</v>
      </c>
      <c r="AC52" s="273">
        <f>SUM(AC35:AC51)</f>
        <v>980</v>
      </c>
      <c r="AD52" s="273">
        <f t="shared" ref="AD52:AK52" si="41">SUM(AD35:AD51)</f>
        <v>801</v>
      </c>
      <c r="AE52" s="273">
        <f>SUM(AE35:AE51)</f>
        <v>945.25016318037024</v>
      </c>
      <c r="AF52" s="274">
        <f>SUM(AF35:AF51)</f>
        <v>2153</v>
      </c>
      <c r="AG52" s="274">
        <f t="shared" si="41"/>
        <v>2019</v>
      </c>
      <c r="AH52" s="274">
        <f>SUM(AH35:AH51)</f>
        <v>2195.5103851091553</v>
      </c>
      <c r="AI52" s="275">
        <f t="shared" si="41"/>
        <v>1928</v>
      </c>
      <c r="AJ52" s="275">
        <f t="shared" si="41"/>
        <v>1973</v>
      </c>
      <c r="AK52" s="275">
        <f t="shared" si="41"/>
        <v>2047.992473301935</v>
      </c>
    </row>
    <row r="53" spans="1:38" ht="15.75" thickTop="1">
      <c r="A53" t="s">
        <v>595</v>
      </c>
      <c r="B53" s="1264"/>
      <c r="C53" s="1264"/>
      <c r="D53" s="1264"/>
      <c r="E53" s="1264"/>
      <c r="F53" s="1264"/>
      <c r="G53" s="1264"/>
      <c r="H53" s="1264"/>
      <c r="I53" s="1264"/>
      <c r="J53" s="1264"/>
      <c r="K53" s="1264"/>
      <c r="L53" s="1264"/>
      <c r="M53" s="1264"/>
      <c r="N53" s="1264"/>
      <c r="O53" s="1264"/>
      <c r="P53" s="1264"/>
      <c r="Q53" s="1263"/>
      <c r="R53" s="1264"/>
      <c r="S53" s="1264"/>
      <c r="T53" s="1263"/>
      <c r="U53" s="1264"/>
      <c r="V53" s="1264"/>
      <c r="W53" s="1264"/>
      <c r="X53" s="1264"/>
      <c r="Y53" s="1264"/>
      <c r="Z53" s="1264"/>
      <c r="AA53" s="1264"/>
      <c r="AB53" s="1264"/>
      <c r="AC53" s="1263"/>
      <c r="AD53" s="1264"/>
      <c r="AE53" s="1264"/>
      <c r="AF53" s="1263"/>
      <c r="AG53" s="1264"/>
      <c r="AH53" s="1264"/>
      <c r="AI53" s="1263"/>
      <c r="AJ53" s="1264"/>
      <c r="AK53" s="1264"/>
    </row>
    <row r="54" spans="1:38">
      <c r="B54" s="523">
        <f>+B52-B49</f>
        <v>5934</v>
      </c>
      <c r="C54" s="523">
        <f t="shared" ref="C54:D54" si="42">+C52-C49</f>
        <v>5636</v>
      </c>
      <c r="D54" s="523">
        <f t="shared" si="42"/>
        <v>6043.8457139378406</v>
      </c>
      <c r="E54" s="593"/>
      <c r="F54" s="593"/>
      <c r="G54" s="593"/>
      <c r="H54" s="593"/>
      <c r="I54" s="593"/>
      <c r="J54" s="593"/>
      <c r="K54" s="593"/>
      <c r="L54" s="593"/>
      <c r="M54" s="593"/>
      <c r="N54" s="593"/>
      <c r="O54" s="593"/>
      <c r="P54" s="593"/>
      <c r="Q54" s="593"/>
      <c r="R54" s="593"/>
      <c r="S54" s="593"/>
      <c r="T54" s="593"/>
      <c r="U54" s="593"/>
      <c r="V54" s="593"/>
      <c r="W54" s="593"/>
      <c r="X54" s="593"/>
      <c r="Y54" s="593"/>
      <c r="Z54" s="593"/>
      <c r="AA54" s="593"/>
      <c r="AB54" s="593"/>
      <c r="AC54" s="523"/>
      <c r="AD54" s="523"/>
      <c r="AE54" s="523"/>
      <c r="AF54" s="523"/>
      <c r="AG54" s="523"/>
      <c r="AH54" s="523"/>
      <c r="AI54" s="523"/>
      <c r="AJ54" s="523"/>
      <c r="AK54" s="523"/>
      <c r="AL54" s="523"/>
    </row>
    <row r="55" spans="1:38">
      <c r="B55" s="523"/>
      <c r="C55" s="523"/>
      <c r="D55" s="523"/>
      <c r="E55" s="593"/>
      <c r="F55" s="593"/>
      <c r="G55" s="593"/>
      <c r="H55" s="593"/>
      <c r="I55" s="593"/>
      <c r="J55" s="593"/>
      <c r="K55" s="593"/>
      <c r="L55" s="593"/>
      <c r="M55" s="593"/>
      <c r="N55" s="593"/>
      <c r="O55" s="593"/>
      <c r="P55" s="593"/>
      <c r="Q55" s="593"/>
      <c r="R55" s="593"/>
      <c r="S55" s="593"/>
      <c r="T55" s="593"/>
      <c r="U55" s="593"/>
      <c r="V55" s="593"/>
      <c r="W55" s="593"/>
      <c r="X55" s="593"/>
      <c r="Y55" s="593"/>
      <c r="Z55" s="593"/>
      <c r="AA55" s="593"/>
      <c r="AB55" s="593"/>
      <c r="AC55" s="523">
        <f>+AC52-AC49</f>
        <v>973</v>
      </c>
      <c r="AD55" s="523">
        <f t="shared" ref="AD55:AK55" si="43">+AD52-AD49</f>
        <v>797</v>
      </c>
      <c r="AE55" s="523">
        <f t="shared" si="43"/>
        <v>939.41289128253618</v>
      </c>
      <c r="AF55" s="523">
        <f t="shared" si="43"/>
        <v>2107</v>
      </c>
      <c r="AG55" s="523">
        <f t="shared" si="43"/>
        <v>1987</v>
      </c>
      <c r="AH55" s="523">
        <f t="shared" si="43"/>
        <v>2153.9198228370878</v>
      </c>
      <c r="AI55" s="523">
        <f t="shared" si="43"/>
        <v>1873</v>
      </c>
      <c r="AJ55" s="523">
        <f t="shared" si="43"/>
        <v>1903</v>
      </c>
      <c r="AK55" s="523">
        <f t="shared" si="43"/>
        <v>1980.3166022364217</v>
      </c>
    </row>
    <row r="56" spans="1:38">
      <c r="B56" s="523"/>
      <c r="C56" s="523"/>
      <c r="D56" s="523"/>
      <c r="E56" s="523"/>
      <c r="F56" s="523"/>
      <c r="G56" s="523"/>
      <c r="H56" s="523"/>
      <c r="I56" s="523"/>
      <c r="J56" s="523"/>
      <c r="K56" s="523"/>
      <c r="L56" s="523"/>
      <c r="M56" s="523"/>
      <c r="N56" s="523"/>
      <c r="O56" s="523"/>
      <c r="P56" s="523"/>
      <c r="Q56" s="523"/>
      <c r="R56" s="523"/>
      <c r="S56" s="523"/>
      <c r="T56" s="523"/>
      <c r="U56" s="523"/>
      <c r="V56" s="523"/>
      <c r="W56" s="523"/>
      <c r="X56" s="523"/>
      <c r="Y56" s="523"/>
      <c r="Z56" s="523"/>
      <c r="AA56" s="523"/>
      <c r="AB56" s="523"/>
      <c r="AC56" s="523"/>
      <c r="AD56" s="523"/>
      <c r="AE56" s="523"/>
      <c r="AF56" s="523"/>
      <c r="AG56" s="523"/>
      <c r="AH56" s="523"/>
      <c r="AI56" s="523"/>
      <c r="AJ56" s="523"/>
      <c r="AK56" s="523"/>
      <c r="AL56" s="523"/>
    </row>
    <row r="57" spans="1:38">
      <c r="B57" s="593"/>
      <c r="C57" s="593"/>
      <c r="D57" s="593"/>
      <c r="E57" s="593"/>
      <c r="F57" s="593"/>
      <c r="G57" s="593"/>
      <c r="H57" s="593"/>
      <c r="I57" s="593"/>
      <c r="J57" s="593"/>
      <c r="K57" s="593"/>
      <c r="L57" s="593"/>
      <c r="M57" s="593"/>
      <c r="N57" s="593"/>
      <c r="O57" s="593"/>
      <c r="P57" s="593"/>
    </row>
    <row r="72" spans="2:25">
      <c r="T72" s="126"/>
      <c r="U72" s="126"/>
      <c r="V72" s="126"/>
      <c r="W72" s="126"/>
      <c r="X72" s="126"/>
      <c r="Y72" s="126"/>
    </row>
    <row r="73" spans="2:25">
      <c r="T73" s="126"/>
      <c r="U73" s="126"/>
      <c r="V73" s="126"/>
      <c r="W73" s="126"/>
      <c r="X73" s="126"/>
      <c r="Y73" s="126"/>
    </row>
    <row r="74" spans="2:25">
      <c r="T74" s="126"/>
      <c r="U74" s="126"/>
      <c r="V74" s="126"/>
      <c r="W74" s="126"/>
      <c r="X74" s="126"/>
      <c r="Y74" s="126"/>
    </row>
    <row r="75" spans="2:25">
      <c r="T75" s="126"/>
      <c r="U75" s="126"/>
      <c r="V75" s="126"/>
      <c r="W75" s="126"/>
      <c r="X75" s="126"/>
      <c r="Y75" s="126"/>
    </row>
    <row r="76" spans="2:25">
      <c r="T76" s="126"/>
      <c r="U76" s="126"/>
      <c r="V76" s="126"/>
      <c r="W76" s="126"/>
      <c r="X76" s="126"/>
      <c r="Y76" s="126"/>
    </row>
    <row r="77" spans="2:25">
      <c r="T77" s="126"/>
      <c r="U77" s="126"/>
      <c r="V77" s="126"/>
      <c r="W77" s="126"/>
      <c r="X77" s="126"/>
      <c r="Y77" s="126"/>
    </row>
    <row r="78" spans="2:25">
      <c r="B78" s="126"/>
      <c r="C78" s="126"/>
      <c r="D78" s="126"/>
      <c r="E78" s="126"/>
      <c r="F78" s="126"/>
      <c r="G78" s="126"/>
      <c r="H78" s="126"/>
      <c r="I78" s="126"/>
      <c r="J78" s="126"/>
      <c r="K78" s="126"/>
      <c r="L78" s="126"/>
      <c r="M78" s="126"/>
      <c r="N78" s="126"/>
      <c r="O78" s="126"/>
      <c r="P78" s="126"/>
      <c r="Q78" s="126"/>
      <c r="S78" s="126"/>
      <c r="T78" s="126"/>
      <c r="U78" s="126"/>
      <c r="V78" s="126"/>
      <c r="W78" s="126"/>
      <c r="X78" s="126"/>
      <c r="Y78" s="126"/>
    </row>
    <row r="79" spans="2:25">
      <c r="B79" s="126"/>
      <c r="C79" s="126"/>
      <c r="D79" s="126"/>
      <c r="E79" s="126"/>
      <c r="F79" s="126"/>
      <c r="G79" s="126"/>
      <c r="H79" s="126"/>
      <c r="I79" s="126"/>
      <c r="J79" s="126"/>
      <c r="K79" s="126"/>
      <c r="L79" s="126"/>
      <c r="M79" s="126"/>
      <c r="N79" s="126"/>
      <c r="O79" s="126"/>
      <c r="P79" s="126"/>
      <c r="Q79" s="126"/>
      <c r="S79" s="126"/>
      <c r="T79" s="126"/>
      <c r="U79" s="126"/>
      <c r="V79" s="126"/>
      <c r="W79" s="126"/>
      <c r="X79" s="126"/>
      <c r="Y79" s="126"/>
    </row>
    <row r="80" spans="2:25">
      <c r="B80" s="126"/>
      <c r="C80" s="126"/>
      <c r="D80" s="126"/>
      <c r="E80" s="126"/>
      <c r="F80" s="126"/>
      <c r="G80" s="126"/>
      <c r="H80" s="126"/>
      <c r="I80" s="126"/>
      <c r="J80" s="126"/>
      <c r="K80" s="126"/>
      <c r="L80" s="126"/>
      <c r="M80" s="126"/>
      <c r="N80" s="126"/>
      <c r="O80" s="126"/>
      <c r="P80" s="126"/>
      <c r="Q80" s="126"/>
      <c r="S80" s="126"/>
      <c r="T80" s="126"/>
      <c r="U80" s="126"/>
      <c r="V80" s="126"/>
      <c r="W80" s="126"/>
      <c r="X80" s="126"/>
      <c r="Y80" s="126"/>
    </row>
    <row r="81" spans="2:25">
      <c r="B81" s="126"/>
      <c r="C81" s="126"/>
      <c r="D81" s="126"/>
      <c r="E81" s="126"/>
      <c r="F81" s="126"/>
      <c r="G81" s="126"/>
      <c r="H81" s="126"/>
      <c r="I81" s="126"/>
      <c r="J81" s="126"/>
      <c r="K81" s="126"/>
      <c r="L81" s="126"/>
      <c r="M81" s="126"/>
      <c r="N81" s="126"/>
      <c r="O81" s="126"/>
      <c r="P81" s="126"/>
      <c r="Q81" s="126"/>
      <c r="S81" s="126"/>
      <c r="T81" s="126"/>
      <c r="U81" s="126"/>
      <c r="V81" s="126"/>
      <c r="W81" s="126"/>
      <c r="X81" s="126"/>
      <c r="Y81" s="126"/>
    </row>
    <row r="82" spans="2:25">
      <c r="B82" s="126"/>
      <c r="C82" s="126"/>
      <c r="D82" s="126"/>
      <c r="E82" s="126"/>
      <c r="F82" s="126"/>
      <c r="G82" s="126"/>
      <c r="H82" s="126"/>
      <c r="I82" s="126"/>
      <c r="J82" s="126"/>
      <c r="K82" s="126"/>
      <c r="L82" s="126"/>
      <c r="M82" s="126"/>
      <c r="N82" s="126"/>
      <c r="O82" s="126"/>
      <c r="P82" s="126"/>
      <c r="Q82" s="126"/>
      <c r="S82" s="126"/>
      <c r="T82" s="126"/>
      <c r="U82" s="126"/>
      <c r="V82" s="126"/>
      <c r="W82" s="126"/>
      <c r="X82" s="126"/>
      <c r="Y82" s="126"/>
    </row>
    <row r="83" spans="2:25">
      <c r="B83" s="126"/>
      <c r="C83" s="126"/>
      <c r="D83" s="126"/>
      <c r="E83" s="126"/>
      <c r="F83" s="126"/>
      <c r="G83" s="126"/>
      <c r="H83" s="126"/>
      <c r="I83" s="126"/>
      <c r="J83" s="126"/>
      <c r="K83" s="126"/>
      <c r="L83" s="126"/>
      <c r="M83" s="126"/>
      <c r="N83" s="126"/>
      <c r="O83" s="126"/>
      <c r="P83" s="126"/>
      <c r="Q83" s="126"/>
      <c r="S83" s="126"/>
      <c r="T83" s="126"/>
      <c r="U83" s="126"/>
      <c r="V83" s="126"/>
      <c r="W83" s="126"/>
      <c r="X83" s="126"/>
      <c r="Y83" s="126"/>
    </row>
    <row r="84" spans="2:25">
      <c r="B84" s="126"/>
      <c r="C84" s="126"/>
      <c r="D84" s="126"/>
      <c r="E84" s="126"/>
      <c r="F84" s="126"/>
      <c r="G84" s="126"/>
      <c r="H84" s="126"/>
      <c r="I84" s="126"/>
      <c r="J84" s="126"/>
      <c r="K84" s="126"/>
      <c r="L84" s="126"/>
      <c r="M84" s="126"/>
      <c r="N84" s="126"/>
      <c r="O84" s="126"/>
      <c r="P84" s="126"/>
      <c r="Q84" s="126"/>
      <c r="S84" s="126"/>
      <c r="T84" s="126"/>
      <c r="U84" s="126"/>
      <c r="V84" s="126"/>
      <c r="W84" s="126"/>
      <c r="X84" s="126"/>
      <c r="Y84" s="126"/>
    </row>
    <row r="85" spans="2:25">
      <c r="B85" s="126"/>
      <c r="C85" s="126"/>
      <c r="D85" s="126"/>
      <c r="E85" s="126"/>
      <c r="F85" s="126"/>
      <c r="G85" s="126"/>
      <c r="H85" s="126"/>
      <c r="I85" s="126"/>
      <c r="J85" s="126"/>
      <c r="K85" s="126"/>
      <c r="L85" s="126"/>
      <c r="M85" s="126"/>
      <c r="N85" s="126"/>
      <c r="O85" s="126"/>
      <c r="P85" s="126"/>
      <c r="Q85" s="126"/>
      <c r="S85" s="126"/>
      <c r="T85" s="126"/>
      <c r="U85" s="126"/>
      <c r="V85" s="126"/>
      <c r="W85" s="126"/>
      <c r="X85" s="126"/>
      <c r="Y85" s="126"/>
    </row>
    <row r="86" spans="2:25">
      <c r="B86" s="126"/>
      <c r="C86" s="126"/>
      <c r="D86" s="126"/>
      <c r="E86" s="126"/>
      <c r="F86" s="126"/>
      <c r="G86" s="126"/>
      <c r="H86" s="126"/>
      <c r="I86" s="126"/>
      <c r="J86" s="126"/>
      <c r="K86" s="126"/>
      <c r="L86" s="126"/>
      <c r="M86" s="126"/>
      <c r="N86" s="126"/>
      <c r="O86" s="126"/>
      <c r="P86" s="126"/>
      <c r="Q86" s="126"/>
      <c r="S86" s="126"/>
      <c r="T86" s="126"/>
      <c r="U86" s="126"/>
      <c r="V86" s="126"/>
      <c r="W86" s="126"/>
      <c r="X86" s="126"/>
      <c r="Y86" s="126"/>
    </row>
    <row r="87" spans="2:25">
      <c r="B87" s="126"/>
      <c r="C87" s="126"/>
      <c r="D87" s="126"/>
      <c r="E87" s="126"/>
      <c r="F87" s="126"/>
      <c r="G87" s="126"/>
      <c r="H87" s="126"/>
      <c r="I87" s="126"/>
      <c r="J87" s="126"/>
      <c r="K87" s="126"/>
      <c r="L87" s="126"/>
      <c r="M87" s="126"/>
      <c r="N87" s="126"/>
      <c r="O87" s="126"/>
      <c r="P87" s="126"/>
      <c r="Q87" s="126"/>
      <c r="S87" s="126"/>
      <c r="T87" s="126"/>
      <c r="U87" s="126"/>
      <c r="V87" s="126"/>
      <c r="W87" s="126"/>
      <c r="X87" s="126"/>
      <c r="Y87" s="126"/>
    </row>
    <row r="88" spans="2:25">
      <c r="B88" s="126"/>
      <c r="C88" s="126"/>
      <c r="D88" s="126"/>
      <c r="E88" s="126"/>
      <c r="F88" s="126"/>
      <c r="G88" s="126"/>
      <c r="H88" s="126"/>
      <c r="I88" s="126"/>
      <c r="J88" s="126"/>
      <c r="K88" s="126"/>
      <c r="L88" s="126"/>
      <c r="M88" s="126"/>
      <c r="N88" s="126"/>
      <c r="O88" s="126"/>
      <c r="P88" s="126"/>
      <c r="Q88" s="126"/>
      <c r="S88" s="126"/>
      <c r="T88" s="126"/>
      <c r="U88" s="126"/>
      <c r="V88" s="126"/>
      <c r="W88" s="126"/>
      <c r="X88" s="126"/>
      <c r="Y88" s="126"/>
    </row>
    <row r="89" spans="2:25">
      <c r="B89" s="126"/>
      <c r="C89" s="126"/>
      <c r="D89" s="126"/>
      <c r="E89" s="126"/>
      <c r="F89" s="126"/>
      <c r="G89" s="126"/>
      <c r="H89" s="126"/>
      <c r="I89" s="126"/>
      <c r="J89" s="126"/>
      <c r="K89" s="126"/>
      <c r="L89" s="126"/>
      <c r="M89" s="126"/>
      <c r="N89" s="126"/>
      <c r="O89" s="126"/>
      <c r="P89" s="126"/>
      <c r="Q89" s="126"/>
      <c r="S89" s="126"/>
      <c r="T89" s="126"/>
      <c r="U89" s="126"/>
      <c r="V89" s="126"/>
      <c r="W89" s="126"/>
      <c r="X89" s="126"/>
      <c r="Y89" s="126"/>
    </row>
    <row r="90" spans="2:25">
      <c r="B90" s="126"/>
      <c r="C90" s="126"/>
      <c r="D90" s="126"/>
      <c r="E90" s="126"/>
      <c r="F90" s="126"/>
      <c r="G90" s="126"/>
      <c r="H90" s="126"/>
      <c r="I90" s="126"/>
      <c r="J90" s="126"/>
      <c r="K90" s="126"/>
      <c r="L90" s="126"/>
      <c r="M90" s="126"/>
      <c r="N90" s="126"/>
      <c r="O90" s="126"/>
      <c r="P90" s="126"/>
      <c r="Q90" s="126"/>
      <c r="R90" s="126"/>
      <c r="S90" s="126"/>
    </row>
    <row r="91" spans="2:25">
      <c r="B91" s="126"/>
      <c r="C91" s="126"/>
      <c r="D91" s="126"/>
      <c r="E91" s="126"/>
      <c r="F91" s="126"/>
      <c r="G91" s="126"/>
      <c r="H91" s="126"/>
      <c r="I91" s="126"/>
      <c r="J91" s="126"/>
      <c r="K91" s="126"/>
      <c r="L91" s="126"/>
      <c r="M91" s="126"/>
      <c r="N91" s="126"/>
      <c r="O91" s="126"/>
      <c r="P91" s="126"/>
      <c r="Q91" s="126"/>
      <c r="R91" s="126"/>
      <c r="S91" s="126"/>
    </row>
    <row r="92" spans="2:25">
      <c r="B92" s="126"/>
      <c r="C92" s="126"/>
      <c r="D92" s="126"/>
      <c r="E92" s="126"/>
      <c r="F92" s="126"/>
      <c r="G92" s="126"/>
      <c r="H92" s="126"/>
      <c r="I92" s="126"/>
      <c r="J92" s="126"/>
      <c r="K92" s="126"/>
      <c r="L92" s="126"/>
      <c r="M92" s="126"/>
      <c r="N92" s="126"/>
      <c r="O92" s="126"/>
      <c r="P92" s="126"/>
      <c r="Q92" s="126"/>
      <c r="R92" s="126"/>
      <c r="S92" s="126"/>
    </row>
    <row r="93" spans="2:25">
      <c r="B93" s="126"/>
      <c r="C93" s="126"/>
      <c r="D93" s="126"/>
      <c r="E93" s="126"/>
      <c r="F93" s="126"/>
      <c r="G93" s="126"/>
      <c r="H93" s="126"/>
      <c r="I93" s="126"/>
      <c r="J93" s="126"/>
      <c r="K93" s="126"/>
      <c r="L93" s="126"/>
      <c r="M93" s="126"/>
      <c r="N93" s="126"/>
      <c r="O93" s="126"/>
      <c r="P93" s="126"/>
      <c r="Q93" s="126"/>
      <c r="R93" s="126"/>
      <c r="S93" s="126"/>
    </row>
    <row r="94" spans="2:25">
      <c r="B94" s="126"/>
      <c r="C94" s="126"/>
      <c r="D94" s="126"/>
      <c r="E94" s="126"/>
      <c r="F94" s="126"/>
      <c r="G94" s="126"/>
      <c r="H94" s="126"/>
      <c r="I94" s="126"/>
      <c r="J94" s="126"/>
      <c r="K94" s="126"/>
      <c r="L94" s="126"/>
      <c r="M94" s="126"/>
      <c r="N94" s="126"/>
      <c r="O94" s="126"/>
      <c r="P94" s="126"/>
      <c r="Q94" s="126"/>
      <c r="R94" s="126"/>
      <c r="S94" s="126"/>
    </row>
  </sheetData>
  <mergeCells count="69">
    <mergeCell ref="AU25:AZ25"/>
    <mergeCell ref="B53:P53"/>
    <mergeCell ref="T53:AB53"/>
    <mergeCell ref="AL26:AT26"/>
    <mergeCell ref="T3:Y3"/>
    <mergeCell ref="Z3:AE3"/>
    <mergeCell ref="AF3:AK3"/>
    <mergeCell ref="AI4:AK4"/>
    <mergeCell ref="N4:P4"/>
    <mergeCell ref="Q4:S4"/>
    <mergeCell ref="T4:V4"/>
    <mergeCell ref="W4:Y4"/>
    <mergeCell ref="Z4:AB4"/>
    <mergeCell ref="N3:S3"/>
    <mergeCell ref="B30:S30"/>
    <mergeCell ref="B31:S31"/>
    <mergeCell ref="Q32:S32"/>
    <mergeCell ref="AX1:AZ1"/>
    <mergeCell ref="AU2:AZ2"/>
    <mergeCell ref="AU3:AW3"/>
    <mergeCell ref="B1:AW1"/>
    <mergeCell ref="B2:S2"/>
    <mergeCell ref="T2:AK2"/>
    <mergeCell ref="AL2:AT2"/>
    <mergeCell ref="B3:G3"/>
    <mergeCell ref="H3:M3"/>
    <mergeCell ref="AL3:AT3"/>
    <mergeCell ref="AU4:AW4"/>
    <mergeCell ref="AX3:AZ3"/>
    <mergeCell ref="AX4:AZ4"/>
    <mergeCell ref="B4:D4"/>
    <mergeCell ref="E4:G4"/>
    <mergeCell ref="H4:J4"/>
    <mergeCell ref="K4:M4"/>
    <mergeCell ref="AR4:AT4"/>
    <mergeCell ref="AO4:AQ4"/>
    <mergeCell ref="AC4:AE4"/>
    <mergeCell ref="AF4:AH4"/>
    <mergeCell ref="B32:D32"/>
    <mergeCell ref="E32:G32"/>
    <mergeCell ref="H32:J32"/>
    <mergeCell ref="K32:M32"/>
    <mergeCell ref="N32:P32"/>
    <mergeCell ref="Z33:AB33"/>
    <mergeCell ref="AC33:AE33"/>
    <mergeCell ref="AC31:AK31"/>
    <mergeCell ref="AL4:AN4"/>
    <mergeCell ref="AL25:AT25"/>
    <mergeCell ref="B33:D33"/>
    <mergeCell ref="E33:G33"/>
    <mergeCell ref="H33:J33"/>
    <mergeCell ref="K33:M33"/>
    <mergeCell ref="N33:P33"/>
    <mergeCell ref="Q53:S53"/>
    <mergeCell ref="AC53:AE53"/>
    <mergeCell ref="AI53:AK53"/>
    <mergeCell ref="AF53:AH53"/>
    <mergeCell ref="T25:AK25"/>
    <mergeCell ref="AF33:AH33"/>
    <mergeCell ref="AI33:AK33"/>
    <mergeCell ref="AF32:AH32"/>
    <mergeCell ref="AI32:AK32"/>
    <mergeCell ref="AC30:AK30"/>
    <mergeCell ref="T30:AB30"/>
    <mergeCell ref="T31:AB31"/>
    <mergeCell ref="AC32:AE32"/>
    <mergeCell ref="Q33:S33"/>
    <mergeCell ref="T33:V33"/>
    <mergeCell ref="W33:Y33"/>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44"/>
  <sheetViews>
    <sheetView workbookViewId="0"/>
  </sheetViews>
  <sheetFormatPr defaultRowHeight="15"/>
  <cols>
    <col min="1" max="1" width="43.85546875" bestFit="1" customWidth="1"/>
    <col min="2" max="2" width="13.28515625" bestFit="1" customWidth="1"/>
    <col min="4" max="4" width="3.42578125" style="901" customWidth="1"/>
    <col min="5" max="5" width="26.5703125" style="901" bestFit="1" customWidth="1"/>
    <col min="6" max="6" width="14" bestFit="1" customWidth="1"/>
    <col min="11" max="11" width="9" bestFit="1" customWidth="1"/>
    <col min="12" max="12" width="10.5703125" bestFit="1" customWidth="1"/>
  </cols>
  <sheetData>
    <row r="1" spans="1:8">
      <c r="A1" s="272" t="s">
        <v>703</v>
      </c>
    </row>
    <row r="3" spans="1:8">
      <c r="A3" t="s">
        <v>706</v>
      </c>
    </row>
    <row r="4" spans="1:8">
      <c r="A4" s="901"/>
      <c r="B4" s="901"/>
      <c r="D4"/>
      <c r="E4"/>
    </row>
    <row r="5" spans="1:8">
      <c r="A5" s="959"/>
      <c r="B5" s="960" t="s">
        <v>794</v>
      </c>
      <c r="D5"/>
      <c r="E5"/>
    </row>
    <row r="6" spans="1:8">
      <c r="A6" s="901"/>
      <c r="B6" s="427"/>
      <c r="D6"/>
      <c r="E6"/>
    </row>
    <row r="7" spans="1:8" s="901" customFormat="1">
      <c r="A7" s="901" t="s">
        <v>709</v>
      </c>
      <c r="B7" s="970">
        <f>+'FINAL-Distributed E&amp;G Budget'!F26</f>
        <v>1361552</v>
      </c>
      <c r="C7" s="966" t="s">
        <v>718</v>
      </c>
    </row>
    <row r="8" spans="1:8" s="901" customFormat="1">
      <c r="A8" s="901" t="s">
        <v>552</v>
      </c>
      <c r="B8" s="970">
        <f>+'FINAL-Distributed E&amp;G Budget'!H26</f>
        <v>385000</v>
      </c>
      <c r="C8" s="966" t="s">
        <v>718</v>
      </c>
    </row>
    <row r="9" spans="1:8" s="901" customFormat="1">
      <c r="A9" s="901" t="s">
        <v>674</v>
      </c>
      <c r="B9" s="970">
        <f>+'FINAL-Distributed E&amp;G Budget'!Y26</f>
        <v>131000</v>
      </c>
      <c r="C9" s="966" t="s">
        <v>718</v>
      </c>
    </row>
    <row r="10" spans="1:8" s="901" customFormat="1">
      <c r="A10" s="965" t="s">
        <v>787</v>
      </c>
      <c r="B10" s="970">
        <f>+'Step 0 Revenue Detail'!L45</f>
        <v>9068840</v>
      </c>
      <c r="C10" s="966" t="s">
        <v>718</v>
      </c>
      <c r="H10" s="523"/>
    </row>
    <row r="11" spans="1:8" s="901" customFormat="1">
      <c r="B11" s="861"/>
      <c r="C11" s="966"/>
    </row>
    <row r="12" spans="1:8" s="1031" customFormat="1">
      <c r="A12" s="1031" t="s">
        <v>788</v>
      </c>
      <c r="B12" s="141">
        <v>450000</v>
      </c>
      <c r="C12" s="1192" t="s">
        <v>789</v>
      </c>
      <c r="F12" s="1138"/>
    </row>
    <row r="13" spans="1:8" s="901" customFormat="1">
      <c r="A13" s="901" t="s">
        <v>891</v>
      </c>
      <c r="B13" s="141">
        <v>4787085</v>
      </c>
      <c r="C13" s="1192" t="s">
        <v>890</v>
      </c>
    </row>
    <row r="14" spans="1:8" s="901" customFormat="1">
      <c r="A14" s="961" t="s">
        <v>708</v>
      </c>
      <c r="B14" s="758">
        <f>SUM(B6:B13)</f>
        <v>16183477</v>
      </c>
      <c r="C14" s="350"/>
      <c r="F14" s="523"/>
    </row>
    <row r="15" spans="1:8" s="901" customFormat="1">
      <c r="A15" s="901" t="s">
        <v>710</v>
      </c>
      <c r="B15" s="523">
        <f>-1674356-0.035*700000</f>
        <v>-1698856</v>
      </c>
      <c r="C15" s="966" t="s">
        <v>789</v>
      </c>
      <c r="E15" s="141"/>
    </row>
    <row r="16" spans="1:8">
      <c r="A16" s="901" t="s">
        <v>711</v>
      </c>
      <c r="B16" s="523">
        <f>-ROUND(SUM(B14:B15)*0.1,0)</f>
        <v>-1448462</v>
      </c>
      <c r="D16"/>
      <c r="E16" s="141"/>
      <c r="F16" s="523"/>
    </row>
    <row r="17" spans="1:8" ht="15.75" thickBot="1">
      <c r="A17" s="901" t="s">
        <v>712</v>
      </c>
      <c r="B17" s="962">
        <f>SUM(B14:B16)</f>
        <v>13036159</v>
      </c>
      <c r="D17"/>
      <c r="E17" s="141"/>
      <c r="F17" s="523"/>
    </row>
    <row r="18" spans="1:8" s="1134" customFormat="1">
      <c r="A18" s="1134" t="s">
        <v>790</v>
      </c>
      <c r="B18" s="1086">
        <f>+'FINAL-Distributed E&amp;G Budget'!AF26</f>
        <v>-300000</v>
      </c>
      <c r="C18" s="966" t="s">
        <v>718</v>
      </c>
      <c r="E18" s="141"/>
    </row>
    <row r="19" spans="1:8" s="1134" customFormat="1">
      <c r="A19" s="1134" t="s">
        <v>667</v>
      </c>
      <c r="B19" s="1086">
        <f>+'FINAL-Distributed E&amp;G Budget'!AH26</f>
        <v>-130360</v>
      </c>
      <c r="C19" s="966" t="s">
        <v>718</v>
      </c>
      <c r="E19" s="141"/>
    </row>
    <row r="20" spans="1:8" s="1134" customFormat="1">
      <c r="B20" s="995"/>
      <c r="E20" s="141"/>
    </row>
    <row r="21" spans="1:8" s="901" customFormat="1">
      <c r="A21" s="901" t="s">
        <v>791</v>
      </c>
      <c r="B21" s="758">
        <f>+B17+B18+B19</f>
        <v>12605799</v>
      </c>
      <c r="E21" s="141"/>
      <c r="F21" s="1135"/>
    </row>
    <row r="22" spans="1:8" s="901" customFormat="1">
      <c r="B22" s="969" t="str">
        <f>IF(B21='FINAL-Distributed E&amp;G Budget'!AJ26,"","Check")</f>
        <v/>
      </c>
      <c r="E22" s="141"/>
    </row>
    <row r="23" spans="1:8">
      <c r="A23" s="901"/>
      <c r="D23"/>
      <c r="E23" s="141"/>
    </row>
    <row r="24" spans="1:8">
      <c r="A24" s="901" t="s">
        <v>727</v>
      </c>
      <c r="C24" s="958"/>
      <c r="D24" s="958"/>
      <c r="E24" s="141"/>
      <c r="F24" s="958"/>
      <c r="G24" s="958"/>
      <c r="H24" s="958"/>
    </row>
    <row r="25" spans="1:8">
      <c r="A25" s="958"/>
      <c r="B25" s="958"/>
      <c r="C25" s="958"/>
      <c r="D25" s="958"/>
      <c r="E25" s="141"/>
      <c r="F25" s="958"/>
      <c r="G25" s="958"/>
      <c r="H25" s="958"/>
    </row>
    <row r="26" spans="1:8">
      <c r="A26" s="959"/>
      <c r="B26" s="960" t="s">
        <v>794</v>
      </c>
      <c r="C26" s="958"/>
      <c r="D26" s="958"/>
      <c r="E26" s="141"/>
      <c r="F26" s="958"/>
      <c r="G26" s="958"/>
      <c r="H26" s="958"/>
    </row>
    <row r="27" spans="1:8">
      <c r="A27" s="958"/>
      <c r="B27" s="427"/>
      <c r="C27" s="958"/>
      <c r="D27" s="958"/>
      <c r="E27" s="141"/>
      <c r="F27" s="958"/>
      <c r="G27" s="958"/>
      <c r="H27" s="958"/>
    </row>
    <row r="28" spans="1:8">
      <c r="A28" s="958" t="s">
        <v>709</v>
      </c>
      <c r="B28" s="970">
        <f>+'FINAL-Distributed E&amp;G Budget'!F28</f>
        <v>12025330</v>
      </c>
      <c r="C28" s="966" t="s">
        <v>718</v>
      </c>
      <c r="D28" s="958"/>
      <c r="E28" s="958"/>
      <c r="F28" s="958"/>
      <c r="G28" s="958"/>
      <c r="H28" s="958"/>
    </row>
    <row r="29" spans="1:8">
      <c r="A29" s="958" t="s">
        <v>552</v>
      </c>
      <c r="B29" s="970">
        <f>+'FINAL-Distributed E&amp;G Budget'!H28</f>
        <v>160000</v>
      </c>
      <c r="C29" s="966" t="s">
        <v>718</v>
      </c>
      <c r="D29" s="958"/>
      <c r="E29" s="958"/>
      <c r="F29" s="958"/>
      <c r="G29" s="958"/>
      <c r="H29" s="958"/>
    </row>
    <row r="30" spans="1:8">
      <c r="A30" s="958" t="s">
        <v>674</v>
      </c>
      <c r="B30" s="970">
        <f>+'FINAL-Distributed E&amp;G Budget'!Y28</f>
        <v>0</v>
      </c>
      <c r="C30" s="966" t="s">
        <v>718</v>
      </c>
      <c r="D30" s="958"/>
      <c r="E30" s="958"/>
      <c r="F30" s="958"/>
      <c r="G30" s="958"/>
      <c r="H30" s="523"/>
    </row>
    <row r="31" spans="1:8">
      <c r="A31" s="1033" t="s">
        <v>787</v>
      </c>
      <c r="B31" s="970">
        <f>+'Step 0 Revenue Detail'!L44</f>
        <v>11954541</v>
      </c>
      <c r="C31" s="966" t="s">
        <v>718</v>
      </c>
      <c r="D31" s="958"/>
      <c r="E31" s="958"/>
      <c r="F31" s="958"/>
      <c r="G31" s="958"/>
      <c r="H31" s="958"/>
    </row>
    <row r="32" spans="1:8">
      <c r="A32" s="965"/>
      <c r="B32" s="861"/>
      <c r="C32" s="966"/>
      <c r="D32" s="958"/>
      <c r="E32" s="958"/>
      <c r="F32" s="958"/>
      <c r="G32" s="958"/>
      <c r="H32" s="958"/>
    </row>
    <row r="33" spans="1:8">
      <c r="A33" s="958" t="s">
        <v>891</v>
      </c>
      <c r="B33" s="523">
        <v>1901743</v>
      </c>
      <c r="C33" s="1192" t="s">
        <v>890</v>
      </c>
      <c r="D33" s="958"/>
      <c r="E33" s="958"/>
      <c r="F33" s="958"/>
      <c r="G33" s="984"/>
      <c r="H33" s="958"/>
    </row>
    <row r="34" spans="1:8">
      <c r="A34" s="901" t="s">
        <v>713</v>
      </c>
      <c r="B34" s="970">
        <f>+'Step 0 Revenue Detail'!H23</f>
        <v>1581322</v>
      </c>
      <c r="C34" s="966" t="s">
        <v>718</v>
      </c>
      <c r="D34" s="958"/>
      <c r="E34" s="958"/>
      <c r="F34" s="958"/>
      <c r="G34" s="984"/>
      <c r="H34" s="958"/>
    </row>
    <row r="35" spans="1:8">
      <c r="A35" s="961" t="s">
        <v>708</v>
      </c>
      <c r="B35" s="758">
        <f>SUM(B27:B34)</f>
        <v>27622936</v>
      </c>
      <c r="C35" s="958"/>
      <c r="D35" s="958"/>
      <c r="E35" s="958"/>
      <c r="F35" s="958"/>
      <c r="G35" s="984"/>
      <c r="H35" s="958"/>
    </row>
    <row r="36" spans="1:8">
      <c r="A36" s="958" t="s">
        <v>711</v>
      </c>
      <c r="B36" s="523">
        <f>-ROUND(SUM(B35:B35)*0.1,0)</f>
        <v>-2762294</v>
      </c>
      <c r="D36"/>
      <c r="E36"/>
    </row>
    <row r="37" spans="1:8" ht="15.75" thickBot="1">
      <c r="A37" s="958" t="s">
        <v>712</v>
      </c>
      <c r="B37" s="962">
        <f>SUM(B35:B36)</f>
        <v>24860642</v>
      </c>
      <c r="D37"/>
      <c r="E37"/>
    </row>
    <row r="38" spans="1:8">
      <c r="A38" s="901"/>
      <c r="D38"/>
      <c r="E38"/>
    </row>
    <row r="39" spans="1:8">
      <c r="A39" s="901" t="s">
        <v>714</v>
      </c>
      <c r="B39" s="970">
        <f>+'FINAL-Distributed E&amp;G Budget'!O28</f>
        <v>6750000</v>
      </c>
      <c r="C39" s="966" t="s">
        <v>718</v>
      </c>
      <c r="D39"/>
      <c r="E39"/>
    </row>
    <row r="40" spans="1:8">
      <c r="A40" s="901" t="s">
        <v>715</v>
      </c>
      <c r="B40" s="523">
        <f>+B37+B39</f>
        <v>31610642</v>
      </c>
      <c r="D40"/>
      <c r="E40"/>
      <c r="F40" s="523"/>
    </row>
    <row r="41" spans="1:8" s="1134" customFormat="1">
      <c r="A41" s="1134" t="s">
        <v>792</v>
      </c>
      <c r="B41" s="1136">
        <f>+'FINAL-Distributed E&amp;G Budget'!AH28</f>
        <v>-316110</v>
      </c>
      <c r="C41" s="966" t="s">
        <v>718</v>
      </c>
      <c r="F41" s="523"/>
    </row>
    <row r="42" spans="1:8">
      <c r="A42" s="901" t="s">
        <v>791</v>
      </c>
      <c r="B42" s="1137">
        <f>+B40+B41</f>
        <v>31294532</v>
      </c>
      <c r="D42"/>
      <c r="E42"/>
    </row>
    <row r="43" spans="1:8">
      <c r="A43" s="901"/>
      <c r="B43" s="511" t="str">
        <f>IF(B40='FINAL-Distributed E&amp;G Budget'!AJ28-'FINAL-Distributed E&amp;G Budget'!AH28,"","Check")</f>
        <v/>
      </c>
      <c r="D43"/>
      <c r="E43"/>
    </row>
    <row r="44" spans="1:8">
      <c r="A44" s="901"/>
      <c r="B44" s="512" t="str">
        <f>IF(+B42-'FINAL-Distributed E&amp;G Budget'!AJ28=0,"","Check")</f>
        <v/>
      </c>
      <c r="D44"/>
      <c r="E44"/>
    </row>
  </sheetData>
  <pageMargins left="0.7" right="0.7" top="0.75" bottom="0.75" header="0.3" footer="0.3"/>
  <pageSetup orientation="portrait" horizontalDpi="1200" verticalDpi="12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24"/>
  <sheetViews>
    <sheetView workbookViewId="0"/>
  </sheetViews>
  <sheetFormatPr defaultColWidth="8.85546875" defaultRowHeight="15"/>
  <cols>
    <col min="1" max="1" width="27.42578125" customWidth="1"/>
    <col min="2" max="3" width="14.140625" bestFit="1" customWidth="1"/>
    <col min="4" max="5" width="12" bestFit="1" customWidth="1"/>
    <col min="6" max="6" width="12.7109375" bestFit="1" customWidth="1"/>
    <col min="10" max="10" width="27.85546875" customWidth="1"/>
    <col min="11" max="11" width="19.140625" customWidth="1"/>
  </cols>
  <sheetData>
    <row r="1" spans="1:10">
      <c r="A1" s="272" t="s">
        <v>417</v>
      </c>
    </row>
    <row r="2" spans="1:10">
      <c r="A2" t="s">
        <v>424</v>
      </c>
    </row>
    <row r="4" spans="1:10">
      <c r="B4" t="s">
        <v>418</v>
      </c>
      <c r="C4" t="s">
        <v>207</v>
      </c>
      <c r="D4" t="s">
        <v>419</v>
      </c>
      <c r="E4" t="s">
        <v>420</v>
      </c>
      <c r="F4" t="s">
        <v>421</v>
      </c>
    </row>
    <row r="5" spans="1:10">
      <c r="A5" t="s">
        <v>211</v>
      </c>
      <c r="B5" s="284">
        <v>0.73998173037856396</v>
      </c>
      <c r="C5" s="284">
        <v>1.4284719010994193</v>
      </c>
      <c r="D5" s="284">
        <v>2.9940236651900212</v>
      </c>
      <c r="E5" s="284">
        <v>3.0615572354211658</v>
      </c>
      <c r="F5" s="284">
        <v>0</v>
      </c>
      <c r="J5" s="284"/>
    </row>
    <row r="6" spans="1:10">
      <c r="A6" t="s">
        <v>212</v>
      </c>
      <c r="B6" s="284">
        <v>0.6243257014939112</v>
      </c>
      <c r="C6" s="284">
        <v>1.0336138423339543</v>
      </c>
      <c r="D6" s="284">
        <v>1.6370418041804178</v>
      </c>
      <c r="E6" s="284">
        <v>4.7633933333333323</v>
      </c>
      <c r="F6" s="284">
        <v>0</v>
      </c>
      <c r="J6" s="284"/>
    </row>
    <row r="7" spans="1:10">
      <c r="A7" t="s">
        <v>213</v>
      </c>
      <c r="B7" s="284">
        <v>0.78234378161025708</v>
      </c>
      <c r="C7" s="284">
        <v>0.93500000000000005</v>
      </c>
      <c r="D7" s="284">
        <v>1.46</v>
      </c>
      <c r="E7" s="284">
        <v>2.5490000000000004</v>
      </c>
      <c r="F7" s="284">
        <v>0</v>
      </c>
      <c r="J7" s="284"/>
    </row>
    <row r="8" spans="1:10">
      <c r="A8" t="s">
        <v>214</v>
      </c>
      <c r="B8" s="284">
        <v>0.72755601656757785</v>
      </c>
      <c r="C8" s="284">
        <v>1.4279999999999999</v>
      </c>
      <c r="D8" s="284">
        <v>2.7650000000000006</v>
      </c>
      <c r="E8" s="284">
        <v>2.5489999999999999</v>
      </c>
      <c r="F8" s="284">
        <v>0</v>
      </c>
      <c r="J8" s="284"/>
    </row>
    <row r="9" spans="1:10">
      <c r="A9" t="s">
        <v>215</v>
      </c>
      <c r="B9" s="284">
        <v>0</v>
      </c>
      <c r="C9" s="284">
        <v>0</v>
      </c>
      <c r="D9" s="284">
        <v>2.2839999999999998</v>
      </c>
      <c r="E9" s="284">
        <v>2.976</v>
      </c>
      <c r="F9" s="284">
        <v>9.4342542433612468</v>
      </c>
      <c r="G9" t="s">
        <v>425</v>
      </c>
      <c r="J9" s="284"/>
    </row>
    <row r="10" spans="1:10">
      <c r="A10" t="s">
        <v>216</v>
      </c>
      <c r="B10" s="284">
        <v>0.78002646834903766</v>
      </c>
      <c r="C10" s="284">
        <v>1.1521434672740865</v>
      </c>
      <c r="D10" s="284">
        <v>2.6349949799196795</v>
      </c>
      <c r="E10" s="284">
        <v>2.976</v>
      </c>
      <c r="F10" s="284">
        <v>0</v>
      </c>
      <c r="J10" s="284"/>
    </row>
    <row r="11" spans="1:10">
      <c r="A11" t="s">
        <v>131</v>
      </c>
      <c r="B11" s="284">
        <v>0</v>
      </c>
      <c r="C11" s="284">
        <v>0</v>
      </c>
      <c r="D11" s="284">
        <v>2.6911358936484491</v>
      </c>
      <c r="E11" s="284">
        <v>2.8712987164527424</v>
      </c>
      <c r="F11" s="284">
        <v>0</v>
      </c>
      <c r="J11" s="284"/>
    </row>
    <row r="12" spans="1:10">
      <c r="A12" t="s">
        <v>217</v>
      </c>
      <c r="B12" s="284">
        <v>0.62171653344405653</v>
      </c>
      <c r="C12" s="284">
        <v>0.95550908246379429</v>
      </c>
      <c r="D12" s="284">
        <v>2.0860803827751191</v>
      </c>
      <c r="E12" s="284">
        <v>3.2494553686934022</v>
      </c>
      <c r="F12" s="284">
        <v>0</v>
      </c>
      <c r="J12" s="284"/>
    </row>
    <row r="13" spans="1:10">
      <c r="A13" t="s">
        <v>218</v>
      </c>
      <c r="B13" s="284">
        <v>0</v>
      </c>
      <c r="C13" s="284">
        <v>0</v>
      </c>
      <c r="D13" s="284">
        <v>2.2839999999999998</v>
      </c>
      <c r="E13" s="284">
        <v>0</v>
      </c>
      <c r="F13" s="284">
        <v>14.151</v>
      </c>
      <c r="G13" t="s">
        <v>425</v>
      </c>
      <c r="J13" s="284"/>
    </row>
    <row r="14" spans="1:10">
      <c r="A14" t="s">
        <v>219</v>
      </c>
      <c r="B14" s="284">
        <v>0.89997653137823164</v>
      </c>
      <c r="C14" s="284">
        <v>1.3870545339251739</v>
      </c>
      <c r="D14" s="284">
        <v>2.5786363770904241</v>
      </c>
      <c r="E14" s="284">
        <v>2.9760000000000009</v>
      </c>
      <c r="F14" s="284">
        <v>0</v>
      </c>
      <c r="J14" s="284"/>
    </row>
    <row r="15" spans="1:10">
      <c r="A15" t="s">
        <v>220</v>
      </c>
      <c r="B15" s="284">
        <v>0.65339697659263052</v>
      </c>
      <c r="C15" s="284">
        <v>0.95123990151385873</v>
      </c>
      <c r="D15" s="284">
        <v>2.3896966800804829</v>
      </c>
      <c r="E15" s="284">
        <v>2.9686188418323249</v>
      </c>
      <c r="F15" s="284">
        <v>0</v>
      </c>
      <c r="J15" s="284"/>
    </row>
    <row r="16" spans="1:10">
      <c r="A16" t="s">
        <v>221</v>
      </c>
      <c r="B16" s="284">
        <v>0.65821180776420729</v>
      </c>
      <c r="C16" s="284">
        <v>1.4161844073190133</v>
      </c>
      <c r="D16" s="284">
        <v>2.907463203463204</v>
      </c>
      <c r="E16" s="284">
        <v>2.9704545454545457</v>
      </c>
      <c r="F16" s="284">
        <v>0</v>
      </c>
      <c r="J16" s="284"/>
    </row>
    <row r="17" spans="1:10">
      <c r="A17" t="s">
        <v>222</v>
      </c>
      <c r="B17" s="284">
        <v>0</v>
      </c>
      <c r="C17" s="284">
        <v>0</v>
      </c>
      <c r="D17" s="284">
        <v>0</v>
      </c>
      <c r="E17" s="284">
        <v>0</v>
      </c>
      <c r="F17" s="284">
        <v>0</v>
      </c>
      <c r="J17" s="284"/>
    </row>
    <row r="18" spans="1:10">
      <c r="A18" t="s">
        <v>223</v>
      </c>
      <c r="B18" s="284">
        <v>0.84799999999999998</v>
      </c>
      <c r="C18" s="284">
        <v>1.232</v>
      </c>
      <c r="D18" s="284">
        <v>0</v>
      </c>
      <c r="E18" s="284">
        <v>0</v>
      </c>
      <c r="F18" s="284">
        <v>0</v>
      </c>
    </row>
    <row r="19" spans="1:10">
      <c r="A19" t="s">
        <v>224</v>
      </c>
      <c r="B19" s="284">
        <v>0.85596360051752129</v>
      </c>
      <c r="C19" s="284">
        <v>1.0820000000000001</v>
      </c>
      <c r="D19" s="284">
        <v>0</v>
      </c>
      <c r="E19" s="284">
        <v>0</v>
      </c>
      <c r="F19" s="284">
        <v>0</v>
      </c>
    </row>
    <row r="20" spans="1:10">
      <c r="A20" t="s">
        <v>225</v>
      </c>
      <c r="B20" s="284">
        <v>0</v>
      </c>
      <c r="C20" s="284">
        <v>0</v>
      </c>
      <c r="D20" s="284">
        <v>0</v>
      </c>
      <c r="E20" s="284">
        <v>0</v>
      </c>
      <c r="F20" s="284">
        <v>0</v>
      </c>
    </row>
    <row r="21" spans="1:10">
      <c r="A21" t="s">
        <v>226</v>
      </c>
      <c r="B21" s="284">
        <v>0</v>
      </c>
      <c r="C21" s="284">
        <v>0</v>
      </c>
      <c r="D21" s="284">
        <v>0</v>
      </c>
      <c r="E21" s="284">
        <v>0</v>
      </c>
      <c r="F21" s="284">
        <v>0</v>
      </c>
    </row>
    <row r="22" spans="1:10">
      <c r="A22" s="984" t="s">
        <v>728</v>
      </c>
      <c r="B22" s="284">
        <f>+B12</f>
        <v>0.62171653344405653</v>
      </c>
      <c r="C22" s="284">
        <f>+C12</f>
        <v>0.95550908246379429</v>
      </c>
      <c r="D22" s="284">
        <f>+D12</f>
        <v>2.0860803827751191</v>
      </c>
      <c r="E22" s="284">
        <f>+E12</f>
        <v>3.2494553686934022</v>
      </c>
      <c r="F22" s="284">
        <f t="shared" ref="F22" si="0">+F12</f>
        <v>0</v>
      </c>
      <c r="G22" s="986" t="s">
        <v>729</v>
      </c>
    </row>
    <row r="23" spans="1:10">
      <c r="A23" t="s">
        <v>422</v>
      </c>
      <c r="B23" s="284">
        <v>0.7381797105503255</v>
      </c>
      <c r="C23" s="284">
        <v>1.1957946207353713</v>
      </c>
      <c r="D23" s="284">
        <v>2.3442554687248678</v>
      </c>
      <c r="E23" s="284">
        <v>2.9947226405694698</v>
      </c>
      <c r="F23" s="284">
        <v>11.336090750303258</v>
      </c>
    </row>
    <row r="24" spans="1:10">
      <c r="A24" t="s">
        <v>423</v>
      </c>
      <c r="B24" s="284">
        <v>0.66696616420281341</v>
      </c>
      <c r="C24" s="284">
        <v>1.0679631607717921</v>
      </c>
      <c r="D24" s="284">
        <v>2.2419354814151804</v>
      </c>
      <c r="E24" s="284">
        <v>2.944059209665129</v>
      </c>
      <c r="F24" s="284">
        <v>11.336090750303258</v>
      </c>
    </row>
  </sheetData>
  <pageMargins left="0.7" right="0.7" top="0.75" bottom="0.75" header="0.3" footer="0.3"/>
  <pageSetup orientation="portrait" horizontalDpi="1200" verticalDpi="12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AA62"/>
  <sheetViews>
    <sheetView workbookViewId="0"/>
  </sheetViews>
  <sheetFormatPr defaultColWidth="12.5703125" defaultRowHeight="15.75" outlineLevelCol="1"/>
  <cols>
    <col min="1" max="1" width="47.28515625" style="838" customWidth="1"/>
    <col min="2" max="2" width="22.28515625" style="838" hidden="1" customWidth="1" outlineLevel="1"/>
    <col min="3" max="3" width="18.7109375" style="838" hidden="1" customWidth="1" outlineLevel="1"/>
    <col min="4" max="4" width="17.28515625" style="838" hidden="1" customWidth="1" outlineLevel="1"/>
    <col min="5" max="5" width="17.140625" style="838" hidden="1" customWidth="1" outlineLevel="1"/>
    <col min="6" max="6" width="16.5703125" style="838" hidden="1" customWidth="1" outlineLevel="1"/>
    <col min="7" max="7" width="17.28515625" style="838" hidden="1" customWidth="1" outlineLevel="1"/>
    <col min="8" max="9" width="16.140625" style="838" hidden="1" customWidth="1" outlineLevel="1"/>
    <col min="10" max="10" width="17.28515625" style="838" hidden="1" customWidth="1" outlineLevel="1"/>
    <col min="11" max="11" width="5.7109375" style="838" customWidth="1" collapsed="1"/>
    <col min="12" max="13" width="16.140625" style="838" customWidth="1"/>
    <col min="14" max="14" width="3.7109375" style="1043" customWidth="1"/>
    <col min="15" max="16" width="17.28515625" style="838" customWidth="1"/>
    <col min="17" max="17" width="4.5703125" style="1043" customWidth="1"/>
    <col min="18" max="19" width="17.28515625" style="838" customWidth="1"/>
    <col min="20" max="20" width="3.140625" style="838" customWidth="1"/>
    <col min="21" max="22" width="12.5703125" style="838" customWidth="1"/>
    <col min="23" max="23" width="14.42578125" style="838" customWidth="1"/>
    <col min="26" max="26" width="16.85546875" style="838" bestFit="1" customWidth="1"/>
    <col min="27" max="27" width="15" style="838" customWidth="1"/>
    <col min="28" max="16384" width="12.5703125" style="838"/>
  </cols>
  <sheetData>
    <row r="1" spans="1:27" ht="21">
      <c r="A1" s="1042" t="s">
        <v>477</v>
      </c>
    </row>
    <row r="2" spans="1:27" ht="18.75">
      <c r="A2" s="1044" t="s">
        <v>750</v>
      </c>
      <c r="B2" s="1045" t="s">
        <v>475</v>
      </c>
    </row>
    <row r="3" spans="1:27">
      <c r="A3" s="1046"/>
      <c r="B3" s="1047"/>
    </row>
    <row r="4" spans="1:27">
      <c r="A4" s="1046"/>
      <c r="B4" s="1047"/>
    </row>
    <row r="5" spans="1:27">
      <c r="A5" s="1046"/>
      <c r="B5" s="1291" t="s">
        <v>777</v>
      </c>
      <c r="C5" s="1291"/>
      <c r="D5" s="1291"/>
      <c r="E5" s="1291"/>
      <c r="F5" s="1291"/>
      <c r="G5" s="1291"/>
      <c r="H5" s="1291"/>
      <c r="I5" s="1291"/>
      <c r="J5" s="1291"/>
      <c r="O5" s="1292" t="s">
        <v>777</v>
      </c>
      <c r="P5" s="1292"/>
      <c r="Q5" s="1292"/>
      <c r="R5" s="1292"/>
      <c r="S5" s="1292"/>
      <c r="U5" s="1292" t="s">
        <v>778</v>
      </c>
      <c r="V5" s="1292"/>
      <c r="W5" s="1292"/>
    </row>
    <row r="6" spans="1:27" ht="110.25">
      <c r="A6" s="1048"/>
      <c r="B6" s="1049"/>
      <c r="C6" s="1049" t="s">
        <v>772</v>
      </c>
      <c r="D6" s="1049" t="s">
        <v>773</v>
      </c>
      <c r="E6" s="1049" t="s">
        <v>751</v>
      </c>
      <c r="F6" s="1049" t="s">
        <v>752</v>
      </c>
      <c r="G6" s="1049" t="s">
        <v>753</v>
      </c>
      <c r="H6" s="1049" t="s">
        <v>754</v>
      </c>
      <c r="I6" s="1049" t="s">
        <v>755</v>
      </c>
      <c r="J6" s="1049" t="s">
        <v>756</v>
      </c>
      <c r="L6" s="1050" t="s">
        <v>757</v>
      </c>
      <c r="M6" s="1049" t="s">
        <v>659</v>
      </c>
      <c r="N6" s="1051"/>
      <c r="O6" s="1049" t="s">
        <v>758</v>
      </c>
      <c r="P6" s="1049" t="s">
        <v>759</v>
      </c>
      <c r="Q6" s="1051"/>
      <c r="R6" s="1049" t="s">
        <v>760</v>
      </c>
      <c r="S6" s="1049" t="s">
        <v>781</v>
      </c>
      <c r="U6" s="1049" t="s">
        <v>779</v>
      </c>
      <c r="V6" s="1049" t="s">
        <v>780</v>
      </c>
      <c r="W6" s="1049" t="s">
        <v>776</v>
      </c>
      <c r="Z6" s="1049"/>
    </row>
    <row r="7" spans="1:27" ht="16.5" thickBot="1">
      <c r="A7" s="1052" t="s">
        <v>106</v>
      </c>
      <c r="B7" s="1053" t="s">
        <v>761</v>
      </c>
      <c r="C7" s="1054"/>
      <c r="D7" s="885"/>
      <c r="L7" s="811"/>
    </row>
    <row r="8" spans="1:27">
      <c r="A8" s="1055" t="s">
        <v>120</v>
      </c>
      <c r="B8" s="1056">
        <v>0</v>
      </c>
      <c r="C8" s="1056"/>
      <c r="D8" s="1056"/>
      <c r="E8" s="1056"/>
      <c r="F8" s="1056"/>
      <c r="G8" s="1056"/>
      <c r="H8" s="1056"/>
      <c r="I8" s="1056"/>
      <c r="J8" s="1056">
        <f t="shared" ref="J8:J15" si="0">SUM(B8:I8)</f>
        <v>0</v>
      </c>
      <c r="K8" s="885"/>
      <c r="L8" s="1057">
        <v>0</v>
      </c>
      <c r="M8" s="885"/>
      <c r="N8" s="1058"/>
      <c r="O8" s="1059"/>
      <c r="P8" s="1059"/>
      <c r="Q8" s="1058"/>
      <c r="R8" s="1059"/>
      <c r="S8" s="1059"/>
      <c r="U8" s="1059"/>
      <c r="V8" s="1059"/>
      <c r="W8" s="1059"/>
      <c r="Z8" s="885"/>
      <c r="AA8" s="885"/>
    </row>
    <row r="9" spans="1:27">
      <c r="A9" s="1055" t="s">
        <v>121</v>
      </c>
      <c r="B9" s="1060">
        <v>4471174.4499999881</v>
      </c>
      <c r="C9" s="1060"/>
      <c r="D9" s="1060"/>
      <c r="E9" s="1060"/>
      <c r="F9" s="1060"/>
      <c r="G9" s="1060"/>
      <c r="H9" s="1060"/>
      <c r="I9" s="1060"/>
      <c r="J9" s="1060">
        <f t="shared" si="0"/>
        <v>4471174.4499999881</v>
      </c>
      <c r="K9" s="885"/>
      <c r="L9" s="1061">
        <v>970482.44999998808</v>
      </c>
      <c r="M9" s="885"/>
      <c r="N9" s="1058"/>
      <c r="O9" s="1062"/>
      <c r="P9" s="1062"/>
      <c r="Q9" s="1058"/>
      <c r="R9" s="1062"/>
      <c r="S9" s="1062"/>
      <c r="T9" s="1049"/>
      <c r="U9" s="1062"/>
      <c r="V9" s="1062"/>
      <c r="W9" s="1062"/>
      <c r="Z9" s="885"/>
      <c r="AA9" s="885"/>
    </row>
    <row r="10" spans="1:27">
      <c r="A10" s="1055" t="s">
        <v>122</v>
      </c>
      <c r="B10" s="1060">
        <v>-144500</v>
      </c>
      <c r="C10" s="1060"/>
      <c r="D10" s="1060"/>
      <c r="E10" s="1060"/>
      <c r="F10" s="1060"/>
      <c r="G10" s="1060"/>
      <c r="H10" s="1060"/>
      <c r="I10" s="1060"/>
      <c r="J10" s="1060">
        <f t="shared" si="0"/>
        <v>-144500</v>
      </c>
      <c r="K10" s="885"/>
      <c r="L10" s="1061">
        <v>3170000</v>
      </c>
      <c r="M10" s="885"/>
      <c r="N10" s="1058"/>
      <c r="O10" s="1062"/>
      <c r="P10" s="1062"/>
      <c r="Q10" s="1058"/>
      <c r="R10" s="1062"/>
      <c r="S10" s="1062"/>
      <c r="U10" s="1062"/>
      <c r="V10" s="1062"/>
      <c r="W10" s="1062"/>
      <c r="Z10" s="885"/>
      <c r="AA10" s="885"/>
    </row>
    <row r="11" spans="1:27">
      <c r="A11" s="1055" t="s">
        <v>123</v>
      </c>
      <c r="B11" s="1060">
        <v>12000000</v>
      </c>
      <c r="C11" s="1060"/>
      <c r="D11" s="1060"/>
      <c r="E11" s="1060"/>
      <c r="F11" s="1060"/>
      <c r="G11" s="1060"/>
      <c r="H11" s="1060"/>
      <c r="I11" s="1060"/>
      <c r="J11" s="1060">
        <f t="shared" si="0"/>
        <v>12000000</v>
      </c>
      <c r="K11" s="885"/>
      <c r="L11" s="1061">
        <v>12000000</v>
      </c>
      <c r="M11" s="1063">
        <f>SUM(L8:L15)/SUM(J8:J15)-1</f>
        <v>3.2557774915018545E-3</v>
      </c>
      <c r="N11" s="1064"/>
      <c r="O11" s="1062"/>
      <c r="P11" s="1062"/>
      <c r="Q11" s="1064"/>
      <c r="R11" s="1062"/>
      <c r="S11" s="1062"/>
      <c r="T11" s="885"/>
      <c r="U11" s="1062"/>
      <c r="V11" s="1062"/>
      <c r="W11" s="1062"/>
      <c r="Z11" s="885"/>
      <c r="AA11" s="885"/>
    </row>
    <row r="12" spans="1:27">
      <c r="A12" s="1055" t="s">
        <v>125</v>
      </c>
      <c r="B12" s="1060">
        <v>15080231</v>
      </c>
      <c r="C12" s="1060"/>
      <c r="D12" s="1060"/>
      <c r="E12" s="1060"/>
      <c r="F12" s="1060"/>
      <c r="G12" s="1060"/>
      <c r="H12" s="1060"/>
      <c r="I12" s="1060"/>
      <c r="J12" s="1060">
        <f t="shared" si="0"/>
        <v>15080231</v>
      </c>
      <c r="K12" s="885"/>
      <c r="L12" s="1061">
        <v>7345038</v>
      </c>
      <c r="M12" s="885"/>
      <c r="N12" s="1058"/>
      <c r="O12" s="1062"/>
      <c r="P12" s="1062"/>
      <c r="Q12" s="1058"/>
      <c r="R12" s="1062"/>
      <c r="S12" s="1062"/>
      <c r="T12" s="885"/>
      <c r="U12" s="1062"/>
      <c r="V12" s="1062"/>
      <c r="W12" s="1062"/>
      <c r="Z12" s="885"/>
      <c r="AA12" s="885"/>
    </row>
    <row r="13" spans="1:27">
      <c r="A13" s="1055" t="s">
        <v>128</v>
      </c>
      <c r="B13" s="1060">
        <v>8380000</v>
      </c>
      <c r="C13" s="1060"/>
      <c r="D13" s="1060"/>
      <c r="E13" s="1060"/>
      <c r="F13" s="1060"/>
      <c r="G13" s="1060"/>
      <c r="H13" s="1060"/>
      <c r="I13" s="1060"/>
      <c r="J13" s="1060">
        <f t="shared" si="0"/>
        <v>8380000</v>
      </c>
      <c r="K13" s="885"/>
      <c r="L13" s="1061">
        <v>180000</v>
      </c>
      <c r="M13" s="885"/>
      <c r="N13" s="1058"/>
      <c r="O13" s="1062"/>
      <c r="P13" s="1062"/>
      <c r="Q13" s="1058"/>
      <c r="R13" s="1062"/>
      <c r="S13" s="1062"/>
      <c r="T13" s="885"/>
      <c r="U13" s="1062"/>
      <c r="V13" s="1062"/>
      <c r="W13" s="1062"/>
      <c r="Z13" s="885"/>
      <c r="AA13" s="885"/>
    </row>
    <row r="14" spans="1:27">
      <c r="A14" s="1055" t="s">
        <v>129</v>
      </c>
      <c r="B14" s="1060">
        <v>40794236</v>
      </c>
      <c r="C14" s="1060"/>
      <c r="D14" s="1060"/>
      <c r="E14" s="1060"/>
      <c r="F14" s="1060"/>
      <c r="G14" s="1060"/>
      <c r="H14" s="1060"/>
      <c r="I14" s="1060"/>
      <c r="J14" s="1060">
        <f t="shared" si="0"/>
        <v>40794236</v>
      </c>
      <c r="K14" s="885"/>
      <c r="L14" s="1061">
        <v>40794236</v>
      </c>
      <c r="M14" s="885"/>
      <c r="N14" s="1058"/>
      <c r="O14" s="1062"/>
      <c r="P14" s="1062"/>
      <c r="Q14" s="1058"/>
      <c r="R14" s="1062"/>
      <c r="S14" s="1062"/>
      <c r="T14" s="885"/>
      <c r="U14" s="1062"/>
      <c r="V14" s="1062"/>
      <c r="W14" s="1062"/>
      <c r="Z14" s="885"/>
      <c r="AA14" s="885"/>
    </row>
    <row r="15" spans="1:27" ht="16.5" thickBot="1">
      <c r="A15" s="1055" t="s">
        <v>627</v>
      </c>
      <c r="B15" s="1065">
        <v>137.00000000465661</v>
      </c>
      <c r="C15" s="1066">
        <f>-SUM(C37,C57)</f>
        <v>-2745673.7382026445</v>
      </c>
      <c r="D15" s="1065">
        <f>-SUM(D37,D57)</f>
        <v>-5829155.9615574069</v>
      </c>
      <c r="E15" s="1065">
        <f>+-SUM(E37,E57,E8)</f>
        <v>-7756450</v>
      </c>
      <c r="F15" s="1065">
        <f>-3471890</f>
        <v>-3471890</v>
      </c>
      <c r="G15" s="1065">
        <f>1180200+1200</f>
        <v>1181400</v>
      </c>
      <c r="H15" s="1065">
        <v>2161000</v>
      </c>
      <c r="I15" s="1065">
        <v>129490</v>
      </c>
      <c r="J15" s="1065">
        <f t="shared" si="0"/>
        <v>-16331142.699760046</v>
      </c>
      <c r="K15" s="885"/>
      <c r="L15" s="1067">
        <v>-574.00000000093132</v>
      </c>
      <c r="M15" s="885"/>
      <c r="N15" s="1058"/>
      <c r="O15" s="1062"/>
      <c r="P15" s="1062"/>
      <c r="Q15" s="1058"/>
      <c r="R15" s="1062"/>
      <c r="S15" s="1062"/>
      <c r="T15" s="885"/>
      <c r="U15" s="1062"/>
      <c r="V15" s="1062"/>
      <c r="W15" s="1062"/>
      <c r="Z15" s="885"/>
      <c r="AA15" s="885"/>
    </row>
    <row r="16" spans="1:27">
      <c r="A16" s="1068"/>
      <c r="B16" s="1069"/>
      <c r="C16" s="1069"/>
      <c r="D16" s="1069"/>
      <c r="E16" s="1069"/>
      <c r="F16" s="1069"/>
      <c r="G16" s="1069"/>
      <c r="H16" s="1069"/>
      <c r="I16" s="1069"/>
      <c r="J16" s="1069"/>
      <c r="L16" s="1069"/>
      <c r="O16" s="1069"/>
      <c r="P16" s="1069"/>
      <c r="R16" s="1069"/>
      <c r="S16" s="1069"/>
      <c r="T16" s="885"/>
      <c r="U16" s="1069"/>
      <c r="V16" s="1069"/>
      <c r="W16" s="1069"/>
      <c r="Z16" s="885"/>
      <c r="AA16" s="885"/>
    </row>
    <row r="17" spans="1:27">
      <c r="A17" s="1070" t="s">
        <v>132</v>
      </c>
      <c r="B17" s="1071"/>
      <c r="C17" s="1071"/>
      <c r="D17" s="1071"/>
      <c r="E17" s="1071"/>
      <c r="F17" s="1071"/>
      <c r="G17" s="1071"/>
      <c r="H17" s="1071"/>
      <c r="I17" s="1071"/>
      <c r="J17" s="1071"/>
      <c r="L17" s="1071"/>
      <c r="O17" s="1071"/>
      <c r="P17" s="1071"/>
      <c r="R17" s="1071"/>
      <c r="S17" s="1071"/>
      <c r="T17" s="885"/>
      <c r="U17" s="1071"/>
      <c r="V17" s="1071"/>
      <c r="W17" s="1071"/>
      <c r="Z17" s="885"/>
      <c r="AA17" s="885"/>
    </row>
    <row r="18" spans="1:27">
      <c r="A18" s="1072" t="s">
        <v>134</v>
      </c>
      <c r="B18" s="1071"/>
      <c r="C18" s="1071"/>
      <c r="D18" s="1071"/>
      <c r="E18" s="1071"/>
      <c r="F18" s="1071"/>
      <c r="G18" s="1071"/>
      <c r="H18" s="1071"/>
      <c r="I18" s="1071"/>
      <c r="J18" s="1071"/>
      <c r="L18" s="1071"/>
      <c r="O18" s="1071"/>
      <c r="P18" s="1071"/>
      <c r="R18" s="1071"/>
      <c r="S18" s="1071"/>
      <c r="T18" s="885"/>
      <c r="U18" s="1071"/>
      <c r="V18" s="1071"/>
      <c r="W18" s="1071"/>
      <c r="Z18" s="885"/>
      <c r="AA18" s="885"/>
    </row>
    <row r="19" spans="1:27">
      <c r="A19" s="1055" t="s">
        <v>136</v>
      </c>
      <c r="B19" s="1059">
        <v>25209364</v>
      </c>
      <c r="C19" s="1059">
        <v>39927.685400000002</v>
      </c>
      <c r="D19" s="1059">
        <v>242288.34520000001</v>
      </c>
      <c r="E19" s="1059">
        <v>760378</v>
      </c>
      <c r="F19" s="1059">
        <v>173830</v>
      </c>
      <c r="G19" s="1059"/>
      <c r="H19" s="1059"/>
      <c r="I19" s="1059">
        <f t="shared" ref="I19:I36" si="1">-F19-G19-H19</f>
        <v>-173830</v>
      </c>
      <c r="J19" s="1062">
        <f t="shared" ref="J19:J36" si="2">SUM(B19:I19)</f>
        <v>26251958.0306</v>
      </c>
      <c r="K19" s="885"/>
      <c r="L19" s="970">
        <v>26428220</v>
      </c>
      <c r="M19" s="1073">
        <f>L19/J19-1</f>
        <v>6.7142408651783558E-3</v>
      </c>
      <c r="N19" s="1074"/>
      <c r="O19" s="1062"/>
      <c r="P19" s="1062">
        <f>+'TECH CHANGE-Grad Health'!J18</f>
        <v>97476</v>
      </c>
      <c r="Q19" s="1074"/>
      <c r="R19" s="1062"/>
      <c r="S19" s="1062">
        <f>+ROUND(-F19+P19,0)</f>
        <v>-76354</v>
      </c>
      <c r="U19" s="1062">
        <f>ROUND(('FINAL-Distributed E&amp;G Budget'!C18+'FINAL-Distributed E&amp;G Budget'!F18+'FINAL-Distributed E&amp;G Budget'!G18)*-0.074,-1)</f>
        <v>-271810</v>
      </c>
      <c r="V19" s="1062">
        <f>+'TECH CHANGE-Grad Health'!M18</f>
        <v>97476</v>
      </c>
      <c r="W19" s="1062">
        <f>ROUND(U19+V19,0)</f>
        <v>-174334</v>
      </c>
      <c r="Z19" s="885"/>
      <c r="AA19" s="885"/>
    </row>
    <row r="20" spans="1:27">
      <c r="A20" s="1075" t="s">
        <v>138</v>
      </c>
      <c r="B20" s="1076">
        <v>25971067</v>
      </c>
      <c r="C20" s="1076">
        <v>25006.123599999999</v>
      </c>
      <c r="D20" s="1076">
        <v>334703.98759999999</v>
      </c>
      <c r="E20" s="1076">
        <v>23778</v>
      </c>
      <c r="F20" s="1076">
        <v>55290</v>
      </c>
      <c r="G20" s="1076"/>
      <c r="H20" s="1076"/>
      <c r="I20" s="1076">
        <f t="shared" si="1"/>
        <v>-55290</v>
      </c>
      <c r="J20" s="1077">
        <f t="shared" si="2"/>
        <v>26354555.111199997</v>
      </c>
      <c r="L20" s="970">
        <v>26386228</v>
      </c>
      <c r="M20" s="1078">
        <f t="shared" ref="M20:M37" si="3">L20/J20-1</f>
        <v>1.2017994106279239E-3</v>
      </c>
      <c r="N20" s="1079"/>
      <c r="O20" s="1077"/>
      <c r="P20" s="1077">
        <f>+'TECH CHANGE-Grad Health'!J19</f>
        <v>-539049</v>
      </c>
      <c r="Q20" s="1079"/>
      <c r="R20" s="1077"/>
      <c r="S20" s="1077">
        <f>+ROUND(-F20+P20,0)</f>
        <v>-594339</v>
      </c>
      <c r="U20" s="1077">
        <f>ROUND(('FINAL-Distributed E&amp;G Budget'!C19+'FINAL-Distributed E&amp;G Budget'!F19+'FINAL-Distributed E&amp;G Budget'!G19)*-0.074,-1)</f>
        <v>-62990</v>
      </c>
      <c r="V20" s="1077">
        <f>+'TECH CHANGE-Grad Health'!M19</f>
        <v>-539049</v>
      </c>
      <c r="W20" s="1077">
        <f>ROUND(U20+V20,0)</f>
        <v>-602039</v>
      </c>
      <c r="Z20" s="885"/>
      <c r="AA20" s="885"/>
    </row>
    <row r="21" spans="1:27">
      <c r="A21" s="1068" t="s">
        <v>140</v>
      </c>
      <c r="B21" s="1076">
        <v>69355186</v>
      </c>
      <c r="C21" s="1076">
        <v>39390.120000000003</v>
      </c>
      <c r="D21" s="1076">
        <v>750679.65</v>
      </c>
      <c r="E21" s="1076">
        <v>2057170</v>
      </c>
      <c r="F21" s="1076">
        <v>643250</v>
      </c>
      <c r="G21" s="1076"/>
      <c r="H21" s="1076"/>
      <c r="I21" s="1076">
        <f t="shared" si="1"/>
        <v>-643250</v>
      </c>
      <c r="J21" s="1077">
        <f t="shared" si="2"/>
        <v>72202425.770000011</v>
      </c>
      <c r="L21" s="970">
        <v>72206296</v>
      </c>
      <c r="M21" s="1078">
        <f t="shared" si="3"/>
        <v>5.3602492696258608E-5</v>
      </c>
      <c r="N21" s="1079"/>
      <c r="O21" s="1077"/>
      <c r="P21" s="1077">
        <f>+'TECH CHANGE-Grad Health'!J20</f>
        <v>317730</v>
      </c>
      <c r="Q21" s="1079"/>
      <c r="R21" s="1077"/>
      <c r="S21" s="1077">
        <f>+ROUND(-F21+P21,0)</f>
        <v>-325520</v>
      </c>
      <c r="U21" s="1077">
        <f>ROUND(('FINAL-Distributed E&amp;G Budget'!C20+'FINAL-Distributed E&amp;G Budget'!F20+'FINAL-Distributed E&amp;G Budget'!G20)*-0.074,-1)</f>
        <v>-690710</v>
      </c>
      <c r="V21" s="1077">
        <f>+'TECH CHANGE-Grad Health'!M20</f>
        <v>317730</v>
      </c>
      <c r="W21" s="1077">
        <f>ROUND(U21+V21,0)</f>
        <v>-372980</v>
      </c>
      <c r="Z21" s="885"/>
      <c r="AA21" s="885"/>
    </row>
    <row r="22" spans="1:27">
      <c r="A22" s="1055" t="s">
        <v>141</v>
      </c>
      <c r="B22" s="1059">
        <v>8934104</v>
      </c>
      <c r="C22" s="1059">
        <v>8002.1592000000001</v>
      </c>
      <c r="D22" s="1059">
        <v>89925.303999999989</v>
      </c>
      <c r="E22" s="1059">
        <v>263739</v>
      </c>
      <c r="F22" s="1059">
        <v>235270</v>
      </c>
      <c r="G22" s="1059"/>
      <c r="H22" s="1059"/>
      <c r="I22" s="1059">
        <f t="shared" si="1"/>
        <v>-235270</v>
      </c>
      <c r="J22" s="1062">
        <f t="shared" si="2"/>
        <v>9295770.4631999992</v>
      </c>
      <c r="L22" s="970">
        <v>9270011</v>
      </c>
      <c r="M22" s="1080">
        <f t="shared" si="3"/>
        <v>-2.771095015951075E-3</v>
      </c>
      <c r="N22" s="1079"/>
      <c r="O22" s="1062"/>
      <c r="P22" s="1062">
        <f>+'TECH CHANGE-Grad Health'!J21</f>
        <v>44616.75</v>
      </c>
      <c r="Q22" s="1079"/>
      <c r="R22" s="1062"/>
      <c r="S22" s="1062">
        <f>+ROUND(-F22+P22,0)</f>
        <v>-190653</v>
      </c>
      <c r="T22" s="885"/>
      <c r="U22" s="1062">
        <f>ROUND(('FINAL-Distributed E&amp;G Budget'!C21+'FINAL-Distributed E&amp;G Budget'!F21+'FINAL-Distributed E&amp;G Budget'!G21)*-0.074,-1)</f>
        <v>-279850</v>
      </c>
      <c r="V22" s="1062">
        <f>+'TECH CHANGE-Grad Health'!M21</f>
        <v>44616.75</v>
      </c>
      <c r="W22" s="1062">
        <f>ROUND(U22+V22,0)</f>
        <v>-235233</v>
      </c>
      <c r="Z22" s="885"/>
      <c r="AA22" s="885"/>
    </row>
    <row r="23" spans="1:27">
      <c r="A23" s="1075" t="s">
        <v>142</v>
      </c>
      <c r="B23" s="1076">
        <v>19537975</v>
      </c>
      <c r="C23" s="1076">
        <v>14997.988600000001</v>
      </c>
      <c r="D23" s="1076">
        <v>274729.44209999999</v>
      </c>
      <c r="E23" s="1076">
        <v>552990</v>
      </c>
      <c r="F23" s="1076">
        <v>54870</v>
      </c>
      <c r="G23" s="1076"/>
      <c r="H23" s="1076">
        <v>-2161000</v>
      </c>
      <c r="I23" s="1076">
        <f t="shared" si="1"/>
        <v>2106130</v>
      </c>
      <c r="J23" s="1077">
        <f t="shared" si="2"/>
        <v>20380692.4307</v>
      </c>
      <c r="L23" s="970">
        <v>20358755</v>
      </c>
      <c r="M23" s="1078">
        <f t="shared" si="3"/>
        <v>-1.0763829921183188E-3</v>
      </c>
      <c r="N23" s="1079"/>
      <c r="O23" s="1077"/>
      <c r="P23" s="1087" t="s">
        <v>762</v>
      </c>
      <c r="Q23" s="1079"/>
      <c r="R23" s="1077"/>
      <c r="S23" s="1077">
        <f>+ROUND(-F23,0)</f>
        <v>-54870</v>
      </c>
      <c r="U23" s="1077">
        <f>ROUND(('FINAL-Distributed E&amp;G Budget'!C22+'FINAL-Distributed E&amp;G Budget'!F22+'FINAL-Distributed E&amp;G Budget'!G22)*-0.074,-1)</f>
        <v>-58960</v>
      </c>
      <c r="V23" s="1087" t="s">
        <v>762</v>
      </c>
      <c r="W23" s="1077">
        <f>ROUND(U23,0)</f>
        <v>-58960</v>
      </c>
      <c r="Z23" s="885"/>
      <c r="AA23" s="885"/>
    </row>
    <row r="24" spans="1:27">
      <c r="A24" s="1068" t="s">
        <v>143</v>
      </c>
      <c r="B24" s="1076">
        <v>6247020</v>
      </c>
      <c r="C24" s="1076">
        <v>3149.7809999999999</v>
      </c>
      <c r="D24" s="1076">
        <v>62544.268499999998</v>
      </c>
      <c r="E24" s="1076">
        <v>77321</v>
      </c>
      <c r="F24" s="1076">
        <v>11400</v>
      </c>
      <c r="G24" s="1076"/>
      <c r="H24" s="1076"/>
      <c r="I24" s="1076">
        <f t="shared" si="1"/>
        <v>-11400</v>
      </c>
      <c r="J24" s="1077">
        <f t="shared" si="2"/>
        <v>6390035.0495000007</v>
      </c>
      <c r="L24" s="970">
        <v>6385168</v>
      </c>
      <c r="M24" s="1078">
        <f t="shared" si="3"/>
        <v>-7.6166241065944718E-4</v>
      </c>
      <c r="N24" s="1079"/>
      <c r="O24" s="1077"/>
      <c r="P24" s="1077">
        <f>+'TECH CHANGE-Grad Health'!J23</f>
        <v>-36051.75</v>
      </c>
      <c r="Q24" s="1079"/>
      <c r="R24" s="1077"/>
      <c r="S24" s="1077">
        <f>+ROUND(-F24+P24,0)</f>
        <v>-47452</v>
      </c>
      <c r="U24" s="1077">
        <f>ROUND(('FINAL-Distributed E&amp;G Budget'!C23+'FINAL-Distributed E&amp;G Budget'!F23+'FINAL-Distributed E&amp;G Budget'!G23)*-0.074,-1)</f>
        <v>-30140</v>
      </c>
      <c r="V24" s="1077">
        <f>+'TECH CHANGE-Grad Health'!M23</f>
        <v>-36051.75</v>
      </c>
      <c r="W24" s="1077">
        <f>ROUND(U24+V24,0)</f>
        <v>-66192</v>
      </c>
      <c r="Z24" s="885"/>
      <c r="AA24" s="885"/>
    </row>
    <row r="25" spans="1:27">
      <c r="A25" s="1055" t="s">
        <v>144</v>
      </c>
      <c r="B25" s="1081">
        <v>46375456</v>
      </c>
      <c r="C25" s="1081">
        <v>22302.5344</v>
      </c>
      <c r="D25" s="1081">
        <v>487472.37139999995</v>
      </c>
      <c r="E25" s="1081">
        <v>1134752</v>
      </c>
      <c r="F25" s="1081">
        <v>87370</v>
      </c>
      <c r="G25" s="1081"/>
      <c r="H25" s="1081"/>
      <c r="I25" s="1081">
        <f t="shared" si="1"/>
        <v>-87370</v>
      </c>
      <c r="J25" s="1082">
        <f t="shared" si="2"/>
        <v>48019982.9058</v>
      </c>
      <c r="L25" s="970">
        <v>48073500</v>
      </c>
      <c r="M25" s="1083">
        <f t="shared" si="3"/>
        <v>1.1144754946077473E-3</v>
      </c>
      <c r="N25" s="1079"/>
      <c r="O25" s="1082"/>
      <c r="P25" s="1082">
        <f>+'TECH CHANGE-Grad Health'!J24</f>
        <v>-166356</v>
      </c>
      <c r="Q25" s="1079"/>
      <c r="R25" s="1082"/>
      <c r="S25" s="1082">
        <f>+ROUND(-F25+P25,0)</f>
        <v>-253726</v>
      </c>
      <c r="U25" s="1082">
        <f>ROUND(('FINAL-Distributed E&amp;G Budget'!C24+'FINAL-Distributed E&amp;G Budget'!F24+'FINAL-Distributed E&amp;G Budget'!G24)*-0.074,-1)</f>
        <v>-76690</v>
      </c>
      <c r="V25" s="1082">
        <f>+'TECH CHANGE-Grad Health'!M24</f>
        <v>-166356</v>
      </c>
      <c r="W25" s="1082">
        <f>ROUND(U25+V25,0)</f>
        <v>-243046</v>
      </c>
      <c r="Z25" s="885"/>
      <c r="AA25" s="885"/>
    </row>
    <row r="26" spans="1:27">
      <c r="A26" s="1068" t="s">
        <v>145</v>
      </c>
      <c r="B26" s="1076">
        <v>14850376</v>
      </c>
      <c r="C26" s="1076">
        <v>28099.252999999997</v>
      </c>
      <c r="D26" s="1076">
        <v>389854.53779999999</v>
      </c>
      <c r="E26" s="1076">
        <v>395271</v>
      </c>
      <c r="F26" s="1076">
        <v>50170</v>
      </c>
      <c r="G26" s="1076"/>
      <c r="H26" s="1076"/>
      <c r="I26" s="1076">
        <f t="shared" si="1"/>
        <v>-50170</v>
      </c>
      <c r="J26" s="1077">
        <f t="shared" si="2"/>
        <v>15663600.7908</v>
      </c>
      <c r="L26" s="970">
        <v>15709034</v>
      </c>
      <c r="M26" s="1078">
        <f t="shared" si="3"/>
        <v>2.9005596993181282E-3</v>
      </c>
      <c r="N26" s="1079"/>
      <c r="O26" s="1077"/>
      <c r="P26" s="1077">
        <f>+'TECH CHANGE-Grad Health'!J25</f>
        <v>41558.25</v>
      </c>
      <c r="Q26" s="1079"/>
      <c r="R26" s="1077"/>
      <c r="S26" s="1077">
        <f>+ROUND(-F26+P26,0)</f>
        <v>-8612</v>
      </c>
      <c r="U26" s="1077">
        <f>ROUND(('FINAL-Distributed E&amp;G Budget'!C25+'FINAL-Distributed E&amp;G Budget'!F25+'FINAL-Distributed E&amp;G Budget'!G25)*-0.074,-1)</f>
        <v>-72510</v>
      </c>
      <c r="V26" s="1077">
        <f>+'TECH CHANGE-Grad Health'!M25</f>
        <v>41558.25</v>
      </c>
      <c r="W26" s="1077">
        <f>ROUND(U26+V26,0)</f>
        <v>-30952</v>
      </c>
      <c r="Z26" s="885"/>
      <c r="AA26" s="885"/>
    </row>
    <row r="27" spans="1:27">
      <c r="A27" s="1068" t="s">
        <v>146</v>
      </c>
      <c r="B27" s="1084">
        <v>12285657</v>
      </c>
      <c r="C27" s="1084">
        <v>29258.567999999999</v>
      </c>
      <c r="D27" s="1084">
        <v>213114.63649999999</v>
      </c>
      <c r="E27" s="1084">
        <v>196510</v>
      </c>
      <c r="F27" s="1084">
        <v>178200</v>
      </c>
      <c r="G27" s="1084"/>
      <c r="H27" s="1084"/>
      <c r="I27" s="1084">
        <f t="shared" si="1"/>
        <v>-178200</v>
      </c>
      <c r="J27" s="1085">
        <f t="shared" si="2"/>
        <v>12724540.204499999</v>
      </c>
      <c r="L27" s="1086">
        <v>12654063</v>
      </c>
      <c r="M27" s="1079">
        <f t="shared" si="3"/>
        <v>-5.5386837848234727E-3</v>
      </c>
      <c r="N27" s="1079"/>
      <c r="O27" s="1085"/>
      <c r="P27" s="1085">
        <f>+'TECH CHANGE-Grad Health'!J26</f>
        <v>-975</v>
      </c>
      <c r="Q27" s="1079"/>
      <c r="R27" s="1085"/>
      <c r="S27" s="1087" t="s">
        <v>762</v>
      </c>
      <c r="U27" s="1087" t="s">
        <v>762</v>
      </c>
      <c r="V27" s="1087" t="s">
        <v>762</v>
      </c>
      <c r="W27" s="1087" t="s">
        <v>762</v>
      </c>
      <c r="Z27" s="885"/>
      <c r="AA27" s="885"/>
    </row>
    <row r="28" spans="1:27">
      <c r="A28" s="1055" t="s">
        <v>147</v>
      </c>
      <c r="B28" s="1059">
        <v>44134407</v>
      </c>
      <c r="C28" s="1059">
        <v>49517.277600000001</v>
      </c>
      <c r="D28" s="1059">
        <v>473511.22770000005</v>
      </c>
      <c r="E28" s="1059">
        <v>2046421</v>
      </c>
      <c r="F28" s="1059">
        <v>98140</v>
      </c>
      <c r="G28" s="1059"/>
      <c r="H28" s="1059"/>
      <c r="I28" s="1059">
        <f t="shared" si="1"/>
        <v>-98140</v>
      </c>
      <c r="J28" s="1062">
        <f t="shared" si="2"/>
        <v>46703856.5053</v>
      </c>
      <c r="L28" s="970">
        <v>46918310</v>
      </c>
      <c r="M28" s="1080">
        <f t="shared" si="3"/>
        <v>4.5917727302811073E-3</v>
      </c>
      <c r="N28" s="1079"/>
      <c r="O28" s="1062"/>
      <c r="P28" s="1062">
        <f>+'TECH CHANGE-Grad Health'!J27</f>
        <v>338243.25</v>
      </c>
      <c r="Q28" s="1079"/>
      <c r="R28" s="1062"/>
      <c r="S28" s="1062">
        <f>+ROUND(-F28+P28,0)</f>
        <v>240103</v>
      </c>
      <c r="U28" s="1062">
        <f>ROUND(('FINAL-Distributed E&amp;G Budget'!C27+'FINAL-Distributed E&amp;G Budget'!F27+'FINAL-Distributed E&amp;G Budget'!G27)*-0.074,-1)</f>
        <v>-92160</v>
      </c>
      <c r="V28" s="1062">
        <f>+'TECH CHANGE-Grad Health'!M27</f>
        <v>338243.25</v>
      </c>
      <c r="W28" s="1062">
        <f>ROUND(U28+V28,0)</f>
        <v>246083</v>
      </c>
      <c r="Z28" s="885"/>
      <c r="AA28" s="885"/>
    </row>
    <row r="29" spans="1:27">
      <c r="A29" s="1068" t="s">
        <v>148</v>
      </c>
      <c r="B29" s="1084">
        <v>27657427</v>
      </c>
      <c r="C29" s="1084">
        <v>162600.28080000001</v>
      </c>
      <c r="D29" s="1084">
        <v>192444.56280000001</v>
      </c>
      <c r="E29" s="1084">
        <v>171764</v>
      </c>
      <c r="F29" s="1084">
        <v>1143220</v>
      </c>
      <c r="G29" s="1084"/>
      <c r="H29" s="1084"/>
      <c r="I29" s="1084">
        <f t="shared" si="1"/>
        <v>-1143220</v>
      </c>
      <c r="J29" s="1085">
        <f t="shared" si="2"/>
        <v>28184235.843600001</v>
      </c>
      <c r="L29" s="1086">
        <v>28117448</v>
      </c>
      <c r="M29" s="1079">
        <f t="shared" si="3"/>
        <v>-2.3696879337308241E-3</v>
      </c>
      <c r="N29" s="1079"/>
      <c r="O29" s="1085"/>
      <c r="P29" s="1085">
        <f>+'TECH CHANGE-Grad Health'!J28</f>
        <v>11350.5</v>
      </c>
      <c r="Q29" s="1079"/>
      <c r="R29" s="1085"/>
      <c r="S29" s="1087" t="s">
        <v>762</v>
      </c>
      <c r="U29" s="1087" t="s">
        <v>762</v>
      </c>
      <c r="V29" s="1087" t="s">
        <v>762</v>
      </c>
      <c r="W29" s="1087" t="s">
        <v>762</v>
      </c>
      <c r="Z29" s="885"/>
      <c r="AA29" s="885"/>
    </row>
    <row r="30" spans="1:27">
      <c r="A30" s="1055" t="s">
        <v>801</v>
      </c>
      <c r="B30" s="1059">
        <v>3893225</v>
      </c>
      <c r="C30" s="1059">
        <v>7526.3504999999996</v>
      </c>
      <c r="D30" s="1059">
        <v>37921.190900000001</v>
      </c>
      <c r="E30" s="1059">
        <v>7926</v>
      </c>
      <c r="F30" s="1059">
        <v>11290</v>
      </c>
      <c r="G30" s="1059"/>
      <c r="H30" s="1059"/>
      <c r="I30" s="1059">
        <f t="shared" si="1"/>
        <v>-11290</v>
      </c>
      <c r="J30" s="1062">
        <f t="shared" si="2"/>
        <v>3946598.5414</v>
      </c>
      <c r="L30" s="970">
        <v>3937672</v>
      </c>
      <c r="M30" s="1080">
        <f t="shared" si="3"/>
        <v>-2.2618316269973349E-3</v>
      </c>
      <c r="N30" s="1079"/>
      <c r="O30" s="1062"/>
      <c r="P30" s="1062">
        <f>+'TECH CHANGE-Grad Health'!J29</f>
        <v>-49563</v>
      </c>
      <c r="Q30" s="1079"/>
      <c r="R30" s="1062"/>
      <c r="S30" s="1062">
        <f t="shared" ref="S30:S34" si="4">+ROUND(-F30+P30,0)</f>
        <v>-60853</v>
      </c>
      <c r="U30" s="1062">
        <f>ROUND(('FINAL-Distributed E&amp;G Budget'!C29+'FINAL-Distributed E&amp;G Budget'!F29+'FINAL-Distributed E&amp;G Budget'!G29)*-0.074,-1)</f>
        <v>-6120</v>
      </c>
      <c r="V30" s="1062">
        <f>+'TECH CHANGE-Grad Health'!M29</f>
        <v>-49563</v>
      </c>
      <c r="W30" s="1062">
        <f>ROUND(U30+V30,0)</f>
        <v>-55683</v>
      </c>
      <c r="Z30" s="885"/>
      <c r="AA30" s="885"/>
    </row>
    <row r="31" spans="1:27">
      <c r="A31" s="1075" t="s">
        <v>150</v>
      </c>
      <c r="B31" s="1084">
        <v>22949137</v>
      </c>
      <c r="C31" s="1084">
        <v>209995</v>
      </c>
      <c r="D31" s="1084">
        <v>196630</v>
      </c>
      <c r="E31" s="1084">
        <v>7632</v>
      </c>
      <c r="F31" s="1084">
        <v>0</v>
      </c>
      <c r="G31" s="1084"/>
      <c r="H31" s="1084"/>
      <c r="I31" s="1084">
        <f t="shared" si="1"/>
        <v>0</v>
      </c>
      <c r="J31" s="1085">
        <f t="shared" si="2"/>
        <v>23363394</v>
      </c>
      <c r="L31" s="1086">
        <v>23305422</v>
      </c>
      <c r="M31" s="1079">
        <f t="shared" si="3"/>
        <v>-2.4813175688429556E-3</v>
      </c>
      <c r="N31" s="1079"/>
      <c r="O31" s="1085"/>
      <c r="P31" s="1085"/>
      <c r="Q31" s="1079"/>
      <c r="R31" s="1085">
        <f>+C31+D31-G31+O31</f>
        <v>406625</v>
      </c>
      <c r="S31" s="1085">
        <f t="shared" si="4"/>
        <v>0</v>
      </c>
      <c r="U31" s="1085">
        <f>ROUND(('FINAL-Distributed E&amp;G Budget'!C30+'FINAL-Distributed E&amp;G Budget'!F30+'FINAL-Distributed E&amp;G Budget'!G30)*-0.074,-1)</f>
        <v>0</v>
      </c>
      <c r="V31" s="1085"/>
      <c r="W31" s="1085">
        <f t="shared" ref="W31:W56" si="5">ROUND(U31+V31,0)</f>
        <v>0</v>
      </c>
      <c r="Z31" s="885"/>
      <c r="AA31" s="885"/>
    </row>
    <row r="32" spans="1:27">
      <c r="A32" s="1068" t="s">
        <v>540</v>
      </c>
      <c r="B32" s="1076">
        <v>5118720</v>
      </c>
      <c r="C32" s="1076"/>
      <c r="D32" s="1076"/>
      <c r="E32" s="1076"/>
      <c r="F32" s="1076">
        <v>0</v>
      </c>
      <c r="G32" s="1076"/>
      <c r="H32" s="1076"/>
      <c r="I32" s="1076">
        <f t="shared" si="1"/>
        <v>0</v>
      </c>
      <c r="J32" s="1077">
        <f t="shared" si="2"/>
        <v>5118720</v>
      </c>
      <c r="L32" s="970">
        <v>5108400</v>
      </c>
      <c r="M32" s="1078">
        <f t="shared" si="3"/>
        <v>-2.0161290322581182E-3</v>
      </c>
      <c r="N32" s="1079"/>
      <c r="O32" s="1077"/>
      <c r="P32" s="1077"/>
      <c r="Q32" s="1079"/>
      <c r="R32" s="1077">
        <f>+C32+D32-G32+O32</f>
        <v>0</v>
      </c>
      <c r="S32" s="1077">
        <f t="shared" si="4"/>
        <v>0</v>
      </c>
      <c r="U32" s="1077">
        <f>ROUND(('FINAL-Distributed E&amp;G Budget'!C31+'FINAL-Distributed E&amp;G Budget'!F31+'FINAL-Distributed E&amp;G Budget'!G31)*-0.074,-1)</f>
        <v>0</v>
      </c>
      <c r="V32" s="1077"/>
      <c r="W32" s="1077">
        <f t="shared" si="5"/>
        <v>0</v>
      </c>
      <c r="Z32" s="885"/>
      <c r="AA32" s="885"/>
    </row>
    <row r="33" spans="1:27">
      <c r="A33" s="1088" t="s">
        <v>653</v>
      </c>
      <c r="B33" s="1081">
        <v>662775</v>
      </c>
      <c r="C33" s="1081">
        <v>15169</v>
      </c>
      <c r="D33" s="1081">
        <v>4065</v>
      </c>
      <c r="E33" s="1081"/>
      <c r="F33" s="1081">
        <v>0</v>
      </c>
      <c r="G33" s="1081"/>
      <c r="H33" s="1081"/>
      <c r="I33" s="1081">
        <f t="shared" si="1"/>
        <v>0</v>
      </c>
      <c r="J33" s="1082">
        <f t="shared" si="2"/>
        <v>682009</v>
      </c>
      <c r="L33" s="970">
        <v>680479</v>
      </c>
      <c r="M33" s="1083">
        <f t="shared" si="3"/>
        <v>-2.2433721549128816E-3</v>
      </c>
      <c r="N33" s="1079"/>
      <c r="O33" s="1082"/>
      <c r="P33" s="1082"/>
      <c r="Q33" s="1079"/>
      <c r="R33" s="1082">
        <f>+C33+D33-G33+O33</f>
        <v>19234</v>
      </c>
      <c r="S33" s="1082">
        <f t="shared" si="4"/>
        <v>0</v>
      </c>
      <c r="U33" s="1082">
        <f>ROUND(('FINAL-Distributed E&amp;G Budget'!C32+'FINAL-Distributed E&amp;G Budget'!F32+'FINAL-Distributed E&amp;G Budget'!G32)*-0.074,-1)</f>
        <v>0</v>
      </c>
      <c r="V33" s="1082"/>
      <c r="W33" s="1082">
        <f t="shared" si="5"/>
        <v>0</v>
      </c>
      <c r="Z33" s="885"/>
      <c r="AA33" s="885"/>
    </row>
    <row r="34" spans="1:27">
      <c r="A34" s="1089" t="s">
        <v>152</v>
      </c>
      <c r="B34" s="1084">
        <v>862940</v>
      </c>
      <c r="C34" s="1084">
        <v>1576.0810000000001</v>
      </c>
      <c r="D34" s="1084">
        <v>6276.0750000000007</v>
      </c>
      <c r="E34" s="1084">
        <v>51375</v>
      </c>
      <c r="F34" s="1084">
        <v>0</v>
      </c>
      <c r="G34" s="1084"/>
      <c r="H34" s="1084"/>
      <c r="I34" s="1084">
        <f t="shared" si="1"/>
        <v>0</v>
      </c>
      <c r="J34" s="1085">
        <f t="shared" si="2"/>
        <v>922167.15599999996</v>
      </c>
      <c r="L34" s="1086">
        <v>915550</v>
      </c>
      <c r="M34" s="1079">
        <f t="shared" si="3"/>
        <v>-7.1756578587146569E-3</v>
      </c>
      <c r="N34" s="1079"/>
      <c r="O34" s="1085"/>
      <c r="P34" s="1085"/>
      <c r="Q34" s="1079"/>
      <c r="R34" s="1087" t="s">
        <v>762</v>
      </c>
      <c r="S34" s="1085">
        <f t="shared" si="4"/>
        <v>0</v>
      </c>
      <c r="U34" s="1085">
        <f>ROUND(('FINAL-Distributed E&amp;G Budget'!C33+'FINAL-Distributed E&amp;G Budget'!F33+'FINAL-Distributed E&amp;G Budget'!G33)*-0.074,-1)</f>
        <v>0</v>
      </c>
      <c r="V34" s="1085"/>
      <c r="W34" s="1085">
        <f t="shared" si="5"/>
        <v>0</v>
      </c>
      <c r="Z34" s="885"/>
      <c r="AA34" s="885"/>
    </row>
    <row r="35" spans="1:27">
      <c r="A35" s="1068" t="s">
        <v>153</v>
      </c>
      <c r="B35" s="1076">
        <v>15015416</v>
      </c>
      <c r="C35" s="1076">
        <v>166031.342</v>
      </c>
      <c r="D35" s="1076">
        <v>137723.19500000001</v>
      </c>
      <c r="E35" s="1076"/>
      <c r="F35" s="1076">
        <v>13220</v>
      </c>
      <c r="G35" s="1076">
        <v>-1200</v>
      </c>
      <c r="H35" s="1076"/>
      <c r="I35" s="1076">
        <f t="shared" si="1"/>
        <v>-12020</v>
      </c>
      <c r="J35" s="1077">
        <f t="shared" si="2"/>
        <v>15319170.537</v>
      </c>
      <c r="L35" s="970">
        <v>15285731</v>
      </c>
      <c r="M35" s="1078">
        <f t="shared" si="3"/>
        <v>-2.1828555873332212E-3</v>
      </c>
      <c r="N35" s="1079"/>
      <c r="O35" s="1077"/>
      <c r="P35" s="1077"/>
      <c r="Q35" s="1079"/>
      <c r="R35" s="1077">
        <f>+C35+D35-G35+O35</f>
        <v>304954.53700000001</v>
      </c>
      <c r="S35" s="1077">
        <f>+ROUND(-F35+P35,0)</f>
        <v>-13220</v>
      </c>
      <c r="U35" s="1077">
        <f>ROUND(('FINAL-Distributed E&amp;G Budget'!C34+'FINAL-Distributed E&amp;G Budget'!F34+'FINAL-Distributed E&amp;G Budget'!G34)*-0.074,-1)</f>
        <v>-14370</v>
      </c>
      <c r="V35" s="1077"/>
      <c r="W35" s="1077">
        <f t="shared" si="5"/>
        <v>-14370</v>
      </c>
      <c r="Z35" s="885"/>
      <c r="AA35" s="885"/>
    </row>
    <row r="36" spans="1:27">
      <c r="A36" s="1090" t="s">
        <v>361</v>
      </c>
      <c r="B36" s="1081">
        <v>11706004</v>
      </c>
      <c r="C36" s="1081">
        <v>68071.544500000004</v>
      </c>
      <c r="D36" s="1081">
        <v>163162.77850000001</v>
      </c>
      <c r="E36" s="1081">
        <v>3302</v>
      </c>
      <c r="F36" s="1081">
        <v>164150</v>
      </c>
      <c r="G36" s="1081"/>
      <c r="H36" s="1081"/>
      <c r="I36" s="1081">
        <f t="shared" si="1"/>
        <v>-164150</v>
      </c>
      <c r="J36" s="1082">
        <f t="shared" si="2"/>
        <v>11940540.323000001</v>
      </c>
      <c r="L36" s="970">
        <v>11916084</v>
      </c>
      <c r="M36" s="1083">
        <f t="shared" si="3"/>
        <v>-2.0481755714933936E-3</v>
      </c>
      <c r="N36" s="1079"/>
      <c r="O36" s="1082"/>
      <c r="P36" s="1082"/>
      <c r="Q36" s="1079"/>
      <c r="R36" s="1087" t="s">
        <v>762</v>
      </c>
      <c r="S36" s="1082">
        <f>+ROUND(-F36+P36,0)</f>
        <v>-164150</v>
      </c>
      <c r="U36" s="1082">
        <f>ROUND(('FINAL-Distributed E&amp;G Budget'!C35+'FINAL-Distributed E&amp;G Budget'!F35+'FINAL-Distributed E&amp;G Budget'!G35)*-0.074,-1)</f>
        <v>-186450</v>
      </c>
      <c r="V36" s="1082"/>
      <c r="W36" s="1082">
        <f t="shared" si="5"/>
        <v>-186450</v>
      </c>
      <c r="Z36" s="885"/>
      <c r="AA36" s="885"/>
    </row>
    <row r="37" spans="1:27">
      <c r="A37" s="1091" t="s">
        <v>155</v>
      </c>
      <c r="B37" s="1092">
        <v>360766256</v>
      </c>
      <c r="C37" s="1092">
        <f>SUM(C19:C36)</f>
        <v>890621.08959999995</v>
      </c>
      <c r="D37" s="1092">
        <f>SUM(D19:D36)</f>
        <v>4057046.5729999999</v>
      </c>
      <c r="E37" s="1092">
        <f>SUM(E19:E36)</f>
        <v>7750329</v>
      </c>
      <c r="F37" s="1092">
        <f t="shared" ref="F37:I37" si="6">SUM(F19:F36)</f>
        <v>2919670</v>
      </c>
      <c r="G37" s="1092">
        <f t="shared" si="6"/>
        <v>-1200</v>
      </c>
      <c r="H37" s="1092">
        <f t="shared" si="6"/>
        <v>-2161000</v>
      </c>
      <c r="I37" s="1092">
        <f t="shared" si="6"/>
        <v>-757470</v>
      </c>
      <c r="J37" s="1093">
        <f>SUM(J19:J36)</f>
        <v>373464252.66259998</v>
      </c>
      <c r="L37" s="1094">
        <v>373656371</v>
      </c>
      <c r="M37" s="1095">
        <f t="shared" si="3"/>
        <v>5.1442229351361668E-4</v>
      </c>
      <c r="N37" s="1096"/>
      <c r="O37" s="1093"/>
      <c r="P37" s="1093"/>
      <c r="Q37" s="1096"/>
      <c r="R37" s="1093">
        <f>SUM(R18:R36)</f>
        <v>730813.53700000001</v>
      </c>
      <c r="S37" s="1093">
        <f>SUM(S18:S36)</f>
        <v>-1549646</v>
      </c>
      <c r="U37" s="1093">
        <f>SUM(U19:U36)</f>
        <v>-1842760</v>
      </c>
      <c r="V37" s="1093">
        <f>SUM(V19:V36)</f>
        <v>48604.5</v>
      </c>
      <c r="W37" s="1093">
        <f t="shared" ref="W37" si="7">SUM(W19:W36)</f>
        <v>-1794156</v>
      </c>
      <c r="Z37" s="885"/>
      <c r="AA37" s="885"/>
    </row>
    <row r="38" spans="1:27">
      <c r="A38" s="1068"/>
      <c r="B38" s="1097"/>
      <c r="C38" s="1097"/>
      <c r="D38" s="1097"/>
      <c r="E38" s="1097"/>
      <c r="F38" s="1097"/>
      <c r="G38" s="1097"/>
      <c r="H38" s="1097"/>
      <c r="I38" s="1097"/>
      <c r="J38" s="1098"/>
      <c r="L38" s="1098"/>
      <c r="M38" s="1098"/>
      <c r="N38" s="1099"/>
      <c r="O38" s="1098"/>
      <c r="P38" s="1098"/>
      <c r="Q38" s="1099"/>
      <c r="R38" s="1098"/>
      <c r="S38" s="1098"/>
      <c r="U38" s="1098"/>
      <c r="V38" s="1098"/>
      <c r="W38" s="1098">
        <f t="shared" si="5"/>
        <v>0</v>
      </c>
      <c r="Z38" s="885"/>
      <c r="AA38" s="885"/>
    </row>
    <row r="39" spans="1:27">
      <c r="A39" s="1068"/>
      <c r="B39" s="1100"/>
      <c r="C39" s="1101"/>
      <c r="D39" s="1101"/>
      <c r="E39" s="1100"/>
      <c r="F39" s="1100"/>
      <c r="G39" s="1100"/>
      <c r="H39" s="1100"/>
      <c r="I39" s="1100"/>
      <c r="J39" s="1102"/>
      <c r="L39" s="1102"/>
      <c r="M39" s="1102"/>
      <c r="N39" s="1099"/>
      <c r="O39" s="1102"/>
      <c r="P39" s="1102"/>
      <c r="Q39" s="1099"/>
      <c r="R39" s="1102"/>
      <c r="S39" s="1102"/>
      <c r="U39" s="1102"/>
      <c r="V39" s="1102"/>
      <c r="W39" s="1102">
        <f t="shared" si="5"/>
        <v>0</v>
      </c>
      <c r="Z39" s="885"/>
      <c r="AA39" s="885"/>
    </row>
    <row r="40" spans="1:27">
      <c r="A40" s="1075" t="s">
        <v>156</v>
      </c>
      <c r="B40" s="1084"/>
      <c r="C40" s="1084"/>
      <c r="D40" s="1084"/>
      <c r="E40" s="1084"/>
      <c r="F40" s="1084"/>
      <c r="G40" s="1084"/>
      <c r="H40" s="1084"/>
      <c r="I40" s="1084"/>
      <c r="J40" s="1085"/>
      <c r="L40" s="1085"/>
      <c r="M40" s="1085"/>
      <c r="N40" s="1085"/>
      <c r="O40" s="1085"/>
      <c r="P40" s="1085"/>
      <c r="Q40" s="1085"/>
      <c r="R40" s="1085"/>
      <c r="S40" s="1085">
        <f t="shared" ref="S40:S56" si="8">+ROUND(-F40+P40,0)</f>
        <v>0</v>
      </c>
      <c r="U40" s="1085">
        <f>ROUND(('FINAL-Distributed E&amp;G Budget'!C39+'FINAL-Distributed E&amp;G Budget'!F39+'FINAL-Distributed E&amp;G Budget'!G39)*-0.074,-1)</f>
        <v>0</v>
      </c>
      <c r="V40" s="1085"/>
      <c r="W40" s="1085">
        <f t="shared" si="5"/>
        <v>0</v>
      </c>
      <c r="Z40" s="885"/>
      <c r="AA40" s="885"/>
    </row>
    <row r="41" spans="1:27">
      <c r="A41" s="1055" t="s">
        <v>586</v>
      </c>
      <c r="B41" s="1059">
        <v>9703838</v>
      </c>
      <c r="C41" s="1059">
        <v>4923</v>
      </c>
      <c r="D41" s="1059">
        <v>157506</v>
      </c>
      <c r="E41" s="1059"/>
      <c r="F41" s="1059">
        <v>0</v>
      </c>
      <c r="G41" s="1059"/>
      <c r="H41" s="1059"/>
      <c r="I41" s="1059">
        <f t="shared" ref="I41:I56" si="9">-F41-G41-H41</f>
        <v>0</v>
      </c>
      <c r="J41" s="1062">
        <f t="shared" ref="J41:J56" si="10">SUM(B41:I41)</f>
        <v>9866267</v>
      </c>
      <c r="L41" s="970">
        <v>9845077</v>
      </c>
      <c r="M41" s="1080">
        <f>L41/J41-1</f>
        <v>-2.147722132393115E-3</v>
      </c>
      <c r="N41" s="1079"/>
      <c r="O41" s="1062"/>
      <c r="P41" s="1062"/>
      <c r="Q41" s="1079"/>
      <c r="R41" s="1062">
        <f>+C41+D41-G41+O41</f>
        <v>162429</v>
      </c>
      <c r="S41" s="1062">
        <f t="shared" si="8"/>
        <v>0</v>
      </c>
      <c r="U41" s="1062">
        <f>ROUND(('FINAL-Distributed E&amp;G Budget'!C40+'FINAL-Distributed E&amp;G Budget'!F40+'FINAL-Distributed E&amp;G Budget'!G40)*-0.074,-1)</f>
        <v>0</v>
      </c>
      <c r="V41" s="1062"/>
      <c r="W41" s="1062">
        <f t="shared" si="5"/>
        <v>0</v>
      </c>
      <c r="Z41" s="885"/>
      <c r="AA41" s="885"/>
    </row>
    <row r="42" spans="1:27">
      <c r="A42" s="1089" t="s">
        <v>158</v>
      </c>
      <c r="B42" s="1084">
        <v>7936500</v>
      </c>
      <c r="C42" s="1084"/>
      <c r="D42" s="1084"/>
      <c r="E42" s="1084"/>
      <c r="F42" s="1084">
        <v>0</v>
      </c>
      <c r="G42" s="1084">
        <v>-500</v>
      </c>
      <c r="H42" s="1084"/>
      <c r="I42" s="1084">
        <f t="shared" si="9"/>
        <v>500</v>
      </c>
      <c r="J42" s="1085">
        <f t="shared" si="10"/>
        <v>7936500</v>
      </c>
      <c r="L42" s="1086">
        <v>7920000</v>
      </c>
      <c r="M42" s="1079">
        <f t="shared" ref="M42:M58" si="11">L42/J42-1</f>
        <v>-2.0790020790020236E-3</v>
      </c>
      <c r="N42" s="1079"/>
      <c r="O42" s="1085"/>
      <c r="P42" s="1085"/>
      <c r="Q42" s="1079"/>
      <c r="R42" s="1087" t="s">
        <v>762</v>
      </c>
      <c r="S42" s="1085">
        <f t="shared" si="8"/>
        <v>0</v>
      </c>
      <c r="U42" s="1085">
        <f>ROUND(('FINAL-Distributed E&amp;G Budget'!C41+'FINAL-Distributed E&amp;G Budget'!F41+'FINAL-Distributed E&amp;G Budget'!G41)*-0.074,-1)</f>
        <v>0</v>
      </c>
      <c r="V42" s="1085"/>
      <c r="W42" s="1085">
        <f>ROUND(U42+V42,0)</f>
        <v>0</v>
      </c>
      <c r="Z42" s="885"/>
      <c r="AA42" s="885"/>
    </row>
    <row r="43" spans="1:27">
      <c r="A43" s="1068" t="s">
        <v>159</v>
      </c>
      <c r="B43" s="1084">
        <v>4118163</v>
      </c>
      <c r="C43" s="1084">
        <v>56097.822602644861</v>
      </c>
      <c r="D43" s="1084">
        <v>75516.299657406547</v>
      </c>
      <c r="E43" s="1084"/>
      <c r="F43" s="1084">
        <v>510</v>
      </c>
      <c r="G43" s="1084"/>
      <c r="H43" s="1084"/>
      <c r="I43" s="1084">
        <f t="shared" si="9"/>
        <v>-510</v>
      </c>
      <c r="J43" s="1085">
        <f t="shared" si="10"/>
        <v>4249777.1222600518</v>
      </c>
      <c r="L43" s="1086">
        <v>4240157</v>
      </c>
      <c r="M43" s="1079">
        <f t="shared" si="11"/>
        <v>-2.2636768901743709E-3</v>
      </c>
      <c r="N43" s="1079"/>
      <c r="O43" s="1085"/>
      <c r="P43" s="1085"/>
      <c r="Q43" s="1079"/>
      <c r="R43" s="1085">
        <f t="shared" ref="R43:R56" si="12">+C43+D43-G43+O43</f>
        <v>131614.1222600514</v>
      </c>
      <c r="S43" s="1085">
        <f t="shared" si="8"/>
        <v>-510</v>
      </c>
      <c r="U43" s="1085">
        <f>ROUND(('FINAL-Distributed E&amp;G Budget'!C42+'FINAL-Distributed E&amp;G Budget'!F42+'FINAL-Distributed E&amp;G Budget'!G42)*-0.074,-1)</f>
        <v>-570</v>
      </c>
      <c r="V43" s="1085"/>
      <c r="W43" s="1085">
        <f t="shared" si="5"/>
        <v>-570</v>
      </c>
      <c r="Z43" s="885"/>
      <c r="AA43" s="885"/>
    </row>
    <row r="44" spans="1:27">
      <c r="A44" s="1075" t="s">
        <v>160</v>
      </c>
      <c r="B44" s="1084">
        <v>1192166</v>
      </c>
      <c r="C44" s="1084">
        <v>0</v>
      </c>
      <c r="D44" s="1084">
        <v>21907</v>
      </c>
      <c r="E44" s="1084"/>
      <c r="F44" s="1084">
        <v>0</v>
      </c>
      <c r="G44" s="1084"/>
      <c r="H44" s="1084"/>
      <c r="I44" s="1084">
        <f t="shared" si="9"/>
        <v>0</v>
      </c>
      <c r="J44" s="1085">
        <f t="shared" si="10"/>
        <v>1214073</v>
      </c>
      <c r="L44" s="1086">
        <v>1211443</v>
      </c>
      <c r="M44" s="1079">
        <f t="shared" si="11"/>
        <v>-2.1662618310430704E-3</v>
      </c>
      <c r="N44" s="1079"/>
      <c r="O44" s="1085"/>
      <c r="P44" s="1085"/>
      <c r="Q44" s="1079"/>
      <c r="R44" s="1085">
        <f t="shared" si="12"/>
        <v>21907</v>
      </c>
      <c r="S44" s="1085">
        <f t="shared" si="8"/>
        <v>0</v>
      </c>
      <c r="U44" s="1085">
        <f>ROUND(('FINAL-Distributed E&amp;G Budget'!C43+'FINAL-Distributed E&amp;G Budget'!F43+'FINAL-Distributed E&amp;G Budget'!G43)*-0.074,-1)</f>
        <v>0</v>
      </c>
      <c r="V44" s="1085"/>
      <c r="W44" s="1085">
        <f t="shared" si="5"/>
        <v>0</v>
      </c>
      <c r="Z44" s="885"/>
      <c r="AA44" s="885"/>
    </row>
    <row r="45" spans="1:27">
      <c r="A45" s="1055" t="s">
        <v>161</v>
      </c>
      <c r="B45" s="1059">
        <v>1726379</v>
      </c>
      <c r="C45" s="1059">
        <v>11087</v>
      </c>
      <c r="D45" s="1059">
        <v>36368</v>
      </c>
      <c r="E45" s="1059"/>
      <c r="F45" s="1059">
        <v>0</v>
      </c>
      <c r="G45" s="1059"/>
      <c r="H45" s="1059"/>
      <c r="I45" s="1059">
        <f t="shared" si="9"/>
        <v>0</v>
      </c>
      <c r="J45" s="1062">
        <f t="shared" si="10"/>
        <v>1773834</v>
      </c>
      <c r="L45" s="970">
        <v>1769874</v>
      </c>
      <c r="M45" s="1080">
        <f t="shared" si="11"/>
        <v>-2.2324524166297266E-3</v>
      </c>
      <c r="N45" s="1079"/>
      <c r="O45" s="1062"/>
      <c r="P45" s="1062"/>
      <c r="Q45" s="1079"/>
      <c r="R45" s="1062">
        <f t="shared" si="12"/>
        <v>47455</v>
      </c>
      <c r="S45" s="1062">
        <f t="shared" si="8"/>
        <v>0</v>
      </c>
      <c r="U45" s="1062">
        <f>ROUND(('FINAL-Distributed E&amp;G Budget'!C44+'FINAL-Distributed E&amp;G Budget'!F44+'FINAL-Distributed E&amp;G Budget'!G44)*-0.074,-1)</f>
        <v>0</v>
      </c>
      <c r="V45" s="1062"/>
      <c r="W45" s="1062">
        <f t="shared" si="5"/>
        <v>0</v>
      </c>
      <c r="Z45" s="885"/>
      <c r="AA45" s="885"/>
    </row>
    <row r="46" spans="1:27">
      <c r="A46" s="1075" t="s">
        <v>632</v>
      </c>
      <c r="B46" s="1076">
        <v>758532</v>
      </c>
      <c r="C46" s="1076"/>
      <c r="D46" s="1076">
        <v>21549.627</v>
      </c>
      <c r="E46" s="1076"/>
      <c r="F46" s="1076">
        <v>90</v>
      </c>
      <c r="G46" s="1076">
        <v>-2300</v>
      </c>
      <c r="H46" s="1076"/>
      <c r="I46" s="1076">
        <f t="shared" si="9"/>
        <v>2210</v>
      </c>
      <c r="J46" s="1077">
        <f t="shared" si="10"/>
        <v>780081.62699999998</v>
      </c>
      <c r="L46" s="970">
        <v>778342</v>
      </c>
      <c r="M46" s="1078">
        <f t="shared" si="11"/>
        <v>-2.2300576501078639E-3</v>
      </c>
      <c r="N46" s="1079"/>
      <c r="O46" s="1077"/>
      <c r="P46" s="1077"/>
      <c r="Q46" s="1079"/>
      <c r="R46" s="1077">
        <f t="shared" si="12"/>
        <v>23849.627</v>
      </c>
      <c r="S46" s="1077">
        <f t="shared" si="8"/>
        <v>-90</v>
      </c>
      <c r="U46" s="1077">
        <f>ROUND(('FINAL-Distributed E&amp;G Budget'!C45+'FINAL-Distributed E&amp;G Budget'!F45+'FINAL-Distributed E&amp;G Budget'!G45)*-0.074,-1)</f>
        <v>-480</v>
      </c>
      <c r="V46" s="1077"/>
      <c r="W46" s="1077">
        <f t="shared" si="5"/>
        <v>-480</v>
      </c>
      <c r="Z46" s="885"/>
      <c r="AA46" s="885"/>
    </row>
    <row r="47" spans="1:27">
      <c r="A47" s="1068" t="s">
        <v>162</v>
      </c>
      <c r="B47" s="1084">
        <v>13104324</v>
      </c>
      <c r="C47" s="1084">
        <v>102471.3573</v>
      </c>
      <c r="D47" s="1084">
        <v>121242.8542</v>
      </c>
      <c r="E47" s="1084"/>
      <c r="F47" s="1084">
        <v>248130</v>
      </c>
      <c r="G47" s="1084">
        <v>-22600</v>
      </c>
      <c r="H47" s="1084"/>
      <c r="I47" s="1084">
        <f t="shared" si="9"/>
        <v>-225530</v>
      </c>
      <c r="J47" s="1085">
        <f t="shared" si="10"/>
        <v>13328038.2115</v>
      </c>
      <c r="L47" s="1086">
        <v>13296898</v>
      </c>
      <c r="M47" s="1079">
        <f t="shared" si="11"/>
        <v>-2.3364437440711594E-3</v>
      </c>
      <c r="N47" s="1079"/>
      <c r="O47" s="1085"/>
      <c r="P47" s="1085"/>
      <c r="Q47" s="1079"/>
      <c r="R47" s="1085">
        <f>+C47+D47-G47+O47</f>
        <v>246314.2115</v>
      </c>
      <c r="S47" s="1085">
        <f t="shared" si="8"/>
        <v>-248130</v>
      </c>
      <c r="U47" s="1085">
        <f>ROUND(('FINAL-Distributed E&amp;G Budget'!C46+'FINAL-Distributed E&amp;G Budget'!F46+'FINAL-Distributed E&amp;G Budget'!G46)*-0.074,-1)</f>
        <v>-209320</v>
      </c>
      <c r="V47" s="1085"/>
      <c r="W47" s="1085">
        <f t="shared" si="5"/>
        <v>-209320</v>
      </c>
      <c r="Z47" s="885"/>
      <c r="AA47" s="885"/>
    </row>
    <row r="48" spans="1:27">
      <c r="A48" s="1103" t="s">
        <v>697</v>
      </c>
      <c r="B48" s="1084">
        <v>4726477.6500000004</v>
      </c>
      <c r="C48" s="1084">
        <v>9800</v>
      </c>
      <c r="D48" s="1084">
        <v>44290</v>
      </c>
      <c r="E48" s="1084">
        <v>397</v>
      </c>
      <c r="F48" s="1084">
        <v>70670</v>
      </c>
      <c r="G48" s="1084">
        <v>-391800</v>
      </c>
      <c r="H48" s="1084"/>
      <c r="I48" s="1084">
        <f t="shared" si="9"/>
        <v>321130</v>
      </c>
      <c r="J48" s="1085">
        <f t="shared" si="10"/>
        <v>4780964.6500000004</v>
      </c>
      <c r="L48" s="1086">
        <v>4769797.6500000004</v>
      </c>
      <c r="M48" s="1079">
        <f t="shared" si="11"/>
        <v>-2.3357210976241438E-3</v>
      </c>
      <c r="N48" s="1079"/>
      <c r="O48" s="1085"/>
      <c r="P48" s="1085"/>
      <c r="Q48" s="1079"/>
      <c r="R48" s="1085">
        <f t="shared" si="12"/>
        <v>445890</v>
      </c>
      <c r="S48" s="1085">
        <f t="shared" si="8"/>
        <v>-70670</v>
      </c>
      <c r="U48" s="1085">
        <f>ROUND(('FINAL-Distributed E&amp;G Budget'!C47+'FINAL-Distributed E&amp;G Budget'!F47+'FINAL-Distributed E&amp;G Budget'!G47)*-0.074,-1)</f>
        <v>-187020</v>
      </c>
      <c r="V48" s="1085"/>
      <c r="W48" s="1085">
        <f t="shared" si="5"/>
        <v>-187020</v>
      </c>
      <c r="Z48" s="885"/>
      <c r="AA48" s="885"/>
    </row>
    <row r="49" spans="1:27">
      <c r="A49" s="1068" t="s">
        <v>163</v>
      </c>
      <c r="B49" s="1084">
        <v>1333131</v>
      </c>
      <c r="C49" s="1084"/>
      <c r="D49" s="1084">
        <v>6243</v>
      </c>
      <c r="E49" s="1084"/>
      <c r="F49" s="1084">
        <v>0</v>
      </c>
      <c r="G49" s="1084">
        <v>-1200</v>
      </c>
      <c r="H49" s="1084"/>
      <c r="I49" s="1084">
        <f t="shared" si="9"/>
        <v>1200</v>
      </c>
      <c r="J49" s="1085">
        <f t="shared" si="10"/>
        <v>1339374</v>
      </c>
      <c r="L49" s="1086">
        <v>1336624</v>
      </c>
      <c r="M49" s="1079">
        <f t="shared" si="11"/>
        <v>-2.0531979865220373E-3</v>
      </c>
      <c r="N49" s="1079"/>
      <c r="O49" s="1085">
        <v>656840</v>
      </c>
      <c r="P49" s="1085"/>
      <c r="Q49" s="1079"/>
      <c r="R49" s="1085">
        <f>+C49+D49-G49+O49</f>
        <v>664283</v>
      </c>
      <c r="S49" s="1085">
        <f t="shared" si="8"/>
        <v>0</v>
      </c>
      <c r="U49" s="1085">
        <f>ROUND(('FINAL-Distributed E&amp;G Budget'!C48+'FINAL-Distributed E&amp;G Budget'!F48+'FINAL-Distributed E&amp;G Budget'!G48)*-0.074,-1)</f>
        <v>0</v>
      </c>
      <c r="V49" s="1085"/>
      <c r="W49" s="1085">
        <f t="shared" si="5"/>
        <v>0</v>
      </c>
      <c r="Z49" s="885"/>
      <c r="AA49" s="885"/>
    </row>
    <row r="50" spans="1:27">
      <c r="A50" s="1104" t="s">
        <v>698</v>
      </c>
      <c r="B50" s="1059">
        <v>26505267</v>
      </c>
      <c r="C50" s="1059">
        <v>347614.80119999999</v>
      </c>
      <c r="D50" s="1059">
        <v>226548.63390000002</v>
      </c>
      <c r="E50" s="1059">
        <v>5724</v>
      </c>
      <c r="F50" s="1059">
        <v>9080</v>
      </c>
      <c r="G50" s="1059"/>
      <c r="H50" s="1059"/>
      <c r="I50" s="1059">
        <f t="shared" si="9"/>
        <v>-9080</v>
      </c>
      <c r="J50" s="1062">
        <f t="shared" si="10"/>
        <v>27085154.4351</v>
      </c>
      <c r="L50" s="970">
        <v>27020160</v>
      </c>
      <c r="M50" s="1080">
        <f>L50/J50-1</f>
        <v>-2.3996331738014298E-3</v>
      </c>
      <c r="N50" s="1079"/>
      <c r="O50" s="1062">
        <v>1032180</v>
      </c>
      <c r="P50" s="1062"/>
      <c r="Q50" s="1079"/>
      <c r="R50" s="1062">
        <f>+C50+D50-G50+O50</f>
        <v>1606343.4350999999</v>
      </c>
      <c r="S50" s="1062">
        <f>+ROUND(-F50+P50,0)</f>
        <v>-9080</v>
      </c>
      <c r="U50" s="1062">
        <f>ROUND(('FINAL-Distributed E&amp;G Budget'!C49+'FINAL-Distributed E&amp;G Budget'!F49+'FINAL-Distributed E&amp;G Budget'!G49)*-0.074,-1)</f>
        <v>-1290</v>
      </c>
      <c r="V50" s="1062"/>
      <c r="W50" s="1062">
        <f t="shared" si="5"/>
        <v>-1290</v>
      </c>
      <c r="Z50" s="885"/>
      <c r="AA50" s="885"/>
    </row>
    <row r="51" spans="1:27">
      <c r="A51" s="1068" t="s">
        <v>362</v>
      </c>
      <c r="B51" s="1084">
        <v>4529766.9000000004</v>
      </c>
      <c r="C51" s="1084">
        <v>32809.748399999997</v>
      </c>
      <c r="D51" s="1084">
        <v>39389.360399999998</v>
      </c>
      <c r="E51" s="1084"/>
      <c r="F51" s="1084">
        <v>74000</v>
      </c>
      <c r="G51" s="1084"/>
      <c r="H51" s="1084"/>
      <c r="I51" s="1084">
        <f t="shared" si="9"/>
        <v>-74000</v>
      </c>
      <c r="J51" s="1085">
        <f t="shared" si="10"/>
        <v>4601966.0088</v>
      </c>
      <c r="L51" s="1086">
        <v>4591375.9000000004</v>
      </c>
      <c r="M51" s="1079">
        <f t="shared" si="11"/>
        <v>-2.3012140419440552E-3</v>
      </c>
      <c r="N51" s="1079"/>
      <c r="O51" s="1085">
        <v>234590</v>
      </c>
      <c r="P51" s="1085"/>
      <c r="Q51" s="1079"/>
      <c r="R51" s="1085">
        <f t="shared" si="12"/>
        <v>306789.10879999999</v>
      </c>
      <c r="S51" s="1085">
        <f t="shared" si="8"/>
        <v>-74000</v>
      </c>
      <c r="U51" s="1085">
        <f>ROUND(('FINAL-Distributed E&amp;G Budget'!C50+'FINAL-Distributed E&amp;G Budget'!F50+'FINAL-Distributed E&amp;G Budget'!G50)*-0.074,-1)</f>
        <v>-77860</v>
      </c>
      <c r="V51" s="1085"/>
      <c r="W51" s="1085">
        <f t="shared" si="5"/>
        <v>-77860</v>
      </c>
      <c r="Z51" s="885"/>
      <c r="AA51" s="885"/>
    </row>
    <row r="52" spans="1:27">
      <c r="A52" s="1075" t="s">
        <v>699</v>
      </c>
      <c r="B52" s="1084">
        <v>746500</v>
      </c>
      <c r="C52" s="1084"/>
      <c r="D52" s="1084"/>
      <c r="E52" s="1084"/>
      <c r="F52" s="1084">
        <v>0</v>
      </c>
      <c r="G52" s="1084">
        <v>-11300</v>
      </c>
      <c r="H52" s="1084"/>
      <c r="I52" s="1084">
        <f t="shared" si="9"/>
        <v>11300</v>
      </c>
      <c r="J52" s="1085">
        <f t="shared" si="10"/>
        <v>746500</v>
      </c>
      <c r="L52" s="1086">
        <v>744990</v>
      </c>
      <c r="M52" s="1079">
        <f t="shared" si="11"/>
        <v>-2.0227729403884398E-3</v>
      </c>
      <c r="N52" s="1079"/>
      <c r="O52" s="1085"/>
      <c r="P52" s="1085"/>
      <c r="Q52" s="1079"/>
      <c r="R52" s="1085">
        <f t="shared" si="12"/>
        <v>11300</v>
      </c>
      <c r="S52" s="1085">
        <f t="shared" si="8"/>
        <v>0</v>
      </c>
      <c r="U52" s="1085">
        <f>ROUND(('FINAL-Distributed E&amp;G Budget'!C51+'FINAL-Distributed E&amp;G Budget'!F51+'FINAL-Distributed E&amp;G Budget'!G51)*-0.074,-1)</f>
        <v>0</v>
      </c>
      <c r="V52" s="1085"/>
      <c r="W52" s="1085">
        <f t="shared" si="5"/>
        <v>0</v>
      </c>
      <c r="Z52" s="885"/>
      <c r="AA52" s="885"/>
    </row>
    <row r="53" spans="1:27">
      <c r="A53" s="1090" t="s">
        <v>164</v>
      </c>
      <c r="B53" s="1105">
        <v>9273405</v>
      </c>
      <c r="C53" s="1105">
        <v>113229</v>
      </c>
      <c r="D53" s="1105">
        <v>174957</v>
      </c>
      <c r="E53" s="1105"/>
      <c r="F53" s="1105">
        <v>0</v>
      </c>
      <c r="G53" s="1105"/>
      <c r="H53" s="1105"/>
      <c r="I53" s="1105">
        <f t="shared" si="9"/>
        <v>0</v>
      </c>
      <c r="J53" s="1106">
        <f t="shared" si="10"/>
        <v>9561591</v>
      </c>
      <c r="L53" s="1086">
        <v>9540021</v>
      </c>
      <c r="M53" s="1107">
        <f t="shared" si="11"/>
        <v>-2.2559007177780366E-3</v>
      </c>
      <c r="N53" s="1079"/>
      <c r="O53" s="1106">
        <v>234590</v>
      </c>
      <c r="P53" s="1106"/>
      <c r="Q53" s="1079"/>
      <c r="R53" s="1106">
        <f t="shared" si="12"/>
        <v>522776</v>
      </c>
      <c r="S53" s="1106">
        <f t="shared" si="8"/>
        <v>0</v>
      </c>
      <c r="U53" s="1106">
        <f>ROUND(('FINAL-Distributed E&amp;G Budget'!C52+'FINAL-Distributed E&amp;G Budget'!F52+'FINAL-Distributed E&amp;G Budget'!G52)*-0.074,-1)</f>
        <v>-740</v>
      </c>
      <c r="V53" s="1106"/>
      <c r="W53" s="1106">
        <f t="shared" si="5"/>
        <v>-740</v>
      </c>
      <c r="Z53" s="885"/>
      <c r="AA53" s="885"/>
    </row>
    <row r="54" spans="1:27">
      <c r="A54" s="1068" t="s">
        <v>165</v>
      </c>
      <c r="B54" s="1076">
        <v>13149700</v>
      </c>
      <c r="C54" s="1076">
        <v>39271.431700000001</v>
      </c>
      <c r="D54" s="1076">
        <v>221349.70940000002</v>
      </c>
      <c r="E54" s="1076"/>
      <c r="F54" s="1076">
        <v>99050</v>
      </c>
      <c r="G54" s="1076">
        <v>-750500</v>
      </c>
      <c r="H54" s="1076"/>
      <c r="I54" s="1076">
        <f t="shared" si="9"/>
        <v>651450</v>
      </c>
      <c r="J54" s="1077">
        <f t="shared" si="10"/>
        <v>13410321.141100001</v>
      </c>
      <c r="L54" s="970">
        <v>13380221</v>
      </c>
      <c r="M54" s="1078">
        <f t="shared" si="11"/>
        <v>-2.2445503566465019E-3</v>
      </c>
      <c r="N54" s="1079"/>
      <c r="O54" s="1077"/>
      <c r="P54" s="1077"/>
      <c r="Q54" s="1079"/>
      <c r="R54" s="1077">
        <f t="shared" si="12"/>
        <v>1011121.1411</v>
      </c>
      <c r="S54" s="1077">
        <f t="shared" si="8"/>
        <v>-99050</v>
      </c>
      <c r="U54" s="1077">
        <f>ROUND(('FINAL-Distributed E&amp;G Budget'!C53+'FINAL-Distributed E&amp;G Budget'!F53+'FINAL-Distributed E&amp;G Budget'!G53)*-0.074,-1)</f>
        <v>-110330</v>
      </c>
      <c r="V54" s="1077"/>
      <c r="W54" s="1077">
        <f t="shared" si="5"/>
        <v>-110330</v>
      </c>
      <c r="Z54" s="885"/>
      <c r="AA54" s="885"/>
    </row>
    <row r="55" spans="1:27">
      <c r="A55" s="1090" t="s">
        <v>167</v>
      </c>
      <c r="B55" s="1105">
        <v>43844669</v>
      </c>
      <c r="C55" s="1105">
        <v>775899.78579999995</v>
      </c>
      <c r="D55" s="1105">
        <v>525941.12</v>
      </c>
      <c r="E55" s="1105"/>
      <c r="F55" s="1105">
        <v>46990</v>
      </c>
      <c r="G55" s="1105"/>
      <c r="H55" s="1105"/>
      <c r="I55" s="1105">
        <f t="shared" si="9"/>
        <v>-46990</v>
      </c>
      <c r="J55" s="1106">
        <f t="shared" si="10"/>
        <v>45146509.9058</v>
      </c>
      <c r="L55" s="1086">
        <v>45044630</v>
      </c>
      <c r="M55" s="1107">
        <f t="shared" si="11"/>
        <v>-2.2566507580005224E-3</v>
      </c>
      <c r="N55" s="1079"/>
      <c r="O55" s="1106">
        <v>1313690</v>
      </c>
      <c r="P55" s="1106"/>
      <c r="Q55" s="1079"/>
      <c r="R55" s="1106">
        <f t="shared" si="12"/>
        <v>2615530.9057999998</v>
      </c>
      <c r="S55" s="1106">
        <f t="shared" si="8"/>
        <v>-46990</v>
      </c>
      <c r="U55" s="1106">
        <f>ROUND(('FINAL-Distributed E&amp;G Budget'!C54+'FINAL-Distributed E&amp;G Budget'!F54+'FINAL-Distributed E&amp;G Budget'!G54)*-0.074,-1)</f>
        <v>-62100</v>
      </c>
      <c r="V55" s="1106"/>
      <c r="W55" s="1106">
        <f t="shared" si="5"/>
        <v>-62100</v>
      </c>
      <c r="Z55" s="885"/>
      <c r="AA55" s="885"/>
    </row>
    <row r="56" spans="1:27">
      <c r="A56" s="1068" t="s">
        <v>680</v>
      </c>
      <c r="B56" s="1076">
        <v>32391502</v>
      </c>
      <c r="C56" s="1076">
        <v>361848.70160000003</v>
      </c>
      <c r="D56" s="1076">
        <v>99300.784</v>
      </c>
      <c r="E56" s="1076"/>
      <c r="F56" s="1076">
        <v>3700</v>
      </c>
      <c r="G56" s="1076"/>
      <c r="H56" s="1076"/>
      <c r="I56" s="1076">
        <f t="shared" si="9"/>
        <v>-3700</v>
      </c>
      <c r="J56" s="1077">
        <f t="shared" si="10"/>
        <v>32852651.485600002</v>
      </c>
      <c r="L56" s="970">
        <v>32782691</v>
      </c>
      <c r="M56" s="1078">
        <f t="shared" si="11"/>
        <v>-2.1295232633100625E-3</v>
      </c>
      <c r="N56" s="1079"/>
      <c r="O56" s="1077"/>
      <c r="P56" s="1077"/>
      <c r="Q56" s="1079"/>
      <c r="R56" s="1077">
        <f t="shared" si="12"/>
        <v>461149.48560000001</v>
      </c>
      <c r="S56" s="1077">
        <f t="shared" si="8"/>
        <v>-3700</v>
      </c>
      <c r="U56" s="1077">
        <f>ROUND(('FINAL-Distributed E&amp;G Budget'!C55+'FINAL-Distributed E&amp;G Budget'!F55+'FINAL-Distributed E&amp;G Budget'!G55)*-0.074,-1)</f>
        <v>-3710</v>
      </c>
      <c r="V56" s="1077"/>
      <c r="W56" s="1077">
        <f t="shared" si="5"/>
        <v>-3710</v>
      </c>
      <c r="Z56" s="885"/>
      <c r="AA56" s="885"/>
    </row>
    <row r="57" spans="1:27">
      <c r="A57" s="1108" t="s">
        <v>169</v>
      </c>
      <c r="B57" s="1109">
        <v>175040320.55000001</v>
      </c>
      <c r="C57" s="1109">
        <f>SUM(C41:C56)</f>
        <v>1855052.6486026447</v>
      </c>
      <c r="D57" s="1109">
        <f>SUM(D41:D56)</f>
        <v>1772109.3885574066</v>
      </c>
      <c r="E57" s="1092">
        <f>SUM(E41:E56)</f>
        <v>6121</v>
      </c>
      <c r="F57" s="1092">
        <f t="shared" ref="F57:I57" si="13">SUM(F41:F56)</f>
        <v>552220</v>
      </c>
      <c r="G57" s="1092">
        <f t="shared" si="13"/>
        <v>-1180200</v>
      </c>
      <c r="H57" s="1092">
        <f t="shared" si="13"/>
        <v>0</v>
      </c>
      <c r="I57" s="1092">
        <f t="shared" si="13"/>
        <v>627980</v>
      </c>
      <c r="J57" s="1093">
        <f>SUM(J41:J56)</f>
        <v>178673603.58716005</v>
      </c>
      <c r="L57" s="1094">
        <v>178272301.55000001</v>
      </c>
      <c r="M57" s="1110">
        <f t="shared" si="11"/>
        <v>-2.2460062880205189E-3</v>
      </c>
      <c r="N57" s="1079"/>
      <c r="O57" s="1093">
        <f>SUM(O41:O56)</f>
        <v>3471890</v>
      </c>
      <c r="P57" s="1093">
        <f>SUM(P41:P56)</f>
        <v>0</v>
      </c>
      <c r="Q57" s="1079"/>
      <c r="R57" s="1093">
        <f>SUM(R41:R56)</f>
        <v>8278752.0371600511</v>
      </c>
      <c r="S57" s="1093">
        <f>SUM(S41:S56)</f>
        <v>-552220</v>
      </c>
      <c r="U57" s="1093">
        <f>SUM(U40:U56)</f>
        <v>-653420</v>
      </c>
      <c r="V57" s="1093">
        <f t="shared" ref="V57:W57" si="14">SUM(V40:V56)</f>
        <v>0</v>
      </c>
      <c r="W57" s="1093">
        <f t="shared" si="14"/>
        <v>-653420</v>
      </c>
      <c r="Z57" s="885"/>
      <c r="AA57" s="885"/>
    </row>
    <row r="58" spans="1:27" ht="16.5" thickBot="1">
      <c r="A58" s="1111" t="s">
        <v>170</v>
      </c>
      <c r="B58" s="1112">
        <v>616387855</v>
      </c>
      <c r="C58" s="1112">
        <f>SUM(C8:C15)+C37+C57</f>
        <v>0</v>
      </c>
      <c r="D58" s="1112">
        <f t="shared" ref="D58:F58" si="15">SUM(D8:D15)+D37+D57</f>
        <v>0</v>
      </c>
      <c r="E58" s="1112">
        <f>SUM(E8:E15)+E37+E57</f>
        <v>0</v>
      </c>
      <c r="F58" s="1112">
        <f t="shared" si="15"/>
        <v>0</v>
      </c>
      <c r="G58" s="1112">
        <f>SUM(G8:G15)+G37+G57</f>
        <v>0</v>
      </c>
      <c r="H58" s="1112">
        <f t="shared" ref="H58:I58" si="16">SUM(H8:H15)+H37+H57</f>
        <v>0</v>
      </c>
      <c r="I58" s="1112">
        <f t="shared" si="16"/>
        <v>0</v>
      </c>
      <c r="J58" s="1113">
        <f>SUM(J8:J15)+J37+J57</f>
        <v>616387855</v>
      </c>
      <c r="L58" s="1113">
        <v>616387855</v>
      </c>
      <c r="M58" s="1114">
        <f t="shared" si="11"/>
        <v>0</v>
      </c>
      <c r="N58" s="1115"/>
      <c r="O58" s="1113">
        <f>+O57+O37+SUM(O8:O15)</f>
        <v>3471890</v>
      </c>
      <c r="P58" s="1113">
        <f>+P57+P37+SUM(P8:P15)</f>
        <v>0</v>
      </c>
      <c r="Q58" s="1115"/>
      <c r="R58" s="1113">
        <f>+R57+R37+SUM(R8:R15)</f>
        <v>9009565.5741600506</v>
      </c>
      <c r="S58" s="1113">
        <f>+S57+S37+SUM(S8:S15)</f>
        <v>-2101866</v>
      </c>
      <c r="U58" s="1113">
        <f>U57+U37+SUM(U8:U15)</f>
        <v>-2496180</v>
      </c>
      <c r="V58" s="1113">
        <f t="shared" ref="V58:W58" si="17">V57+V37+SUM(V8:V15)</f>
        <v>48604.5</v>
      </c>
      <c r="W58" s="1113">
        <f t="shared" si="17"/>
        <v>-2447576</v>
      </c>
      <c r="Z58" s="885"/>
      <c r="AA58" s="885"/>
    </row>
    <row r="59" spans="1:27" ht="16.5" thickTop="1">
      <c r="A59" s="1068"/>
      <c r="B59" s="1069"/>
      <c r="D59" s="885"/>
    </row>
    <row r="60" spans="1:27">
      <c r="D60" s="885">
        <f>+C57+D57+D37+C37</f>
        <v>8574829.6997600514</v>
      </c>
      <c r="E60" s="885"/>
      <c r="Z60" s="885"/>
    </row>
    <row r="61" spans="1:27">
      <c r="D61" s="885"/>
      <c r="J61" s="840"/>
    </row>
    <row r="62" spans="1:27">
      <c r="C62" s="885">
        <f>+C31+D31</f>
        <v>406625</v>
      </c>
    </row>
  </sheetData>
  <mergeCells count="3">
    <mergeCell ref="B5:J5"/>
    <mergeCell ref="O5:S5"/>
    <mergeCell ref="U5:W5"/>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86"/>
  <sheetViews>
    <sheetView workbookViewId="0"/>
  </sheetViews>
  <sheetFormatPr defaultColWidth="8.85546875" defaultRowHeight="15"/>
  <cols>
    <col min="1" max="1" width="14.42578125" customWidth="1"/>
    <col min="2" max="2" width="7.42578125" bestFit="1" customWidth="1"/>
    <col min="3" max="3" width="26.140625" customWidth="1"/>
    <col min="4" max="4" width="24.42578125" customWidth="1"/>
    <col min="5" max="5" width="9.5703125" customWidth="1"/>
    <col min="6" max="6" width="9.85546875" customWidth="1"/>
    <col min="7" max="7" width="10" customWidth="1"/>
    <col min="17" max="17" width="13.28515625" bestFit="1" customWidth="1"/>
  </cols>
  <sheetData>
    <row r="1" spans="1:15" ht="15" customHeight="1">
      <c r="C1" s="405"/>
      <c r="L1" s="1200" t="s">
        <v>503</v>
      </c>
      <c r="M1" s="1200"/>
      <c r="N1" s="1200"/>
      <c r="O1" s="1200"/>
    </row>
    <row r="2" spans="1:15">
      <c r="L2" s="1200"/>
      <c r="M2" s="1200"/>
      <c r="N2" s="1200"/>
      <c r="O2" s="1200"/>
    </row>
    <row r="3" spans="1:15">
      <c r="L3" s="1200"/>
      <c r="M3" s="1200"/>
      <c r="N3" s="1200"/>
      <c r="O3" s="1200"/>
    </row>
    <row r="4" spans="1:15">
      <c r="A4" s="562" t="s">
        <v>583</v>
      </c>
      <c r="B4" s="277"/>
      <c r="C4" s="277" t="s">
        <v>584</v>
      </c>
      <c r="D4" s="277" t="s">
        <v>585</v>
      </c>
      <c r="E4" s="277"/>
      <c r="F4" s="277"/>
      <c r="L4" s="1200"/>
      <c r="M4" s="1200"/>
      <c r="N4" s="1200"/>
      <c r="O4" s="1200"/>
    </row>
    <row r="5" spans="1:15" s="900" customFormat="1">
      <c r="A5" s="900" t="s">
        <v>812</v>
      </c>
      <c r="B5" s="49"/>
      <c r="C5" s="49"/>
      <c r="D5" s="49"/>
      <c r="E5" s="49"/>
      <c r="F5" s="49"/>
      <c r="L5" s="899"/>
      <c r="M5" s="899"/>
      <c r="N5" s="899"/>
      <c r="O5" s="899"/>
    </row>
    <row r="6" spans="1:15">
      <c r="A6" s="559">
        <v>44881</v>
      </c>
      <c r="C6" t="s">
        <v>798</v>
      </c>
      <c r="D6" s="80" t="s">
        <v>818</v>
      </c>
    </row>
    <row r="7" spans="1:15">
      <c r="A7" s="560"/>
      <c r="B7" s="984"/>
      <c r="C7" s="984" t="s">
        <v>485</v>
      </c>
      <c r="D7" s="984" t="s">
        <v>819</v>
      </c>
    </row>
    <row r="8" spans="1:15">
      <c r="A8" s="560"/>
      <c r="B8" s="984"/>
      <c r="C8" s="1145" t="s">
        <v>166</v>
      </c>
      <c r="D8" s="984" t="s">
        <v>820</v>
      </c>
    </row>
    <row r="9" spans="1:15">
      <c r="A9" s="560"/>
      <c r="B9" s="984"/>
      <c r="C9" s="542" t="s">
        <v>94</v>
      </c>
      <c r="D9" s="1161" t="s">
        <v>820</v>
      </c>
    </row>
    <row r="10" spans="1:15">
      <c r="A10" s="560"/>
      <c r="B10" s="984"/>
      <c r="C10" s="542" t="s">
        <v>133</v>
      </c>
      <c r="D10" s="542" t="s">
        <v>823</v>
      </c>
    </row>
    <row r="11" spans="1:15">
      <c r="A11" s="560"/>
      <c r="B11" s="984"/>
      <c r="C11" s="1145" t="s">
        <v>495</v>
      </c>
      <c r="D11" s="542" t="s">
        <v>825</v>
      </c>
    </row>
    <row r="12" spans="1:15">
      <c r="A12" s="560"/>
      <c r="B12" s="984"/>
      <c r="C12" s="1146" t="s">
        <v>614</v>
      </c>
      <c r="D12" s="542" t="s">
        <v>826</v>
      </c>
    </row>
    <row r="13" spans="1:15">
      <c r="A13" s="560"/>
      <c r="B13" s="984"/>
      <c r="C13" s="542" t="s">
        <v>496</v>
      </c>
      <c r="D13" s="542" t="s">
        <v>813</v>
      </c>
    </row>
    <row r="14" spans="1:15">
      <c r="A14" s="560"/>
      <c r="B14" s="984"/>
      <c r="C14" s="542" t="s">
        <v>492</v>
      </c>
      <c r="D14" s="542" t="s">
        <v>829</v>
      </c>
    </row>
    <row r="15" spans="1:15">
      <c r="A15" s="559"/>
      <c r="B15" s="984"/>
      <c r="C15" s="542" t="s">
        <v>814</v>
      </c>
      <c r="D15" s="542" t="s">
        <v>831</v>
      </c>
      <c r="E15" s="542"/>
      <c r="F15" s="542"/>
      <c r="G15" s="542"/>
    </row>
    <row r="16" spans="1:15">
      <c r="A16" s="559"/>
      <c r="B16" s="984"/>
      <c r="C16" s="542" t="s">
        <v>815</v>
      </c>
      <c r="D16" s="542" t="s">
        <v>836</v>
      </c>
      <c r="E16" s="542"/>
      <c r="F16" s="542"/>
      <c r="G16" s="542"/>
      <c r="H16" s="542"/>
      <c r="I16" s="542"/>
    </row>
    <row r="17" spans="1:17">
      <c r="A17" s="559"/>
      <c r="B17" s="984"/>
      <c r="C17" s="542"/>
      <c r="D17" s="542" t="s">
        <v>816</v>
      </c>
      <c r="E17" s="542"/>
      <c r="F17" s="542"/>
      <c r="G17" s="542"/>
      <c r="H17" s="542"/>
      <c r="I17" s="542"/>
    </row>
    <row r="18" spans="1:17">
      <c r="A18" s="559"/>
      <c r="B18" s="984"/>
      <c r="C18" s="542"/>
      <c r="D18" s="542" t="s">
        <v>817</v>
      </c>
      <c r="E18" s="542"/>
      <c r="F18" s="542"/>
      <c r="G18" s="542"/>
      <c r="H18" s="542"/>
      <c r="I18" s="542"/>
    </row>
    <row r="19" spans="1:17">
      <c r="A19" s="559"/>
      <c r="B19" s="984"/>
      <c r="C19" s="542" t="s">
        <v>799</v>
      </c>
      <c r="D19" s="542" t="s">
        <v>837</v>
      </c>
      <c r="E19" s="542"/>
      <c r="F19" s="542"/>
      <c r="G19" s="542"/>
      <c r="H19" s="542"/>
      <c r="I19" s="542"/>
    </row>
    <row r="20" spans="1:17">
      <c r="A20" s="559"/>
      <c r="B20" s="984"/>
      <c r="C20" s="542"/>
      <c r="D20" s="542" t="s">
        <v>838</v>
      </c>
      <c r="E20" s="542"/>
      <c r="F20" s="542"/>
      <c r="G20" s="542"/>
      <c r="H20" s="542"/>
      <c r="I20" s="542"/>
    </row>
    <row r="21" spans="1:17">
      <c r="A21" s="559"/>
      <c r="B21" s="984"/>
      <c r="C21" s="1150"/>
      <c r="D21" s="542" t="s">
        <v>839</v>
      </c>
    </row>
    <row r="22" spans="1:17">
      <c r="C22" t="s">
        <v>614</v>
      </c>
      <c r="D22" s="542" t="s">
        <v>841</v>
      </c>
    </row>
    <row r="23" spans="1:17">
      <c r="A23" s="559">
        <v>44886</v>
      </c>
      <c r="C23" s="1162" t="s">
        <v>614</v>
      </c>
      <c r="D23" s="542" t="s">
        <v>848</v>
      </c>
    </row>
    <row r="24" spans="1:17">
      <c r="A24" s="559">
        <v>44886</v>
      </c>
      <c r="C24" s="542" t="s">
        <v>495</v>
      </c>
      <c r="D24" s="542" t="s">
        <v>848</v>
      </c>
    </row>
    <row r="25" spans="1:17">
      <c r="A25" s="559">
        <v>44887</v>
      </c>
      <c r="C25" t="s">
        <v>799</v>
      </c>
      <c r="D25" s="542" t="s">
        <v>855</v>
      </c>
    </row>
    <row r="26" spans="1:17">
      <c r="C26" s="542"/>
      <c r="D26" s="542" t="s">
        <v>856</v>
      </c>
    </row>
    <row r="27" spans="1:17">
      <c r="C27" s="542" t="s">
        <v>799</v>
      </c>
      <c r="D27" s="542" t="s">
        <v>857</v>
      </c>
    </row>
    <row r="28" spans="1:17">
      <c r="C28" s="542"/>
      <c r="D28" s="542" t="s">
        <v>858</v>
      </c>
      <c r="Q28" s="285"/>
    </row>
    <row r="29" spans="1:17">
      <c r="C29" s="542" t="s">
        <v>798</v>
      </c>
      <c r="D29" s="542" t="s">
        <v>859</v>
      </c>
    </row>
    <row r="30" spans="1:17">
      <c r="A30" s="559">
        <v>44901</v>
      </c>
      <c r="C30" s="542" t="s">
        <v>495</v>
      </c>
      <c r="D30" s="542" t="s">
        <v>862</v>
      </c>
    </row>
    <row r="31" spans="1:17">
      <c r="C31" s="1181" t="s">
        <v>614</v>
      </c>
      <c r="D31" s="542" t="s">
        <v>862</v>
      </c>
    </row>
    <row r="32" spans="1:17">
      <c r="A32" s="559"/>
      <c r="C32" s="542" t="s">
        <v>798</v>
      </c>
      <c r="D32" s="542" t="s">
        <v>865</v>
      </c>
    </row>
    <row r="33" spans="1:4">
      <c r="C33" s="542" t="s">
        <v>798</v>
      </c>
      <c r="D33" s="542" t="s">
        <v>867</v>
      </c>
    </row>
    <row r="34" spans="1:4">
      <c r="A34" s="559"/>
      <c r="C34" s="542" t="s">
        <v>799</v>
      </c>
      <c r="D34" s="542" t="s">
        <v>867</v>
      </c>
    </row>
    <row r="35" spans="1:4">
      <c r="C35" s="542" t="s">
        <v>495</v>
      </c>
      <c r="D35" s="542" t="s">
        <v>868</v>
      </c>
    </row>
    <row r="36" spans="1:4">
      <c r="A36" s="559">
        <v>44910</v>
      </c>
      <c r="C36" s="542" t="s">
        <v>495</v>
      </c>
      <c r="D36" s="542" t="s">
        <v>874</v>
      </c>
    </row>
    <row r="37" spans="1:4">
      <c r="A37" s="559">
        <v>44932</v>
      </c>
      <c r="C37" s="542" t="s">
        <v>799</v>
      </c>
      <c r="D37" s="542" t="s">
        <v>875</v>
      </c>
    </row>
    <row r="38" spans="1:4">
      <c r="A38" s="559"/>
      <c r="C38" s="542" t="s">
        <v>495</v>
      </c>
      <c r="D38" s="542" t="s">
        <v>877</v>
      </c>
    </row>
    <row r="39" spans="1:4">
      <c r="A39" s="559"/>
      <c r="C39" s="542" t="s">
        <v>878</v>
      </c>
      <c r="D39" s="542" t="s">
        <v>879</v>
      </c>
    </row>
    <row r="40" spans="1:4">
      <c r="A40" s="559"/>
      <c r="C40" s="542" t="s">
        <v>166</v>
      </c>
      <c r="D40" s="542" t="s">
        <v>880</v>
      </c>
    </row>
    <row r="41" spans="1:4">
      <c r="C41" s="542" t="s">
        <v>885</v>
      </c>
      <c r="D41" s="542" t="s">
        <v>884</v>
      </c>
    </row>
    <row r="42" spans="1:4">
      <c r="A42" s="559">
        <v>44935</v>
      </c>
      <c r="C42" s="542" t="s">
        <v>892</v>
      </c>
      <c r="D42" s="542" t="s">
        <v>893</v>
      </c>
    </row>
    <row r="43" spans="1:4">
      <c r="C43" s="542" t="s">
        <v>496</v>
      </c>
      <c r="D43" s="542" t="s">
        <v>894</v>
      </c>
    </row>
    <row r="44" spans="1:4">
      <c r="C44" s="542"/>
      <c r="D44" s="542"/>
    </row>
    <row r="45" spans="1:4">
      <c r="C45" s="542"/>
      <c r="D45" s="542"/>
    </row>
    <row r="46" spans="1:4">
      <c r="A46" s="559"/>
      <c r="C46" s="542"/>
      <c r="D46" s="542"/>
    </row>
    <row r="47" spans="1:4">
      <c r="C47" s="542"/>
      <c r="D47" s="542"/>
    </row>
    <row r="48" spans="1:4">
      <c r="A48" s="559"/>
      <c r="C48" s="542"/>
      <c r="D48" s="542"/>
    </row>
    <row r="49" spans="1:4">
      <c r="A49" s="559"/>
      <c r="C49" s="405"/>
      <c r="D49" s="405"/>
    </row>
    <row r="51" spans="1:4">
      <c r="C51" s="405"/>
      <c r="D51" s="405"/>
    </row>
    <row r="52" spans="1:4">
      <c r="C52" s="542"/>
      <c r="D52" s="542"/>
    </row>
    <row r="53" spans="1:4">
      <c r="C53" s="542"/>
      <c r="D53" s="542"/>
    </row>
    <row r="54" spans="1:4">
      <c r="C54" s="542"/>
      <c r="D54" s="542"/>
    </row>
    <row r="55" spans="1:4">
      <c r="C55" s="542"/>
      <c r="D55" s="542"/>
    </row>
    <row r="56" spans="1:4">
      <c r="A56" s="559"/>
      <c r="C56" s="542"/>
      <c r="D56" s="542"/>
    </row>
    <row r="57" spans="1:4">
      <c r="C57" s="542"/>
      <c r="D57" s="542"/>
    </row>
    <row r="58" spans="1:4">
      <c r="C58" s="542"/>
      <c r="D58" s="542"/>
    </row>
    <row r="59" spans="1:4">
      <c r="A59" s="559"/>
      <c r="C59" s="542"/>
      <c r="D59" s="542"/>
    </row>
    <row r="60" spans="1:4">
      <c r="A60" s="272"/>
      <c r="D60" s="542"/>
    </row>
    <row r="61" spans="1:4">
      <c r="A61" s="559"/>
      <c r="C61" s="542"/>
      <c r="D61" s="542"/>
    </row>
    <row r="62" spans="1:4">
      <c r="C62" s="1129"/>
      <c r="D62" s="542"/>
    </row>
    <row r="63" spans="1:4">
      <c r="C63" s="542"/>
      <c r="D63" s="542"/>
    </row>
    <row r="64" spans="1:4">
      <c r="A64" s="559"/>
      <c r="D64" s="542"/>
    </row>
    <row r="65" spans="1:4">
      <c r="C65" s="542"/>
      <c r="D65" s="542"/>
    </row>
    <row r="66" spans="1:4">
      <c r="D66" s="542"/>
    </row>
    <row r="67" spans="1:4">
      <c r="D67" s="542"/>
    </row>
    <row r="68" spans="1:4">
      <c r="C68" s="1133"/>
      <c r="D68" s="542"/>
    </row>
    <row r="69" spans="1:4">
      <c r="A69" s="559"/>
      <c r="D69" s="542"/>
    </row>
    <row r="70" spans="1:4">
      <c r="D70" s="542"/>
    </row>
    <row r="71" spans="1:4">
      <c r="D71" s="542"/>
    </row>
    <row r="72" spans="1:4">
      <c r="D72" s="542"/>
    </row>
    <row r="73" spans="1:4">
      <c r="A73" s="559"/>
      <c r="D73" s="542"/>
    </row>
    <row r="74" spans="1:4">
      <c r="D74" s="542"/>
    </row>
    <row r="75" spans="1:4">
      <c r="D75" s="542"/>
    </row>
    <row r="76" spans="1:4">
      <c r="A76" s="559"/>
      <c r="D76" s="542"/>
    </row>
    <row r="77" spans="1:4">
      <c r="C77" s="1139"/>
      <c r="D77" s="542"/>
    </row>
    <row r="78" spans="1:4">
      <c r="A78" s="559"/>
      <c r="C78" s="1140"/>
      <c r="D78" s="542"/>
    </row>
    <row r="79" spans="1:4">
      <c r="D79" s="542"/>
    </row>
    <row r="80" spans="1:4">
      <c r="D80" s="542"/>
    </row>
    <row r="81" spans="1:4">
      <c r="D81" s="542"/>
    </row>
    <row r="82" spans="1:4">
      <c r="A82" s="559"/>
      <c r="D82" s="542"/>
    </row>
    <row r="83" spans="1:4">
      <c r="A83" s="559"/>
      <c r="B83" s="1142"/>
      <c r="C83" s="1142"/>
      <c r="D83" s="542"/>
    </row>
    <row r="84" spans="1:4">
      <c r="C84" s="1143"/>
      <c r="D84" s="542"/>
    </row>
    <row r="85" spans="1:4">
      <c r="A85" s="559"/>
      <c r="C85" s="1144"/>
      <c r="D85" s="542"/>
    </row>
    <row r="86" spans="1:4">
      <c r="D86" s="542"/>
    </row>
  </sheetData>
  <mergeCells count="1">
    <mergeCell ref="L1:O4"/>
  </mergeCells>
  <pageMargins left="0.7" right="0.7" top="0.75" bottom="0.75" header="0.3" footer="0.3"/>
  <pageSetup orientation="portrait" horizontalDpi="1200" verticalDpi="12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P71"/>
  <sheetViews>
    <sheetView workbookViewId="0"/>
  </sheetViews>
  <sheetFormatPr defaultColWidth="12.5703125" defaultRowHeight="15.75"/>
  <cols>
    <col min="1" max="1" width="47.28515625" style="838" customWidth="1"/>
    <col min="2" max="2" width="22.28515625" style="838" customWidth="1"/>
    <col min="3" max="3" width="25.85546875" style="838" bestFit="1" customWidth="1"/>
    <col min="4" max="4" width="6.85546875" style="838" customWidth="1"/>
    <col min="5" max="5" width="14.85546875" style="838" customWidth="1"/>
    <col min="6" max="6" width="15.42578125" style="838" customWidth="1"/>
    <col min="7" max="7" width="13.85546875" style="838" customWidth="1"/>
    <col min="8" max="8" width="15.85546875" style="838" bestFit="1" customWidth="1"/>
    <col min="9" max="9" width="3" style="838" customWidth="1"/>
    <col min="10" max="10" width="15.7109375" style="838" customWidth="1"/>
    <col min="11" max="11" width="2.7109375" style="838" customWidth="1"/>
    <col min="12" max="12" width="1.42578125" style="838" customWidth="1"/>
    <col min="13" max="13" width="14.42578125" style="838" customWidth="1"/>
    <col min="14" max="16384" width="12.5703125" style="838"/>
  </cols>
  <sheetData>
    <row r="1" spans="1:13" ht="21">
      <c r="A1" s="1042" t="s">
        <v>477</v>
      </c>
    </row>
    <row r="2" spans="1:13" ht="18.75">
      <c r="A2" s="1044" t="s">
        <v>750</v>
      </c>
      <c r="B2" s="1045" t="s">
        <v>475</v>
      </c>
      <c r="C2" s="1126" t="s">
        <v>763</v>
      </c>
      <c r="E2" s="1040" t="s">
        <v>764</v>
      </c>
    </row>
    <row r="3" spans="1:13">
      <c r="A3" s="1046"/>
      <c r="B3" s="1047"/>
      <c r="C3" s="1047"/>
    </row>
    <row r="4" spans="1:13" ht="16.5" thickBot="1">
      <c r="A4" s="1046" t="s">
        <v>765</v>
      </c>
      <c r="B4" s="1116">
        <v>-9304984.5500000119</v>
      </c>
      <c r="C4" s="1116">
        <v>-8707312</v>
      </c>
    </row>
    <row r="5" spans="1:13">
      <c r="A5" s="1048"/>
      <c r="B5" s="1049"/>
    </row>
    <row r="6" spans="1:13" ht="16.5" thickBot="1">
      <c r="A6" s="1052" t="s">
        <v>106</v>
      </c>
      <c r="B6" s="1053" t="s">
        <v>761</v>
      </c>
      <c r="C6" s="1053" t="s">
        <v>761</v>
      </c>
    </row>
    <row r="7" spans="1:13">
      <c r="A7" s="1055" t="s">
        <v>120</v>
      </c>
      <c r="B7" s="1117">
        <v>0</v>
      </c>
      <c r="C7" s="1056">
        <v>0</v>
      </c>
    </row>
    <row r="8" spans="1:13">
      <c r="A8" s="1055" t="s">
        <v>121</v>
      </c>
      <c r="B8" s="1118">
        <v>4471174.4499999881</v>
      </c>
      <c r="C8" s="1118">
        <v>4533454.4499999881</v>
      </c>
    </row>
    <row r="9" spans="1:13">
      <c r="A9" s="1055" t="s">
        <v>122</v>
      </c>
      <c r="B9" s="1118">
        <v>-144500</v>
      </c>
      <c r="C9" s="1118">
        <v>391500</v>
      </c>
    </row>
    <row r="10" spans="1:13">
      <c r="A10" s="1055" t="s">
        <v>123</v>
      </c>
      <c r="B10" s="1118">
        <v>12000000</v>
      </c>
      <c r="C10" s="1118">
        <v>12000000</v>
      </c>
    </row>
    <row r="11" spans="1:13">
      <c r="A11" s="1055" t="s">
        <v>125</v>
      </c>
      <c r="B11" s="1118">
        <v>15080231</v>
      </c>
      <c r="C11" s="1118">
        <v>7295038</v>
      </c>
    </row>
    <row r="12" spans="1:13">
      <c r="A12" s="1055" t="s">
        <v>128</v>
      </c>
      <c r="B12" s="1118">
        <v>8380000</v>
      </c>
      <c r="C12" s="1118">
        <v>8380000</v>
      </c>
    </row>
    <row r="13" spans="1:13">
      <c r="A13" s="1055" t="s">
        <v>129</v>
      </c>
      <c r="B13" s="1118">
        <v>40794236</v>
      </c>
      <c r="C13" s="1118">
        <v>40794236</v>
      </c>
    </row>
    <row r="14" spans="1:13" ht="16.5" thickBot="1">
      <c r="A14" s="1055" t="s">
        <v>627</v>
      </c>
      <c r="B14" s="1066">
        <v>137.00000000465661</v>
      </c>
      <c r="C14" s="1066">
        <v>-470.00000000093132</v>
      </c>
    </row>
    <row r="15" spans="1:13" ht="15.75" customHeight="1">
      <c r="A15" s="1068"/>
      <c r="B15" s="1069"/>
      <c r="C15" s="1069"/>
      <c r="E15" s="1293" t="s">
        <v>766</v>
      </c>
      <c r="F15" s="1293"/>
      <c r="G15" s="1293"/>
      <c r="H15" s="1293"/>
      <c r="J15" s="1294" t="s">
        <v>771</v>
      </c>
      <c r="M15" s="1294" t="s">
        <v>776</v>
      </c>
    </row>
    <row r="16" spans="1:13">
      <c r="A16" s="1070" t="s">
        <v>132</v>
      </c>
      <c r="B16" s="1071">
        <f>SUM(B7:B14)</f>
        <v>80581278.449999988</v>
      </c>
      <c r="C16" s="1071">
        <f>SUM(C7:C14)</f>
        <v>73393758.449999988</v>
      </c>
      <c r="D16" s="840"/>
      <c r="E16" s="1119" t="s">
        <v>767</v>
      </c>
      <c r="F16" s="1119" t="s">
        <v>768</v>
      </c>
      <c r="G16" s="1119" t="s">
        <v>769</v>
      </c>
      <c r="H16" s="1119" t="s">
        <v>770</v>
      </c>
      <c r="J16" s="1294"/>
      <c r="M16" s="1294"/>
    </row>
    <row r="17" spans="1:16">
      <c r="A17" s="1072" t="s">
        <v>134</v>
      </c>
      <c r="B17" s="1071"/>
      <c r="C17" s="1071"/>
    </row>
    <row r="18" spans="1:16">
      <c r="A18" s="1055" t="s">
        <v>136</v>
      </c>
      <c r="B18" s="1062">
        <v>25209364</v>
      </c>
      <c r="C18" s="1062">
        <v>25839774</v>
      </c>
      <c r="E18" s="840">
        <f>C18-B18</f>
        <v>630410</v>
      </c>
      <c r="F18" s="1059">
        <v>760378</v>
      </c>
      <c r="G18" s="840">
        <f>E18-F18</f>
        <v>-129968</v>
      </c>
      <c r="H18" s="1120">
        <f>E18/F18</f>
        <v>0.82907448663690952</v>
      </c>
      <c r="J18" s="840">
        <f>-0.75*G18</f>
        <v>97476</v>
      </c>
      <c r="K18" s="840"/>
      <c r="M18" s="840">
        <f>+J18</f>
        <v>97476</v>
      </c>
      <c r="P18" s="840"/>
    </row>
    <row r="19" spans="1:16">
      <c r="A19" s="1075" t="s">
        <v>138</v>
      </c>
      <c r="B19" s="1077">
        <v>25971067</v>
      </c>
      <c r="C19" s="1077">
        <v>26713577</v>
      </c>
      <c r="E19" s="840">
        <f t="shared" ref="E19:E29" si="0">C19-B19</f>
        <v>742510</v>
      </c>
      <c r="F19" s="1076">
        <v>23778</v>
      </c>
      <c r="G19" s="840">
        <f t="shared" ref="G19:G29" si="1">E19-F19</f>
        <v>718732</v>
      </c>
      <c r="H19" s="1120">
        <f t="shared" ref="H19:H29" si="2">E19/F19</f>
        <v>31.226764235848265</v>
      </c>
      <c r="J19" s="840">
        <f>-0.75*G19</f>
        <v>-539049</v>
      </c>
      <c r="K19" s="840"/>
      <c r="M19" s="840">
        <f t="shared" ref="M19:M29" si="3">+J19</f>
        <v>-539049</v>
      </c>
      <c r="P19" s="840"/>
    </row>
    <row r="20" spans="1:16">
      <c r="A20" s="1068" t="s">
        <v>140</v>
      </c>
      <c r="B20" s="1077">
        <v>69355186</v>
      </c>
      <c r="C20" s="1077">
        <v>70988716</v>
      </c>
      <c r="E20" s="840">
        <f t="shared" si="0"/>
        <v>1633530</v>
      </c>
      <c r="F20" s="1076">
        <v>2057170</v>
      </c>
      <c r="G20" s="840">
        <f t="shared" si="1"/>
        <v>-423640</v>
      </c>
      <c r="H20" s="1120">
        <f t="shared" si="2"/>
        <v>0.79406660606561441</v>
      </c>
      <c r="J20" s="840">
        <f>-0.75*G20</f>
        <v>317730</v>
      </c>
      <c r="K20" s="840"/>
      <c r="M20" s="840">
        <f t="shared" si="3"/>
        <v>317730</v>
      </c>
      <c r="P20" s="840"/>
    </row>
    <row r="21" spans="1:16">
      <c r="A21" s="1055" t="s">
        <v>141</v>
      </c>
      <c r="B21" s="1062">
        <v>8934104</v>
      </c>
      <c r="C21" s="1062">
        <v>9138354</v>
      </c>
      <c r="E21" s="840">
        <f t="shared" si="0"/>
        <v>204250</v>
      </c>
      <c r="F21" s="1059">
        <v>263739</v>
      </c>
      <c r="G21" s="840">
        <f t="shared" si="1"/>
        <v>-59489</v>
      </c>
      <c r="H21" s="1120">
        <f t="shared" si="2"/>
        <v>0.77443988185289248</v>
      </c>
      <c r="J21" s="840">
        <f>-0.75*G21</f>
        <v>44616.75</v>
      </c>
      <c r="K21" s="840"/>
      <c r="M21" s="840">
        <f t="shared" si="3"/>
        <v>44616.75</v>
      </c>
      <c r="P21" s="840"/>
    </row>
    <row r="22" spans="1:16">
      <c r="A22" s="1075" t="s">
        <v>142</v>
      </c>
      <c r="B22" s="1077">
        <v>19537975</v>
      </c>
      <c r="C22" s="1077">
        <v>19534385</v>
      </c>
      <c r="E22" s="840">
        <f t="shared" si="0"/>
        <v>-3590</v>
      </c>
      <c r="F22" s="1076">
        <v>552990</v>
      </c>
      <c r="G22" s="840">
        <f t="shared" si="1"/>
        <v>-556580</v>
      </c>
      <c r="H22" s="1120">
        <f t="shared" si="2"/>
        <v>-6.4919799634713107E-3</v>
      </c>
      <c r="J22" s="840">
        <f t="shared" ref="J22:J28" si="4">-0.75*G22</f>
        <v>417435</v>
      </c>
      <c r="K22" s="840"/>
      <c r="M22" s="840">
        <f t="shared" si="3"/>
        <v>417435</v>
      </c>
      <c r="P22" s="840"/>
    </row>
    <row r="23" spans="1:16">
      <c r="A23" s="1068" t="s">
        <v>143</v>
      </c>
      <c r="B23" s="1077">
        <v>6247020</v>
      </c>
      <c r="C23" s="1077">
        <v>6372410</v>
      </c>
      <c r="E23" s="840">
        <f t="shared" si="0"/>
        <v>125390</v>
      </c>
      <c r="F23" s="1076">
        <v>77321</v>
      </c>
      <c r="G23" s="840">
        <f t="shared" si="1"/>
        <v>48069</v>
      </c>
      <c r="H23" s="1120">
        <f t="shared" si="2"/>
        <v>1.621681043959597</v>
      </c>
      <c r="J23" s="840">
        <f t="shared" si="4"/>
        <v>-36051.75</v>
      </c>
      <c r="K23" s="840"/>
      <c r="M23" s="840">
        <f t="shared" si="3"/>
        <v>-36051.75</v>
      </c>
      <c r="P23" s="840"/>
    </row>
    <row r="24" spans="1:16">
      <c r="A24" s="1055" t="s">
        <v>144</v>
      </c>
      <c r="B24" s="1082">
        <v>46375456</v>
      </c>
      <c r="C24" s="1082">
        <v>47732016</v>
      </c>
      <c r="E24" s="840">
        <f t="shared" si="0"/>
        <v>1356560</v>
      </c>
      <c r="F24" s="1081">
        <v>1134752</v>
      </c>
      <c r="G24" s="840">
        <f>E24-F24</f>
        <v>221808</v>
      </c>
      <c r="H24" s="1120">
        <f t="shared" si="2"/>
        <v>1.1954682609063478</v>
      </c>
      <c r="J24" s="840">
        <f t="shared" si="4"/>
        <v>-166356</v>
      </c>
      <c r="K24" s="840"/>
      <c r="M24" s="840">
        <f t="shared" si="3"/>
        <v>-166356</v>
      </c>
      <c r="P24" s="840"/>
    </row>
    <row r="25" spans="1:16">
      <c r="A25" s="1068" t="s">
        <v>145</v>
      </c>
      <c r="B25" s="1077">
        <v>14850376</v>
      </c>
      <c r="C25" s="1077">
        <v>15190236</v>
      </c>
      <c r="E25" s="840">
        <f t="shared" si="0"/>
        <v>339860</v>
      </c>
      <c r="F25" s="1076">
        <v>395271</v>
      </c>
      <c r="G25" s="840">
        <f t="shared" si="1"/>
        <v>-55411</v>
      </c>
      <c r="H25" s="1120">
        <f t="shared" si="2"/>
        <v>0.85981516478567865</v>
      </c>
      <c r="J25" s="840">
        <f t="shared" si="4"/>
        <v>41558.25</v>
      </c>
      <c r="K25" s="840"/>
      <c r="M25" s="840">
        <f t="shared" si="3"/>
        <v>41558.25</v>
      </c>
      <c r="P25" s="840"/>
    </row>
    <row r="26" spans="1:16">
      <c r="A26" s="1068" t="s">
        <v>146</v>
      </c>
      <c r="B26" s="1085">
        <v>12285657</v>
      </c>
      <c r="C26" s="1085">
        <v>12483467</v>
      </c>
      <c r="E26" s="840">
        <f t="shared" si="0"/>
        <v>197810</v>
      </c>
      <c r="F26" s="1084">
        <v>196510</v>
      </c>
      <c r="G26" s="840">
        <f t="shared" si="1"/>
        <v>1300</v>
      </c>
      <c r="H26" s="1120">
        <f t="shared" si="2"/>
        <v>1.0066154394178413</v>
      </c>
      <c r="J26" s="840">
        <f t="shared" si="4"/>
        <v>-975</v>
      </c>
      <c r="K26" s="840"/>
      <c r="M26" s="840">
        <f t="shared" si="3"/>
        <v>-975</v>
      </c>
      <c r="P26" s="840"/>
    </row>
    <row r="27" spans="1:16">
      <c r="A27" s="1055" t="s">
        <v>147</v>
      </c>
      <c r="B27" s="1062">
        <v>44134407</v>
      </c>
      <c r="C27" s="1062">
        <v>45729837</v>
      </c>
      <c r="E27" s="840">
        <f t="shared" si="0"/>
        <v>1595430</v>
      </c>
      <c r="F27" s="1059">
        <v>2046421</v>
      </c>
      <c r="G27" s="840">
        <f t="shared" si="1"/>
        <v>-450991</v>
      </c>
      <c r="H27" s="1120">
        <f t="shared" si="2"/>
        <v>0.77961963838330428</v>
      </c>
      <c r="J27" s="840">
        <f t="shared" si="4"/>
        <v>338243.25</v>
      </c>
      <c r="K27" s="840"/>
      <c r="M27" s="840">
        <f t="shared" si="3"/>
        <v>338243.25</v>
      </c>
      <c r="P27" s="840"/>
    </row>
    <row r="28" spans="1:16">
      <c r="A28" s="1068" t="s">
        <v>148</v>
      </c>
      <c r="B28" s="1085">
        <v>27657427</v>
      </c>
      <c r="C28" s="1085">
        <v>27814057</v>
      </c>
      <c r="E28" s="840">
        <f t="shared" si="0"/>
        <v>156630</v>
      </c>
      <c r="F28" s="1084">
        <v>171764</v>
      </c>
      <c r="G28" s="840">
        <f t="shared" si="1"/>
        <v>-15134</v>
      </c>
      <c r="H28" s="1120">
        <f t="shared" si="2"/>
        <v>0.91189073379753616</v>
      </c>
      <c r="J28" s="840">
        <f t="shared" si="4"/>
        <v>11350.5</v>
      </c>
      <c r="K28" s="840"/>
      <c r="M28" s="840">
        <f t="shared" si="3"/>
        <v>11350.5</v>
      </c>
      <c r="P28" s="840"/>
    </row>
    <row r="29" spans="1:16">
      <c r="A29" s="1055" t="s">
        <v>801</v>
      </c>
      <c r="B29" s="1062">
        <v>3893225</v>
      </c>
      <c r="C29" s="1062">
        <v>3967235</v>
      </c>
      <c r="E29" s="840">
        <f t="shared" si="0"/>
        <v>74010</v>
      </c>
      <c r="F29" s="1059">
        <v>7926</v>
      </c>
      <c r="G29" s="840">
        <f t="shared" si="1"/>
        <v>66084</v>
      </c>
      <c r="H29" s="1120">
        <f t="shared" si="2"/>
        <v>9.3376230128690381</v>
      </c>
      <c r="J29" s="840">
        <f>-0.75*G29</f>
        <v>-49563</v>
      </c>
      <c r="K29" s="840"/>
      <c r="M29" s="840">
        <f t="shared" si="3"/>
        <v>-49563</v>
      </c>
      <c r="P29" s="840"/>
    </row>
    <row r="30" spans="1:16">
      <c r="A30" s="1075" t="s">
        <v>150</v>
      </c>
      <c r="B30" s="1085">
        <v>22949137</v>
      </c>
      <c r="C30" s="1085">
        <v>22949137</v>
      </c>
      <c r="K30" s="840"/>
      <c r="M30" s="838" t="s">
        <v>796</v>
      </c>
    </row>
    <row r="31" spans="1:16">
      <c r="A31" s="1068" t="s">
        <v>540</v>
      </c>
      <c r="B31" s="1077">
        <v>5118720</v>
      </c>
      <c r="C31" s="1077">
        <v>5118720</v>
      </c>
    </row>
    <row r="32" spans="1:16">
      <c r="A32" s="1088" t="s">
        <v>653</v>
      </c>
      <c r="B32" s="1082">
        <v>662775</v>
      </c>
      <c r="C32" s="1082">
        <v>662775</v>
      </c>
    </row>
    <row r="33" spans="1:3">
      <c r="A33" s="1089" t="s">
        <v>152</v>
      </c>
      <c r="B33" s="1085">
        <v>862940</v>
      </c>
      <c r="C33" s="1085">
        <v>891510</v>
      </c>
    </row>
    <row r="34" spans="1:3">
      <c r="A34" s="1068" t="s">
        <v>153</v>
      </c>
      <c r="B34" s="1077">
        <v>15015416</v>
      </c>
      <c r="C34" s="1077">
        <v>15015516</v>
      </c>
    </row>
    <row r="35" spans="1:3">
      <c r="A35" s="1090" t="s">
        <v>361</v>
      </c>
      <c r="B35" s="1082">
        <v>11706004</v>
      </c>
      <c r="C35" s="1082">
        <v>11743104</v>
      </c>
    </row>
    <row r="36" spans="1:3">
      <c r="A36" s="1091" t="s">
        <v>155</v>
      </c>
      <c r="B36" s="1093">
        <v>360766256</v>
      </c>
      <c r="C36" s="1093">
        <v>367884826</v>
      </c>
    </row>
    <row r="37" spans="1:3">
      <c r="A37" s="1068"/>
      <c r="B37" s="1098"/>
      <c r="C37" s="1098"/>
    </row>
    <row r="38" spans="1:3">
      <c r="A38" s="1068"/>
      <c r="B38" s="1102"/>
      <c r="C38" s="1102"/>
    </row>
    <row r="39" spans="1:3">
      <c r="A39" s="1075" t="s">
        <v>156</v>
      </c>
      <c r="B39" s="1085"/>
      <c r="C39" s="1085"/>
    </row>
    <row r="40" spans="1:3">
      <c r="A40" s="1055" t="s">
        <v>586</v>
      </c>
      <c r="B40" s="1062">
        <v>9703838</v>
      </c>
      <c r="C40" s="1062">
        <v>9703838</v>
      </c>
    </row>
    <row r="41" spans="1:3">
      <c r="A41" s="1089" t="s">
        <v>158</v>
      </c>
      <c r="B41" s="1085">
        <v>7936500</v>
      </c>
      <c r="C41" s="1085">
        <v>7936500</v>
      </c>
    </row>
    <row r="42" spans="1:3">
      <c r="A42" s="1068" t="s">
        <v>159</v>
      </c>
      <c r="B42" s="1085">
        <v>4118163</v>
      </c>
      <c r="C42" s="1085">
        <v>4118163</v>
      </c>
    </row>
    <row r="43" spans="1:3">
      <c r="A43" s="1075" t="s">
        <v>160</v>
      </c>
      <c r="B43" s="1085">
        <v>1192166</v>
      </c>
      <c r="C43" s="1085">
        <v>1192166</v>
      </c>
    </row>
    <row r="44" spans="1:3">
      <c r="A44" s="1055" t="s">
        <v>161</v>
      </c>
      <c r="B44" s="1062">
        <v>1726379</v>
      </c>
      <c r="C44" s="1062">
        <v>1726379</v>
      </c>
    </row>
    <row r="45" spans="1:3">
      <c r="A45" s="1075" t="s">
        <v>632</v>
      </c>
      <c r="B45" s="1077">
        <v>758532</v>
      </c>
      <c r="C45" s="1077">
        <v>758632</v>
      </c>
    </row>
    <row r="46" spans="1:3">
      <c r="A46" s="1068" t="s">
        <v>162</v>
      </c>
      <c r="B46" s="1085">
        <v>13104324</v>
      </c>
      <c r="C46" s="1085">
        <v>13105614</v>
      </c>
    </row>
    <row r="47" spans="1:3">
      <c r="A47" s="1103" t="s">
        <v>697</v>
      </c>
      <c r="B47" s="1085">
        <v>4726477.6500000004</v>
      </c>
      <c r="C47" s="1085">
        <v>4750487.6500000004</v>
      </c>
    </row>
    <row r="48" spans="1:3">
      <c r="A48" s="1068" t="s">
        <v>163</v>
      </c>
      <c r="B48" s="1085">
        <v>1333131</v>
      </c>
      <c r="C48" s="1085">
        <v>1333231</v>
      </c>
    </row>
    <row r="49" spans="1:11">
      <c r="A49" s="1104" t="s">
        <v>698</v>
      </c>
      <c r="B49" s="1062">
        <v>26505267</v>
      </c>
      <c r="C49" s="1062">
        <v>26505267</v>
      </c>
    </row>
    <row r="50" spans="1:11">
      <c r="A50" s="1068" t="s">
        <v>362</v>
      </c>
      <c r="B50" s="1085">
        <v>4529766.9000000004</v>
      </c>
      <c r="C50" s="1085">
        <v>4529766.9000000004</v>
      </c>
    </row>
    <row r="51" spans="1:11">
      <c r="A51" s="1075" t="s">
        <v>699</v>
      </c>
      <c r="B51" s="1085">
        <v>746500</v>
      </c>
      <c r="C51" s="1085">
        <v>747190</v>
      </c>
    </row>
    <row r="52" spans="1:11">
      <c r="A52" s="1090" t="s">
        <v>164</v>
      </c>
      <c r="B52" s="1106">
        <v>9273405</v>
      </c>
      <c r="C52" s="1106">
        <v>9273405</v>
      </c>
    </row>
    <row r="53" spans="1:11">
      <c r="A53" s="1068" t="s">
        <v>165</v>
      </c>
      <c r="B53" s="1077">
        <v>13149700</v>
      </c>
      <c r="C53" s="1077">
        <v>13192460</v>
      </c>
    </row>
    <row r="54" spans="1:11">
      <c r="A54" s="1090" t="s">
        <v>167</v>
      </c>
      <c r="B54" s="1106">
        <v>43844669</v>
      </c>
      <c r="C54" s="1106">
        <v>43844669</v>
      </c>
    </row>
    <row r="55" spans="1:11">
      <c r="A55" s="1068" t="s">
        <v>680</v>
      </c>
      <c r="B55" s="1077">
        <v>32391502</v>
      </c>
      <c r="C55" s="1077">
        <v>32391502</v>
      </c>
    </row>
    <row r="56" spans="1:11">
      <c r="A56" s="1108" t="s">
        <v>169</v>
      </c>
      <c r="B56" s="1121">
        <v>175040320.55000001</v>
      </c>
      <c r="C56" s="1121">
        <v>175109270.55000001</v>
      </c>
    </row>
    <row r="57" spans="1:11" ht="16.5" thickBot="1">
      <c r="A57" s="1111" t="s">
        <v>170</v>
      </c>
      <c r="B57" s="1113">
        <v>616387855</v>
      </c>
      <c r="C57" s="1113">
        <v>616387855</v>
      </c>
    </row>
    <row r="58" spans="1:11" ht="16.5" thickTop="1">
      <c r="A58" s="1068"/>
      <c r="B58" s="350"/>
      <c r="C58" s="350"/>
      <c r="D58" s="350"/>
    </row>
    <row r="59" spans="1:11">
      <c r="B59" s="350"/>
      <c r="C59" s="350"/>
      <c r="D59" s="350"/>
    </row>
    <row r="60" spans="1:11">
      <c r="B60" s="350"/>
      <c r="C60" s="350"/>
      <c r="D60" s="350"/>
      <c r="E60" s="1125"/>
      <c r="F60" s="1125"/>
      <c r="G60" s="1125"/>
      <c r="H60" s="1125"/>
      <c r="I60" s="1125"/>
      <c r="J60" s="1125"/>
      <c r="K60" s="1125"/>
    </row>
    <row r="61" spans="1:11">
      <c r="B61" s="350"/>
      <c r="C61" s="350"/>
      <c r="D61" s="350"/>
      <c r="E61" s="1125"/>
      <c r="F61" s="1125"/>
      <c r="G61" s="1125"/>
      <c r="H61" s="1127"/>
      <c r="I61" s="1125"/>
      <c r="J61" s="1102"/>
      <c r="K61" s="1125"/>
    </row>
    <row r="62" spans="1:11">
      <c r="B62" s="350"/>
      <c r="C62" s="350"/>
      <c r="D62" s="350"/>
      <c r="J62" s="1128"/>
    </row>
    <row r="63" spans="1:11">
      <c r="B63" s="350"/>
      <c r="C63" s="350"/>
      <c r="D63" s="350"/>
    </row>
    <row r="64" spans="1:11">
      <c r="B64" s="350"/>
      <c r="C64" s="350"/>
      <c r="D64" s="350"/>
    </row>
    <row r="65" spans="2:4">
      <c r="B65" s="350"/>
      <c r="C65" s="350"/>
      <c r="D65" s="350"/>
    </row>
    <row r="66" spans="2:4">
      <c r="B66" s="350"/>
      <c r="C66" s="350"/>
      <c r="D66" s="350"/>
    </row>
    <row r="67" spans="2:4">
      <c r="B67" s="350"/>
      <c r="C67" s="350"/>
      <c r="D67" s="350"/>
    </row>
    <row r="68" spans="2:4">
      <c r="B68" s="350"/>
      <c r="C68" s="350"/>
      <c r="D68" s="350"/>
    </row>
    <row r="69" spans="2:4">
      <c r="B69" s="350"/>
      <c r="C69" s="350"/>
      <c r="D69" s="350"/>
    </row>
    <row r="70" spans="2:4">
      <c r="B70" s="350"/>
      <c r="C70" s="350"/>
      <c r="D70" s="350"/>
    </row>
    <row r="71" spans="2:4">
      <c r="B71" s="350"/>
      <c r="C71" s="350"/>
      <c r="D71" s="350"/>
    </row>
  </sheetData>
  <mergeCells count="3">
    <mergeCell ref="E15:H15"/>
    <mergeCell ref="J15:J16"/>
    <mergeCell ref="M15:M1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56"/>
  <sheetViews>
    <sheetView workbookViewId="0"/>
  </sheetViews>
  <sheetFormatPr defaultColWidth="8.85546875" defaultRowHeight="15"/>
  <cols>
    <col min="1" max="1" width="44.28515625" customWidth="1"/>
    <col min="2" max="2" width="23.42578125" bestFit="1" customWidth="1"/>
    <col min="3" max="3" width="20.42578125" bestFit="1" customWidth="1"/>
    <col min="4" max="4" width="16.7109375" bestFit="1" customWidth="1"/>
    <col min="6" max="6" width="10.42578125" customWidth="1"/>
    <col min="7" max="7" width="16.42578125" customWidth="1"/>
    <col min="8" max="8" width="14" bestFit="1" customWidth="1"/>
    <col min="9" max="9" width="13.42578125" bestFit="1" customWidth="1"/>
  </cols>
  <sheetData>
    <row r="1" spans="1:10" ht="18.75">
      <c r="A1" s="1" t="str">
        <f>"OSU Shared Responsibility Budget Model FY"&amp;RIGHT(B6,2)&amp;" Version"</f>
        <v>OSU Shared Responsibility Budget Model FY24 Version</v>
      </c>
      <c r="G1" s="1200" t="s">
        <v>535</v>
      </c>
      <c r="H1" s="1200"/>
      <c r="I1" s="1200"/>
      <c r="J1" s="1200"/>
    </row>
    <row r="2" spans="1:10">
      <c r="A2" s="2" t="s">
        <v>704</v>
      </c>
      <c r="B2" s="3">
        <v>43683</v>
      </c>
      <c r="G2" s="1200"/>
      <c r="H2" s="1200"/>
      <c r="I2" s="1200"/>
      <c r="J2" s="1200"/>
    </row>
    <row r="3" spans="1:10">
      <c r="G3" s="1200"/>
      <c r="H3" s="1200"/>
      <c r="I3" s="1200"/>
      <c r="J3" s="1200"/>
    </row>
    <row r="4" spans="1:10" ht="15.75">
      <c r="A4" s="4" t="s">
        <v>0</v>
      </c>
      <c r="G4" s="1200"/>
      <c r="H4" s="1200"/>
      <c r="I4" s="1200"/>
      <c r="J4" s="1200"/>
    </row>
    <row r="5" spans="1:10" ht="15.75" thickBot="1">
      <c r="G5" s="1200"/>
      <c r="H5" s="1200"/>
      <c r="I5" s="1200"/>
      <c r="J5" s="1200"/>
    </row>
    <row r="6" spans="1:10" ht="16.5" thickBot="1">
      <c r="A6" s="44" t="s">
        <v>37</v>
      </c>
      <c r="B6" s="45">
        <v>2024</v>
      </c>
      <c r="G6" s="1200"/>
      <c r="H6" s="1200"/>
      <c r="I6" s="1200"/>
      <c r="J6" s="1200"/>
    </row>
    <row r="7" spans="1:10" ht="32.25" thickBot="1">
      <c r="A7" s="44" t="s">
        <v>506</v>
      </c>
      <c r="B7" s="5" t="s">
        <v>1</v>
      </c>
      <c r="G7" s="1200"/>
      <c r="H7" s="1200"/>
      <c r="I7" s="1200"/>
      <c r="J7" s="1200"/>
    </row>
    <row r="8" spans="1:10" ht="15.75" thickBot="1"/>
    <row r="9" spans="1:10">
      <c r="A9" s="6" t="s">
        <v>3</v>
      </c>
      <c r="B9" s="459"/>
      <c r="C9" s="460">
        <v>3.5000000000000003E-2</v>
      </c>
      <c r="D9" s="230"/>
      <c r="E9" s="231"/>
      <c r="I9" s="405"/>
    </row>
    <row r="10" spans="1:10">
      <c r="A10" s="7" t="s">
        <v>4</v>
      </c>
      <c r="B10" s="457"/>
      <c r="C10" s="461">
        <v>0.02</v>
      </c>
      <c r="D10" s="49"/>
      <c r="E10" s="234"/>
      <c r="I10" s="405"/>
    </row>
    <row r="11" spans="1:10">
      <c r="A11" s="7" t="s">
        <v>5</v>
      </c>
      <c r="B11" s="457"/>
      <c r="C11" s="461">
        <v>0</v>
      </c>
      <c r="D11" s="49"/>
      <c r="E11" s="234"/>
      <c r="I11" s="405"/>
    </row>
    <row r="12" spans="1:10">
      <c r="A12" s="8" t="s">
        <v>507</v>
      </c>
      <c r="B12" s="458"/>
      <c r="C12" s="462" t="s">
        <v>1</v>
      </c>
      <c r="D12" s="49" t="s">
        <v>480</v>
      </c>
      <c r="E12" s="234"/>
      <c r="I12" s="405"/>
    </row>
    <row r="13" spans="1:10">
      <c r="A13" s="8"/>
      <c r="B13" s="458" t="s">
        <v>416</v>
      </c>
      <c r="C13" s="463">
        <v>0.65</v>
      </c>
      <c r="D13" s="49" t="s">
        <v>480</v>
      </c>
      <c r="E13" s="234"/>
    </row>
    <row r="14" spans="1:10" ht="30" customHeight="1">
      <c r="A14" s="464" t="s">
        <v>508</v>
      </c>
      <c r="B14" s="49"/>
      <c r="C14" s="462" t="s">
        <v>1</v>
      </c>
      <c r="D14" s="49" t="s">
        <v>479</v>
      </c>
      <c r="E14" s="234"/>
    </row>
    <row r="15" spans="1:10">
      <c r="A15" s="8"/>
      <c r="B15" s="49" t="s">
        <v>482</v>
      </c>
      <c r="C15" s="465">
        <v>2.7690000000000001</v>
      </c>
      <c r="E15" s="234"/>
    </row>
    <row r="16" spans="1:10" ht="30">
      <c r="A16" s="464" t="s">
        <v>509</v>
      </c>
      <c r="B16" s="49"/>
      <c r="C16" s="465" t="s">
        <v>1</v>
      </c>
      <c r="D16" s="125" t="s">
        <v>481</v>
      </c>
      <c r="E16" s="234"/>
    </row>
    <row r="17" spans="1:6" ht="30.75" thickBot="1">
      <c r="A17" s="477" t="s">
        <v>510</v>
      </c>
      <c r="B17" s="256"/>
      <c r="C17" s="466" t="s">
        <v>1</v>
      </c>
      <c r="D17" s="256" t="s">
        <v>479</v>
      </c>
      <c r="E17" s="257"/>
    </row>
    <row r="20" spans="1:6" ht="16.5" thickBot="1">
      <c r="A20" s="4" t="s">
        <v>6</v>
      </c>
    </row>
    <row r="21" spans="1:6" ht="16.5" thickBot="1">
      <c r="A21" s="9" t="s">
        <v>7</v>
      </c>
      <c r="B21" s="10" t="s">
        <v>8</v>
      </c>
      <c r="C21" s="11" t="s">
        <v>9</v>
      </c>
      <c r="D21" s="11" t="s">
        <v>10</v>
      </c>
    </row>
    <row r="22" spans="1:6" ht="15.75">
      <c r="A22" s="12" t="s">
        <v>11</v>
      </c>
      <c r="B22" s="262" t="s">
        <v>12</v>
      </c>
      <c r="C22" s="1211">
        <v>0.45</v>
      </c>
      <c r="D22" s="1214">
        <f>C22*('Productivity Split'!C15-D$37-D$38)</f>
        <v>64908889.200000003</v>
      </c>
    </row>
    <row r="23" spans="1:6" ht="15.75">
      <c r="A23" s="14"/>
      <c r="B23" s="286">
        <v>0.70499999999999996</v>
      </c>
      <c r="C23" s="1212"/>
      <c r="D23" s="1215"/>
    </row>
    <row r="24" spans="1:6" ht="15.75">
      <c r="A24" s="14"/>
      <c r="B24" s="263" t="s">
        <v>13</v>
      </c>
      <c r="C24" s="1213"/>
      <c r="D24" s="1215"/>
    </row>
    <row r="25" spans="1:6" ht="15.75">
      <c r="A25" s="14"/>
      <c r="B25" s="286">
        <v>1.0169999999999999</v>
      </c>
      <c r="C25" s="1213"/>
      <c r="D25" s="1215"/>
    </row>
    <row r="26" spans="1:6" ht="15.75">
      <c r="A26" s="14"/>
      <c r="B26" s="263" t="s">
        <v>14</v>
      </c>
      <c r="C26" s="1213"/>
      <c r="D26" s="1215"/>
    </row>
    <row r="27" spans="1:6" ht="15.75">
      <c r="A27" s="14"/>
      <c r="B27" s="286">
        <v>2.0489999999999999</v>
      </c>
      <c r="C27" s="16"/>
      <c r="D27" s="17"/>
    </row>
    <row r="28" spans="1:6" ht="16.5" thickBot="1">
      <c r="A28" s="18"/>
      <c r="B28" s="19" t="s">
        <v>15</v>
      </c>
      <c r="C28" s="20">
        <v>5.0000000000000001E-3</v>
      </c>
      <c r="D28" s="21">
        <f>C28*('Productivity Split'!C15-D$37-D$38)</f>
        <v>721209.88</v>
      </c>
    </row>
    <row r="29" spans="1:6" ht="15.75">
      <c r="A29" s="12" t="s">
        <v>16</v>
      </c>
      <c r="B29" s="13" t="s">
        <v>17</v>
      </c>
      <c r="C29" s="22">
        <v>0.15</v>
      </c>
      <c r="D29" s="279">
        <f>C29*('Productivity Split'!C15-D$37-D$38)</f>
        <v>21636296.399999999</v>
      </c>
    </row>
    <row r="30" spans="1:6" ht="16.5" thickBot="1">
      <c r="A30" s="18"/>
      <c r="B30" s="19" t="s">
        <v>18</v>
      </c>
      <c r="C30" s="20">
        <v>0.12</v>
      </c>
      <c r="D30" s="278">
        <f>C30*('Productivity Split'!C15-D$37-D$38)</f>
        <v>17309037.120000001</v>
      </c>
    </row>
    <row r="31" spans="1:6" ht="15.75">
      <c r="A31" s="12" t="s">
        <v>19</v>
      </c>
      <c r="B31" s="13" t="s">
        <v>20</v>
      </c>
      <c r="C31" s="22">
        <v>0.105</v>
      </c>
      <c r="D31" s="279">
        <f>C31*('Productivity Split'!C15-D$37-D$38)</f>
        <v>15145407.479999999</v>
      </c>
    </row>
    <row r="32" spans="1:6" ht="15.75">
      <c r="A32" s="412" t="s">
        <v>379</v>
      </c>
      <c r="B32" s="15"/>
      <c r="C32" s="410"/>
      <c r="D32" s="411"/>
      <c r="F32" s="232"/>
    </row>
    <row r="33" spans="1:9" ht="15.75">
      <c r="A33" s="412" t="s">
        <v>380</v>
      </c>
      <c r="B33" s="286">
        <v>1.2</v>
      </c>
      <c r="C33" s="410"/>
      <c r="D33" s="411"/>
      <c r="F33" s="232"/>
    </row>
    <row r="34" spans="1:9" ht="15.75">
      <c r="A34" s="412" t="s">
        <v>435</v>
      </c>
      <c r="B34" s="286">
        <v>0.83330000000000004</v>
      </c>
      <c r="C34" s="410"/>
      <c r="D34" s="411"/>
    </row>
    <row r="35" spans="1:9" ht="15.75">
      <c r="A35" s="412" t="s">
        <v>436</v>
      </c>
      <c r="B35" s="286">
        <f>1-B34</f>
        <v>0.16669999999999996</v>
      </c>
      <c r="C35" s="410"/>
      <c r="D35" s="411"/>
    </row>
    <row r="36" spans="1:9" ht="16.5" thickBot="1">
      <c r="A36" s="18"/>
      <c r="B36" s="23" t="s">
        <v>21</v>
      </c>
      <c r="C36" s="20">
        <v>6.5000000000000002E-2</v>
      </c>
      <c r="D36" s="278">
        <f>C36*('Productivity Split'!C15-D$37-D$38)</f>
        <v>9375728.4399999995</v>
      </c>
      <c r="F36" s="606"/>
      <c r="G36" s="606"/>
      <c r="H36" s="606"/>
      <c r="I36" s="606"/>
    </row>
    <row r="37" spans="1:9" ht="16.5" thickBot="1">
      <c r="A37" s="1201" t="s">
        <v>22</v>
      </c>
      <c r="B37" s="13" t="s">
        <v>166</v>
      </c>
      <c r="C37" s="24"/>
      <c r="D37" s="469">
        <f>+Ecampus!B25</f>
        <v>107705000</v>
      </c>
      <c r="F37" s="1210"/>
      <c r="G37" s="1210"/>
      <c r="H37" s="1210"/>
      <c r="I37" s="1210"/>
    </row>
    <row r="38" spans="1:9" ht="15.75">
      <c r="A38" s="1202"/>
      <c r="B38" s="15" t="s">
        <v>94</v>
      </c>
      <c r="C38" s="25" t="s">
        <v>23</v>
      </c>
      <c r="D38" s="469">
        <f>+Summer!B25</f>
        <v>5457000</v>
      </c>
      <c r="F38" s="260"/>
      <c r="G38" s="607"/>
      <c r="H38" s="607"/>
      <c r="I38" s="607"/>
    </row>
    <row r="39" spans="1:9" ht="31.5">
      <c r="A39" s="1202"/>
      <c r="B39" s="15" t="s">
        <v>24</v>
      </c>
      <c r="C39" s="25"/>
      <c r="D39" s="26">
        <v>0</v>
      </c>
      <c r="F39" s="260"/>
      <c r="G39" s="125"/>
      <c r="H39" s="125"/>
      <c r="I39" s="125"/>
    </row>
    <row r="40" spans="1:9" ht="32.25" thickBot="1">
      <c r="A40" s="1203"/>
      <c r="B40" s="23" t="s">
        <v>25</v>
      </c>
      <c r="C40" s="27">
        <v>0</v>
      </c>
      <c r="D40" s="28">
        <v>0</v>
      </c>
      <c r="F40" s="608"/>
      <c r="G40" s="609"/>
      <c r="H40" s="610"/>
      <c r="I40" s="610"/>
    </row>
    <row r="41" spans="1:9" ht="32.25" thickBot="1">
      <c r="A41" s="29" t="s">
        <v>26</v>
      </c>
      <c r="B41" s="30" t="s">
        <v>27</v>
      </c>
      <c r="C41" s="473">
        <v>0.06</v>
      </c>
      <c r="D41" s="21">
        <f>C41*('Productivity Split'!C15-D$37-D$38)</f>
        <v>8654518.5600000005</v>
      </c>
      <c r="F41" s="608"/>
      <c r="G41" s="609"/>
      <c r="H41" s="610"/>
      <c r="I41" s="610"/>
    </row>
    <row r="42" spans="1:9" ht="31.5">
      <c r="A42" s="31" t="s">
        <v>28</v>
      </c>
      <c r="B42" s="32" t="s">
        <v>29</v>
      </c>
      <c r="C42" s="1204">
        <v>0.04</v>
      </c>
      <c r="D42" s="1207">
        <f>C42*('Productivity Split'!C15-D37-D38)</f>
        <v>5769679.04</v>
      </c>
      <c r="F42" s="125"/>
      <c r="G42" s="609"/>
      <c r="H42" s="611"/>
      <c r="I42" s="611"/>
    </row>
    <row r="43" spans="1:9" ht="15.75">
      <c r="A43" s="33" t="s">
        <v>590</v>
      </c>
      <c r="B43" s="287">
        <v>1.4</v>
      </c>
      <c r="C43" s="1205"/>
      <c r="D43" s="1208"/>
      <c r="F43" s="260"/>
      <c r="G43" s="609"/>
      <c r="H43" s="611"/>
      <c r="I43" s="611"/>
    </row>
    <row r="44" spans="1:9" ht="15.75">
      <c r="A44" s="33" t="s">
        <v>30</v>
      </c>
      <c r="B44" s="287">
        <v>1.2</v>
      </c>
      <c r="C44" s="1205"/>
      <c r="D44" s="1208"/>
      <c r="F44" s="608"/>
      <c r="G44" s="611"/>
      <c r="H44" s="611"/>
      <c r="I44" s="611"/>
    </row>
    <row r="45" spans="1:9" ht="15.75">
      <c r="A45" s="33" t="s">
        <v>31</v>
      </c>
      <c r="B45" s="287">
        <v>0.3</v>
      </c>
      <c r="C45" s="1205"/>
      <c r="D45" s="1208"/>
      <c r="F45" s="608"/>
      <c r="G45" s="611"/>
      <c r="H45" s="611"/>
      <c r="I45" s="611"/>
    </row>
    <row r="46" spans="1:9" ht="15.75">
      <c r="A46" s="33"/>
      <c r="B46" s="34"/>
      <c r="C46" s="1205"/>
      <c r="D46" s="1208"/>
      <c r="F46" s="260"/>
      <c r="G46" s="541"/>
      <c r="H46" s="612"/>
      <c r="I46" s="612"/>
    </row>
    <row r="47" spans="1:9" ht="16.5" thickBot="1">
      <c r="A47" s="33"/>
      <c r="B47" s="34"/>
      <c r="C47" s="1206"/>
      <c r="D47" s="1209"/>
      <c r="F47" s="125"/>
      <c r="G47" s="125"/>
      <c r="H47" s="125"/>
      <c r="I47" s="125"/>
    </row>
    <row r="48" spans="1:9" ht="16.5" thickBot="1">
      <c r="A48" s="35" t="s">
        <v>32</v>
      </c>
      <c r="B48" s="36"/>
      <c r="C48" s="37">
        <v>5.0000000000000001E-3</v>
      </c>
      <c r="D48" s="21">
        <f>C48*('Productivity Split'!C15-D$37-D$38)</f>
        <v>721209.88</v>
      </c>
      <c r="F48" s="125"/>
      <c r="G48" s="125"/>
      <c r="H48" s="125"/>
      <c r="I48" s="125"/>
    </row>
    <row r="49" spans="1:9">
      <c r="A49" s="38"/>
      <c r="B49" s="38"/>
      <c r="C49" s="38"/>
      <c r="D49" s="38"/>
      <c r="F49" s="125"/>
      <c r="G49" s="613"/>
      <c r="H49" s="125"/>
      <c r="I49" s="125"/>
    </row>
    <row r="50" spans="1:9">
      <c r="A50" s="39"/>
      <c r="B50" s="39"/>
      <c r="C50" s="39"/>
      <c r="D50" s="39"/>
      <c r="F50" s="125"/>
      <c r="G50" s="613"/>
      <c r="H50" s="125"/>
      <c r="I50" s="125"/>
    </row>
    <row r="51" spans="1:9" ht="15.75">
      <c r="A51" s="40" t="s">
        <v>33</v>
      </c>
      <c r="B51" s="40"/>
      <c r="C51" s="41">
        <f>SUM(C22:C48)</f>
        <v>1</v>
      </c>
      <c r="D51" s="42">
        <f>SUM(D22:D48)</f>
        <v>257403976</v>
      </c>
      <c r="F51" s="125"/>
      <c r="G51" s="613"/>
      <c r="H51" s="125"/>
      <c r="I51" s="125"/>
    </row>
    <row r="52" spans="1:9">
      <c r="F52" s="125"/>
      <c r="G52" s="613"/>
      <c r="H52" s="125"/>
      <c r="I52" s="125"/>
    </row>
    <row r="53" spans="1:9" ht="15.75">
      <c r="A53" s="4" t="s">
        <v>34</v>
      </c>
      <c r="B53" s="39"/>
      <c r="C53" s="39"/>
      <c r="F53" s="125"/>
      <c r="G53" s="125"/>
      <c r="H53" s="125"/>
      <c r="I53" s="125"/>
    </row>
    <row r="54" spans="1:9">
      <c r="A54" s="39" t="s">
        <v>35</v>
      </c>
      <c r="B54" s="39"/>
      <c r="C54" s="39"/>
    </row>
    <row r="55" spans="1:9">
      <c r="A55" s="39"/>
      <c r="B55" s="39"/>
      <c r="C55" s="39"/>
    </row>
    <row r="56" spans="1:9" ht="15.75">
      <c r="A56" s="43" t="s">
        <v>36</v>
      </c>
      <c r="B56" s="43"/>
      <c r="C56" s="42">
        <f>+'Productivity Split'!C17</f>
        <v>199014116</v>
      </c>
    </row>
  </sheetData>
  <mergeCells count="7">
    <mergeCell ref="A37:A40"/>
    <mergeCell ref="C42:C47"/>
    <mergeCell ref="D42:D47"/>
    <mergeCell ref="G1:J7"/>
    <mergeCell ref="F37:I37"/>
    <mergeCell ref="C22:C26"/>
    <mergeCell ref="D22:D26"/>
  </mergeCells>
  <dataValidations count="5">
    <dataValidation type="decimal" allowBlank="1" showInputMessage="1" showErrorMessage="1" error="Must be 0% to 8%" prompt="Must be beween 0% and 8%" sqref="C48 C41">
      <formula1>0</formula1>
      <formula2>0.08</formula2>
    </dataValidation>
    <dataValidation type="decimal" allowBlank="1" showInputMessage="1" showErrorMessage="1" error="Must be 0% to 35%" prompt="Must be 0% to 35%" sqref="C29:C30">
      <formula1>0</formula1>
      <formula2>0.35</formula2>
    </dataValidation>
    <dataValidation type="decimal" allowBlank="1" showInputMessage="1" showErrorMessage="1" error="Must be 0% to 30%" prompt="Must be 0% to 30%" sqref="C30">
      <formula1>0</formula1>
      <formula2>0.35</formula2>
    </dataValidation>
    <dataValidation type="decimal" allowBlank="1" showInputMessage="1" showErrorMessage="1" error="Must be 0% to 30%" prompt="Must be 0% to 30%" sqref="C31:C36">
      <formula1>0</formula1>
      <formula2>0.3</formula2>
    </dataValidation>
    <dataValidation type="decimal" allowBlank="1" showInputMessage="1" showErrorMessage="1" error="Must be 0% to 5%" prompt="Between 0% and 5%" sqref="C28">
      <formula1>0</formula1>
      <formula2>0.05</formula2>
    </dataValidation>
  </dataValidation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sheetPr>
  <dimension ref="A1:Q71"/>
  <sheetViews>
    <sheetView workbookViewId="0">
      <selection activeCell="H21" sqref="H21"/>
    </sheetView>
  </sheetViews>
  <sheetFormatPr defaultColWidth="8.85546875" defaultRowHeight="15"/>
  <cols>
    <col min="1" max="2" width="4" customWidth="1"/>
    <col min="3" max="3" width="3.85546875" customWidth="1"/>
    <col min="4" max="4" width="21.85546875" customWidth="1"/>
    <col min="5" max="5" width="17.7109375" customWidth="1"/>
    <col min="6" max="6" width="21.28515625" customWidth="1"/>
    <col min="7" max="7" width="1.7109375" customWidth="1"/>
    <col min="8" max="8" width="19.42578125" customWidth="1"/>
    <col min="9" max="9" width="21.140625" customWidth="1"/>
    <col min="10" max="10" width="12.42578125" customWidth="1"/>
    <col min="11" max="11" width="28.85546875" customWidth="1"/>
    <col min="12" max="12" width="21" customWidth="1"/>
    <col min="13" max="13" width="17.42578125" customWidth="1"/>
    <col min="14" max="14" width="15.28515625" bestFit="1" customWidth="1"/>
    <col min="15" max="15" width="14.28515625" bestFit="1" customWidth="1"/>
    <col min="16" max="16" width="16" bestFit="1" customWidth="1"/>
  </cols>
  <sheetData>
    <row r="1" spans="1:16" ht="21" customHeight="1">
      <c r="A1" s="1216" t="s">
        <v>38</v>
      </c>
      <c r="B1" s="1216"/>
      <c r="C1" s="1216"/>
      <c r="D1" s="1216"/>
      <c r="E1" s="46"/>
      <c r="F1" s="1217" t="str">
        <f>"FY"&amp;RIGHT(Dashboard!B6,2)</f>
        <v>FY24</v>
      </c>
      <c r="G1" s="1218"/>
      <c r="H1" s="1218"/>
      <c r="I1" s="1219"/>
      <c r="K1" s="1221" t="s">
        <v>536</v>
      </c>
      <c r="L1" s="1221"/>
      <c r="M1" s="1221"/>
    </row>
    <row r="2" spans="1:16" ht="19.5">
      <c r="A2" s="1220" t="s">
        <v>39</v>
      </c>
      <c r="B2" s="1220"/>
      <c r="C2" s="1220"/>
      <c r="D2" s="1220"/>
      <c r="E2" s="46"/>
      <c r="F2" s="50" t="s">
        <v>40</v>
      </c>
      <c r="G2" s="51"/>
      <c r="H2" s="52" t="s">
        <v>41</v>
      </c>
      <c r="I2" s="130"/>
      <c r="K2" s="1221"/>
      <c r="L2" s="1221"/>
      <c r="M2" s="1221"/>
    </row>
    <row r="3" spans="1:16" ht="18">
      <c r="A3" s="53"/>
      <c r="B3" s="54"/>
      <c r="D3" s="55"/>
      <c r="E3" s="55"/>
      <c r="F3" s="56" t="s">
        <v>42</v>
      </c>
      <c r="G3" s="57"/>
      <c r="H3" s="58" t="s">
        <v>42</v>
      </c>
      <c r="I3" s="131" t="s">
        <v>43</v>
      </c>
      <c r="K3" s="1221"/>
      <c r="L3" s="1221"/>
      <c r="M3" s="1221"/>
    </row>
    <row r="4" spans="1:16" ht="15.75">
      <c r="A4" s="55"/>
      <c r="B4" s="55"/>
      <c r="C4" s="55"/>
      <c r="D4" s="55"/>
      <c r="E4" s="55"/>
      <c r="F4" s="60"/>
      <c r="G4" s="61"/>
      <c r="H4" s="62"/>
      <c r="I4" s="47"/>
      <c r="K4" s="1221"/>
      <c r="L4" s="1221"/>
      <c r="M4" s="1221"/>
    </row>
    <row r="5" spans="1:16" ht="18">
      <c r="A5" s="63" t="s">
        <v>44</v>
      </c>
      <c r="B5" s="64"/>
      <c r="C5" s="55"/>
      <c r="D5" s="55"/>
      <c r="E5" s="55"/>
      <c r="F5" s="65"/>
      <c r="G5" s="61"/>
      <c r="H5" s="62"/>
      <c r="I5" s="47"/>
      <c r="J5" s="80"/>
      <c r="K5" s="1221"/>
      <c r="L5" s="1221"/>
      <c r="M5" s="1221"/>
    </row>
    <row r="6" spans="1:16" ht="18">
      <c r="A6" s="64"/>
      <c r="B6" s="64" t="s">
        <v>45</v>
      </c>
      <c r="C6" s="64"/>
      <c r="D6" s="64"/>
      <c r="E6" s="809"/>
      <c r="F6" s="67">
        <v>75455810</v>
      </c>
      <c r="G6" s="66"/>
      <c r="H6" s="70">
        <v>0</v>
      </c>
      <c r="I6" s="70">
        <f>+F6+H6</f>
        <v>75455810</v>
      </c>
      <c r="J6" s="1191"/>
      <c r="K6" s="1221"/>
      <c r="L6" s="1221"/>
      <c r="M6" s="1221"/>
      <c r="N6" s="218"/>
      <c r="O6" s="1169"/>
      <c r="P6" s="218"/>
    </row>
    <row r="7" spans="1:16" ht="18">
      <c r="A7" s="64"/>
      <c r="B7" s="64" t="s">
        <v>46</v>
      </c>
      <c r="C7" s="64"/>
      <c r="D7" s="64"/>
      <c r="E7" s="809"/>
      <c r="F7" s="67">
        <v>55592951</v>
      </c>
      <c r="G7" s="66"/>
      <c r="H7" s="70">
        <v>0</v>
      </c>
      <c r="I7" s="70">
        <f t="shared" ref="I7:I13" si="0">+F7+H7</f>
        <v>55592951</v>
      </c>
      <c r="J7" s="1191"/>
      <c r="K7" s="1221"/>
      <c r="L7" s="1221"/>
      <c r="M7" s="1221"/>
      <c r="N7" s="218"/>
      <c r="O7" s="1169"/>
      <c r="P7" s="218"/>
    </row>
    <row r="8" spans="1:16" ht="18">
      <c r="B8" s="64" t="s">
        <v>47</v>
      </c>
      <c r="C8" s="64"/>
      <c r="D8" s="64"/>
      <c r="E8" s="64"/>
      <c r="F8" s="67">
        <v>0</v>
      </c>
      <c r="G8" s="66"/>
      <c r="H8" s="70">
        <v>0</v>
      </c>
      <c r="I8" s="70">
        <f t="shared" si="0"/>
        <v>0</v>
      </c>
      <c r="J8" s="1191"/>
      <c r="N8" s="218"/>
      <c r="O8" s="1169"/>
      <c r="P8" s="218"/>
    </row>
    <row r="9" spans="1:16" ht="18">
      <c r="B9" s="64" t="s">
        <v>48</v>
      </c>
      <c r="C9" s="64"/>
      <c r="D9" s="64"/>
      <c r="E9" s="64"/>
      <c r="F9" s="67">
        <v>0</v>
      </c>
      <c r="G9" s="66"/>
      <c r="H9" s="70">
        <v>0</v>
      </c>
      <c r="I9" s="70">
        <f t="shared" si="0"/>
        <v>0</v>
      </c>
      <c r="J9" s="1191"/>
      <c r="N9" s="218"/>
      <c r="O9" s="1169"/>
      <c r="P9" s="218"/>
    </row>
    <row r="10" spans="1:16" ht="18">
      <c r="B10" s="64" t="s">
        <v>49</v>
      </c>
      <c r="C10" s="64"/>
      <c r="D10" s="64"/>
      <c r="E10" s="64"/>
      <c r="F10" s="67">
        <v>0</v>
      </c>
      <c r="G10" s="66"/>
      <c r="H10" s="70"/>
      <c r="I10" s="70">
        <f t="shared" si="0"/>
        <v>0</v>
      </c>
      <c r="J10" s="1191"/>
      <c r="N10" s="218"/>
      <c r="O10" s="1169"/>
      <c r="P10" s="218"/>
    </row>
    <row r="11" spans="1:16" s="808" customFormat="1" ht="18">
      <c r="B11" s="64"/>
      <c r="C11" s="64" t="s">
        <v>608</v>
      </c>
      <c r="D11" s="64"/>
      <c r="E11" s="64"/>
      <c r="F11" s="67">
        <v>3246946</v>
      </c>
      <c r="G11" s="66"/>
      <c r="H11" s="70"/>
      <c r="I11" s="70">
        <f t="shared" si="0"/>
        <v>3246946</v>
      </c>
      <c r="J11" s="1191"/>
      <c r="K11" s="141"/>
      <c r="N11" s="218"/>
      <c r="O11" s="1169"/>
      <c r="P11" s="218"/>
    </row>
    <row r="12" spans="1:16" s="808" customFormat="1" ht="18">
      <c r="B12" s="64"/>
      <c r="C12" s="64" t="s">
        <v>133</v>
      </c>
      <c r="D12" s="64"/>
      <c r="E12" s="64"/>
      <c r="F12" s="67">
        <v>2799093</v>
      </c>
      <c r="G12" s="66"/>
      <c r="H12" s="70"/>
      <c r="I12" s="70">
        <f t="shared" si="0"/>
        <v>2799093</v>
      </c>
      <c r="J12" s="1191"/>
      <c r="N12" s="218"/>
      <c r="O12" s="1169"/>
      <c r="P12" s="218"/>
    </row>
    <row r="13" spans="1:16" s="808" customFormat="1" ht="18">
      <c r="B13" s="64"/>
      <c r="C13" s="64" t="s">
        <v>661</v>
      </c>
      <c r="D13" s="64"/>
      <c r="E13" s="64"/>
      <c r="F13" s="67">
        <v>5262295</v>
      </c>
      <c r="G13" s="66"/>
      <c r="H13" s="70"/>
      <c r="I13" s="70">
        <f t="shared" si="0"/>
        <v>5262295</v>
      </c>
      <c r="J13" s="1191"/>
      <c r="N13" s="218"/>
      <c r="O13" s="1169"/>
      <c r="P13" s="218"/>
    </row>
    <row r="14" spans="1:16" ht="18">
      <c r="A14" s="72" t="s">
        <v>53</v>
      </c>
      <c r="B14" s="71"/>
      <c r="C14" s="66"/>
      <c r="D14" s="66"/>
      <c r="E14" s="66"/>
      <c r="F14" s="73">
        <f>SUM(F6:F13)</f>
        <v>142357095</v>
      </c>
      <c r="G14" s="74">
        <f>SUM(G6:G13)</f>
        <v>0</v>
      </c>
      <c r="H14" s="75">
        <f>SUM(H6:H13)</f>
        <v>0</v>
      </c>
      <c r="I14" s="1172">
        <f>SUM(I6:I13)</f>
        <v>142357095</v>
      </c>
      <c r="J14" s="1191"/>
      <c r="K14" s="523"/>
      <c r="N14" s="218"/>
      <c r="O14" s="1169"/>
      <c r="P14" s="218"/>
    </row>
    <row r="15" spans="1:16" ht="18">
      <c r="A15" s="76" t="s">
        <v>54</v>
      </c>
      <c r="B15" s="71"/>
      <c r="C15" s="66"/>
      <c r="D15" s="66"/>
      <c r="E15" s="66"/>
      <c r="F15" s="77"/>
      <c r="G15" s="78"/>
      <c r="H15" s="79"/>
      <c r="I15" s="1173"/>
      <c r="J15" s="1191"/>
      <c r="K15" s="826" t="s">
        <v>665</v>
      </c>
      <c r="L15" s="827"/>
      <c r="N15" s="218"/>
      <c r="O15" s="1169"/>
      <c r="P15" s="218"/>
    </row>
    <row r="16" spans="1:16" ht="18">
      <c r="A16" s="80"/>
      <c r="B16" s="71" t="s">
        <v>693</v>
      </c>
      <c r="C16" s="66"/>
      <c r="D16" s="66"/>
      <c r="E16" s="66"/>
      <c r="F16" s="67">
        <v>0</v>
      </c>
      <c r="G16" s="66"/>
      <c r="H16" s="70">
        <v>8405471</v>
      </c>
      <c r="I16" s="70">
        <f>H16</f>
        <v>8405471</v>
      </c>
      <c r="J16" s="1191"/>
      <c r="K16" s="967" t="s">
        <v>50</v>
      </c>
      <c r="L16" s="968"/>
      <c r="M16" s="218"/>
      <c r="N16" s="218"/>
      <c r="O16" s="1169"/>
      <c r="P16" s="218"/>
    </row>
    <row r="17" spans="1:16" ht="18">
      <c r="A17" s="80"/>
      <c r="B17" s="71" t="s">
        <v>55</v>
      </c>
      <c r="C17" s="66"/>
      <c r="D17" s="66"/>
      <c r="E17" s="66"/>
      <c r="F17" s="67">
        <v>0</v>
      </c>
      <c r="G17" s="66"/>
      <c r="H17" s="70">
        <v>766378</v>
      </c>
      <c r="I17" s="70">
        <f t="shared" ref="I17:I26" si="1">H17</f>
        <v>766378</v>
      </c>
      <c r="J17" s="1191"/>
      <c r="K17" s="967" t="s">
        <v>51</v>
      </c>
      <c r="L17" s="968"/>
      <c r="O17" s="1169"/>
      <c r="P17" s="218"/>
    </row>
    <row r="18" spans="1:16" ht="18">
      <c r="A18" s="80"/>
      <c r="B18" s="71" t="s">
        <v>56</v>
      </c>
      <c r="C18" s="66"/>
      <c r="D18" s="66"/>
      <c r="E18" s="66"/>
      <c r="F18" s="67">
        <v>0</v>
      </c>
      <c r="G18" s="66"/>
      <c r="H18" s="70">
        <v>305583</v>
      </c>
      <c r="I18" s="70">
        <f t="shared" si="1"/>
        <v>305583</v>
      </c>
      <c r="J18" s="1191"/>
      <c r="K18" s="565" t="s">
        <v>118</v>
      </c>
      <c r="L18" s="823">
        <f>+ROUND(1902363*0.8,0)</f>
        <v>1521890</v>
      </c>
      <c r="O18" s="1169"/>
      <c r="P18" s="218"/>
    </row>
    <row r="19" spans="1:16" ht="18">
      <c r="A19" s="80"/>
      <c r="B19" s="71" t="s">
        <v>57</v>
      </c>
      <c r="C19" s="66"/>
      <c r="D19" s="66"/>
      <c r="E19" s="66"/>
      <c r="F19" s="67">
        <v>0</v>
      </c>
      <c r="G19" s="66"/>
      <c r="H19" s="70">
        <v>383189</v>
      </c>
      <c r="I19" s="70">
        <f t="shared" si="1"/>
        <v>383189</v>
      </c>
      <c r="J19" s="1191"/>
      <c r="K19" s="565" t="s">
        <v>662</v>
      </c>
      <c r="L19" s="823">
        <v>45462</v>
      </c>
      <c r="O19" s="1169"/>
      <c r="P19" s="218"/>
    </row>
    <row r="20" spans="1:16" ht="18">
      <c r="B20" s="81" t="s">
        <v>58</v>
      </c>
      <c r="C20" s="68"/>
      <c r="D20" s="68"/>
      <c r="E20" s="68"/>
      <c r="F20" s="67">
        <v>0</v>
      </c>
      <c r="G20" s="82"/>
      <c r="H20" s="70">
        <v>246744</v>
      </c>
      <c r="I20" s="70">
        <f t="shared" si="1"/>
        <v>246744</v>
      </c>
      <c r="J20" s="1191"/>
      <c r="K20" s="824" t="s">
        <v>663</v>
      </c>
      <c r="L20" s="825">
        <v>67459</v>
      </c>
      <c r="O20" s="1169"/>
      <c r="P20" s="218"/>
    </row>
    <row r="21" spans="1:16" ht="18">
      <c r="A21" s="81"/>
      <c r="B21" s="81" t="s">
        <v>59</v>
      </c>
      <c r="C21" s="68"/>
      <c r="D21" s="68"/>
      <c r="E21" s="68"/>
      <c r="F21" s="67">
        <v>0</v>
      </c>
      <c r="G21" s="82"/>
      <c r="H21" s="70">
        <v>325590</v>
      </c>
      <c r="I21" s="70">
        <f t="shared" si="1"/>
        <v>325590</v>
      </c>
      <c r="J21" s="1191"/>
      <c r="K21" s="826"/>
      <c r="L21" s="828">
        <f>SUM(L16:L20)</f>
        <v>1634811</v>
      </c>
      <c r="O21" s="1169"/>
      <c r="P21" s="218"/>
    </row>
    <row r="22" spans="1:16" ht="18">
      <c r="A22" s="81"/>
      <c r="B22" s="81" t="s">
        <v>60</v>
      </c>
      <c r="C22" s="68"/>
      <c r="D22" s="68"/>
      <c r="E22" s="68"/>
      <c r="F22" s="67">
        <v>0</v>
      </c>
      <c r="G22" s="82"/>
      <c r="H22" s="70">
        <v>2101651</v>
      </c>
      <c r="I22" s="70">
        <f t="shared" si="1"/>
        <v>2101651</v>
      </c>
      <c r="J22" s="1191"/>
      <c r="O22" s="1169"/>
      <c r="P22" s="218"/>
    </row>
    <row r="23" spans="1:16" s="806" customFormat="1" ht="18">
      <c r="A23" s="81"/>
      <c r="B23" s="71" t="s">
        <v>52</v>
      </c>
      <c r="C23" s="66"/>
      <c r="D23" s="66"/>
      <c r="E23" s="66"/>
      <c r="F23" s="67"/>
      <c r="G23" s="82"/>
      <c r="H23" s="70">
        <v>1581322</v>
      </c>
      <c r="I23" s="70">
        <f t="shared" si="1"/>
        <v>1581322</v>
      </c>
      <c r="J23" s="1191"/>
      <c r="K23" s="515"/>
      <c r="O23" s="1169"/>
      <c r="P23" s="218"/>
    </row>
    <row r="24" spans="1:16" ht="18">
      <c r="A24" s="81"/>
      <c r="B24" s="81" t="s">
        <v>61</v>
      </c>
      <c r="C24" s="68"/>
      <c r="D24" s="68"/>
      <c r="E24" s="68"/>
      <c r="F24" s="67"/>
      <c r="G24" s="82"/>
      <c r="H24" s="70">
        <v>89882</v>
      </c>
      <c r="I24" s="70">
        <f t="shared" si="1"/>
        <v>89882</v>
      </c>
      <c r="J24" s="1191"/>
      <c r="K24" s="1179"/>
      <c r="L24" s="285"/>
      <c r="O24" s="1169"/>
      <c r="P24" s="218"/>
    </row>
    <row r="25" spans="1:16" ht="18">
      <c r="A25" s="81"/>
      <c r="B25" s="81" t="s">
        <v>62</v>
      </c>
      <c r="C25" s="68"/>
      <c r="D25" s="68"/>
      <c r="E25" s="68"/>
      <c r="F25" s="67"/>
      <c r="G25" s="82"/>
      <c r="H25" s="70">
        <v>52872</v>
      </c>
      <c r="I25" s="70">
        <f t="shared" si="1"/>
        <v>52872</v>
      </c>
      <c r="J25" s="1191"/>
      <c r="K25" s="1166"/>
      <c r="L25" s="285"/>
      <c r="O25" s="1169"/>
      <c r="P25" s="218"/>
    </row>
    <row r="26" spans="1:16" ht="18">
      <c r="A26" s="81"/>
      <c r="B26" s="81" t="s">
        <v>538</v>
      </c>
      <c r="C26" s="68"/>
      <c r="D26" s="68"/>
      <c r="E26" s="68"/>
      <c r="F26" s="67">
        <v>0</v>
      </c>
      <c r="G26" s="82"/>
      <c r="H26" s="70">
        <v>0</v>
      </c>
      <c r="I26" s="70">
        <f t="shared" si="1"/>
        <v>0</v>
      </c>
      <c r="J26" s="1191"/>
      <c r="K26" s="1166"/>
      <c r="L26" s="285"/>
      <c r="O26" s="1169"/>
      <c r="P26" s="218"/>
    </row>
    <row r="27" spans="1:16" ht="18">
      <c r="A27" s="81"/>
      <c r="B27" s="81" t="s">
        <v>539</v>
      </c>
      <c r="C27" s="68"/>
      <c r="D27" s="68"/>
      <c r="E27" s="68"/>
      <c r="F27" s="67">
        <v>0</v>
      </c>
      <c r="G27" s="82"/>
      <c r="H27" s="70">
        <v>124013</v>
      </c>
      <c r="I27" s="70">
        <f>H27</f>
        <v>124013</v>
      </c>
      <c r="J27" s="1191"/>
      <c r="K27" s="1179"/>
      <c r="L27" s="285"/>
      <c r="O27" s="1169"/>
      <c r="P27" s="218"/>
    </row>
    <row r="28" spans="1:16" s="1041" customFormat="1" ht="18">
      <c r="A28" s="81"/>
      <c r="B28" s="81" t="s">
        <v>774</v>
      </c>
      <c r="C28" s="68"/>
      <c r="D28" s="68"/>
      <c r="E28" s="68"/>
      <c r="F28" s="67"/>
      <c r="G28" s="82"/>
      <c r="H28" s="70">
        <v>132180</v>
      </c>
      <c r="I28" s="70">
        <f>H28</f>
        <v>132180</v>
      </c>
      <c r="J28" s="1191"/>
      <c r="K28" s="515"/>
      <c r="L28" s="285"/>
      <c r="O28" s="1169"/>
      <c r="P28" s="218"/>
    </row>
    <row r="29" spans="1:16" s="863" customFormat="1" ht="18">
      <c r="A29" s="81"/>
      <c r="B29" s="81" t="s">
        <v>682</v>
      </c>
      <c r="C29" s="68"/>
      <c r="D29" s="68"/>
      <c r="E29" s="68"/>
      <c r="F29" s="67">
        <v>0</v>
      </c>
      <c r="G29" s="82"/>
      <c r="H29" s="70">
        <v>52872</v>
      </c>
      <c r="I29" s="70">
        <f t="shared" ref="I29:I31" si="2">H29</f>
        <v>52872</v>
      </c>
      <c r="J29" s="1191"/>
      <c r="K29" s="515"/>
      <c r="L29" s="285"/>
      <c r="O29" s="1169"/>
      <c r="P29" s="218"/>
    </row>
    <row r="30" spans="1:16" s="863" customFormat="1" ht="18">
      <c r="A30" s="81"/>
      <c r="B30" s="81" t="s">
        <v>683</v>
      </c>
      <c r="C30" s="68"/>
      <c r="D30" s="68"/>
      <c r="E30" s="68"/>
      <c r="F30" s="67">
        <v>0</v>
      </c>
      <c r="G30" s="82"/>
      <c r="H30" s="70">
        <v>158616</v>
      </c>
      <c r="I30" s="70">
        <f t="shared" si="2"/>
        <v>158616</v>
      </c>
      <c r="J30" s="1191"/>
      <c r="K30" s="515"/>
      <c r="L30" s="285"/>
      <c r="O30" s="1169"/>
      <c r="P30" s="218"/>
    </row>
    <row r="31" spans="1:16" s="868" customFormat="1" ht="18">
      <c r="A31" s="81"/>
      <c r="B31" s="81" t="s">
        <v>689</v>
      </c>
      <c r="C31" s="68"/>
      <c r="D31" s="68"/>
      <c r="E31" s="68"/>
      <c r="F31" s="67">
        <v>0</v>
      </c>
      <c r="G31" s="82"/>
      <c r="H31" s="70">
        <v>87239</v>
      </c>
      <c r="I31" s="70">
        <f t="shared" si="2"/>
        <v>87239</v>
      </c>
      <c r="J31" s="1191"/>
      <c r="K31" s="515"/>
      <c r="L31" s="285"/>
      <c r="O31" s="1169"/>
      <c r="P31" s="218"/>
    </row>
    <row r="32" spans="1:16" s="875" customFormat="1" ht="18">
      <c r="A32" s="81"/>
      <c r="B32" s="81" t="s">
        <v>690</v>
      </c>
      <c r="C32" s="68"/>
      <c r="D32" s="68"/>
      <c r="E32" s="68"/>
      <c r="F32" s="67">
        <v>0</v>
      </c>
      <c r="G32" s="82"/>
      <c r="H32" s="70">
        <v>502283</v>
      </c>
      <c r="I32" s="70">
        <f>H32</f>
        <v>502283</v>
      </c>
      <c r="J32" s="1191"/>
      <c r="K32" s="515"/>
      <c r="L32" s="285"/>
      <c r="O32" s="1169"/>
      <c r="P32" s="218"/>
    </row>
    <row r="33" spans="1:16" s="863" customFormat="1" ht="18">
      <c r="A33" s="81"/>
      <c r="B33" s="81" t="s">
        <v>684</v>
      </c>
      <c r="C33" s="68"/>
      <c r="D33" s="68"/>
      <c r="E33" s="68"/>
      <c r="F33" s="67">
        <v>0</v>
      </c>
      <c r="G33" s="82"/>
      <c r="H33" s="70">
        <v>225807</v>
      </c>
      <c r="I33" s="70">
        <f>H33</f>
        <v>225807</v>
      </c>
      <c r="J33" s="1191"/>
      <c r="K33" s="515"/>
      <c r="L33" s="864"/>
      <c r="O33" s="1169"/>
      <c r="P33" s="218"/>
    </row>
    <row r="34" spans="1:16" s="1157" customFormat="1" ht="18">
      <c r="A34" s="81"/>
      <c r="B34" s="81" t="s">
        <v>806</v>
      </c>
      <c r="C34" s="68"/>
      <c r="D34" s="68"/>
      <c r="E34" s="68"/>
      <c r="F34" s="67">
        <v>0</v>
      </c>
      <c r="G34" s="82"/>
      <c r="H34" s="70">
        <v>112680</v>
      </c>
      <c r="I34" s="70">
        <f>H34</f>
        <v>112680</v>
      </c>
      <c r="J34" s="1191"/>
      <c r="K34" s="515"/>
      <c r="L34" s="864"/>
      <c r="O34" s="1169"/>
      <c r="P34" s="218"/>
    </row>
    <row r="35" spans="1:16" s="1160" customFormat="1" ht="18">
      <c r="A35" s="81"/>
      <c r="B35" s="81" t="s">
        <v>810</v>
      </c>
      <c r="C35" s="68"/>
      <c r="D35" s="68"/>
      <c r="E35" s="68"/>
      <c r="F35" s="67"/>
      <c r="G35" s="82"/>
      <c r="H35" s="70">
        <v>362846</v>
      </c>
      <c r="I35" s="70">
        <f>H35</f>
        <v>362846</v>
      </c>
      <c r="J35" s="1191"/>
      <c r="K35" s="515"/>
      <c r="L35" s="864"/>
      <c r="O35" s="1169"/>
      <c r="P35" s="218"/>
    </row>
    <row r="36" spans="1:16" s="1160" customFormat="1" ht="18">
      <c r="A36" s="81"/>
      <c r="B36" s="81" t="s">
        <v>811</v>
      </c>
      <c r="C36" s="68"/>
      <c r="D36" s="68"/>
      <c r="E36" s="68"/>
      <c r="F36" s="67"/>
      <c r="G36" s="82"/>
      <c r="H36" s="70">
        <v>259176</v>
      </c>
      <c r="I36" s="70">
        <f>H36</f>
        <v>259176</v>
      </c>
      <c r="J36" s="1191"/>
      <c r="K36" s="515"/>
      <c r="L36" s="864"/>
      <c r="O36" s="1169"/>
      <c r="P36" s="218"/>
    </row>
    <row r="37" spans="1:16" s="876" customFormat="1" ht="18">
      <c r="A37" s="81" t="s">
        <v>664</v>
      </c>
      <c r="B37" s="81"/>
      <c r="C37" s="68"/>
      <c r="D37" s="68"/>
      <c r="E37" s="68"/>
      <c r="F37" s="83">
        <v>2301956</v>
      </c>
      <c r="G37" s="66">
        <v>2135904</v>
      </c>
      <c r="H37" s="801"/>
      <c r="I37" s="70">
        <f>+F37+H37</f>
        <v>2301956</v>
      </c>
      <c r="J37" s="1191"/>
      <c r="L37" s="285"/>
      <c r="O37" s="1169"/>
      <c r="P37" s="218"/>
    </row>
    <row r="38" spans="1:16" ht="18">
      <c r="A38" s="85" t="s">
        <v>63</v>
      </c>
      <c r="B38" s="85"/>
      <c r="C38" s="68"/>
      <c r="D38" s="68"/>
      <c r="E38" s="68"/>
      <c r="F38" s="67">
        <f>SUM(F16:F37)</f>
        <v>2301956</v>
      </c>
      <c r="G38" s="86"/>
      <c r="H38" s="87">
        <f>SUM(H16:H37)</f>
        <v>16276394</v>
      </c>
      <c r="I38" s="1174">
        <f>SUM(I16:I37)</f>
        <v>18578350</v>
      </c>
      <c r="J38" s="1191"/>
      <c r="P38" s="218"/>
    </row>
    <row r="39" spans="1:16" ht="18">
      <c r="A39" s="88"/>
      <c r="B39" s="89" t="s">
        <v>64</v>
      </c>
      <c r="C39" s="90"/>
      <c r="D39" s="90"/>
      <c r="E39" s="90"/>
      <c r="F39" s="92">
        <f>F14+F38</f>
        <v>144659051</v>
      </c>
      <c r="G39" s="93">
        <f>G14+G38</f>
        <v>0</v>
      </c>
      <c r="H39" s="93">
        <f>H14+H38</f>
        <v>16276394</v>
      </c>
      <c r="I39" s="132">
        <f>I14+I38</f>
        <v>160935445</v>
      </c>
      <c r="J39" s="1191"/>
      <c r="K39" s="140" t="s">
        <v>65</v>
      </c>
      <c r="L39" s="148" t="str">
        <f>"FY"&amp;RIGHT(Dashboard!B6,2)&amp;" Projections"</f>
        <v>FY24 Projections</v>
      </c>
      <c r="M39" s="148"/>
      <c r="P39" s="218"/>
    </row>
    <row r="40" spans="1:16" ht="18">
      <c r="A40" s="72" t="s">
        <v>65</v>
      </c>
      <c r="B40" s="72"/>
      <c r="C40" s="71"/>
      <c r="D40" s="71"/>
      <c r="E40" s="71"/>
      <c r="F40" s="95"/>
      <c r="G40" s="94"/>
      <c r="H40" s="96"/>
      <c r="I40" s="133"/>
      <c r="J40" s="1191"/>
      <c r="K40" s="802" t="s">
        <v>85</v>
      </c>
      <c r="L40" s="228">
        <v>116840076</v>
      </c>
      <c r="M40" s="80"/>
      <c r="P40" s="523"/>
    </row>
    <row r="41" spans="1:16" ht="18">
      <c r="A41" s="81" t="s">
        <v>66</v>
      </c>
      <c r="B41" s="81"/>
      <c r="C41" s="68"/>
      <c r="D41" s="68"/>
      <c r="E41" s="68"/>
      <c r="F41" s="67">
        <f>+M46</f>
        <v>331805069</v>
      </c>
      <c r="G41" s="68"/>
      <c r="H41" s="69">
        <v>0</v>
      </c>
      <c r="I41" s="70">
        <f>F41</f>
        <v>331805069</v>
      </c>
      <c r="J41" s="1191"/>
      <c r="K41" s="802" t="s">
        <v>86</v>
      </c>
      <c r="L41" s="228">
        <v>152234518</v>
      </c>
      <c r="M41" s="80"/>
      <c r="P41" s="523"/>
    </row>
    <row r="42" spans="1:16" ht="18">
      <c r="A42" s="81" t="s">
        <v>67</v>
      </c>
      <c r="B42" s="81"/>
      <c r="C42" s="68"/>
      <c r="D42" s="68"/>
      <c r="E42" s="68"/>
      <c r="F42" s="67">
        <f>+M48</f>
        <v>205614857</v>
      </c>
      <c r="G42" s="68"/>
      <c r="H42" s="98"/>
      <c r="I42" s="70">
        <f>F42</f>
        <v>205614857</v>
      </c>
      <c r="J42" s="1191"/>
      <c r="K42" s="802" t="s">
        <v>87</v>
      </c>
      <c r="L42" s="228">
        <v>29510928</v>
      </c>
      <c r="M42" s="1175"/>
      <c r="P42" s="523"/>
    </row>
    <row r="43" spans="1:16" ht="18">
      <c r="A43" s="71" t="s">
        <v>68</v>
      </c>
      <c r="B43" s="81"/>
      <c r="C43" s="68"/>
      <c r="D43" s="68"/>
      <c r="E43" s="68"/>
      <c r="F43" s="83">
        <f>+M51</f>
        <v>5539900</v>
      </c>
      <c r="G43" s="100"/>
      <c r="H43" s="101"/>
      <c r="I43" s="70">
        <f>F43</f>
        <v>5539900</v>
      </c>
      <c r="J43" s="1191"/>
      <c r="K43" s="802" t="s">
        <v>88</v>
      </c>
      <c r="L43" s="228">
        <v>10708131</v>
      </c>
      <c r="M43" s="66"/>
      <c r="P43" s="523"/>
    </row>
    <row r="44" spans="1:16" ht="18">
      <c r="A44" s="102"/>
      <c r="B44" s="81"/>
      <c r="C44" s="68"/>
      <c r="D44" s="68"/>
      <c r="E44" s="68"/>
      <c r="F44" s="99"/>
      <c r="G44" s="100"/>
      <c r="H44" s="101"/>
      <c r="I44" s="70"/>
      <c r="J44" s="1191"/>
      <c r="K44" s="802" t="s">
        <v>89</v>
      </c>
      <c r="L44" s="228">
        <v>11954541</v>
      </c>
      <c r="M44" s="66"/>
      <c r="P44" s="523"/>
    </row>
    <row r="45" spans="1:16" ht="18">
      <c r="A45" s="103"/>
      <c r="B45" s="89" t="s">
        <v>69</v>
      </c>
      <c r="C45" s="91"/>
      <c r="D45" s="91"/>
      <c r="E45" s="91"/>
      <c r="F45" s="104">
        <f>SUM(F41:F44)</f>
        <v>542959826</v>
      </c>
      <c r="G45" s="105"/>
      <c r="H45" s="106">
        <f>SUM(H41:H43)</f>
        <v>0</v>
      </c>
      <c r="I45" s="134">
        <f>SUM(I41:I44)</f>
        <v>542959826</v>
      </c>
      <c r="J45" s="1191"/>
      <c r="K45" s="802" t="s">
        <v>90</v>
      </c>
      <c r="L45" s="228">
        <v>9068840</v>
      </c>
      <c r="M45" s="66"/>
      <c r="P45" s="523"/>
    </row>
    <row r="46" spans="1:16" ht="18">
      <c r="A46" s="81"/>
      <c r="B46" s="85"/>
      <c r="C46" s="68"/>
      <c r="D46" s="68"/>
      <c r="E46" s="68"/>
      <c r="F46" s="107"/>
      <c r="G46" s="68"/>
      <c r="H46" s="108"/>
      <c r="I46" s="135"/>
      <c r="J46" s="1191"/>
      <c r="K46" s="802" t="s">
        <v>91</v>
      </c>
      <c r="L46" s="1176">
        <v>1488035</v>
      </c>
      <c r="M46" s="1176">
        <f>SUM(L40:L46)</f>
        <v>331805069</v>
      </c>
      <c r="P46" s="523"/>
    </row>
    <row r="47" spans="1:16" ht="18">
      <c r="A47" s="88"/>
      <c r="B47" s="89" t="s">
        <v>70</v>
      </c>
      <c r="C47" s="91"/>
      <c r="D47" s="91"/>
      <c r="E47" s="91"/>
      <c r="F47" s="104">
        <f>+L53</f>
        <v>-95000000</v>
      </c>
      <c r="G47" s="91"/>
      <c r="H47" s="109">
        <v>0</v>
      </c>
      <c r="I47" s="134">
        <f>+F47+H47</f>
        <v>-95000000</v>
      </c>
      <c r="J47" s="1191"/>
      <c r="K47" s="802"/>
      <c r="L47" s="1176"/>
      <c r="M47" s="1176"/>
      <c r="P47" s="523"/>
    </row>
    <row r="48" spans="1:16" ht="18">
      <c r="A48" s="72" t="s">
        <v>71</v>
      </c>
      <c r="B48" s="72"/>
      <c r="C48" s="66"/>
      <c r="D48" s="66"/>
      <c r="E48" s="66"/>
      <c r="F48" s="110"/>
      <c r="G48" s="78"/>
      <c r="H48" s="111"/>
      <c r="I48" s="112"/>
      <c r="J48" s="1191"/>
      <c r="K48" s="802" t="s">
        <v>92</v>
      </c>
      <c r="L48" s="1176">
        <f>+M48-L49-L50</f>
        <v>139982595</v>
      </c>
      <c r="M48" s="1177">
        <v>205614857</v>
      </c>
      <c r="N48" s="523"/>
      <c r="O48" s="523"/>
      <c r="P48" s="523"/>
    </row>
    <row r="49" spans="1:17" ht="18">
      <c r="A49" s="81" t="s">
        <v>72</v>
      </c>
      <c r="B49" s="81"/>
      <c r="C49" s="68"/>
      <c r="D49" s="68"/>
      <c r="E49" s="68"/>
      <c r="F49" s="67">
        <v>0</v>
      </c>
      <c r="G49" s="68"/>
      <c r="H49" s="70">
        <v>2561751</v>
      </c>
      <c r="I49" s="1171">
        <f>F49+H49</f>
        <v>2561751</v>
      </c>
      <c r="J49" s="1191"/>
      <c r="K49" s="802" t="s">
        <v>93</v>
      </c>
      <c r="L49" s="1176">
        <f>ROUND(M48*0.237,0)</f>
        <v>48730721</v>
      </c>
      <c r="M49" s="1176"/>
      <c r="O49" s="218"/>
      <c r="P49" s="218"/>
    </row>
    <row r="50" spans="1:17" ht="18">
      <c r="A50" s="81" t="s">
        <v>73</v>
      </c>
      <c r="B50" s="81"/>
      <c r="C50" s="68"/>
      <c r="D50" s="68"/>
      <c r="E50" s="68"/>
      <c r="F50" s="83">
        <v>0</v>
      </c>
      <c r="G50" s="68"/>
      <c r="H50" s="801">
        <v>5637839</v>
      </c>
      <c r="I50" s="1170">
        <f>F50+H50</f>
        <v>5637839</v>
      </c>
      <c r="J50" s="1191"/>
      <c r="K50" s="802" t="s">
        <v>660</v>
      </c>
      <c r="L50" s="1176">
        <f>ROUND(M48*0.0822,0)</f>
        <v>16901541</v>
      </c>
      <c r="M50" s="1176"/>
      <c r="O50" s="218"/>
      <c r="P50" s="218"/>
    </row>
    <row r="51" spans="1:17" ht="18">
      <c r="A51" s="103"/>
      <c r="B51" s="89" t="s">
        <v>74</v>
      </c>
      <c r="C51" s="91"/>
      <c r="D51" s="91"/>
      <c r="E51" s="91"/>
      <c r="F51" s="113">
        <f>SUM(F49:F50)</f>
        <v>0</v>
      </c>
      <c r="G51" s="114">
        <f>SUM(G49:G50)</f>
        <v>0</v>
      </c>
      <c r="H51" s="115">
        <f>SUM(H49:H50)</f>
        <v>8199590</v>
      </c>
      <c r="I51" s="136">
        <f>SUM(I49:I50)</f>
        <v>8199590</v>
      </c>
      <c r="J51" s="1191"/>
      <c r="K51" s="802" t="s">
        <v>94</v>
      </c>
      <c r="L51" s="1176">
        <v>5539900</v>
      </c>
      <c r="M51" s="1176">
        <f>L51</f>
        <v>5539900</v>
      </c>
      <c r="P51" s="523"/>
    </row>
    <row r="52" spans="1:17" ht="18">
      <c r="A52" s="72" t="s">
        <v>75</v>
      </c>
      <c r="B52" s="72"/>
      <c r="C52" s="66"/>
      <c r="D52" s="66"/>
      <c r="E52" s="66"/>
      <c r="F52" s="116"/>
      <c r="G52" s="66"/>
      <c r="H52" s="117"/>
      <c r="I52" s="137"/>
      <c r="J52" s="1191"/>
      <c r="K52" s="802"/>
      <c r="L52" s="80"/>
      <c r="M52" s="1176"/>
      <c r="P52" s="523"/>
      <c r="Q52" s="523"/>
    </row>
    <row r="53" spans="1:17" ht="18">
      <c r="A53" s="81"/>
      <c r="B53" s="81" t="s">
        <v>76</v>
      </c>
      <c r="C53" s="68"/>
      <c r="D53" s="68"/>
      <c r="E53" s="68"/>
      <c r="F53" s="118">
        <v>200000</v>
      </c>
      <c r="G53" s="119">
        <v>11960600</v>
      </c>
      <c r="H53" s="84">
        <f>49537030-F53</f>
        <v>49337030</v>
      </c>
      <c r="I53" s="84">
        <f>+H53+F53</f>
        <v>49537030</v>
      </c>
      <c r="J53" s="1191"/>
      <c r="K53" s="803" t="s">
        <v>95</v>
      </c>
      <c r="L53" s="1178">
        <v>-95000000</v>
      </c>
      <c r="M53" s="1178">
        <f>L53</f>
        <v>-95000000</v>
      </c>
      <c r="P53" s="523"/>
    </row>
    <row r="54" spans="1:17" ht="18.75" thickBot="1">
      <c r="A54" s="81"/>
      <c r="B54" s="120" t="s">
        <v>77</v>
      </c>
      <c r="C54" s="121"/>
      <c r="D54" s="121"/>
      <c r="E54" s="121"/>
      <c r="F54" s="122">
        <v>0</v>
      </c>
      <c r="G54" s="123"/>
      <c r="H54" s="123">
        <v>0</v>
      </c>
      <c r="I54" s="138">
        <f>+F54+H54</f>
        <v>0</v>
      </c>
      <c r="J54" s="1191"/>
      <c r="K54" s="142" t="s">
        <v>96</v>
      </c>
      <c r="L54" s="143">
        <f>SUM(L40:L53)</f>
        <v>447959826</v>
      </c>
      <c r="M54" s="143">
        <f>SUM(M40:M53)</f>
        <v>447959826</v>
      </c>
      <c r="O54" s="523"/>
    </row>
    <row r="55" spans="1:17" ht="18.75" thickTop="1">
      <c r="B55" s="81" t="s">
        <v>78</v>
      </c>
      <c r="C55" s="68"/>
      <c r="D55" s="68"/>
      <c r="E55" s="68"/>
      <c r="F55" s="800">
        <v>0</v>
      </c>
      <c r="G55" s="119"/>
      <c r="H55" s="84">
        <v>22288750</v>
      </c>
      <c r="I55" s="84">
        <f>SUM(F55,H55)</f>
        <v>22288750</v>
      </c>
      <c r="J55" s="1191"/>
      <c r="O55" s="218"/>
    </row>
    <row r="56" spans="1:17" ht="18">
      <c r="A56" s="81"/>
      <c r="B56" s="81" t="s">
        <v>79</v>
      </c>
      <c r="C56" s="68"/>
      <c r="D56" s="68"/>
      <c r="E56" s="68"/>
      <c r="F56" s="800">
        <v>650000</v>
      </c>
      <c r="G56" s="119"/>
      <c r="H56" s="84">
        <f>3648867-650000</f>
        <v>2998867</v>
      </c>
      <c r="I56" s="84">
        <f>SUM(F56,H56)</f>
        <v>3648867</v>
      </c>
      <c r="J56" s="1191"/>
      <c r="K56" s="1161"/>
      <c r="L56" s="1161"/>
      <c r="M56" s="1161"/>
      <c r="N56" s="1168"/>
      <c r="O56" s="218"/>
    </row>
    <row r="57" spans="1:17" ht="18">
      <c r="A57" s="81" t="s">
        <v>80</v>
      </c>
      <c r="B57" s="81" t="s">
        <v>81</v>
      </c>
      <c r="C57" s="68"/>
      <c r="D57" s="68"/>
      <c r="E57" s="68"/>
      <c r="F57" s="67">
        <v>8330383</v>
      </c>
      <c r="G57" s="119"/>
      <c r="H57" s="84">
        <v>0</v>
      </c>
      <c r="I57" s="84">
        <f>F57+H57</f>
        <v>8330383</v>
      </c>
      <c r="J57" s="1191"/>
      <c r="K57" s="1161"/>
      <c r="L57" s="1161"/>
      <c r="M57" s="1161"/>
      <c r="N57" s="1168"/>
      <c r="O57" s="218"/>
    </row>
    <row r="58" spans="1:17" ht="18">
      <c r="A58" s="81"/>
      <c r="B58" s="81" t="s">
        <v>82</v>
      </c>
      <c r="C58" s="68"/>
      <c r="D58" s="68"/>
      <c r="E58" s="68"/>
      <c r="F58" s="118">
        <v>1054000</v>
      </c>
      <c r="G58" s="119"/>
      <c r="H58" s="84">
        <v>0</v>
      </c>
      <c r="I58" s="84">
        <f>+F58+H58</f>
        <v>1054000</v>
      </c>
      <c r="J58" s="1191"/>
      <c r="K58" s="1161"/>
      <c r="L58" s="1161"/>
      <c r="M58" s="1161"/>
    </row>
    <row r="59" spans="1:17" ht="18">
      <c r="A59" s="103"/>
      <c r="B59" s="89" t="s">
        <v>83</v>
      </c>
      <c r="C59" s="91"/>
      <c r="D59" s="91"/>
      <c r="E59" s="91"/>
      <c r="F59" s="104">
        <f>SUM(F53:F58)</f>
        <v>10234383</v>
      </c>
      <c r="G59" s="91"/>
      <c r="H59" s="104">
        <f>SUM(H53:H58)</f>
        <v>74624647</v>
      </c>
      <c r="I59" s="134">
        <f>SUM(I53:I58)</f>
        <v>84859030</v>
      </c>
      <c r="J59" s="1191"/>
      <c r="K59" s="1161"/>
      <c r="L59" s="1161"/>
      <c r="M59" s="1161"/>
    </row>
    <row r="60" spans="1:17" ht="18">
      <c r="A60" s="81"/>
      <c r="B60" s="81"/>
      <c r="C60" s="68"/>
      <c r="D60" s="68"/>
      <c r="E60" s="68"/>
      <c r="F60" s="97"/>
      <c r="G60" s="68"/>
      <c r="H60" s="69"/>
      <c r="I60" s="139"/>
      <c r="J60" s="1191"/>
      <c r="K60" s="1161"/>
      <c r="L60" s="1161"/>
      <c r="M60" s="1161"/>
    </row>
    <row r="61" spans="1:17" ht="18">
      <c r="A61" s="88" t="s">
        <v>84</v>
      </c>
      <c r="B61" s="90"/>
      <c r="C61" s="91"/>
      <c r="D61" s="91"/>
      <c r="E61" s="91"/>
      <c r="F61" s="104">
        <f>+F39+F45+F47+F51+F59</f>
        <v>602853260</v>
      </c>
      <c r="G61" s="91"/>
      <c r="H61" s="106">
        <f>+H39+H45+H47+H51+H59</f>
        <v>99100631</v>
      </c>
      <c r="I61" s="106">
        <f>+I39+I45+I47+I51+I59</f>
        <v>701953891</v>
      </c>
      <c r="J61" s="1191"/>
      <c r="K61" s="1161"/>
      <c r="L61" s="1161"/>
      <c r="M61" s="1161"/>
    </row>
    <row r="62" spans="1:17" ht="15.75">
      <c r="A62" s="48"/>
      <c r="B62" s="59"/>
      <c r="C62" s="124"/>
      <c r="D62" s="124"/>
      <c r="E62" s="124"/>
      <c r="F62" s="80"/>
      <c r="G62" s="80"/>
      <c r="H62" s="126"/>
      <c r="I62" s="512">
        <f>+F61+H61-I61</f>
        <v>0</v>
      </c>
      <c r="K62" s="1161"/>
      <c r="L62" s="1161"/>
      <c r="M62" s="1161"/>
    </row>
    <row r="63" spans="1:17" ht="15.75">
      <c r="F63" s="127"/>
      <c r="G63" s="127"/>
      <c r="H63" s="129"/>
      <c r="I63" s="128"/>
    </row>
    <row r="64" spans="1:17" ht="15.75">
      <c r="F64" s="129"/>
      <c r="G64" s="127"/>
      <c r="H64" s="129"/>
      <c r="I64" s="1122"/>
      <c r="K64" s="80"/>
      <c r="L64" s="80"/>
      <c r="M64" s="80"/>
      <c r="N64" s="80"/>
    </row>
    <row r="65" spans="8:9">
      <c r="H65" s="523"/>
      <c r="I65" s="285"/>
    </row>
    <row r="66" spans="8:9">
      <c r="H66" s="523"/>
      <c r="I66" s="285"/>
    </row>
    <row r="67" spans="8:9">
      <c r="H67" s="523"/>
      <c r="I67" s="285"/>
    </row>
    <row r="68" spans="8:9">
      <c r="I68" s="285"/>
    </row>
    <row r="69" spans="8:9">
      <c r="I69" s="285"/>
    </row>
    <row r="70" spans="8:9">
      <c r="I70" s="285"/>
    </row>
    <row r="71" spans="8:9">
      <c r="I71" s="285"/>
    </row>
  </sheetData>
  <mergeCells count="4">
    <mergeCell ref="A1:D1"/>
    <mergeCell ref="F1:I1"/>
    <mergeCell ref="A2:D2"/>
    <mergeCell ref="K1:M7"/>
  </mergeCells>
  <pageMargins left="0.7" right="0.7" top="0.75" bottom="0.75" header="0.3" footer="0.3"/>
  <pageSetup orientation="portrait" horizontalDpi="1200" verticalDpi="120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AV73"/>
  <sheetViews>
    <sheetView tabSelected="1" workbookViewId="0"/>
  </sheetViews>
  <sheetFormatPr defaultColWidth="12.42578125" defaultRowHeight="15" outlineLevelCol="1"/>
  <cols>
    <col min="1" max="1" width="41.28515625" customWidth="1"/>
    <col min="2" max="2" width="12.28515625" customWidth="1"/>
    <col min="3" max="3" width="12.28515625" hidden="1" customWidth="1" outlineLevel="1"/>
    <col min="4" max="4" width="16.140625" hidden="1" customWidth="1" outlineLevel="1"/>
    <col min="5" max="7" width="12.28515625" hidden="1" customWidth="1" outlineLevel="1"/>
    <col min="8" max="8" width="13.85546875" hidden="1" customWidth="1" outlineLevel="1"/>
    <col min="9" max="9" width="13.85546875" style="965" hidden="1" customWidth="1" outlineLevel="1"/>
    <col min="10" max="10" width="12.28515625" customWidth="1" collapsed="1"/>
    <col min="11" max="11" width="4.7109375" style="125" customWidth="1"/>
    <col min="12" max="12" width="12.7109375" customWidth="1"/>
    <col min="13" max="15" width="14" bestFit="1" customWidth="1"/>
    <col min="16" max="16" width="8.7109375" style="125" bestFit="1" customWidth="1"/>
    <col min="17" max="20" width="12.42578125" hidden="1" customWidth="1" outlineLevel="1"/>
    <col min="21" max="21" width="18.28515625" customWidth="1" collapsed="1"/>
    <col min="22" max="22" width="3.7109375" style="125" customWidth="1"/>
    <col min="23" max="23" width="15.28515625" hidden="1" customWidth="1" outlineLevel="1"/>
    <col min="24" max="24" width="17.42578125" hidden="1" customWidth="1" outlineLevel="1"/>
    <col min="25" max="25" width="12.42578125" hidden="1" customWidth="1" outlineLevel="1"/>
    <col min="26" max="26" width="12.85546875" hidden="1" customWidth="1" outlineLevel="1"/>
    <col min="27" max="28" width="14.42578125" hidden="1" customWidth="1" outlineLevel="1"/>
    <col min="29" max="29" width="17.42578125" bestFit="1" customWidth="1" collapsed="1"/>
    <col min="30" max="30" width="3.42578125" style="125" customWidth="1"/>
    <col min="31" max="31" width="11.28515625" customWidth="1"/>
    <col min="32" max="32" width="11.7109375" customWidth="1"/>
    <col min="33" max="33" width="13.140625" style="965" customWidth="1"/>
    <col min="34" max="34" width="11.85546875" customWidth="1"/>
    <col min="35" max="35" width="3.42578125" style="125" customWidth="1"/>
    <col min="36" max="36" width="19.42578125" customWidth="1"/>
    <col min="37" max="37" width="4.42578125" customWidth="1"/>
    <col min="38" max="38" width="12.28515625" bestFit="1" customWidth="1"/>
    <col min="39" max="39" width="14" bestFit="1" customWidth="1"/>
    <col min="40" max="40" width="3.28515625" style="483" customWidth="1"/>
    <col min="41" max="41" width="14.42578125" customWidth="1"/>
    <col min="42" max="42" width="11.85546875" bestFit="1" customWidth="1"/>
    <col min="43" max="43" width="14" bestFit="1" customWidth="1"/>
    <col min="44" max="44" width="9.28515625" customWidth="1"/>
    <col min="45" max="45" width="21.7109375" style="141" customWidth="1"/>
    <col min="46" max="46" width="8" style="141" bestFit="1" customWidth="1"/>
    <col min="47" max="47" width="9" bestFit="1" customWidth="1"/>
    <col min="48" max="48" width="15.28515625" bestFit="1" customWidth="1"/>
  </cols>
  <sheetData>
    <row r="1" spans="1:47" ht="21.75" thickBot="1">
      <c r="A1" s="476" t="s">
        <v>477</v>
      </c>
      <c r="B1" s="1223" t="s">
        <v>484</v>
      </c>
      <c r="C1" s="1223"/>
      <c r="D1" s="1223"/>
      <c r="E1" s="1223"/>
      <c r="F1" s="1223"/>
      <c r="G1" s="1223"/>
      <c r="H1" s="1223"/>
      <c r="I1" s="1223"/>
      <c r="J1" s="1223"/>
      <c r="K1" s="1223"/>
      <c r="L1" s="1223"/>
      <c r="M1" s="1223"/>
      <c r="N1" s="1223"/>
      <c r="O1" s="1223"/>
      <c r="P1" s="1223"/>
      <c r="Q1" s="1223"/>
      <c r="R1" s="1223"/>
      <c r="S1" s="1223"/>
      <c r="T1" s="1223"/>
      <c r="U1" s="1223"/>
      <c r="V1" s="1223"/>
      <c r="W1" s="1223"/>
      <c r="X1" s="1223"/>
      <c r="Y1" s="1223"/>
      <c r="Z1" s="1223"/>
      <c r="AA1" s="1223"/>
      <c r="AB1" s="1223"/>
      <c r="AC1" s="1223"/>
    </row>
    <row r="2" spans="1:47" ht="21">
      <c r="A2" s="563"/>
      <c r="B2" s="1224" t="s">
        <v>474</v>
      </c>
      <c r="C2" s="1224"/>
      <c r="D2" s="1224"/>
      <c r="E2" s="1224"/>
      <c r="F2" s="1224"/>
      <c r="G2" s="1224"/>
      <c r="H2" s="1224"/>
      <c r="I2" s="1224"/>
      <c r="J2" s="1224"/>
      <c r="K2" s="453"/>
      <c r="M2" s="353"/>
      <c r="N2" s="479" t="s">
        <v>473</v>
      </c>
      <c r="O2" s="479"/>
      <c r="P2" s="479"/>
      <c r="Q2" s="479"/>
      <c r="R2" s="479"/>
      <c r="S2" s="479"/>
      <c r="T2" s="479"/>
      <c r="U2" s="479"/>
      <c r="V2" s="479"/>
      <c r="W2" s="479"/>
      <c r="X2" s="479"/>
      <c r="Y2" s="479"/>
      <c r="Z2" s="479"/>
      <c r="AA2" s="479"/>
      <c r="AB2" s="479"/>
      <c r="AC2" s="479"/>
      <c r="AD2" s="353"/>
      <c r="AE2" s="353"/>
      <c r="AF2" s="353"/>
      <c r="AG2" s="353"/>
      <c r="AH2" s="353"/>
      <c r="AI2" s="448"/>
      <c r="AJ2" s="468" t="s">
        <v>475</v>
      </c>
      <c r="AK2" s="149"/>
      <c r="AL2" s="1222" t="s">
        <v>476</v>
      </c>
      <c r="AM2" s="1222"/>
      <c r="AO2" s="151" t="s">
        <v>99</v>
      </c>
      <c r="AP2" s="152"/>
      <c r="AQ2" s="153">
        <f>+'Step 0 Revenue Detail'!I61</f>
        <v>701953891</v>
      </c>
      <c r="AR2" s="141"/>
    </row>
    <row r="3" spans="1:47" ht="15.75">
      <c r="A3" s="149"/>
      <c r="C3" s="1228" t="s">
        <v>100</v>
      </c>
      <c r="D3" s="1228"/>
      <c r="E3" s="1228"/>
      <c r="F3" s="1228"/>
      <c r="G3" s="1228"/>
      <c r="H3" s="1228"/>
      <c r="I3" s="964"/>
      <c r="K3" s="448"/>
      <c r="L3" s="523"/>
      <c r="AI3" s="448"/>
      <c r="AJ3" s="188"/>
      <c r="AM3" s="149"/>
      <c r="AO3" s="744" t="s">
        <v>101</v>
      </c>
      <c r="AP3" s="745"/>
      <c r="AQ3" s="746">
        <f>+AQ2-AJ57</f>
        <v>-0.49100005626678467</v>
      </c>
      <c r="AR3" s="141"/>
    </row>
    <row r="4" spans="1:47" ht="16.5" thickBot="1">
      <c r="A4" s="149"/>
      <c r="C4" s="154">
        <f>+Dashboard!C11</f>
        <v>0</v>
      </c>
      <c r="D4" s="154">
        <v>0</v>
      </c>
      <c r="E4" s="154">
        <v>0</v>
      </c>
      <c r="F4" s="154">
        <f>+Dashboard!C11</f>
        <v>0</v>
      </c>
      <c r="G4" s="154">
        <f>+Dashboard!C11</f>
        <v>0</v>
      </c>
      <c r="H4" s="154">
        <v>0</v>
      </c>
      <c r="I4" s="154"/>
      <c r="J4" s="154"/>
      <c r="K4" s="448"/>
      <c r="L4" s="353"/>
      <c r="N4" s="353"/>
      <c r="O4" s="353"/>
      <c r="P4" s="353"/>
      <c r="Q4" s="353"/>
      <c r="R4" s="353"/>
      <c r="S4" s="353"/>
      <c r="T4" s="353"/>
      <c r="U4" s="353"/>
      <c r="V4" s="353"/>
      <c r="W4" s="353"/>
      <c r="X4" s="353"/>
      <c r="Y4" s="353"/>
      <c r="Z4" s="353"/>
      <c r="AA4" s="353"/>
      <c r="AB4" s="353"/>
      <c r="AC4" s="353"/>
      <c r="AD4" s="353"/>
      <c r="AE4" s="353"/>
      <c r="AF4" s="353"/>
      <c r="AG4" s="353"/>
      <c r="AH4" s="353"/>
      <c r="AI4" s="448"/>
      <c r="AJ4" s="188"/>
      <c r="AM4" s="149"/>
      <c r="AO4" s="155" t="s">
        <v>619</v>
      </c>
      <c r="AP4" s="156"/>
      <c r="AQ4" s="157">
        <f>IF(+AJ64&lt;0,AJ64,0)</f>
        <v>-2917173.0349999964</v>
      </c>
      <c r="AR4" s="141"/>
    </row>
    <row r="5" spans="1:47" ht="15.75" thickBot="1">
      <c r="A5" s="158"/>
      <c r="B5" s="1232" t="s">
        <v>105</v>
      </c>
      <c r="C5" s="1232"/>
      <c r="D5" s="1232"/>
      <c r="E5" s="1232"/>
      <c r="F5" s="1232"/>
      <c r="G5" s="1232"/>
      <c r="H5" s="1232"/>
      <c r="I5" s="1232"/>
      <c r="J5" s="1232"/>
      <c r="K5" s="266"/>
      <c r="L5" s="1229" t="s">
        <v>102</v>
      </c>
      <c r="M5" s="1229"/>
      <c r="N5" s="1229"/>
      <c r="O5" s="1229"/>
      <c r="P5" s="159"/>
      <c r="Q5" s="1230" t="s">
        <v>103</v>
      </c>
      <c r="R5" s="1230"/>
      <c r="S5" s="1230"/>
      <c r="T5" s="1230"/>
      <c r="U5" s="281"/>
      <c r="V5" s="159"/>
      <c r="W5" s="1231" t="s">
        <v>104</v>
      </c>
      <c r="X5" s="1231"/>
      <c r="Y5" s="1231"/>
      <c r="Z5" s="1231"/>
      <c r="AA5" s="1231"/>
      <c r="AB5" s="1231"/>
      <c r="AC5" s="440"/>
      <c r="AD5" s="266"/>
      <c r="AE5" s="1227" t="s">
        <v>716</v>
      </c>
      <c r="AF5" s="1227"/>
      <c r="AG5" s="1227"/>
      <c r="AH5" s="1227"/>
      <c r="AI5" s="266"/>
      <c r="AM5" s="158"/>
      <c r="AO5" s="155" t="s">
        <v>667</v>
      </c>
      <c r="AP5" s="156"/>
      <c r="AQ5" s="835">
        <v>0.01</v>
      </c>
    </row>
    <row r="6" spans="1:47" s="163" customFormat="1" ht="77.25" thickBot="1">
      <c r="A6" s="160" t="s">
        <v>106</v>
      </c>
      <c r="B6" s="161" t="s">
        <v>113</v>
      </c>
      <c r="C6" s="161" t="s">
        <v>114</v>
      </c>
      <c r="D6" s="161" t="s">
        <v>115</v>
      </c>
      <c r="E6" s="161" t="s">
        <v>116</v>
      </c>
      <c r="F6" s="161" t="s">
        <v>117</v>
      </c>
      <c r="G6" s="161" t="s">
        <v>118</v>
      </c>
      <c r="H6" s="161" t="s">
        <v>119</v>
      </c>
      <c r="I6" s="161" t="s">
        <v>717</v>
      </c>
      <c r="J6" s="564" t="s">
        <v>205</v>
      </c>
      <c r="K6" s="454"/>
      <c r="L6" s="161" t="s">
        <v>107</v>
      </c>
      <c r="M6" s="485" t="s">
        <v>702</v>
      </c>
      <c r="N6" s="162" t="s">
        <v>108</v>
      </c>
      <c r="O6" s="485" t="s">
        <v>701</v>
      </c>
      <c r="P6" s="442"/>
      <c r="Q6" s="162" t="s">
        <v>109</v>
      </c>
      <c r="R6" s="162" t="s">
        <v>110</v>
      </c>
      <c r="S6" s="162" t="s">
        <v>111</v>
      </c>
      <c r="T6" s="162" t="s">
        <v>112</v>
      </c>
      <c r="U6" s="368" t="s">
        <v>365</v>
      </c>
      <c r="V6" s="442"/>
      <c r="W6" s="161" t="s">
        <v>200</v>
      </c>
      <c r="X6" s="161" t="s">
        <v>201</v>
      </c>
      <c r="Y6" s="161" t="s">
        <v>202</v>
      </c>
      <c r="Z6" s="161" t="s">
        <v>133</v>
      </c>
      <c r="AA6" s="161" t="s">
        <v>203</v>
      </c>
      <c r="AB6" s="161" t="s">
        <v>204</v>
      </c>
      <c r="AC6" s="441" t="s">
        <v>366</v>
      </c>
      <c r="AD6" s="449"/>
      <c r="AE6" s="485" t="s">
        <v>367</v>
      </c>
      <c r="AF6" s="485" t="s">
        <v>368</v>
      </c>
      <c r="AG6" s="485" t="s">
        <v>782</v>
      </c>
      <c r="AH6" s="162" t="s">
        <v>369</v>
      </c>
      <c r="AI6" s="442"/>
      <c r="AJ6" s="547" t="str">
        <f>"FY"&amp;RIGHT(Dashboard!B6,2)&amp;" FINAL Budget"</f>
        <v>FY24 FINAL Budget</v>
      </c>
      <c r="AK6" s="548"/>
      <c r="AL6" s="162" t="str">
        <f>"FY"&amp;RIGHT(Dashboard!B6,2)-1&amp;" Initial Budget"</f>
        <v>FY23 Initial Budget</v>
      </c>
      <c r="AM6" s="485" t="s">
        <v>542</v>
      </c>
      <c r="AN6" s="483"/>
      <c r="AO6" s="162"/>
      <c r="AP6" s="162" t="s">
        <v>525</v>
      </c>
      <c r="AQ6"/>
    </row>
    <row r="7" spans="1:47">
      <c r="A7" s="164" t="s">
        <v>120</v>
      </c>
      <c r="B7" s="489"/>
      <c r="C7" s="497"/>
      <c r="D7" s="497">
        <f>+IM!B8</f>
        <v>4146000</v>
      </c>
      <c r="E7" s="497"/>
      <c r="F7" s="497"/>
      <c r="G7" s="550"/>
      <c r="H7" s="551"/>
      <c r="I7" s="551"/>
      <c r="J7" s="551">
        <f>SUM(C7:I7)</f>
        <v>4146000</v>
      </c>
      <c r="K7" s="492"/>
      <c r="L7" s="553"/>
      <c r="M7" s="489"/>
      <c r="N7" s="489"/>
      <c r="O7" s="489"/>
      <c r="P7" s="190"/>
      <c r="Q7" s="489">
        <f>-IM!B8</f>
        <v>-4146000</v>
      </c>
      <c r="R7" s="489"/>
      <c r="S7" s="489"/>
      <c r="T7" s="489"/>
      <c r="U7" s="489">
        <f>+SUM(Q7:T7)</f>
        <v>-4146000</v>
      </c>
      <c r="V7" s="190"/>
      <c r="W7" s="165"/>
      <c r="X7" s="165"/>
      <c r="Y7" s="165"/>
      <c r="Z7" s="165"/>
      <c r="AA7" s="165"/>
      <c r="AB7" s="165"/>
      <c r="AC7" s="165">
        <f>SUM(W7:AB7)</f>
        <v>0</v>
      </c>
      <c r="AE7" s="489"/>
      <c r="AF7" s="489"/>
      <c r="AG7" s="489"/>
      <c r="AH7" s="489"/>
      <c r="AJ7" s="820">
        <f t="shared" ref="AJ7:AJ14" si="0">SUM(L7:O7,U7,AC7,B7,J7,AE7:AH7)</f>
        <v>0</v>
      </c>
      <c r="AK7" s="439"/>
      <c r="AL7" s="165">
        <v>0</v>
      </c>
      <c r="AM7" s="486">
        <f t="shared" ref="AM7:AM14" si="1">+AJ7-AL7</f>
        <v>0</v>
      </c>
      <c r="AN7" s="523"/>
      <c r="AO7" s="165"/>
      <c r="AP7" s="486"/>
      <c r="AQ7" s="523"/>
      <c r="AR7" s="126"/>
    </row>
    <row r="8" spans="1:47">
      <c r="A8" s="164" t="s">
        <v>121</v>
      </c>
      <c r="B8" s="489"/>
      <c r="C8" s="489"/>
      <c r="D8" s="497">
        <f>IM!B17</f>
        <v>11604901</v>
      </c>
      <c r="E8" s="497"/>
      <c r="F8" s="497">
        <v>3348052</v>
      </c>
      <c r="G8" s="497"/>
      <c r="H8" s="497">
        <f>ROUND('Step 0 Revenue Detail'!H53*0.05,-2)+'Step 0 Revenue Detail'!F53</f>
        <v>2666900</v>
      </c>
      <c r="I8" s="497"/>
      <c r="J8" s="551">
        <f t="shared" ref="J8:J14" si="2">SUM(C8:I8)</f>
        <v>17619853</v>
      </c>
      <c r="K8" s="492"/>
      <c r="L8" s="553"/>
      <c r="M8" s="489"/>
      <c r="N8" s="489"/>
      <c r="O8" s="489"/>
      <c r="P8" s="190"/>
      <c r="Q8" s="489">
        <f>'Service Support &amp; Mgmt'!G3-'FINAL-Distributed E&amp;G Budget'!Q7</f>
        <v>-7331224.0349999927</v>
      </c>
      <c r="R8" s="489"/>
      <c r="S8" s="489"/>
      <c r="T8" s="489"/>
      <c r="U8" s="489">
        <f>+SUM(Q8:T8)</f>
        <v>-7331224.0349999927</v>
      </c>
      <c r="V8" s="190"/>
      <c r="W8" s="165"/>
      <c r="X8" s="165"/>
      <c r="Y8" s="165"/>
      <c r="Z8" s="165"/>
      <c r="AA8" s="165"/>
      <c r="AB8" s="165"/>
      <c r="AC8" s="165">
        <f t="shared" ref="AC8:AC13" si="3">SUM(W8:AB8)</f>
        <v>0</v>
      </c>
      <c r="AE8" s="489">
        <f>-SUM(AE17:AE35)-SUM(AE40:AE55)</f>
        <v>-831399</v>
      </c>
      <c r="AF8" s="489">
        <f>-SUM(AF56,AF36)</f>
        <v>-2345589</v>
      </c>
      <c r="AG8" s="489">
        <f>-SUM(AG56,AG36)</f>
        <v>2447576</v>
      </c>
      <c r="AH8" s="489">
        <f>-SUM(AH36,AH56)</f>
        <v>6174690</v>
      </c>
      <c r="AJ8" s="882">
        <f t="shared" si="0"/>
        <v>15733906.965000007</v>
      </c>
      <c r="AK8" s="439"/>
      <c r="AL8" s="165">
        <v>3614894.4499999881</v>
      </c>
      <c r="AM8" s="486">
        <f t="shared" si="1"/>
        <v>12119012.515000019</v>
      </c>
      <c r="AN8" s="523"/>
      <c r="AO8" s="165"/>
      <c r="AP8" s="486"/>
      <c r="AQ8" s="167"/>
      <c r="AR8" s="523"/>
    </row>
    <row r="9" spans="1:47">
      <c r="A9" s="164" t="s">
        <v>122</v>
      </c>
      <c r="B9" s="497"/>
      <c r="C9" s="497"/>
      <c r="D9" s="497"/>
      <c r="E9" s="497"/>
      <c r="F9" s="552"/>
      <c r="G9" s="550"/>
      <c r="H9" s="551"/>
      <c r="I9" s="551"/>
      <c r="J9" s="551">
        <f t="shared" si="2"/>
        <v>0</v>
      </c>
      <c r="K9" s="492"/>
      <c r="L9" s="497"/>
      <c r="M9" s="489"/>
      <c r="N9" s="489"/>
      <c r="O9" s="489">
        <f>'Productivity Split'!C14-SUM('FINAL-Distributed E&amp;G Budget'!O18:O35)-SUM(O40:O55)</f>
        <v>3115000</v>
      </c>
      <c r="P9" s="190"/>
      <c r="Q9" s="555">
        <f>'Service Support &amp; Mgmt'!G3-Q7-Q8</f>
        <v>0</v>
      </c>
      <c r="R9" s="489"/>
      <c r="S9" s="489"/>
      <c r="T9" s="489"/>
      <c r="U9" s="489">
        <f>+SUM(Q9:T9)</f>
        <v>0</v>
      </c>
      <c r="V9" s="190"/>
      <c r="W9" s="165"/>
      <c r="X9" s="165"/>
      <c r="Y9" s="165"/>
      <c r="Z9" s="165"/>
      <c r="AA9" s="165"/>
      <c r="AB9" s="165"/>
      <c r="AC9" s="165">
        <f t="shared" si="3"/>
        <v>0</v>
      </c>
      <c r="AE9" s="753">
        <f>-SUM(AE17:AE35)-SUM(AE40:AE55)-AE8</f>
        <v>0</v>
      </c>
      <c r="AF9" s="489"/>
      <c r="AG9" s="489"/>
      <c r="AH9" s="489"/>
      <c r="AJ9" s="821">
        <f t="shared" si="0"/>
        <v>3115000</v>
      </c>
      <c r="AK9" s="439"/>
      <c r="AL9" s="165">
        <v>3115000</v>
      </c>
      <c r="AM9" s="486">
        <f t="shared" si="1"/>
        <v>0</v>
      </c>
      <c r="AN9" s="523"/>
      <c r="AO9" s="165"/>
      <c r="AP9" s="486"/>
      <c r="AQ9" s="167"/>
      <c r="AR9" s="523"/>
    </row>
    <row r="10" spans="1:47" ht="15.75">
      <c r="A10" s="164" t="s">
        <v>123</v>
      </c>
      <c r="B10" s="497"/>
      <c r="C10" s="497"/>
      <c r="D10" s="497">
        <f>+IM!B18</f>
        <v>14709475</v>
      </c>
      <c r="E10" s="497"/>
      <c r="F10" s="552"/>
      <c r="G10" s="550"/>
      <c r="H10" s="551"/>
      <c r="I10" s="551"/>
      <c r="J10" s="551">
        <f t="shared" si="2"/>
        <v>14709475</v>
      </c>
      <c r="K10" s="492"/>
      <c r="L10" s="497"/>
      <c r="M10" s="489"/>
      <c r="N10" s="489"/>
      <c r="O10" s="489"/>
      <c r="P10" s="190"/>
      <c r="Q10" s="165"/>
      <c r="R10" s="165"/>
      <c r="S10" s="165"/>
      <c r="T10" s="165"/>
      <c r="U10" s="165">
        <f t="shared" ref="U10:U55" si="4">+SUM(Q10:T10)</f>
        <v>0</v>
      </c>
      <c r="V10" s="190"/>
      <c r="W10" s="165"/>
      <c r="X10" s="165"/>
      <c r="Y10" s="165"/>
      <c r="Z10" s="165"/>
      <c r="AA10" s="165"/>
      <c r="AB10" s="165"/>
      <c r="AC10" s="165">
        <f t="shared" si="3"/>
        <v>0</v>
      </c>
      <c r="AE10" s="489"/>
      <c r="AF10" s="489"/>
      <c r="AG10" s="489"/>
      <c r="AH10" s="489"/>
      <c r="AJ10" s="821">
        <f t="shared" si="0"/>
        <v>14709475</v>
      </c>
      <c r="AK10" s="439"/>
      <c r="AL10" s="165">
        <v>11209475</v>
      </c>
      <c r="AM10" s="486">
        <f t="shared" si="1"/>
        <v>3500000</v>
      </c>
      <c r="AN10" s="523"/>
      <c r="AO10" s="165"/>
      <c r="AP10" s="486"/>
      <c r="AR10" s="523"/>
      <c r="AS10" s="170" t="s">
        <v>124</v>
      </c>
      <c r="AT10"/>
      <c r="AU10" s="167"/>
    </row>
    <row r="11" spans="1:47" ht="15.75" thickBot="1">
      <c r="A11" s="164" t="s">
        <v>125</v>
      </c>
      <c r="B11" s="497"/>
      <c r="C11" s="497"/>
      <c r="D11" s="497"/>
      <c r="E11" s="497">
        <f>+Differential!F5</f>
        <v>1381400</v>
      </c>
      <c r="F11" s="552"/>
      <c r="G11" s="550"/>
      <c r="H11" s="819">
        <f>'Step 0 Revenue Detail'!H53-H8-H36-H56+'Step 0 Revenue Detail'!F53</f>
        <v>2771430</v>
      </c>
      <c r="I11" s="819"/>
      <c r="J11" s="551">
        <f t="shared" si="2"/>
        <v>4152830</v>
      </c>
      <c r="K11" s="492"/>
      <c r="L11" s="551">
        <f>+'Productivity Split'!C13</f>
        <v>7243870</v>
      </c>
      <c r="M11" s="489"/>
      <c r="N11" s="489"/>
      <c r="O11" s="489"/>
      <c r="P11" s="190"/>
      <c r="Q11" s="165"/>
      <c r="R11" s="165"/>
      <c r="S11" s="165"/>
      <c r="T11" s="165"/>
      <c r="U11" s="165">
        <f t="shared" si="4"/>
        <v>0</v>
      </c>
      <c r="V11" s="190"/>
      <c r="W11" s="165"/>
      <c r="X11" s="165"/>
      <c r="Y11" s="165"/>
      <c r="Z11" s="165"/>
      <c r="AA11" s="165"/>
      <c r="AB11" s="165"/>
      <c r="AC11" s="165">
        <f t="shared" si="3"/>
        <v>0</v>
      </c>
      <c r="AE11" s="165"/>
      <c r="AF11" s="165"/>
      <c r="AG11" s="486"/>
      <c r="AH11" s="165"/>
      <c r="AJ11" s="821">
        <f t="shared" si="0"/>
        <v>11396700</v>
      </c>
      <c r="AK11" s="439"/>
      <c r="AL11" s="165">
        <v>9025582</v>
      </c>
      <c r="AM11" s="486">
        <f t="shared" si="1"/>
        <v>2371118</v>
      </c>
      <c r="AN11" s="523"/>
      <c r="AO11" s="165"/>
      <c r="AP11" s="486"/>
      <c r="AR11" s="523"/>
      <c r="AS11"/>
      <c r="AT11" s="282" t="s">
        <v>126</v>
      </c>
      <c r="AU11" s="282" t="s">
        <v>127</v>
      </c>
    </row>
    <row r="12" spans="1:47">
      <c r="A12" s="164" t="s">
        <v>128</v>
      </c>
      <c r="B12" s="489"/>
      <c r="C12" s="497"/>
      <c r="D12" s="497">
        <f>+IM!F26</f>
        <v>180000</v>
      </c>
      <c r="E12" s="497"/>
      <c r="F12" s="497"/>
      <c r="G12" s="550"/>
      <c r="H12" s="551"/>
      <c r="I12" s="551"/>
      <c r="J12" s="551">
        <f t="shared" si="2"/>
        <v>180000</v>
      </c>
      <c r="K12" s="492"/>
      <c r="L12" s="553"/>
      <c r="M12" s="489"/>
      <c r="N12" s="489"/>
      <c r="O12" s="489"/>
      <c r="P12" s="190"/>
      <c r="Q12" s="165"/>
      <c r="R12" s="165"/>
      <c r="S12" s="165"/>
      <c r="T12" s="165"/>
      <c r="U12" s="165">
        <f t="shared" si="4"/>
        <v>0</v>
      </c>
      <c r="V12" s="190"/>
      <c r="W12" s="165"/>
      <c r="X12" s="165"/>
      <c r="Y12" s="165"/>
      <c r="Z12" s="165"/>
      <c r="AA12" s="165"/>
      <c r="AB12" s="165"/>
      <c r="AC12" s="165">
        <f t="shared" si="3"/>
        <v>0</v>
      </c>
      <c r="AE12" s="165"/>
      <c r="AF12" s="165"/>
      <c r="AG12" s="486"/>
      <c r="AH12" s="165"/>
      <c r="AJ12" s="821">
        <f t="shared" si="0"/>
        <v>180000</v>
      </c>
      <c r="AK12" s="439"/>
      <c r="AL12" s="165">
        <v>180000</v>
      </c>
      <c r="AM12" s="486">
        <f t="shared" si="1"/>
        <v>0</v>
      </c>
      <c r="AN12" s="523"/>
      <c r="AO12" s="165"/>
      <c r="AP12" s="486"/>
      <c r="AR12" s="523"/>
      <c r="AS12" s="171" t="s">
        <v>478</v>
      </c>
      <c r="AT12" s="172">
        <v>1.4E-2</v>
      </c>
      <c r="AU12" s="173">
        <v>0.1891891891891892</v>
      </c>
    </row>
    <row r="13" spans="1:47">
      <c r="A13" s="164" t="s">
        <v>129</v>
      </c>
      <c r="B13" s="489"/>
      <c r="C13" s="497"/>
      <c r="D13" s="497">
        <f>IM!B14</f>
        <v>44798792</v>
      </c>
      <c r="E13" s="497"/>
      <c r="F13" s="497"/>
      <c r="G13" s="550"/>
      <c r="H13" s="551"/>
      <c r="I13" s="551"/>
      <c r="J13" s="551">
        <f t="shared" si="2"/>
        <v>44798792</v>
      </c>
      <c r="K13" s="492"/>
      <c r="L13" s="553"/>
      <c r="M13" s="489"/>
      <c r="N13" s="489"/>
      <c r="O13" s="489"/>
      <c r="P13" s="190"/>
      <c r="Q13" s="165"/>
      <c r="R13" s="165"/>
      <c r="S13" s="165"/>
      <c r="T13" s="165"/>
      <c r="U13" s="165">
        <f t="shared" si="4"/>
        <v>0</v>
      </c>
      <c r="V13" s="190"/>
      <c r="W13" s="165"/>
      <c r="X13" s="165"/>
      <c r="Y13" s="165"/>
      <c r="Z13" s="165"/>
      <c r="AA13" s="165"/>
      <c r="AB13" s="165"/>
      <c r="AC13" s="165">
        <f t="shared" si="3"/>
        <v>0</v>
      </c>
      <c r="AE13" s="165"/>
      <c r="AF13" s="165"/>
      <c r="AG13" s="486"/>
      <c r="AH13" s="165"/>
      <c r="AJ13" s="821">
        <f t="shared" si="0"/>
        <v>44798792</v>
      </c>
      <c r="AK13" s="439"/>
      <c r="AL13" s="165">
        <v>44266187</v>
      </c>
      <c r="AM13" s="486">
        <f t="shared" si="1"/>
        <v>532605</v>
      </c>
      <c r="AN13" s="523"/>
      <c r="AO13" s="165"/>
      <c r="AP13" s="486"/>
      <c r="AR13" s="523"/>
      <c r="AS13" s="174" t="s">
        <v>130</v>
      </c>
      <c r="AT13" s="175">
        <v>2.1999999999999999E-2</v>
      </c>
      <c r="AU13" s="176">
        <v>0.29729729729729731</v>
      </c>
    </row>
    <row r="14" spans="1:47" s="752" customFormat="1" ht="15.75" thickBot="1">
      <c r="A14" s="164" t="s">
        <v>627</v>
      </c>
      <c r="B14" s="489"/>
      <c r="C14" s="497"/>
      <c r="D14" s="553"/>
      <c r="E14" s="497"/>
      <c r="F14" s="497"/>
      <c r="G14" s="497">
        <f>+'Step 0 Revenue Detail'!L18-G36-G56</f>
        <v>-3</v>
      </c>
      <c r="H14" s="551"/>
      <c r="I14" s="551"/>
      <c r="J14" s="551">
        <f t="shared" si="2"/>
        <v>-3</v>
      </c>
      <c r="K14" s="492"/>
      <c r="L14" s="553"/>
      <c r="M14" s="489"/>
      <c r="N14" s="489"/>
      <c r="O14" s="489"/>
      <c r="P14" s="496"/>
      <c r="Q14" s="486"/>
      <c r="R14" s="486"/>
      <c r="S14" s="486"/>
      <c r="T14" s="486"/>
      <c r="U14" s="486">
        <f t="shared" si="4"/>
        <v>0</v>
      </c>
      <c r="V14" s="496"/>
      <c r="W14" s="486">
        <f>+(Dashboard!D22+Dashboard!D28)-W36-W56</f>
        <v>-200.91999999433756</v>
      </c>
      <c r="X14" s="486">
        <f>+Dashboard!D29+Dashboard!D30-X36-X56</f>
        <v>-166.48000000417233</v>
      </c>
      <c r="Y14" s="486">
        <f>+Dashboard!D37+Dashboard!D38-Y36-Y56</f>
        <v>0</v>
      </c>
      <c r="Z14" s="486">
        <f>+Dashboard!D41-Z36-Z56</f>
        <v>18.560000000521541</v>
      </c>
      <c r="AA14" s="486">
        <f>+Dashboard!D42+Dashboard!D48-AA56-AA36</f>
        <v>88.919999999925494</v>
      </c>
      <c r="AB14" s="486">
        <f>+Dashboard!D31+Dashboard!D36-AB36-AB56</f>
        <v>35.919999998062849</v>
      </c>
      <c r="AC14" s="486">
        <f>SUM(W14:AB14)</f>
        <v>-224</v>
      </c>
      <c r="AD14" s="125"/>
      <c r="AE14" s="486"/>
      <c r="AF14" s="486"/>
      <c r="AG14" s="486"/>
      <c r="AH14" s="486"/>
      <c r="AI14" s="125"/>
      <c r="AJ14" s="822">
        <f t="shared" si="0"/>
        <v>-227</v>
      </c>
      <c r="AK14" s="439"/>
      <c r="AL14" s="486">
        <v>237.00000000279397</v>
      </c>
      <c r="AM14" s="486">
        <f t="shared" si="1"/>
        <v>-464.00000000279397</v>
      </c>
      <c r="AN14" s="523"/>
      <c r="AO14" s="486"/>
      <c r="AP14" s="486"/>
      <c r="AR14" s="523"/>
      <c r="AS14" s="174"/>
      <c r="AT14" s="175"/>
      <c r="AU14" s="176"/>
    </row>
    <row r="15" spans="1:47">
      <c r="A15" s="177"/>
      <c r="B15" s="178"/>
      <c r="C15" s="178"/>
      <c r="D15" s="178"/>
      <c r="E15" s="179"/>
      <c r="F15" s="178"/>
      <c r="G15" s="180"/>
      <c r="H15" s="499"/>
      <c r="I15" s="499"/>
      <c r="J15" s="177"/>
      <c r="K15" s="492"/>
      <c r="L15" s="178"/>
      <c r="M15" s="178"/>
      <c r="N15" s="178"/>
      <c r="O15" s="178"/>
      <c r="P15" s="190"/>
      <c r="Q15" s="178"/>
      <c r="R15" s="178"/>
      <c r="S15" s="178"/>
      <c r="T15" s="178"/>
      <c r="U15" s="178"/>
      <c r="V15" s="190"/>
      <c r="W15" s="178"/>
      <c r="X15" s="178"/>
      <c r="Y15" s="178"/>
      <c r="Z15" s="178"/>
      <c r="AA15" s="178"/>
      <c r="AB15" s="178"/>
      <c r="AC15" s="178"/>
      <c r="AE15" s="178"/>
      <c r="AF15" s="178"/>
      <c r="AG15" s="491"/>
      <c r="AH15" s="178"/>
      <c r="AJ15" s="499"/>
      <c r="AK15" s="558"/>
      <c r="AL15" s="178"/>
      <c r="AM15" s="491"/>
      <c r="AN15" s="523"/>
      <c r="AO15" s="178"/>
      <c r="AP15" s="491"/>
      <c r="AR15" s="523"/>
      <c r="AS15" s="174" t="s">
        <v>131</v>
      </c>
      <c r="AT15" s="175">
        <v>5.0000000000000001E-3</v>
      </c>
      <c r="AU15" s="176">
        <v>6.7567567567567571E-2</v>
      </c>
    </row>
    <row r="16" spans="1:47">
      <c r="A16" s="181" t="s">
        <v>132</v>
      </c>
      <c r="B16" s="182"/>
      <c r="C16" s="62"/>
      <c r="D16" s="62"/>
      <c r="E16" s="179"/>
      <c r="F16" s="518"/>
      <c r="G16" s="180"/>
      <c r="H16" s="183"/>
      <c r="I16" s="494"/>
      <c r="J16" s="183"/>
      <c r="K16" s="492"/>
      <c r="L16" s="182"/>
      <c r="M16" s="518"/>
      <c r="N16" s="182"/>
      <c r="O16" s="182"/>
      <c r="P16" s="189"/>
      <c r="Q16" s="182"/>
      <c r="R16" s="182"/>
      <c r="S16" s="182"/>
      <c r="T16" s="182"/>
      <c r="U16" s="185"/>
      <c r="V16" s="189"/>
      <c r="W16" s="182"/>
      <c r="X16" s="182"/>
      <c r="Y16" s="182"/>
      <c r="Z16" s="182"/>
      <c r="AA16" s="182"/>
      <c r="AB16" s="182"/>
      <c r="AC16" s="182"/>
      <c r="AE16" s="182"/>
      <c r="AF16" s="369"/>
      <c r="AG16" s="369"/>
      <c r="AH16" s="369"/>
      <c r="AJ16" s="506"/>
      <c r="AK16" s="439"/>
      <c r="AL16" s="182"/>
      <c r="AM16" s="493"/>
      <c r="AN16" s="523"/>
      <c r="AO16" s="182"/>
      <c r="AP16" s="493"/>
      <c r="AR16" s="523"/>
      <c r="AS16" s="174" t="s">
        <v>133</v>
      </c>
      <c r="AT16" s="175">
        <v>5.0000000000000001E-3</v>
      </c>
      <c r="AU16" s="176">
        <v>6.7567567567567571E-2</v>
      </c>
    </row>
    <row r="17" spans="1:48">
      <c r="A17" s="184" t="s">
        <v>134</v>
      </c>
      <c r="B17" s="182"/>
      <c r="C17" s="62"/>
      <c r="D17" s="62"/>
      <c r="E17" s="179"/>
      <c r="F17" s="180"/>
      <c r="G17" s="180"/>
      <c r="H17" s="167"/>
      <c r="I17" s="487"/>
      <c r="J17" s="167"/>
      <c r="K17" s="492"/>
      <c r="L17" s="182"/>
      <c r="M17" s="369"/>
      <c r="N17" s="182"/>
      <c r="O17" s="182"/>
      <c r="P17" s="189"/>
      <c r="Q17" s="182"/>
      <c r="R17" s="182"/>
      <c r="S17" s="182"/>
      <c r="T17" s="182"/>
      <c r="U17" s="182"/>
      <c r="V17" s="189"/>
      <c r="W17" s="182"/>
      <c r="X17" s="182"/>
      <c r="Y17" s="182"/>
      <c r="Z17" s="182"/>
      <c r="AA17" s="182"/>
      <c r="AB17" s="182"/>
      <c r="AC17" s="182"/>
      <c r="AE17" s="267"/>
      <c r="AF17" s="267"/>
      <c r="AG17" s="267"/>
      <c r="AH17" s="267"/>
      <c r="AJ17" s="506"/>
      <c r="AK17" s="439"/>
      <c r="AL17" s="185"/>
      <c r="AM17" s="495"/>
      <c r="AN17" s="523"/>
      <c r="AO17" s="185"/>
      <c r="AP17" s="495"/>
      <c r="AR17" s="523"/>
      <c r="AS17" s="174" t="s">
        <v>135</v>
      </c>
      <c r="AT17" s="175">
        <v>1.0999999999999999E-2</v>
      </c>
      <c r="AU17" s="176">
        <v>0.14864864864864866</v>
      </c>
    </row>
    <row r="18" spans="1:48">
      <c r="A18" s="186" t="s">
        <v>136</v>
      </c>
      <c r="B18" s="166">
        <f>ROUND(-C$4*C18-E$4*E18-F$4*F18-G$4*G18-H$4*H18,-1)</f>
        <v>0</v>
      </c>
      <c r="C18" s="166">
        <f>+'Step 0 Revenue Detail'!H17+'Step 0 Revenue Detail'!H27+'Step 0 Revenue Detail'!H33+'Step 0 Revenue Detail'!H30+'Step 0 Revenue Detail'!H24+'Step 0 Revenue Detail'!H28+'Step 0 Revenue Detail'!H35+'Step 0 Revenue Detail'!H36</f>
        <v>2118898</v>
      </c>
      <c r="D18" s="166"/>
      <c r="E18" s="166">
        <f>+Differential!F9</f>
        <v>0</v>
      </c>
      <c r="F18" s="166">
        <v>1330803</v>
      </c>
      <c r="G18" s="166">
        <v>223390</v>
      </c>
      <c r="H18" s="166">
        <v>2000000</v>
      </c>
      <c r="I18" s="166"/>
      <c r="J18" s="166">
        <f>SUM(C18:I18)</f>
        <v>5673091</v>
      </c>
      <c r="K18" s="492"/>
      <c r="L18" s="165"/>
      <c r="M18" s="165"/>
      <c r="N18" s="165"/>
      <c r="O18" s="165"/>
      <c r="P18" s="190"/>
      <c r="Q18" s="165"/>
      <c r="R18" s="165"/>
      <c r="S18" s="165"/>
      <c r="T18" s="165"/>
      <c r="U18" s="165"/>
      <c r="V18" s="190"/>
      <c r="W18" s="168">
        <f>+'Productivity Calc'!B5+'Productivity Calc'!C5</f>
        <v>4500900</v>
      </c>
      <c r="X18" s="168">
        <f>+'Productivity Calc'!Q5</f>
        <v>3080800</v>
      </c>
      <c r="Y18" s="168">
        <f>SUM('Productivity Calc'!O5:P5)</f>
        <v>12756000</v>
      </c>
      <c r="Z18" s="168">
        <f>+Research!B5</f>
        <v>1616500</v>
      </c>
      <c r="AA18" s="168">
        <f>SUM('Productivity Calc'!K5:N5)</f>
        <v>371600</v>
      </c>
      <c r="AB18" s="168">
        <f>+'Productivity Calc'!U5</f>
        <v>3317900</v>
      </c>
      <c r="AC18" s="168">
        <f>SUM(W18:AB18)</f>
        <v>25643700</v>
      </c>
      <c r="AE18" s="165"/>
      <c r="AF18" s="489"/>
      <c r="AG18" s="486">
        <f>+'TECH CHANGE'!W19</f>
        <v>-174334</v>
      </c>
      <c r="AH18" s="489">
        <f t="shared" ref="AH18:AH35" si="5">ROUND(-SUM(L18:O18,U18,AC18,B18,J18)*$AQ$5,-1)</f>
        <v>-313170</v>
      </c>
      <c r="AJ18" s="486">
        <f t="shared" ref="AJ18:AJ35" si="6">SUM(L18:O18,U18,AC18,B18,J18,AE18,AF18,AG18,AH18)</f>
        <v>30829287</v>
      </c>
      <c r="AK18" s="558"/>
      <c r="AL18" s="165">
        <v>29285652</v>
      </c>
      <c r="AM18" s="486">
        <f t="shared" ref="AM18:AM35" si="7">+AJ18-AL18</f>
        <v>1543635</v>
      </c>
      <c r="AN18" s="523"/>
      <c r="AO18" s="486"/>
      <c r="AP18" s="486"/>
      <c r="AR18" s="523"/>
      <c r="AS18" s="174" t="s">
        <v>137</v>
      </c>
      <c r="AT18" s="175">
        <v>1.0999999999999999E-2</v>
      </c>
      <c r="AU18" s="176">
        <v>0.14864864864864866</v>
      </c>
    </row>
    <row r="19" spans="1:48">
      <c r="A19" s="189" t="s">
        <v>138</v>
      </c>
      <c r="B19" s="496">
        <f t="shared" ref="B19:B24" si="8">ROUND(-C$4*C19-E$4*E19-F$4*F19-G$4*G19-H$4*H19,-1)</f>
        <v>0</v>
      </c>
      <c r="C19" s="190"/>
      <c r="D19" s="190"/>
      <c r="E19" s="190">
        <f>+Differential!F10</f>
        <v>2634000</v>
      </c>
      <c r="F19" s="496">
        <v>729537</v>
      </c>
      <c r="G19" s="496">
        <v>121678</v>
      </c>
      <c r="H19" s="190">
        <v>9000</v>
      </c>
      <c r="I19" s="496"/>
      <c r="J19" s="496">
        <f t="shared" ref="J19:J35" si="9">SUM(C19:I19)</f>
        <v>3494215</v>
      </c>
      <c r="K19" s="492"/>
      <c r="L19" s="178"/>
      <c r="M19" s="178"/>
      <c r="N19" s="178"/>
      <c r="O19" s="178"/>
      <c r="P19" s="496"/>
      <c r="Q19" s="178"/>
      <c r="R19" s="178"/>
      <c r="S19" s="178"/>
      <c r="T19" s="178"/>
      <c r="U19" s="178"/>
      <c r="V19" s="190"/>
      <c r="W19" s="267">
        <f>+'Productivity Calc'!B6+'Productivity Calc'!C6</f>
        <v>5952000</v>
      </c>
      <c r="X19" s="267">
        <f>+'Productivity Calc'!Q6</f>
        <v>5385000</v>
      </c>
      <c r="Y19" s="267">
        <f>SUM('Productivity Calc'!O6:P6)</f>
        <v>14014000</v>
      </c>
      <c r="Z19" s="267">
        <f>+Research!B6</f>
        <v>12700</v>
      </c>
      <c r="AA19" s="267">
        <f>SUM('Productivity Calc'!K6:N6)</f>
        <v>964200</v>
      </c>
      <c r="AB19" s="267">
        <f>+'Productivity Calc'!U6</f>
        <v>1564700</v>
      </c>
      <c r="AC19" s="267">
        <f t="shared" ref="AC19:AC35" si="10">SUM(W19:AB19)</f>
        <v>27892600</v>
      </c>
      <c r="AE19" s="178"/>
      <c r="AF19" s="491"/>
      <c r="AG19" s="491">
        <f>+'TECH CHANGE'!W20</f>
        <v>-602039</v>
      </c>
      <c r="AH19" s="491">
        <f t="shared" si="5"/>
        <v>-313870</v>
      </c>
      <c r="AJ19" s="491">
        <f t="shared" si="6"/>
        <v>30470906</v>
      </c>
      <c r="AK19" s="558"/>
      <c r="AL19" s="178">
        <v>26546319</v>
      </c>
      <c r="AM19" s="491">
        <f t="shared" si="7"/>
        <v>3924587</v>
      </c>
      <c r="AN19" s="523"/>
      <c r="AO19" s="491"/>
      <c r="AP19" s="491"/>
      <c r="AR19" s="523"/>
      <c r="AS19" s="174" t="s">
        <v>139</v>
      </c>
      <c r="AT19" s="175">
        <v>6.0000000000000001E-3</v>
      </c>
      <c r="AU19" s="176">
        <v>8.1081081081081086E-2</v>
      </c>
    </row>
    <row r="20" spans="1:48" ht="16.5" thickBot="1">
      <c r="A20" s="179" t="s">
        <v>140</v>
      </c>
      <c r="B20" s="496">
        <f t="shared" si="8"/>
        <v>0</v>
      </c>
      <c r="C20" s="190">
        <f>+'Step 0 Revenue Detail'!H16</f>
        <v>8405471</v>
      </c>
      <c r="D20" s="190"/>
      <c r="E20" s="190">
        <f>+Differential!F11</f>
        <v>10850000</v>
      </c>
      <c r="F20" s="496">
        <v>866826</v>
      </c>
      <c r="G20" s="496">
        <v>61610</v>
      </c>
      <c r="H20" s="190">
        <v>2800000</v>
      </c>
      <c r="I20" s="496"/>
      <c r="J20" s="496">
        <f t="shared" si="9"/>
        <v>22983907</v>
      </c>
      <c r="K20" s="492"/>
      <c r="L20" s="178"/>
      <c r="M20" s="178"/>
      <c r="N20" s="178"/>
      <c r="O20" s="178"/>
      <c r="P20" s="496"/>
      <c r="Q20" s="178"/>
      <c r="R20" s="178"/>
      <c r="S20" s="178"/>
      <c r="T20" s="178"/>
      <c r="U20" s="178"/>
      <c r="V20" s="190"/>
      <c r="W20" s="267">
        <f>+'Productivity Calc'!B14+'Productivity Calc'!C14</f>
        <v>5859400</v>
      </c>
      <c r="X20" s="267">
        <f>+'Productivity Calc'!Q14</f>
        <v>14367900</v>
      </c>
      <c r="Y20" s="267">
        <f>SUM('Productivity Calc'!O14:P14)</f>
        <v>29946000</v>
      </c>
      <c r="Z20" s="267">
        <f>+Research!B7</f>
        <v>2068000</v>
      </c>
      <c r="AA20" s="267">
        <f>SUM('Productivity Calc'!K14:N14)</f>
        <v>1917400</v>
      </c>
      <c r="AB20" s="267">
        <f>+'Productivity Calc'!U14</f>
        <v>9012200</v>
      </c>
      <c r="AC20" s="267">
        <f t="shared" si="10"/>
        <v>63170900</v>
      </c>
      <c r="AE20" s="178"/>
      <c r="AF20" s="491"/>
      <c r="AG20" s="491">
        <f>+'TECH CHANGE'!W21</f>
        <v>-372980</v>
      </c>
      <c r="AH20" s="491">
        <f t="shared" si="5"/>
        <v>-861550</v>
      </c>
      <c r="AJ20" s="491">
        <f t="shared" si="6"/>
        <v>84920277</v>
      </c>
      <c r="AK20" s="558"/>
      <c r="AL20" s="178">
        <v>78577561</v>
      </c>
      <c r="AM20" s="491">
        <f>+AJ20-AL20</f>
        <v>6342716</v>
      </c>
      <c r="AN20" s="523"/>
      <c r="AO20" s="491"/>
      <c r="AP20" s="491"/>
      <c r="AR20" s="523"/>
      <c r="AS20" s="191"/>
      <c r="AT20" s="192">
        <v>7.3999999999999996E-2</v>
      </c>
      <c r="AU20" s="193">
        <v>1</v>
      </c>
    </row>
    <row r="21" spans="1:48">
      <c r="A21" s="186" t="s">
        <v>141</v>
      </c>
      <c r="B21" s="497">
        <f t="shared" si="8"/>
        <v>0</v>
      </c>
      <c r="C21" s="194">
        <f>+'Step 0 Revenue Detail'!H22+'Step 0 Revenue Detail'!H32</f>
        <v>2603934</v>
      </c>
      <c r="D21" s="166"/>
      <c r="E21" s="166">
        <f>+Differential!F12</f>
        <v>133000</v>
      </c>
      <c r="F21" s="166">
        <v>829748</v>
      </c>
      <c r="G21" s="166">
        <v>348065</v>
      </c>
      <c r="H21" s="166">
        <v>411000</v>
      </c>
      <c r="I21" s="166"/>
      <c r="J21" s="166">
        <f t="shared" si="9"/>
        <v>4325747</v>
      </c>
      <c r="K21" s="492"/>
      <c r="L21" s="165"/>
      <c r="M21" s="165"/>
      <c r="N21" s="165"/>
      <c r="O21" s="165">
        <f>ROUND((1-0.077)*738000,-2)</f>
        <v>681200</v>
      </c>
      <c r="P21" s="496"/>
      <c r="Q21" s="165"/>
      <c r="R21" s="165"/>
      <c r="S21" s="165"/>
      <c r="T21" s="165"/>
      <c r="U21" s="165"/>
      <c r="V21" s="190"/>
      <c r="W21" s="168">
        <f>+'Productivity Calc'!B8+'Productivity Calc'!C8</f>
        <v>926500</v>
      </c>
      <c r="X21" s="168">
        <f>+'Productivity Calc'!Q8</f>
        <v>1296400</v>
      </c>
      <c r="Y21" s="168">
        <f>SUM('Productivity Calc'!O8:P8)</f>
        <v>2436000</v>
      </c>
      <c r="Z21" s="168">
        <f>+Research!B8</f>
        <v>348400</v>
      </c>
      <c r="AA21" s="168">
        <f>SUM('Productivity Calc'!K8:N8)</f>
        <v>163000</v>
      </c>
      <c r="AB21" s="168">
        <f>+'Productivity Calc'!U8</f>
        <v>1239100</v>
      </c>
      <c r="AC21" s="168">
        <f>SUM(W21:AB21)</f>
        <v>6409400</v>
      </c>
      <c r="AE21" s="165"/>
      <c r="AF21" s="489"/>
      <c r="AG21" s="486">
        <f>+'TECH CHANGE'!W22</f>
        <v>-235233</v>
      </c>
      <c r="AH21" s="489">
        <f t="shared" si="5"/>
        <v>-114160</v>
      </c>
      <c r="AJ21" s="486">
        <f t="shared" si="6"/>
        <v>11066954</v>
      </c>
      <c r="AK21" s="558"/>
      <c r="AL21" s="165">
        <v>10348401</v>
      </c>
      <c r="AM21" s="486">
        <f t="shared" si="7"/>
        <v>718553</v>
      </c>
      <c r="AN21" s="523"/>
      <c r="AO21" s="486"/>
      <c r="AP21" s="486"/>
      <c r="AQ21" s="167"/>
      <c r="AR21" s="523"/>
      <c r="AU21" s="243"/>
      <c r="AV21" s="218"/>
    </row>
    <row r="22" spans="1:48">
      <c r="A22" s="189" t="s">
        <v>142</v>
      </c>
      <c r="B22" s="496">
        <f t="shared" si="8"/>
        <v>0</v>
      </c>
      <c r="C22" s="190"/>
      <c r="D22" s="190"/>
      <c r="E22" s="190">
        <f>+Differential!F13</f>
        <v>125000</v>
      </c>
      <c r="F22" s="496">
        <v>706488</v>
      </c>
      <c r="G22" s="496">
        <v>90303</v>
      </c>
      <c r="H22" s="190">
        <v>900000</v>
      </c>
      <c r="I22" s="496"/>
      <c r="J22" s="496">
        <f t="shared" si="9"/>
        <v>1821791</v>
      </c>
      <c r="K22" s="492"/>
      <c r="L22" s="178"/>
      <c r="M22" s="178">
        <f>300000+300000+250000</f>
        <v>850000</v>
      </c>
      <c r="N22" s="178"/>
      <c r="O22" s="178"/>
      <c r="P22" s="496"/>
      <c r="Q22" s="178"/>
      <c r="R22" s="178"/>
      <c r="S22" s="178"/>
      <c r="T22" s="178"/>
      <c r="U22" s="178"/>
      <c r="V22" s="190"/>
      <c r="W22" s="267">
        <f>+'Productivity Calc'!B15+'Productivity Calc'!C15</f>
        <v>4257300</v>
      </c>
      <c r="X22" s="267">
        <f>+'Productivity Calc'!Q15</f>
        <v>2510400</v>
      </c>
      <c r="Y22" s="267">
        <f>SUM('Productivity Calc'!O15:P15)</f>
        <v>6617000</v>
      </c>
      <c r="Z22" s="267">
        <f>+Research!B9</f>
        <v>737500</v>
      </c>
      <c r="AA22" s="267">
        <f>SUM('Productivity Calc'!K15:N15)</f>
        <v>646200</v>
      </c>
      <c r="AB22" s="267">
        <f>+'Productivity Calc'!U15</f>
        <v>1981000</v>
      </c>
      <c r="AC22" s="267">
        <f t="shared" si="10"/>
        <v>16749400</v>
      </c>
      <c r="AE22" s="491">
        <v>449701</v>
      </c>
      <c r="AF22" s="491">
        <f>1518000+127589</f>
        <v>1645589</v>
      </c>
      <c r="AG22" s="491">
        <f>+'TECH CHANGE'!W23</f>
        <v>-58960</v>
      </c>
      <c r="AH22" s="491">
        <f t="shared" si="5"/>
        <v>-194210</v>
      </c>
      <c r="AJ22" s="491">
        <f t="shared" si="6"/>
        <v>21263311</v>
      </c>
      <c r="AK22" s="558"/>
      <c r="AL22" s="178">
        <v>19800699</v>
      </c>
      <c r="AM22" s="491">
        <f t="shared" si="7"/>
        <v>1462612</v>
      </c>
      <c r="AN22" s="523"/>
      <c r="AO22" s="491"/>
      <c r="AP22" s="491"/>
      <c r="AQ22" s="167"/>
      <c r="AR22" s="523"/>
      <c r="AU22" s="243"/>
      <c r="AV22" s="218"/>
    </row>
    <row r="23" spans="1:48">
      <c r="A23" s="179" t="s">
        <v>143</v>
      </c>
      <c r="B23" s="496">
        <f t="shared" si="8"/>
        <v>0</v>
      </c>
      <c r="C23" s="190"/>
      <c r="D23" s="190"/>
      <c r="E23" s="190">
        <f>+Differential!F14</f>
        <v>0</v>
      </c>
      <c r="F23" s="496">
        <v>407358</v>
      </c>
      <c r="G23" s="496">
        <v>0</v>
      </c>
      <c r="H23" s="190">
        <v>40000</v>
      </c>
      <c r="I23" s="496"/>
      <c r="J23" s="496">
        <f t="shared" si="9"/>
        <v>447358</v>
      </c>
      <c r="K23" s="492"/>
      <c r="L23" s="178"/>
      <c r="M23" s="178"/>
      <c r="N23" s="178"/>
      <c r="O23" s="178">
        <f>ROUND((1-0.077)*246000,-2)+40000</f>
        <v>267100</v>
      </c>
      <c r="P23" s="496"/>
      <c r="Q23" s="178"/>
      <c r="R23" s="178"/>
      <c r="S23" s="178"/>
      <c r="T23" s="178"/>
      <c r="U23" s="178"/>
      <c r="V23" s="190"/>
      <c r="W23" s="267">
        <f>+'Productivity Calc'!B7+'Productivity Calc'!C7</f>
        <v>825000</v>
      </c>
      <c r="X23" s="267">
        <f>+'Productivity Calc'!Q7</f>
        <v>185400</v>
      </c>
      <c r="Y23" s="267">
        <f>SUM('Productivity Calc'!O7:P7)</f>
        <v>4271000</v>
      </c>
      <c r="Z23" s="267">
        <f>+Research!B10</f>
        <v>32400</v>
      </c>
      <c r="AA23" s="267">
        <f>SUM('Productivity Calc'!K7:N7)</f>
        <v>205100</v>
      </c>
      <c r="AB23" s="267">
        <f>+'Productivity Calc'!U7</f>
        <v>949900</v>
      </c>
      <c r="AC23" s="267">
        <f t="shared" si="10"/>
        <v>6468800</v>
      </c>
      <c r="AE23" s="491">
        <v>0</v>
      </c>
      <c r="AF23" s="491"/>
      <c r="AG23" s="491">
        <f>+'TECH CHANGE'!W24</f>
        <v>-66192</v>
      </c>
      <c r="AH23" s="491">
        <f t="shared" si="5"/>
        <v>-71830</v>
      </c>
      <c r="AJ23" s="491">
        <f t="shared" si="6"/>
        <v>7045236</v>
      </c>
      <c r="AK23" s="558"/>
      <c r="AL23" s="178">
        <v>6789028</v>
      </c>
      <c r="AM23" s="491">
        <f t="shared" si="7"/>
        <v>256208</v>
      </c>
      <c r="AN23" s="523"/>
      <c r="AO23" s="491"/>
      <c r="AP23" s="491"/>
      <c r="AQ23" s="167"/>
      <c r="AR23" s="523"/>
      <c r="AU23" s="243"/>
      <c r="AV23" s="218"/>
    </row>
    <row r="24" spans="1:48">
      <c r="A24" s="186" t="s">
        <v>144</v>
      </c>
      <c r="B24" s="166">
        <f t="shared" si="8"/>
        <v>0</v>
      </c>
      <c r="C24" s="166"/>
      <c r="D24" s="166"/>
      <c r="E24" s="166">
        <f>+Differential!F15</f>
        <v>152000</v>
      </c>
      <c r="F24" s="166">
        <v>770122</v>
      </c>
      <c r="G24" s="166">
        <v>266167</v>
      </c>
      <c r="H24" s="166">
        <v>80000</v>
      </c>
      <c r="I24" s="166"/>
      <c r="J24" s="166">
        <f t="shared" si="9"/>
        <v>1268289</v>
      </c>
      <c r="K24" s="492"/>
      <c r="L24" s="165"/>
      <c r="M24" s="554">
        <f>50000</f>
        <v>50000</v>
      </c>
      <c r="N24" s="165"/>
      <c r="O24" s="165">
        <v>55000</v>
      </c>
      <c r="P24" s="496"/>
      <c r="Q24" s="165"/>
      <c r="R24" s="165"/>
      <c r="S24" s="165"/>
      <c r="T24" s="165"/>
      <c r="U24" s="165"/>
      <c r="V24" s="190"/>
      <c r="W24" s="168">
        <f>+'Productivity Calc'!B12+'Productivity Calc'!C12</f>
        <v>18499300</v>
      </c>
      <c r="X24" s="168">
        <f>+'Productivity Calc'!Q12</f>
        <v>5128700</v>
      </c>
      <c r="Y24" s="168">
        <f>SUM('Productivity Calc'!O12:P12)</f>
        <v>22221000</v>
      </c>
      <c r="Z24" s="168">
        <f>+Research!B11</f>
        <v>62100</v>
      </c>
      <c r="AA24" s="168">
        <f>SUM('Productivity Calc'!K12:N12)</f>
        <v>1080600</v>
      </c>
      <c r="AB24" s="168">
        <f>+'Productivity Calc'!U12</f>
        <v>1613700</v>
      </c>
      <c r="AC24" s="168">
        <f t="shared" si="10"/>
        <v>48605400</v>
      </c>
      <c r="AE24" s="489">
        <v>381698</v>
      </c>
      <c r="AF24" s="489">
        <v>500000</v>
      </c>
      <c r="AG24" s="489">
        <f>+'TECH CHANGE'!W25</f>
        <v>-243046</v>
      </c>
      <c r="AH24" s="489">
        <f t="shared" si="5"/>
        <v>-499790</v>
      </c>
      <c r="AJ24" s="486">
        <f t="shared" si="6"/>
        <v>50117551</v>
      </c>
      <c r="AK24" s="558"/>
      <c r="AL24" s="165">
        <v>47760034</v>
      </c>
      <c r="AM24" s="486">
        <f t="shared" si="7"/>
        <v>2357517</v>
      </c>
      <c r="AN24" s="523"/>
      <c r="AO24" s="486"/>
      <c r="AP24" s="486"/>
      <c r="AQ24" s="167"/>
      <c r="AR24" s="523"/>
      <c r="AU24" s="243"/>
      <c r="AV24" s="218"/>
    </row>
    <row r="25" spans="1:48">
      <c r="A25" s="179" t="s">
        <v>145</v>
      </c>
      <c r="B25" s="496">
        <f>ROUND(-C$4*(C25-'Step 0 Revenue Detail'!H26)-E$4*E25-F$4*F25-G$4*G25-H$4*H25,-1)</f>
        <v>0</v>
      </c>
      <c r="C25" s="190">
        <f>+'Step 0 Revenue Detail'!H19+'Step 0 Revenue Detail'!H21+'Step 0 Revenue Detail'!H26+'Step 0 Revenue Detail'!H25</f>
        <v>761651</v>
      </c>
      <c r="D25" s="190"/>
      <c r="E25" s="190">
        <f>+Differential!F16</f>
        <v>0</v>
      </c>
      <c r="F25" s="496">
        <v>202426</v>
      </c>
      <c r="G25" s="496">
        <v>15726</v>
      </c>
      <c r="H25" s="190">
        <v>4000000</v>
      </c>
      <c r="I25" s="496"/>
      <c r="J25" s="496">
        <f t="shared" si="9"/>
        <v>4979803</v>
      </c>
      <c r="K25" s="492"/>
      <c r="L25" s="178"/>
      <c r="M25" s="178">
        <v>10875</v>
      </c>
      <c r="N25" s="178"/>
      <c r="O25" s="178">
        <f>ROUND((1-0.077)*2557000,-2)</f>
        <v>2360100</v>
      </c>
      <c r="P25" s="496"/>
      <c r="Q25" s="178"/>
      <c r="R25" s="178"/>
      <c r="S25" s="178"/>
      <c r="T25" s="178"/>
      <c r="U25" s="178"/>
      <c r="V25" s="190"/>
      <c r="W25" s="267">
        <f>'Productivity Calc'!B16+'Productivity Calc'!C16+'Productivity Calc'!B18+'Productivity Calc'!C18</f>
        <v>2397300</v>
      </c>
      <c r="X25" s="267">
        <f>+'Productivity Calc'!Q16</f>
        <v>1172200</v>
      </c>
      <c r="Y25" s="267">
        <f>SUM('Productivity Calc'!O16:P16)+SUM('Productivity Calc'!O18:P18)</f>
        <v>3534000</v>
      </c>
      <c r="Z25" s="267">
        <f>+Research!B12</f>
        <v>2161700</v>
      </c>
      <c r="AA25" s="267">
        <f>SUM('Productivity Calc'!K16:N16,'Productivity Calc'!K18:N18)</f>
        <v>208300</v>
      </c>
      <c r="AB25" s="267">
        <f>+'Productivity Calc'!U16</f>
        <v>1151400</v>
      </c>
      <c r="AC25" s="267">
        <f t="shared" si="10"/>
        <v>10624900</v>
      </c>
      <c r="AE25" s="178"/>
      <c r="AF25" s="491"/>
      <c r="AG25" s="491">
        <f>+'TECH CHANGE'!W26</f>
        <v>-30952</v>
      </c>
      <c r="AH25" s="491">
        <f t="shared" si="5"/>
        <v>-179760</v>
      </c>
      <c r="AJ25" s="491">
        <f t="shared" si="6"/>
        <v>17764966</v>
      </c>
      <c r="AK25" s="558"/>
      <c r="AL25" s="178">
        <v>16591326</v>
      </c>
      <c r="AM25" s="491">
        <f t="shared" si="7"/>
        <v>1173640</v>
      </c>
      <c r="AN25" s="523"/>
      <c r="AO25" s="491"/>
      <c r="AP25" s="491"/>
      <c r="AQ25" s="167"/>
      <c r="AR25" s="523"/>
      <c r="AU25" s="243"/>
      <c r="AV25" s="218"/>
    </row>
    <row r="26" spans="1:48">
      <c r="A26" s="179" t="s">
        <v>146</v>
      </c>
      <c r="B26" s="496">
        <f>ROUND(-C$4*C26-E$4*E26-F$4*F26-G$4*G26-H$4*H26,-1)</f>
        <v>0</v>
      </c>
      <c r="C26" s="190">
        <f>+'Step 0 Revenue Detail'!L16</f>
        <v>0</v>
      </c>
      <c r="D26" s="190"/>
      <c r="E26" s="496">
        <f>+Differential!F17</f>
        <v>8566956</v>
      </c>
      <c r="F26" s="496">
        <v>1361552</v>
      </c>
      <c r="G26" s="496">
        <v>0</v>
      </c>
      <c r="H26" s="190">
        <v>385000</v>
      </c>
      <c r="I26" s="496">
        <f>+'Vet Med &amp; Pharm'!B17-H26-G26-F26-E26-D26-C26-B26-O26-'Vet Med &amp; Pharm'!B9</f>
        <v>2591651</v>
      </c>
      <c r="J26" s="496">
        <f>SUM(C26:I26)</f>
        <v>12905159</v>
      </c>
      <c r="K26" s="492"/>
      <c r="L26" s="190"/>
      <c r="M26" s="190"/>
      <c r="N26" s="190"/>
      <c r="O26" s="190">
        <v>0</v>
      </c>
      <c r="P26" s="496"/>
      <c r="Q26" s="190"/>
      <c r="R26" s="190"/>
      <c r="S26" s="190"/>
      <c r="T26" s="190"/>
      <c r="U26" s="190"/>
      <c r="V26" s="190"/>
      <c r="W26" s="209">
        <f>+'Productivity Calc'!B9+'Productivity Calc'!C9</f>
        <v>0</v>
      </c>
      <c r="X26" s="209">
        <f>+'Productivity Calc'!Q9</f>
        <v>0</v>
      </c>
      <c r="Y26" s="209">
        <f>SUM('Productivity Calc'!O9:P9)</f>
        <v>131000</v>
      </c>
      <c r="Z26" s="209">
        <f>+Research!B13</f>
        <v>0</v>
      </c>
      <c r="AA26" s="209">
        <f>SUM('Productivity Calc'!K9:N9)</f>
        <v>0</v>
      </c>
      <c r="AB26" s="209">
        <f>+'Productivity Calc'!U9</f>
        <v>0</v>
      </c>
      <c r="AC26" s="209">
        <f t="shared" si="10"/>
        <v>131000</v>
      </c>
      <c r="AE26" s="190"/>
      <c r="AF26" s="496">
        <v>-300000</v>
      </c>
      <c r="AG26" s="496"/>
      <c r="AH26" s="496">
        <f t="shared" si="5"/>
        <v>-130360</v>
      </c>
      <c r="AJ26" s="496">
        <f t="shared" si="6"/>
        <v>12605799</v>
      </c>
      <c r="AK26" s="558"/>
      <c r="AL26" s="190">
        <v>13170610</v>
      </c>
      <c r="AM26" s="496">
        <f t="shared" si="7"/>
        <v>-564811</v>
      </c>
      <c r="AN26" s="523"/>
      <c r="AO26" s="496"/>
      <c r="AP26" s="496"/>
      <c r="AQ26" s="167"/>
      <c r="AR26" s="523"/>
      <c r="AU26" s="243"/>
      <c r="AV26" s="218"/>
    </row>
    <row r="27" spans="1:48">
      <c r="A27" s="186" t="s">
        <v>147</v>
      </c>
      <c r="B27" s="166">
        <f t="shared" ref="B27:B35" si="11">ROUND(-C$4*C27-E$4*E27-F$4*F27-G$4*G27-H$4*H27,-1)</f>
        <v>0</v>
      </c>
      <c r="C27" s="166"/>
      <c r="D27" s="166"/>
      <c r="E27" s="166">
        <f>+Differential!F18</f>
        <v>0</v>
      </c>
      <c r="F27" s="166">
        <v>1064442</v>
      </c>
      <c r="G27" s="166">
        <v>180958</v>
      </c>
      <c r="H27" s="166">
        <v>806000</v>
      </c>
      <c r="I27" s="166"/>
      <c r="J27" s="166">
        <f t="shared" si="9"/>
        <v>2051400</v>
      </c>
      <c r="K27" s="492"/>
      <c r="L27" s="165"/>
      <c r="M27" s="165">
        <f>750000+19226-19226</f>
        <v>750000</v>
      </c>
      <c r="N27" s="165"/>
      <c r="O27" s="165"/>
      <c r="P27" s="496"/>
      <c r="Q27" s="165"/>
      <c r="R27" s="165"/>
      <c r="S27" s="165"/>
      <c r="T27" s="165"/>
      <c r="U27" s="165"/>
      <c r="V27" s="190"/>
      <c r="W27" s="168">
        <f>+'Productivity Calc'!B10+'Productivity Calc'!C10</f>
        <v>21394200</v>
      </c>
      <c r="X27" s="168">
        <f>+'Productivity Calc'!Q10</f>
        <v>5164000</v>
      </c>
      <c r="Y27" s="168">
        <f>SUM('Productivity Calc'!O10:P10)</f>
        <v>16471000</v>
      </c>
      <c r="Z27" s="168">
        <f>+Research!B14</f>
        <v>668300</v>
      </c>
      <c r="AA27" s="168">
        <f>SUM('Productivity Calc'!K10:N10)</f>
        <v>738000</v>
      </c>
      <c r="AB27" s="168">
        <f>+'Productivity Calc'!U10</f>
        <v>3455700</v>
      </c>
      <c r="AC27" s="168">
        <f t="shared" si="10"/>
        <v>47891200</v>
      </c>
      <c r="AE27" s="165">
        <v>0</v>
      </c>
      <c r="AF27" s="489">
        <v>500000</v>
      </c>
      <c r="AG27" s="486">
        <f>+'TECH CHANGE'!W28</f>
        <v>246083</v>
      </c>
      <c r="AH27" s="486">
        <f t="shared" si="5"/>
        <v>-506930</v>
      </c>
      <c r="AJ27" s="486">
        <f t="shared" si="6"/>
        <v>50931753</v>
      </c>
      <c r="AK27" s="558"/>
      <c r="AL27" s="165">
        <v>46577620</v>
      </c>
      <c r="AM27" s="486">
        <f t="shared" si="7"/>
        <v>4354133</v>
      </c>
      <c r="AN27" s="523"/>
      <c r="AO27" s="486"/>
      <c r="AP27" s="486"/>
      <c r="AQ27" s="167"/>
      <c r="AR27" s="523"/>
      <c r="AU27" s="243"/>
      <c r="AV27" s="218"/>
    </row>
    <row r="28" spans="1:48">
      <c r="A28" s="179" t="s">
        <v>148</v>
      </c>
      <c r="B28" s="496">
        <f t="shared" si="11"/>
        <v>0</v>
      </c>
      <c r="C28" s="190">
        <f>'Step 0 Revenue Detail'!L17+'Step 0 Revenue Detail'!H23</f>
        <v>1581322</v>
      </c>
      <c r="D28" s="190"/>
      <c r="E28" s="496">
        <f>+Differential!F19</f>
        <v>10759086.9</v>
      </c>
      <c r="F28" s="496">
        <v>12025330</v>
      </c>
      <c r="G28" s="496">
        <v>0</v>
      </c>
      <c r="H28" s="190">
        <v>160000</v>
      </c>
      <c r="I28" s="496">
        <f>+'Vet Med &amp; Pharm'!B40-H28-G28-F28-E28-D28-C28-B28-O28</f>
        <v>334903.09999999963</v>
      </c>
      <c r="J28" s="496">
        <f t="shared" si="9"/>
        <v>24860642</v>
      </c>
      <c r="K28" s="492"/>
      <c r="L28" s="496"/>
      <c r="M28" s="491">
        <f>120828+79163+2138+82330-284459</f>
        <v>0</v>
      </c>
      <c r="N28" s="496"/>
      <c r="O28" s="496">
        <f>ROUND((1-0.077)*(7092000+284459),-2)-58500</f>
        <v>6750000</v>
      </c>
      <c r="P28" s="496"/>
      <c r="Q28" s="190"/>
      <c r="R28" s="190"/>
      <c r="S28" s="190"/>
      <c r="T28" s="190"/>
      <c r="U28" s="190"/>
      <c r="V28" s="190"/>
      <c r="W28" s="209">
        <f>+'Productivity Calc'!B13+'Productivity Calc'!C13</f>
        <v>0</v>
      </c>
      <c r="X28" s="209">
        <f>+'Productivity Calc'!Q13</f>
        <v>0</v>
      </c>
      <c r="Y28" s="209">
        <f>SUM('Productivity Calc'!O13:P13)</f>
        <v>0</v>
      </c>
      <c r="Z28" s="209">
        <f>+Research!B15</f>
        <v>0</v>
      </c>
      <c r="AA28" s="209">
        <f>SUM('Productivity Calc'!K13:N13)</f>
        <v>0</v>
      </c>
      <c r="AB28" s="209">
        <f>+'Productivity Calc'!U13</f>
        <v>0</v>
      </c>
      <c r="AC28" s="209">
        <f t="shared" si="10"/>
        <v>0</v>
      </c>
      <c r="AE28" s="190"/>
      <c r="AF28" s="496"/>
      <c r="AG28" s="496"/>
      <c r="AH28" s="496">
        <f t="shared" si="5"/>
        <v>-316110</v>
      </c>
      <c r="AJ28" s="496">
        <f t="shared" si="6"/>
        <v>31294532</v>
      </c>
      <c r="AK28" s="558"/>
      <c r="AL28" s="190">
        <v>30778771</v>
      </c>
      <c r="AM28" s="496">
        <f t="shared" si="7"/>
        <v>515761</v>
      </c>
      <c r="AN28" s="523"/>
      <c r="AO28" s="496"/>
      <c r="AP28" s="496"/>
      <c r="AQ28" s="167"/>
      <c r="AR28" s="523"/>
      <c r="AU28" s="243"/>
      <c r="AV28" s="218"/>
    </row>
    <row r="29" spans="1:48">
      <c r="A29" s="186" t="s">
        <v>801</v>
      </c>
      <c r="B29" s="166">
        <f t="shared" si="11"/>
        <v>0</v>
      </c>
      <c r="C29" s="166">
        <v>0</v>
      </c>
      <c r="D29" s="166"/>
      <c r="E29" s="166">
        <f>+Differential!F21</f>
        <v>2001000</v>
      </c>
      <c r="F29" s="166">
        <v>82674</v>
      </c>
      <c r="G29" s="166">
        <v>0</v>
      </c>
      <c r="H29" s="166">
        <v>0</v>
      </c>
      <c r="I29" s="166"/>
      <c r="J29" s="166">
        <f t="shared" si="9"/>
        <v>2083674</v>
      </c>
      <c r="K29" s="492"/>
      <c r="L29" s="165"/>
      <c r="M29" s="489">
        <f>20445-20445</f>
        <v>0</v>
      </c>
      <c r="N29" s="489"/>
      <c r="O29" s="489">
        <f>ROUND((1-0.077)*(230000+350000+20445),-2)+80000+6315+30000</f>
        <v>670515</v>
      </c>
      <c r="P29" s="496"/>
      <c r="Q29" s="165"/>
      <c r="R29" s="165"/>
      <c r="S29" s="165"/>
      <c r="T29" s="165"/>
      <c r="U29" s="165"/>
      <c r="V29" s="190"/>
      <c r="W29" s="168">
        <f>+'Productivity Calc'!B19+'Productivity Calc'!C19</f>
        <v>832400</v>
      </c>
      <c r="X29" s="168">
        <f>+'Productivity Calc'!Q19</f>
        <v>652700</v>
      </c>
      <c r="Y29" s="168">
        <f>SUM('Productivity Calc'!O19:P19)</f>
        <v>74000</v>
      </c>
      <c r="Z29" s="168">
        <f>+Research!B17</f>
        <v>0</v>
      </c>
      <c r="AA29" s="168">
        <f>SUM('Productivity Calc'!K19:N19)</f>
        <v>139800</v>
      </c>
      <c r="AB29" s="168">
        <f>+'Productivity Calc'!U19</f>
        <v>0</v>
      </c>
      <c r="AC29" s="168">
        <f t="shared" si="10"/>
        <v>1698900</v>
      </c>
      <c r="AE29" s="165"/>
      <c r="AF29" s="165"/>
      <c r="AG29" s="486">
        <f>+'TECH CHANGE'!W30</f>
        <v>-55683</v>
      </c>
      <c r="AH29" s="486">
        <f t="shared" si="5"/>
        <v>-44530</v>
      </c>
      <c r="AJ29" s="486">
        <f t="shared" si="6"/>
        <v>4352876</v>
      </c>
      <c r="AK29" s="558"/>
      <c r="AL29" s="165">
        <v>4030762</v>
      </c>
      <c r="AM29" s="486">
        <f t="shared" si="7"/>
        <v>322114</v>
      </c>
      <c r="AN29" s="523"/>
      <c r="AO29" s="165"/>
      <c r="AP29" s="486"/>
      <c r="AQ29" s="167"/>
      <c r="AR29" s="523"/>
      <c r="AU29" s="243"/>
      <c r="AV29" s="218"/>
    </row>
    <row r="30" spans="1:48">
      <c r="A30" s="189" t="s">
        <v>150</v>
      </c>
      <c r="B30" s="496">
        <f t="shared" si="11"/>
        <v>0</v>
      </c>
      <c r="C30" s="190">
        <v>0</v>
      </c>
      <c r="D30" s="190"/>
      <c r="E30" s="190">
        <f>+Differential!F22</f>
        <v>0</v>
      </c>
      <c r="F30" s="496">
        <v>0</v>
      </c>
      <c r="G30" s="496">
        <v>0</v>
      </c>
      <c r="H30" s="190">
        <v>0</v>
      </c>
      <c r="I30" s="496"/>
      <c r="J30" s="496">
        <f t="shared" si="9"/>
        <v>0</v>
      </c>
      <c r="K30" s="492"/>
      <c r="L30" s="190"/>
      <c r="M30" s="190"/>
      <c r="N30" s="190"/>
      <c r="O30" s="190"/>
      <c r="P30" s="496"/>
      <c r="Q30" s="190">
        <f>+'Service Support &amp; Mgmt'!I9+'Service Support &amp; Mgmt'!J9</f>
        <v>25201382.419</v>
      </c>
      <c r="R30" s="190"/>
      <c r="S30" s="190"/>
      <c r="T30" s="190"/>
      <c r="U30" s="190">
        <f>SUM(Q30:T30)</f>
        <v>25201382.419</v>
      </c>
      <c r="V30" s="190"/>
      <c r="W30" s="190"/>
      <c r="X30" s="190"/>
      <c r="Y30" s="190"/>
      <c r="Z30" s="190">
        <f>+Research!B18</f>
        <v>0</v>
      </c>
      <c r="AA30" s="190"/>
      <c r="AB30" s="190"/>
      <c r="AC30" s="190">
        <f t="shared" si="10"/>
        <v>0</v>
      </c>
      <c r="AE30" s="190"/>
      <c r="AF30" s="190"/>
      <c r="AG30" s="496">
        <f>+'TECH CHANGE'!W31</f>
        <v>0</v>
      </c>
      <c r="AH30" s="496">
        <f t="shared" si="5"/>
        <v>-252010</v>
      </c>
      <c r="AJ30" s="496">
        <f t="shared" si="6"/>
        <v>24949372.419</v>
      </c>
      <c r="AK30" s="558"/>
      <c r="AL30" s="190">
        <v>24255421</v>
      </c>
      <c r="AM30" s="496">
        <f t="shared" si="7"/>
        <v>693951.41899999976</v>
      </c>
      <c r="AN30" s="523"/>
      <c r="AO30" s="190"/>
      <c r="AP30" s="496"/>
      <c r="AQ30" s="167"/>
      <c r="AR30" s="523"/>
      <c r="AU30" s="243"/>
      <c r="AV30" s="218"/>
    </row>
    <row r="31" spans="1:48">
      <c r="A31" s="179" t="s">
        <v>540</v>
      </c>
      <c r="B31" s="496">
        <f t="shared" si="11"/>
        <v>0</v>
      </c>
      <c r="C31" s="190">
        <v>0</v>
      </c>
      <c r="D31" s="190"/>
      <c r="E31" s="190">
        <f>+Differential!F23</f>
        <v>0</v>
      </c>
      <c r="F31" s="496">
        <v>0</v>
      </c>
      <c r="G31" s="496">
        <v>0</v>
      </c>
      <c r="H31" s="190">
        <f>ROUND(('Step 0 Revenue Detail'!H53*0.08)+('Step 0 Revenue Detail'!H53*0.04),-2)</f>
        <v>5920400</v>
      </c>
      <c r="I31" s="496"/>
      <c r="J31" s="496">
        <f t="shared" si="9"/>
        <v>5920400</v>
      </c>
      <c r="K31" s="492"/>
      <c r="L31" s="178"/>
      <c r="M31" s="178"/>
      <c r="N31" s="178"/>
      <c r="O31" s="178"/>
      <c r="P31" s="496"/>
      <c r="Q31" s="496"/>
      <c r="R31" s="178"/>
      <c r="S31" s="178"/>
      <c r="T31" s="178"/>
      <c r="U31" s="178"/>
      <c r="V31" s="190"/>
      <c r="W31" s="178"/>
      <c r="X31" s="178"/>
      <c r="Y31" s="178"/>
      <c r="Z31" s="178">
        <f>+Research!B19</f>
        <v>0</v>
      </c>
      <c r="AA31" s="178"/>
      <c r="AB31" s="178"/>
      <c r="AC31" s="178">
        <f t="shared" si="10"/>
        <v>0</v>
      </c>
      <c r="AE31" s="178"/>
      <c r="AF31" s="178"/>
      <c r="AG31" s="491">
        <f>+'TECH CHANGE'!W32</f>
        <v>0</v>
      </c>
      <c r="AH31" s="491">
        <f t="shared" si="5"/>
        <v>-59200</v>
      </c>
      <c r="AJ31" s="491">
        <f t="shared" si="6"/>
        <v>5861200</v>
      </c>
      <c r="AK31" s="558"/>
      <c r="AL31" s="178">
        <v>5678740</v>
      </c>
      <c r="AM31" s="491">
        <f t="shared" si="7"/>
        <v>182460</v>
      </c>
      <c r="AN31" s="523"/>
      <c r="AO31" s="178"/>
      <c r="AP31" s="491"/>
      <c r="AQ31" s="167"/>
      <c r="AR31" s="523"/>
      <c r="AU31" s="243"/>
      <c r="AV31" s="218"/>
    </row>
    <row r="32" spans="1:48">
      <c r="A32" s="897" t="s">
        <v>653</v>
      </c>
      <c r="B32" s="166">
        <f t="shared" si="11"/>
        <v>0</v>
      </c>
      <c r="C32" s="166">
        <v>0</v>
      </c>
      <c r="D32" s="166"/>
      <c r="E32" s="166">
        <f>+Differential!F24</f>
        <v>0</v>
      </c>
      <c r="F32" s="166">
        <v>0</v>
      </c>
      <c r="G32" s="166">
        <v>0</v>
      </c>
      <c r="H32" s="166"/>
      <c r="I32" s="166"/>
      <c r="J32" s="166">
        <f t="shared" si="9"/>
        <v>0</v>
      </c>
      <c r="K32" s="492"/>
      <c r="L32" s="169"/>
      <c r="M32" s="169"/>
      <c r="N32" s="169"/>
      <c r="O32" s="169"/>
      <c r="P32" s="496"/>
      <c r="Q32" s="169">
        <f>+'Service Support &amp; Mgmt'!I10+'Service Support &amp; Mgmt'!J10</f>
        <v>720497.66700000002</v>
      </c>
      <c r="R32" s="169"/>
      <c r="S32" s="169"/>
      <c r="T32" s="169"/>
      <c r="U32" s="169">
        <f t="shared" si="4"/>
        <v>720497.66700000002</v>
      </c>
      <c r="V32" s="190"/>
      <c r="W32" s="169"/>
      <c r="X32" s="169"/>
      <c r="Y32" s="169"/>
      <c r="Z32" s="169">
        <f>+Research!B20</f>
        <v>1400</v>
      </c>
      <c r="AA32" s="169"/>
      <c r="AB32" s="169"/>
      <c r="AC32" s="169">
        <f t="shared" si="10"/>
        <v>1400</v>
      </c>
      <c r="AE32" s="169"/>
      <c r="AF32" s="169"/>
      <c r="AG32" s="489">
        <f>+'TECH CHANGE'!W33</f>
        <v>0</v>
      </c>
      <c r="AH32" s="489">
        <f t="shared" si="5"/>
        <v>-7220</v>
      </c>
      <c r="AJ32" s="489">
        <f t="shared" si="6"/>
        <v>714677.66700000002</v>
      </c>
      <c r="AK32" s="558"/>
      <c r="AL32" s="169">
        <v>694453</v>
      </c>
      <c r="AM32" s="489">
        <f t="shared" si="7"/>
        <v>20224.667000000016</v>
      </c>
      <c r="AN32" s="523"/>
      <c r="AO32" s="169"/>
      <c r="AP32" s="489"/>
      <c r="AR32" s="523"/>
      <c r="AU32" s="243"/>
      <c r="AV32" s="218"/>
    </row>
    <row r="33" spans="1:48">
      <c r="A33" s="197" t="s">
        <v>152</v>
      </c>
      <c r="B33" s="496">
        <f t="shared" si="11"/>
        <v>0</v>
      </c>
      <c r="C33" s="190"/>
      <c r="D33" s="190"/>
      <c r="E33" s="190">
        <f>+Differential!F25</f>
        <v>0</v>
      </c>
      <c r="F33" s="496">
        <v>0</v>
      </c>
      <c r="G33" s="496">
        <v>0</v>
      </c>
      <c r="H33" s="190">
        <v>12000</v>
      </c>
      <c r="I33" s="496"/>
      <c r="J33" s="496">
        <f t="shared" si="9"/>
        <v>12000</v>
      </c>
      <c r="K33" s="492"/>
      <c r="L33" s="190"/>
      <c r="M33" s="190"/>
      <c r="N33" s="190"/>
      <c r="O33" s="190"/>
      <c r="P33" s="496"/>
      <c r="Q33" s="190"/>
      <c r="R33" s="190"/>
      <c r="S33" s="190"/>
      <c r="T33" s="190"/>
      <c r="U33" s="496"/>
      <c r="V33" s="190"/>
      <c r="W33" s="190">
        <f>+'Productivity Calc'!B11+'Productivity Calc'!C11</f>
        <v>175400</v>
      </c>
      <c r="X33" s="190">
        <f>SUM('Productivity Calc'!Q11:S11)</f>
        <v>0</v>
      </c>
      <c r="Y33" s="190">
        <f>SUM('Productivity Calc'!O11:P11)</f>
        <v>676000</v>
      </c>
      <c r="Z33" s="190">
        <f>+Research!B21</f>
        <v>0</v>
      </c>
      <c r="AA33" s="190">
        <f>SUM('Productivity Calc'!K11:N11)</f>
        <v>56600</v>
      </c>
      <c r="AB33" s="190">
        <f>+'Productivity Calc'!U11</f>
        <v>235500</v>
      </c>
      <c r="AC33" s="190">
        <f t="shared" si="10"/>
        <v>1143500</v>
      </c>
      <c r="AE33" s="190"/>
      <c r="AF33" s="190"/>
      <c r="AG33" s="496">
        <f>+'TECH CHANGE'!W34</f>
        <v>0</v>
      </c>
      <c r="AH33" s="496">
        <f t="shared" si="5"/>
        <v>-11560</v>
      </c>
      <c r="AJ33" s="496">
        <f t="shared" si="6"/>
        <v>1143940</v>
      </c>
      <c r="AK33" s="558"/>
      <c r="AL33" s="190">
        <v>976802</v>
      </c>
      <c r="AM33" s="496">
        <f t="shared" si="7"/>
        <v>167138</v>
      </c>
      <c r="AN33" s="523"/>
      <c r="AO33" s="190"/>
      <c r="AP33" s="496"/>
      <c r="AR33" s="523"/>
      <c r="AU33" s="243"/>
      <c r="AV33" s="218"/>
    </row>
    <row r="34" spans="1:48">
      <c r="A34" s="179" t="s">
        <v>153</v>
      </c>
      <c r="B34" s="496">
        <f t="shared" si="11"/>
        <v>0</v>
      </c>
      <c r="C34" s="190">
        <f>'Step 0 Revenue Detail'!L19</f>
        <v>45462</v>
      </c>
      <c r="D34" s="190"/>
      <c r="E34" s="190">
        <f>+Differential!F26</f>
        <v>0</v>
      </c>
      <c r="F34" s="496">
        <v>60127</v>
      </c>
      <c r="G34" s="496">
        <v>88582</v>
      </c>
      <c r="H34" s="190">
        <f>ROUND('Step 0 Revenue Detail'!H53*0.06,-2)</f>
        <v>2960200</v>
      </c>
      <c r="I34" s="496"/>
      <c r="J34" s="496">
        <f t="shared" si="9"/>
        <v>3154371</v>
      </c>
      <c r="K34" s="492"/>
      <c r="L34" s="178"/>
      <c r="M34" s="178"/>
      <c r="N34" s="178"/>
      <c r="O34" s="178"/>
      <c r="P34" s="496"/>
      <c r="Q34" s="178">
        <f>+'Service Support &amp; Mgmt'!I11+'Service Support &amp; Mgmt'!J11</f>
        <v>14019421.139</v>
      </c>
      <c r="R34" s="178"/>
      <c r="S34" s="178"/>
      <c r="T34" s="178"/>
      <c r="U34" s="491">
        <f t="shared" si="4"/>
        <v>14019421.139</v>
      </c>
      <c r="V34" s="190"/>
      <c r="W34" s="929"/>
      <c r="X34" s="929"/>
      <c r="Y34" s="929"/>
      <c r="Z34" s="929">
        <f>+Research!B22</f>
        <v>0</v>
      </c>
      <c r="AA34" s="929"/>
      <c r="AB34" s="929"/>
      <c r="AC34" s="929">
        <f t="shared" si="10"/>
        <v>0</v>
      </c>
      <c r="AE34" s="178"/>
      <c r="AF34" s="178"/>
      <c r="AG34" s="491">
        <f>+'TECH CHANGE'!W35</f>
        <v>-14370</v>
      </c>
      <c r="AH34" s="491">
        <f t="shared" si="5"/>
        <v>-171740</v>
      </c>
      <c r="AJ34" s="491">
        <f t="shared" si="6"/>
        <v>16987682.138999999</v>
      </c>
      <c r="AK34" s="558"/>
      <c r="AL34" s="178">
        <v>16300190</v>
      </c>
      <c r="AM34" s="491">
        <f t="shared" si="7"/>
        <v>687492.13899999857</v>
      </c>
      <c r="AN34" s="523"/>
      <c r="AO34" s="178"/>
      <c r="AP34" s="491"/>
      <c r="AR34" s="523"/>
      <c r="AU34" s="243"/>
      <c r="AV34" s="218"/>
    </row>
    <row r="35" spans="1:48">
      <c r="A35" s="196" t="s">
        <v>361</v>
      </c>
      <c r="B35" s="497">
        <f t="shared" si="11"/>
        <v>0</v>
      </c>
      <c r="C35" s="194">
        <f>+'Step 0 Revenue Detail'!H20+'Step 0 Revenue Detail'!H18+'Step 0 Revenue Detail'!H29+'Step 0 Revenue Detail'!H31+'Step 0 Revenue Detail'!H34</f>
        <v>805118</v>
      </c>
      <c r="D35" s="194"/>
      <c r="E35" s="194">
        <f>+Differential!F27</f>
        <v>0</v>
      </c>
      <c r="F35" s="497">
        <v>1589066</v>
      </c>
      <c r="G35" s="497">
        <v>125414</v>
      </c>
      <c r="H35" s="194">
        <v>920000</v>
      </c>
      <c r="I35" s="497"/>
      <c r="J35" s="497">
        <f t="shared" si="9"/>
        <v>3439598</v>
      </c>
      <c r="K35" s="492"/>
      <c r="L35" s="169"/>
      <c r="M35" s="169"/>
      <c r="N35" s="169">
        <f>225000+864000</f>
        <v>1089000</v>
      </c>
      <c r="O35" s="169">
        <f>ROUND(((1-0.077)*8400000),-2)+46207+40000</f>
        <v>7839407</v>
      </c>
      <c r="P35" s="496"/>
      <c r="Q35" s="169"/>
      <c r="R35" s="169"/>
      <c r="S35" s="169"/>
      <c r="T35" s="169"/>
      <c r="U35" s="489"/>
      <c r="V35" s="190"/>
      <c r="W35" s="268"/>
      <c r="X35" s="268"/>
      <c r="Y35" s="268"/>
      <c r="Z35" s="268">
        <f>+Research!B23</f>
        <v>945500</v>
      </c>
      <c r="AA35" s="268"/>
      <c r="AB35" s="268"/>
      <c r="AC35" s="268">
        <f t="shared" si="10"/>
        <v>945500</v>
      </c>
      <c r="AE35" s="169"/>
      <c r="AF35" s="169"/>
      <c r="AG35" s="489">
        <f>+'TECH CHANGE'!W36</f>
        <v>-186450</v>
      </c>
      <c r="AH35" s="489">
        <f t="shared" si="5"/>
        <v>-133140</v>
      </c>
      <c r="AJ35" s="489">
        <f t="shared" si="6"/>
        <v>12993915</v>
      </c>
      <c r="AK35" s="558"/>
      <c r="AL35" s="169">
        <v>12020596</v>
      </c>
      <c r="AM35" s="489">
        <f t="shared" si="7"/>
        <v>973319</v>
      </c>
      <c r="AN35" s="523"/>
      <c r="AO35" s="169"/>
      <c r="AP35" s="489"/>
      <c r="AR35" s="523"/>
      <c r="AU35" s="243"/>
      <c r="AV35" s="218"/>
    </row>
    <row r="36" spans="1:48">
      <c r="A36" s="200" t="s">
        <v>155</v>
      </c>
      <c r="B36" s="201">
        <f t="shared" ref="B36:I36" si="12">SUM(B18:B35)</f>
        <v>0</v>
      </c>
      <c r="C36" s="201">
        <f>SUM(C18:C35)</f>
        <v>16321856</v>
      </c>
      <c r="D36" s="201">
        <f t="shared" si="12"/>
        <v>0</v>
      </c>
      <c r="E36" s="201">
        <f t="shared" si="12"/>
        <v>35221042.899999999</v>
      </c>
      <c r="F36" s="201">
        <f>SUM(F18:F35)</f>
        <v>22026499</v>
      </c>
      <c r="G36" s="201">
        <f t="shared" si="12"/>
        <v>1521893</v>
      </c>
      <c r="H36" s="201">
        <f t="shared" si="12"/>
        <v>21403600</v>
      </c>
      <c r="I36" s="201">
        <f t="shared" si="12"/>
        <v>2926554.0999999996</v>
      </c>
      <c r="J36" s="201">
        <f>SUM(J18:J35)</f>
        <v>99421445</v>
      </c>
      <c r="K36" s="492"/>
      <c r="L36" s="201">
        <f>SUM(L18:L35)</f>
        <v>0</v>
      </c>
      <c r="M36" s="201">
        <f>SUM(M18:M35)</f>
        <v>1660875</v>
      </c>
      <c r="N36" s="201">
        <f>SUM(N18:N35)</f>
        <v>1089000</v>
      </c>
      <c r="O36" s="201">
        <f>SUM(O18:O35)</f>
        <v>18623322</v>
      </c>
      <c r="P36" s="207"/>
      <c r="Q36" s="201">
        <f>SUM(Q18:Q35)</f>
        <v>39941301.225000001</v>
      </c>
      <c r="R36" s="201">
        <f>SUM(R18:R35)</f>
        <v>0</v>
      </c>
      <c r="S36" s="201">
        <f>SUM(S18:S35)</f>
        <v>0</v>
      </c>
      <c r="T36" s="201">
        <f>SUM(T18:T35)</f>
        <v>0</v>
      </c>
      <c r="U36" s="201">
        <f>SUM(U18:U35)</f>
        <v>39941301.225000001</v>
      </c>
      <c r="V36" s="207"/>
      <c r="W36" s="201">
        <f t="shared" ref="W36:AC36" si="13">SUM(W18:W35)</f>
        <v>65619700</v>
      </c>
      <c r="X36" s="201">
        <f t="shared" si="13"/>
        <v>38943500</v>
      </c>
      <c r="Y36" s="201">
        <f t="shared" si="13"/>
        <v>113147000</v>
      </c>
      <c r="Z36" s="201">
        <f t="shared" si="13"/>
        <v>8654500</v>
      </c>
      <c r="AA36" s="201">
        <f t="shared" si="13"/>
        <v>6490800</v>
      </c>
      <c r="AB36" s="201">
        <f t="shared" si="13"/>
        <v>24521100</v>
      </c>
      <c r="AC36" s="201">
        <f t="shared" si="13"/>
        <v>257376600</v>
      </c>
      <c r="AD36" s="450"/>
      <c r="AE36" s="201">
        <f>SUM(AE17:AE35)</f>
        <v>831399</v>
      </c>
      <c r="AF36" s="201">
        <f>SUM(AF17:AF35)</f>
        <v>2345589</v>
      </c>
      <c r="AG36" s="201">
        <f>SUM(AG17:AG35)</f>
        <v>-1794156</v>
      </c>
      <c r="AH36" s="201">
        <f>SUM(AH17:AH35)</f>
        <v>-4181140</v>
      </c>
      <c r="AI36" s="207"/>
      <c r="AJ36" s="498">
        <f>SUM(AJ18:AJ35)</f>
        <v>415314235.22500002</v>
      </c>
      <c r="AK36" s="804"/>
      <c r="AL36" s="202">
        <f>SUM(AL18:AL35)</f>
        <v>390182985</v>
      </c>
      <c r="AM36" s="498">
        <f>+AJ36-AL36</f>
        <v>25131250.225000024</v>
      </c>
      <c r="AN36" s="523"/>
      <c r="AO36" s="202">
        <f>SUM(AO18:AO35)</f>
        <v>0</v>
      </c>
      <c r="AP36" s="498">
        <f>SUM(AP18:AP35)</f>
        <v>0</v>
      </c>
      <c r="AR36" s="523"/>
      <c r="AU36" s="243"/>
      <c r="AV36" s="218"/>
    </row>
    <row r="37" spans="1:48">
      <c r="A37" s="179"/>
      <c r="B37" s="80"/>
      <c r="C37" s="80"/>
      <c r="D37" s="80"/>
      <c r="E37" s="80"/>
      <c r="F37" s="80"/>
      <c r="G37" s="80"/>
      <c r="H37" s="203"/>
      <c r="I37" s="203"/>
      <c r="J37" s="80"/>
      <c r="K37" s="492"/>
      <c r="L37" s="80"/>
      <c r="M37" s="80"/>
      <c r="N37" s="80"/>
      <c r="O37" s="80"/>
      <c r="Q37" s="80"/>
      <c r="R37" s="80"/>
      <c r="S37" s="80"/>
      <c r="T37" s="80"/>
      <c r="U37" s="80"/>
      <c r="W37" s="80"/>
      <c r="X37" s="80"/>
      <c r="Y37" s="80"/>
      <c r="Z37" s="80"/>
      <c r="AA37" s="80"/>
      <c r="AB37" s="80"/>
      <c r="AC37" s="80"/>
      <c r="AE37" s="80"/>
      <c r="AF37" s="80"/>
      <c r="AG37" s="80"/>
      <c r="AH37" s="80"/>
      <c r="AJ37" s="80"/>
      <c r="AK37" s="804"/>
      <c r="AL37" s="80"/>
      <c r="AN37" s="523"/>
      <c r="AO37" s="80"/>
      <c r="AP37" s="80"/>
      <c r="AR37" s="523"/>
      <c r="AU37" s="243"/>
      <c r="AV37" s="218"/>
    </row>
    <row r="38" spans="1:48">
      <c r="A38" s="177"/>
      <c r="F38" s="798"/>
      <c r="H38" s="126"/>
      <c r="I38" s="523"/>
      <c r="J38" s="126"/>
      <c r="K38" s="492"/>
      <c r="AG38" s="1125"/>
      <c r="AJ38" s="546"/>
      <c r="AK38" s="804"/>
      <c r="AL38" s="546"/>
      <c r="AN38" s="523"/>
      <c r="AR38" s="523"/>
      <c r="AU38" s="243"/>
      <c r="AV38" s="218"/>
    </row>
    <row r="39" spans="1:48">
      <c r="A39" s="189" t="s">
        <v>156</v>
      </c>
      <c r="B39" s="190"/>
      <c r="C39" s="190"/>
      <c r="D39" s="190"/>
      <c r="E39" s="190"/>
      <c r="F39" s="496"/>
      <c r="G39" s="190"/>
      <c r="H39" s="190"/>
      <c r="I39" s="496"/>
      <c r="J39" s="496">
        <f>SUM(C39:I39)</f>
        <v>0</v>
      </c>
      <c r="K39" s="492"/>
      <c r="L39" s="190"/>
      <c r="M39" s="190"/>
      <c r="N39" s="190"/>
      <c r="O39" s="190"/>
      <c r="P39" s="190"/>
      <c r="Q39" s="190"/>
      <c r="R39" s="190"/>
      <c r="S39" s="190"/>
      <c r="T39" s="190"/>
      <c r="U39" s="190"/>
      <c r="V39" s="190"/>
      <c r="W39" s="930"/>
      <c r="X39" s="930"/>
      <c r="Y39" s="930"/>
      <c r="Z39" s="930"/>
      <c r="AA39" s="930"/>
      <c r="AB39" s="930"/>
      <c r="AC39" s="930"/>
      <c r="AE39" s="190"/>
      <c r="AF39" s="190"/>
      <c r="AG39" s="496">
        <f>+'TECH CHANGE'!W40</f>
        <v>0</v>
      </c>
      <c r="AH39" s="190"/>
      <c r="AJ39" s="496"/>
      <c r="AK39" s="558"/>
      <c r="AL39" s="190"/>
      <c r="AN39" s="523"/>
      <c r="AO39" s="190"/>
      <c r="AP39" s="190"/>
      <c r="AQ39" s="167"/>
      <c r="AR39" s="523"/>
      <c r="AU39" s="243"/>
      <c r="AV39" s="218"/>
    </row>
    <row r="40" spans="1:48">
      <c r="A40" s="186" t="s">
        <v>586</v>
      </c>
      <c r="B40" s="166">
        <f>ROUND(-C$4*C40-E$4*E40-F$4*F40-G$4*G40-H$4*H40,-1)</f>
        <v>0</v>
      </c>
      <c r="C40" s="166">
        <v>0</v>
      </c>
      <c r="D40" s="166"/>
      <c r="E40" s="205"/>
      <c r="F40" s="205">
        <v>0</v>
      </c>
      <c r="G40" s="166">
        <v>0</v>
      </c>
      <c r="H40" s="206"/>
      <c r="I40" s="206"/>
      <c r="J40" s="206">
        <f t="shared" ref="J40:J55" si="14">SUM(C40:I40)</f>
        <v>0</v>
      </c>
      <c r="K40" s="492"/>
      <c r="L40" s="165"/>
      <c r="M40" s="489">
        <f>320000-300000-20000</f>
        <v>0</v>
      </c>
      <c r="N40" s="165">
        <f>+'Service Support &amp; Mgmt'!I15+'Service Support &amp; Mgmt'!J15</f>
        <v>10836994.424000001</v>
      </c>
      <c r="O40" s="165"/>
      <c r="P40" s="195"/>
      <c r="Q40" s="187"/>
      <c r="R40" s="187"/>
      <c r="S40" s="187"/>
      <c r="T40" s="187"/>
      <c r="U40" s="187">
        <f>+SUM(Q40:T40)</f>
        <v>0</v>
      </c>
      <c r="V40" s="195"/>
      <c r="W40" s="936"/>
      <c r="X40" s="936"/>
      <c r="Y40" s="926"/>
      <c r="Z40" s="926">
        <f>+Research!B28</f>
        <v>0</v>
      </c>
      <c r="AA40" s="936"/>
      <c r="AB40" s="936"/>
      <c r="AC40" s="926">
        <f>SUM(W40:AB40)</f>
        <v>0</v>
      </c>
      <c r="AE40" s="165"/>
      <c r="AF40" s="165"/>
      <c r="AG40" s="486">
        <f>+'TECH CHANGE'!W41</f>
        <v>0</v>
      </c>
      <c r="AH40" s="486">
        <f t="shared" ref="AH40:AH55" si="15">ROUND(-SUM(L40:O40,U40,AC40,B40,J40)*$AQ$5,-1)</f>
        <v>-108370</v>
      </c>
      <c r="AJ40" s="486">
        <f t="shared" ref="AJ40:AJ55" si="16">SUM(L40:O40,U40,AC40,B40,J40,AE40,AF40,AG40,AH40)</f>
        <v>10728624.424000001</v>
      </c>
      <c r="AK40" s="558"/>
      <c r="AL40" s="165">
        <v>10430216</v>
      </c>
      <c r="AM40" s="486">
        <f t="shared" ref="AM40:AM55" si="17">+AJ40-AL40</f>
        <v>298408.42400000058</v>
      </c>
      <c r="AN40" s="523"/>
      <c r="AO40" s="486"/>
      <c r="AP40" s="486"/>
      <c r="AQ40" s="167"/>
      <c r="AR40" s="523"/>
      <c r="AU40" s="243"/>
      <c r="AV40" s="218"/>
    </row>
    <row r="41" spans="1:48">
      <c r="A41" s="197" t="s">
        <v>158</v>
      </c>
      <c r="B41" s="496">
        <f t="shared" ref="B41:B55" si="18">ROUND(-C$4*C41-E$4*E41-F$4*F41-G$4*G41-H$4*H41,-1)</f>
        <v>0</v>
      </c>
      <c r="C41" s="190">
        <v>0</v>
      </c>
      <c r="D41" s="190"/>
      <c r="E41" s="207"/>
      <c r="F41" s="207">
        <v>0</v>
      </c>
      <c r="G41" s="178">
        <v>0</v>
      </c>
      <c r="H41" s="208">
        <v>0</v>
      </c>
      <c r="I41" s="208"/>
      <c r="J41" s="208">
        <f t="shared" si="14"/>
        <v>0</v>
      </c>
      <c r="K41" s="492"/>
      <c r="L41" s="190"/>
      <c r="M41" s="496">
        <f>7340700+659300-250000+250000-250000+250000</f>
        <v>8000000</v>
      </c>
      <c r="N41" s="190"/>
      <c r="O41" s="190"/>
      <c r="P41" s="190"/>
      <c r="Q41" s="190"/>
      <c r="R41" s="190"/>
      <c r="S41" s="190"/>
      <c r="T41" s="190"/>
      <c r="U41" s="190">
        <f t="shared" si="4"/>
        <v>0</v>
      </c>
      <c r="V41" s="190"/>
      <c r="W41" s="937"/>
      <c r="X41" s="938"/>
      <c r="Y41" s="930"/>
      <c r="Z41" s="930">
        <f>+Research!B29</f>
        <v>0</v>
      </c>
      <c r="AA41" s="938"/>
      <c r="AB41" s="939"/>
      <c r="AC41" s="940">
        <f t="shared" ref="AC41:AC55" si="19">SUM(W41:AB41)</f>
        <v>0</v>
      </c>
      <c r="AE41" s="190"/>
      <c r="AF41" s="190"/>
      <c r="AG41" s="496">
        <f>+'TECH CHANGE'!W42</f>
        <v>0</v>
      </c>
      <c r="AH41" s="496">
        <f t="shared" si="15"/>
        <v>-80000</v>
      </c>
      <c r="AJ41" s="496">
        <f t="shared" si="16"/>
        <v>7920000</v>
      </c>
      <c r="AK41" s="558"/>
      <c r="AL41" s="190">
        <v>7920000</v>
      </c>
      <c r="AM41" s="496">
        <f t="shared" si="17"/>
        <v>0</v>
      </c>
      <c r="AN41" s="523"/>
      <c r="AO41" s="496"/>
      <c r="AP41" s="496"/>
      <c r="AQ41" s="167"/>
      <c r="AR41" s="523"/>
      <c r="AU41" s="243"/>
      <c r="AV41" s="218"/>
    </row>
    <row r="42" spans="1:48">
      <c r="A42" s="179" t="s">
        <v>159</v>
      </c>
      <c r="B42" s="496">
        <f t="shared" si="18"/>
        <v>0</v>
      </c>
      <c r="C42" s="190">
        <v>0</v>
      </c>
      <c r="D42" s="190"/>
      <c r="E42" s="207"/>
      <c r="F42" s="207">
        <v>7716</v>
      </c>
      <c r="G42" s="178">
        <v>0</v>
      </c>
      <c r="H42" s="208">
        <v>0</v>
      </c>
      <c r="I42" s="208"/>
      <c r="J42" s="208">
        <f t="shared" si="14"/>
        <v>7716</v>
      </c>
      <c r="K42" s="492"/>
      <c r="L42" s="190"/>
      <c r="M42" s="190"/>
      <c r="N42" s="496"/>
      <c r="O42" s="190"/>
      <c r="P42" s="190"/>
      <c r="Q42" s="190"/>
      <c r="R42" s="190"/>
      <c r="S42" s="190"/>
      <c r="T42" s="190">
        <f>+'Service Support &amp; Mgmt'!I16+'Service Support &amp; Mgmt'!J16</f>
        <v>4413026.7810000004</v>
      </c>
      <c r="U42" s="190">
        <f t="shared" si="4"/>
        <v>4413026.7810000004</v>
      </c>
      <c r="V42" s="190"/>
      <c r="W42" s="941"/>
      <c r="X42" s="941"/>
      <c r="Y42" s="928"/>
      <c r="Z42" s="928">
        <f>+Research!B30</f>
        <v>0</v>
      </c>
      <c r="AA42" s="941"/>
      <c r="AB42" s="941"/>
      <c r="AC42" s="928">
        <f t="shared" si="19"/>
        <v>0</v>
      </c>
      <c r="AE42" s="190"/>
      <c r="AF42" s="190"/>
      <c r="AG42" s="496">
        <f>+'TECH CHANGE'!W43</f>
        <v>-570</v>
      </c>
      <c r="AH42" s="496">
        <f t="shared" si="15"/>
        <v>-44210</v>
      </c>
      <c r="AJ42" s="496">
        <f t="shared" si="16"/>
        <v>4375962.7810000004</v>
      </c>
      <c r="AK42" s="558"/>
      <c r="AL42" s="190">
        <v>4255079</v>
      </c>
      <c r="AM42" s="496">
        <f t="shared" si="17"/>
        <v>120883.78100000042</v>
      </c>
      <c r="AN42" s="523"/>
      <c r="AO42" s="496"/>
      <c r="AP42" s="496"/>
      <c r="AQ42" s="167"/>
      <c r="AR42" s="523"/>
      <c r="AU42" s="243"/>
    </row>
    <row r="43" spans="1:48">
      <c r="A43" s="189" t="s">
        <v>160</v>
      </c>
      <c r="B43" s="496">
        <f>ROUND(-C$4*C43-E$4*E43-F$4*F43-G$4*G43-H$4*H43,-1)</f>
        <v>0</v>
      </c>
      <c r="C43" s="190">
        <v>0</v>
      </c>
      <c r="D43" s="190"/>
      <c r="E43" s="190"/>
      <c r="F43" s="496">
        <v>0</v>
      </c>
      <c r="G43" s="190">
        <v>0</v>
      </c>
      <c r="H43" s="209"/>
      <c r="I43" s="500"/>
      <c r="J43" s="500">
        <f t="shared" si="14"/>
        <v>0</v>
      </c>
      <c r="K43" s="492"/>
      <c r="L43" s="190"/>
      <c r="M43" s="190"/>
      <c r="N43" s="496">
        <f>+'Service Support &amp; Mgmt'!I17+'Service Support &amp; Mgmt'!J17</f>
        <v>1273142.8060000001</v>
      </c>
      <c r="O43" s="190"/>
      <c r="P43" s="195"/>
      <c r="Q43" s="195"/>
      <c r="R43" s="195"/>
      <c r="S43" s="195"/>
      <c r="T43" s="195"/>
      <c r="U43" s="195">
        <f t="shared" si="4"/>
        <v>0</v>
      </c>
      <c r="V43" s="195"/>
      <c r="W43" s="941"/>
      <c r="X43" s="941"/>
      <c r="Y43" s="928"/>
      <c r="Z43" s="928">
        <f>+Research!B31</f>
        <v>0</v>
      </c>
      <c r="AA43" s="941"/>
      <c r="AB43" s="941"/>
      <c r="AC43" s="928">
        <f t="shared" si="19"/>
        <v>0</v>
      </c>
      <c r="AE43" s="190"/>
      <c r="AF43" s="190"/>
      <c r="AG43" s="496">
        <f>+'TECH CHANGE'!W44</f>
        <v>0</v>
      </c>
      <c r="AH43" s="496">
        <f t="shared" si="15"/>
        <v>-12730</v>
      </c>
      <c r="AJ43" s="496">
        <f t="shared" si="16"/>
        <v>1260412.8060000001</v>
      </c>
      <c r="AK43" s="558"/>
      <c r="AL43" s="190">
        <v>1225354</v>
      </c>
      <c r="AM43" s="496">
        <f t="shared" si="17"/>
        <v>35058.806000000099</v>
      </c>
      <c r="AN43" s="523"/>
      <c r="AO43" s="496"/>
      <c r="AP43" s="496"/>
      <c r="AQ43" s="167"/>
      <c r="AR43" s="523"/>
      <c r="AU43" s="243"/>
    </row>
    <row r="44" spans="1:48">
      <c r="A44" s="186" t="s">
        <v>161</v>
      </c>
      <c r="B44" s="166">
        <f t="shared" si="18"/>
        <v>0</v>
      </c>
      <c r="C44" s="166">
        <v>0</v>
      </c>
      <c r="D44" s="166"/>
      <c r="E44" s="205"/>
      <c r="F44" s="205">
        <v>0</v>
      </c>
      <c r="G44" s="166">
        <v>0</v>
      </c>
      <c r="H44" s="206">
        <v>0</v>
      </c>
      <c r="I44" s="206"/>
      <c r="J44" s="206">
        <f t="shared" si="14"/>
        <v>0</v>
      </c>
      <c r="K44" s="492"/>
      <c r="L44" s="165"/>
      <c r="M44" s="165"/>
      <c r="N44" s="165">
        <f>+'Service Support &amp; Mgmt'!I18+'Service Support &amp; Mgmt'!J18</f>
        <v>1876731.1540000001</v>
      </c>
      <c r="O44" s="165"/>
      <c r="P44" s="195"/>
      <c r="Q44" s="187"/>
      <c r="R44" s="187"/>
      <c r="S44" s="187"/>
      <c r="T44" s="187"/>
      <c r="U44" s="187">
        <f t="shared" si="4"/>
        <v>0</v>
      </c>
      <c r="V44" s="195"/>
      <c r="W44" s="926"/>
      <c r="X44" s="936"/>
      <c r="Y44" s="926"/>
      <c r="Z44" s="926">
        <f>+Research!B32</f>
        <v>0</v>
      </c>
      <c r="AA44" s="936"/>
      <c r="AB44" s="936"/>
      <c r="AC44" s="926">
        <f t="shared" si="19"/>
        <v>0</v>
      </c>
      <c r="AE44" s="165"/>
      <c r="AF44" s="165"/>
      <c r="AG44" s="486">
        <f>+'TECH CHANGE'!W45</f>
        <v>0</v>
      </c>
      <c r="AH44" s="486">
        <f t="shared" si="15"/>
        <v>-18770</v>
      </c>
      <c r="AJ44" s="486">
        <f t="shared" si="16"/>
        <v>1857961.1540000001</v>
      </c>
      <c r="AK44" s="558"/>
      <c r="AL44" s="165">
        <v>1806286</v>
      </c>
      <c r="AM44" s="486">
        <f t="shared" si="17"/>
        <v>51675.154000000097</v>
      </c>
      <c r="AN44" s="523"/>
      <c r="AO44" s="486"/>
      <c r="AP44" s="486"/>
      <c r="AQ44" s="167"/>
      <c r="AR44" s="523"/>
      <c r="AU44" s="243"/>
    </row>
    <row r="45" spans="1:48" s="807" customFormat="1">
      <c r="A45" s="189" t="s">
        <v>632</v>
      </c>
      <c r="B45" s="496">
        <f t="shared" ref="B45" si="20">ROUND(-C$4*C45-E$4*E45-F$4*F45-G$4*G45-H$4*H45,-1)</f>
        <v>0</v>
      </c>
      <c r="C45" s="496">
        <v>0</v>
      </c>
      <c r="D45" s="496"/>
      <c r="E45" s="496"/>
      <c r="F45" s="496">
        <v>6514</v>
      </c>
      <c r="G45" s="496">
        <v>0</v>
      </c>
      <c r="H45" s="500">
        <v>0</v>
      </c>
      <c r="I45" s="500"/>
      <c r="J45" s="500">
        <f t="shared" si="14"/>
        <v>6514</v>
      </c>
      <c r="K45" s="492"/>
      <c r="L45" s="491"/>
      <c r="M45" s="491"/>
      <c r="N45" s="491">
        <f>'Service Support &amp; Mgmt'!I19+'Service Support &amp; Mgmt'!J19</f>
        <v>825395.10699999996</v>
      </c>
      <c r="O45" s="491"/>
      <c r="P45" s="195"/>
      <c r="Q45" s="837"/>
      <c r="R45" s="837"/>
      <c r="S45" s="837"/>
      <c r="T45" s="837"/>
      <c r="U45" s="837"/>
      <c r="V45" s="195"/>
      <c r="W45" s="1017">
        <f>+'Productivity Calc'!B22+'Productivity Calc'!C22</f>
        <v>10600</v>
      </c>
      <c r="X45" s="1017">
        <f>+'Productivity Calc'!Q22</f>
        <v>2000</v>
      </c>
      <c r="Y45" s="1017"/>
      <c r="Z45" s="1017">
        <f>+Research!B33</f>
        <v>0</v>
      </c>
      <c r="AA45" s="1018">
        <f>+'Productivity Calc'!N22</f>
        <v>0</v>
      </c>
      <c r="AB45" s="1018">
        <f>+'Productivity Calc'!U22</f>
        <v>0</v>
      </c>
      <c r="AC45" s="1019">
        <f t="shared" si="19"/>
        <v>12600</v>
      </c>
      <c r="AD45" s="125"/>
      <c r="AE45" s="491"/>
      <c r="AF45" s="491"/>
      <c r="AG45" s="491">
        <f>+'TECH CHANGE'!W46</f>
        <v>-480</v>
      </c>
      <c r="AH45" s="491">
        <f t="shared" si="15"/>
        <v>-8450</v>
      </c>
      <c r="AI45" s="125"/>
      <c r="AJ45" s="491">
        <f t="shared" si="16"/>
        <v>835579.10699999996</v>
      </c>
      <c r="AK45" s="558"/>
      <c r="AL45" s="491">
        <v>807013</v>
      </c>
      <c r="AM45" s="486">
        <f t="shared" si="17"/>
        <v>28566.10699999996</v>
      </c>
      <c r="AN45" s="523"/>
      <c r="AO45" s="486"/>
      <c r="AP45" s="486"/>
      <c r="AQ45" s="487"/>
      <c r="AR45" s="523"/>
      <c r="AU45" s="243"/>
    </row>
    <row r="46" spans="1:48">
      <c r="A46" s="179" t="s">
        <v>162</v>
      </c>
      <c r="B46" s="496">
        <f>ROUND(-C$4*C46-E$4*E46-F$4*F46-G$4*G46-H$4*H46,-1)</f>
        <v>0</v>
      </c>
      <c r="C46" s="190">
        <v>0</v>
      </c>
      <c r="D46" s="190"/>
      <c r="E46" s="207"/>
      <c r="F46" s="491">
        <v>2828655</v>
      </c>
      <c r="G46" s="178">
        <v>0</v>
      </c>
      <c r="H46" s="208">
        <v>0</v>
      </c>
      <c r="I46" s="208"/>
      <c r="J46" s="208">
        <f t="shared" si="14"/>
        <v>2828655</v>
      </c>
      <c r="K46" s="492"/>
      <c r="L46" s="190"/>
      <c r="M46" s="190"/>
      <c r="N46" s="190"/>
      <c r="O46" s="190"/>
      <c r="P46" s="190"/>
      <c r="Q46" s="190"/>
      <c r="R46" s="190">
        <f>+'Service Support &amp; Mgmt'!I20+'Service Support &amp; Mgmt'!J20</f>
        <v>9129127.5089999996</v>
      </c>
      <c r="S46" s="190"/>
      <c r="T46" s="190"/>
      <c r="U46" s="190">
        <f t="shared" si="4"/>
        <v>9129127.5089999996</v>
      </c>
      <c r="V46" s="190"/>
      <c r="W46" s="928"/>
      <c r="X46" s="941"/>
      <c r="Y46" s="928"/>
      <c r="Z46" s="928">
        <f>+Research!B34</f>
        <v>0</v>
      </c>
      <c r="AA46" s="928"/>
      <c r="AB46" s="941"/>
      <c r="AC46" s="928">
        <f t="shared" si="19"/>
        <v>0</v>
      </c>
      <c r="AE46" s="190"/>
      <c r="AF46" s="190"/>
      <c r="AG46" s="496">
        <f>+'TECH CHANGE'!W47</f>
        <v>-209320</v>
      </c>
      <c r="AH46" s="496">
        <f t="shared" si="15"/>
        <v>-119580</v>
      </c>
      <c r="AJ46" s="496">
        <f t="shared" si="16"/>
        <v>11628882.509</v>
      </c>
      <c r="AK46" s="558"/>
      <c r="AL46" s="190">
        <v>10935428</v>
      </c>
      <c r="AM46" s="496">
        <f t="shared" si="17"/>
        <v>693454.50899999961</v>
      </c>
      <c r="AN46" s="523"/>
      <c r="AO46" s="496"/>
      <c r="AP46" s="496"/>
      <c r="AQ46" s="167"/>
      <c r="AR46" s="523"/>
      <c r="AU46" s="243"/>
    </row>
    <row r="47" spans="1:48">
      <c r="A47" s="603" t="s">
        <v>697</v>
      </c>
      <c r="B47" s="496">
        <f t="shared" si="18"/>
        <v>0</v>
      </c>
      <c r="C47" s="190">
        <v>0</v>
      </c>
      <c r="D47" s="190"/>
      <c r="E47" s="207"/>
      <c r="F47" s="491">
        <v>2527325</v>
      </c>
      <c r="G47" s="178">
        <v>0</v>
      </c>
      <c r="H47" s="208">
        <v>0</v>
      </c>
      <c r="I47" s="208"/>
      <c r="J47" s="208">
        <f t="shared" si="14"/>
        <v>2527325</v>
      </c>
      <c r="K47" s="492"/>
      <c r="L47" s="190"/>
      <c r="M47" s="190"/>
      <c r="N47" s="190"/>
      <c r="O47" s="190"/>
      <c r="P47" s="190"/>
      <c r="Q47" s="190"/>
      <c r="R47" s="190">
        <f>+'Service Support &amp; Mgmt'!I21+'Service Support &amp; Mgmt'!J21</f>
        <v>6806661.4740000004</v>
      </c>
      <c r="S47" s="190"/>
      <c r="T47" s="190"/>
      <c r="U47" s="190">
        <f t="shared" si="4"/>
        <v>6806661.4740000004</v>
      </c>
      <c r="V47" s="190"/>
      <c r="W47" s="928">
        <f>SUM('Productivity Calc'!B17:C17,'Productivity Calc'!B21:C21)</f>
        <v>0</v>
      </c>
      <c r="X47" s="941"/>
      <c r="Y47" s="928">
        <f>SUM('Productivity Calc'!O21:P21)</f>
        <v>0</v>
      </c>
      <c r="Z47" s="928">
        <f>+Research!B35</f>
        <v>0</v>
      </c>
      <c r="AA47" s="928">
        <f>SUM('Productivity Calc'!K21:N21,'Productivity Calc'!K17:N17)</f>
        <v>0</v>
      </c>
      <c r="AB47" s="941"/>
      <c r="AC47" s="928">
        <f>SUM(W47:AB47)</f>
        <v>0</v>
      </c>
      <c r="AE47" s="190"/>
      <c r="AF47" s="360"/>
      <c r="AG47" s="496">
        <f>+'TECH CHANGE'!W48</f>
        <v>-187020</v>
      </c>
      <c r="AH47" s="506">
        <f t="shared" si="15"/>
        <v>-93340</v>
      </c>
      <c r="AJ47" s="496">
        <f t="shared" si="16"/>
        <v>9053626.4739999995</v>
      </c>
      <c r="AK47" s="558"/>
      <c r="AL47" s="190">
        <v>9073167.6500000004</v>
      </c>
      <c r="AM47" s="496">
        <f t="shared" si="17"/>
        <v>-19541.176000000909</v>
      </c>
      <c r="AN47" s="523"/>
      <c r="AO47" s="496"/>
      <c r="AP47" s="496"/>
      <c r="AQ47" s="167"/>
      <c r="AR47" s="523"/>
      <c r="AU47" s="243"/>
    </row>
    <row r="48" spans="1:48">
      <c r="A48" s="179" t="s">
        <v>163</v>
      </c>
      <c r="B48" s="496">
        <f t="shared" si="18"/>
        <v>0</v>
      </c>
      <c r="C48" s="190">
        <v>0</v>
      </c>
      <c r="D48" s="190"/>
      <c r="E48" s="207"/>
      <c r="F48" s="207">
        <v>0</v>
      </c>
      <c r="G48" s="178">
        <v>0</v>
      </c>
      <c r="H48" s="208">
        <v>0</v>
      </c>
      <c r="I48" s="208"/>
      <c r="J48" s="208">
        <f t="shared" si="14"/>
        <v>0</v>
      </c>
      <c r="K48" s="492"/>
      <c r="L48" s="190"/>
      <c r="M48" s="190"/>
      <c r="N48" s="190"/>
      <c r="O48" s="190"/>
      <c r="P48" s="190"/>
      <c r="Q48" s="190"/>
      <c r="R48" s="190">
        <f>ROUND(-(B$57*AU12),-1)+'Service Support &amp; Mgmt'!I22+'Service Support &amp; Mgmt'!J22</f>
        <v>1382565.091</v>
      </c>
      <c r="S48" s="190"/>
      <c r="T48" s="190"/>
      <c r="U48" s="190">
        <f t="shared" si="4"/>
        <v>1382565.091</v>
      </c>
      <c r="V48" s="190"/>
      <c r="W48" s="928"/>
      <c r="X48" s="941"/>
      <c r="Y48" s="928"/>
      <c r="Z48" s="928">
        <f>+Research!B36</f>
        <v>0</v>
      </c>
      <c r="AA48" s="928"/>
      <c r="AB48" s="941"/>
      <c r="AC48" s="928">
        <f t="shared" si="19"/>
        <v>0</v>
      </c>
      <c r="AE48" s="190"/>
      <c r="AF48" s="204"/>
      <c r="AG48" s="496">
        <f>+'TECH CHANGE'!W49</f>
        <v>0</v>
      </c>
      <c r="AH48" s="499">
        <f t="shared" si="15"/>
        <v>-13830</v>
      </c>
      <c r="AJ48" s="496">
        <f t="shared" si="16"/>
        <v>1368735.091</v>
      </c>
      <c r="AK48" s="558"/>
      <c r="AL48" s="190">
        <v>1330669</v>
      </c>
      <c r="AM48" s="496">
        <f t="shared" si="17"/>
        <v>38066.091000000015</v>
      </c>
      <c r="AN48" s="523"/>
      <c r="AO48" s="496"/>
      <c r="AP48" s="496"/>
      <c r="AQ48" s="167"/>
      <c r="AR48" s="523"/>
      <c r="AU48" s="243"/>
    </row>
    <row r="49" spans="1:47">
      <c r="A49" s="602" t="s">
        <v>698</v>
      </c>
      <c r="B49" s="166">
        <f t="shared" si="18"/>
        <v>0</v>
      </c>
      <c r="C49" s="166">
        <v>0</v>
      </c>
      <c r="D49" s="166"/>
      <c r="E49" s="205"/>
      <c r="F49" s="205">
        <v>17437</v>
      </c>
      <c r="G49" s="166">
        <v>0</v>
      </c>
      <c r="H49" s="206">
        <f>ROUND('Step 0 Revenue Detail'!H53*0.06,-2)</f>
        <v>2960200</v>
      </c>
      <c r="I49" s="206"/>
      <c r="J49" s="206">
        <f t="shared" si="14"/>
        <v>2977637</v>
      </c>
      <c r="K49" s="492"/>
      <c r="L49" s="165"/>
      <c r="M49" s="165"/>
      <c r="N49" s="165"/>
      <c r="O49" s="165"/>
      <c r="P49" s="190"/>
      <c r="Q49" s="165">
        <f>ROUND(-(B$57*AU13),-1)+'Service Support &amp; Mgmt'!I23+'Service Support &amp; Mgmt'!J23</f>
        <v>27049003.756000001</v>
      </c>
      <c r="R49" s="165"/>
      <c r="S49" s="165"/>
      <c r="T49" s="165"/>
      <c r="U49" s="165">
        <f t="shared" si="4"/>
        <v>27049003.756000001</v>
      </c>
      <c r="V49" s="190"/>
      <c r="W49" s="926"/>
      <c r="X49" s="936"/>
      <c r="Y49" s="926"/>
      <c r="Z49" s="926">
        <f>+Research!B37</f>
        <v>0</v>
      </c>
      <c r="AA49" s="926"/>
      <c r="AB49" s="936"/>
      <c r="AC49" s="926">
        <f t="shared" si="19"/>
        <v>0</v>
      </c>
      <c r="AE49" s="165"/>
      <c r="AF49" s="359"/>
      <c r="AG49" s="486">
        <f>+'TECH CHANGE'!W50</f>
        <v>-1290</v>
      </c>
      <c r="AH49" s="359">
        <f t="shared" si="15"/>
        <v>-300270</v>
      </c>
      <c r="AJ49" s="486">
        <f t="shared" si="16"/>
        <v>29725080.756000001</v>
      </c>
      <c r="AK49" s="558"/>
      <c r="AL49" s="165">
        <v>28641904</v>
      </c>
      <c r="AM49" s="486">
        <f t="shared" si="17"/>
        <v>1083176.756000001</v>
      </c>
      <c r="AN49" s="523"/>
      <c r="AO49" s="486"/>
      <c r="AP49" s="486"/>
      <c r="AR49" s="523"/>
      <c r="AU49" s="243"/>
    </row>
    <row r="50" spans="1:47">
      <c r="A50" s="179" t="s">
        <v>362</v>
      </c>
      <c r="B50" s="496">
        <f t="shared" si="18"/>
        <v>0</v>
      </c>
      <c r="C50" s="190">
        <v>0</v>
      </c>
      <c r="D50" s="190"/>
      <c r="E50" s="207"/>
      <c r="F50" s="207">
        <v>1052216</v>
      </c>
      <c r="G50" s="178">
        <v>0</v>
      </c>
      <c r="H50" s="208">
        <f>ROUND('Step 0 Revenue Detail'!H53*0.01,-2)</f>
        <v>493400</v>
      </c>
      <c r="I50" s="208"/>
      <c r="J50" s="208">
        <f t="shared" si="14"/>
        <v>1545616</v>
      </c>
      <c r="K50" s="492"/>
      <c r="L50" s="190"/>
      <c r="M50" s="190">
        <f>ROUND(0.979*950000,0)</f>
        <v>930050</v>
      </c>
      <c r="N50" s="190"/>
      <c r="O50" s="190"/>
      <c r="P50" s="190"/>
      <c r="Q50" s="190">
        <f>ROUND(-(B$57*AU15),-1)+'Service Support &amp; Mgmt'!I24+'Service Support &amp; Mgmt'!J24</f>
        <v>2346294.736</v>
      </c>
      <c r="R50" s="190"/>
      <c r="S50" s="190"/>
      <c r="T50" s="190"/>
      <c r="U50" s="190">
        <f t="shared" si="4"/>
        <v>2346294.736</v>
      </c>
      <c r="V50" s="190"/>
      <c r="W50" s="928"/>
      <c r="X50" s="941"/>
      <c r="Y50" s="928"/>
      <c r="Z50" s="928">
        <f>+Research!B38</f>
        <v>0</v>
      </c>
      <c r="AA50" s="928"/>
      <c r="AB50" s="941"/>
      <c r="AC50" s="928">
        <f t="shared" si="19"/>
        <v>0</v>
      </c>
      <c r="AE50" s="190"/>
      <c r="AF50" s="204"/>
      <c r="AG50" s="496">
        <f>+'TECH CHANGE'!W51</f>
        <v>-77860</v>
      </c>
      <c r="AH50" s="499">
        <f t="shared" si="15"/>
        <v>-48220</v>
      </c>
      <c r="AJ50" s="496">
        <f t="shared" si="16"/>
        <v>4695880.7359999996</v>
      </c>
      <c r="AK50" s="558"/>
      <c r="AL50" s="190">
        <v>4716273.9000000004</v>
      </c>
      <c r="AM50" s="496">
        <f t="shared" si="17"/>
        <v>-20393.164000000805</v>
      </c>
      <c r="AN50" s="523"/>
      <c r="AO50" s="496"/>
      <c r="AP50" s="496"/>
      <c r="AR50" s="523"/>
      <c r="AU50" s="243"/>
    </row>
    <row r="51" spans="1:47">
      <c r="A51" s="189" t="s">
        <v>699</v>
      </c>
      <c r="B51" s="496">
        <f t="shared" si="18"/>
        <v>0</v>
      </c>
      <c r="C51" s="190">
        <v>0</v>
      </c>
      <c r="D51" s="190"/>
      <c r="E51" s="207"/>
      <c r="F51" s="207">
        <v>0</v>
      </c>
      <c r="G51" s="178">
        <v>0</v>
      </c>
      <c r="H51" s="209">
        <v>0</v>
      </c>
      <c r="I51" s="500"/>
      <c r="J51" s="500">
        <f t="shared" si="14"/>
        <v>0</v>
      </c>
      <c r="K51" s="492"/>
      <c r="L51" s="190"/>
      <c r="M51" s="190"/>
      <c r="N51" s="190"/>
      <c r="O51" s="190"/>
      <c r="P51" s="190"/>
      <c r="Q51" s="190">
        <f>+'Service Support &amp; Mgmt'!I25+'Service Support &amp; Mgmt'!J25</f>
        <v>793203.77</v>
      </c>
      <c r="R51" s="190"/>
      <c r="S51" s="190"/>
      <c r="T51" s="190"/>
      <c r="U51" s="190">
        <f t="shared" si="4"/>
        <v>793203.77</v>
      </c>
      <c r="V51" s="190"/>
      <c r="W51" s="927"/>
      <c r="X51" s="942"/>
      <c r="Y51" s="927"/>
      <c r="Z51" s="927">
        <f>+Research!B39</f>
        <v>0</v>
      </c>
      <c r="AA51" s="927"/>
      <c r="AB51" s="942"/>
      <c r="AC51" s="927">
        <f t="shared" si="19"/>
        <v>0</v>
      </c>
      <c r="AE51" s="190"/>
      <c r="AF51" s="204"/>
      <c r="AG51" s="496">
        <f>+'TECH CHANGE'!W52</f>
        <v>0</v>
      </c>
      <c r="AH51" s="499">
        <f t="shared" si="15"/>
        <v>-7930</v>
      </c>
      <c r="AJ51" s="496">
        <f t="shared" si="16"/>
        <v>785273.77</v>
      </c>
      <c r="AK51" s="558"/>
      <c r="AL51" s="190">
        <v>763430</v>
      </c>
      <c r="AM51" s="496">
        <f t="shared" si="17"/>
        <v>21843.770000000019</v>
      </c>
      <c r="AN51" s="523"/>
      <c r="AO51" s="496"/>
      <c r="AP51" s="496"/>
      <c r="AR51" s="523"/>
      <c r="AU51" s="243"/>
    </row>
    <row r="52" spans="1:47">
      <c r="A52" s="196" t="s">
        <v>164</v>
      </c>
      <c r="B52" s="497">
        <f t="shared" si="18"/>
        <v>0</v>
      </c>
      <c r="C52" s="194">
        <v>0</v>
      </c>
      <c r="D52" s="194"/>
      <c r="E52" s="199"/>
      <c r="F52" s="199">
        <v>10021</v>
      </c>
      <c r="G52" s="169">
        <v>0</v>
      </c>
      <c r="H52" s="206">
        <f>ROUND('Step 0 Revenue Detail'!H53*0.08,-2)</f>
        <v>3947000</v>
      </c>
      <c r="I52" s="206"/>
      <c r="J52" s="206">
        <f t="shared" si="14"/>
        <v>3957021</v>
      </c>
      <c r="K52" s="492"/>
      <c r="L52" s="194"/>
      <c r="M52" s="194"/>
      <c r="N52" s="194"/>
      <c r="O52" s="194"/>
      <c r="P52" s="190"/>
      <c r="Q52" s="194">
        <f>ROUND(-(B$57*AU16),-1)+'Service Support &amp; Mgmt'!I26+'Service Support &amp; Mgmt'!J26</f>
        <v>7308167.1880000001</v>
      </c>
      <c r="R52" s="194"/>
      <c r="S52" s="194"/>
      <c r="T52" s="194"/>
      <c r="U52" s="194">
        <f t="shared" si="4"/>
        <v>7308167.1880000001</v>
      </c>
      <c r="V52" s="190"/>
      <c r="W52" s="926"/>
      <c r="X52" s="936"/>
      <c r="Y52" s="926"/>
      <c r="Z52" s="926">
        <f>+Research!B40</f>
        <v>0</v>
      </c>
      <c r="AA52" s="926"/>
      <c r="AB52" s="936"/>
      <c r="AC52" s="926">
        <f t="shared" si="19"/>
        <v>0</v>
      </c>
      <c r="AE52" s="194"/>
      <c r="AF52" s="359"/>
      <c r="AG52" s="497">
        <f>+'TECH CHANGE'!W53</f>
        <v>-740</v>
      </c>
      <c r="AH52" s="359">
        <f t="shared" si="15"/>
        <v>-112650</v>
      </c>
      <c r="AJ52" s="497">
        <f t="shared" si="16"/>
        <v>11151798.188000001</v>
      </c>
      <c r="AK52" s="558"/>
      <c r="AL52" s="194">
        <v>10338592</v>
      </c>
      <c r="AM52" s="497">
        <f t="shared" si="17"/>
        <v>813206.18800000101</v>
      </c>
      <c r="AN52" s="523"/>
      <c r="AO52" s="497"/>
      <c r="AP52" s="497"/>
      <c r="AR52" s="523"/>
      <c r="AU52" s="243"/>
    </row>
    <row r="53" spans="1:47">
      <c r="A53" s="179" t="s">
        <v>165</v>
      </c>
      <c r="B53" s="496">
        <f t="shared" si="18"/>
        <v>0</v>
      </c>
      <c r="C53" s="190">
        <f>+'Step 0 Revenue Detail'!L20</f>
        <v>67459</v>
      </c>
      <c r="D53" s="190"/>
      <c r="E53" s="198"/>
      <c r="F53" s="198">
        <v>1423498</v>
      </c>
      <c r="G53" s="190">
        <v>0</v>
      </c>
      <c r="H53" s="209">
        <v>0</v>
      </c>
      <c r="I53" s="500"/>
      <c r="J53" s="500">
        <f t="shared" si="14"/>
        <v>1490957</v>
      </c>
      <c r="K53" s="492"/>
      <c r="L53" s="178"/>
      <c r="M53" s="178"/>
      <c r="N53" s="178"/>
      <c r="O53" s="178"/>
      <c r="P53" s="190"/>
      <c r="Q53" s="178"/>
      <c r="R53" s="178">
        <f>+'Service Support &amp; Mgmt'!I27+'Service Support &amp; Mgmt'!J27</f>
        <v>13789011.768999999</v>
      </c>
      <c r="S53" s="178"/>
      <c r="T53" s="178"/>
      <c r="U53" s="178">
        <f t="shared" si="4"/>
        <v>13789011.768999999</v>
      </c>
      <c r="V53" s="190"/>
      <c r="W53" s="927">
        <f>SUM('Productivity Calc'!B20:C20)</f>
        <v>0</v>
      </c>
      <c r="X53" s="927">
        <f>+'Productivity Calc'!Q18</f>
        <v>0</v>
      </c>
      <c r="Y53" s="1017">
        <f>SUM('Productivity Calc'!O20:P20)</f>
        <v>15000</v>
      </c>
      <c r="Z53" s="927">
        <f>+Research!B41</f>
        <v>0</v>
      </c>
      <c r="AA53" s="927">
        <f>SUM('Productivity Calc'!K20:N20)</f>
        <v>0</v>
      </c>
      <c r="AB53" s="942"/>
      <c r="AC53" s="1019">
        <f t="shared" si="19"/>
        <v>15000</v>
      </c>
      <c r="AE53" s="178"/>
      <c r="AF53" s="204"/>
      <c r="AG53" s="491">
        <f>+'TECH CHANGE'!W54</f>
        <v>-110330</v>
      </c>
      <c r="AH53" s="499">
        <f t="shared" si="15"/>
        <v>-152950</v>
      </c>
      <c r="AJ53" s="491">
        <f t="shared" si="16"/>
        <v>15031688.768999999</v>
      </c>
      <c r="AK53" s="558"/>
      <c r="AL53" s="178">
        <v>14238030</v>
      </c>
      <c r="AM53" s="491">
        <f t="shared" si="17"/>
        <v>793658.76899999939</v>
      </c>
      <c r="AN53" s="523"/>
      <c r="AO53" s="491"/>
      <c r="AP53" s="491"/>
      <c r="AR53" s="523"/>
      <c r="AU53" s="243"/>
    </row>
    <row r="54" spans="1:47">
      <c r="A54" s="196" t="s">
        <v>167</v>
      </c>
      <c r="B54" s="497">
        <f t="shared" si="18"/>
        <v>0</v>
      </c>
      <c r="C54" s="194">
        <v>0</v>
      </c>
      <c r="D54" s="194"/>
      <c r="E54" s="199"/>
      <c r="F54" s="489">
        <v>839168</v>
      </c>
      <c r="G54" s="169">
        <v>0</v>
      </c>
      <c r="H54" s="206">
        <f>ROUND(('Step 0 Revenue Detail'!H53*0.04)+('Step 0 Revenue Detail'!H53*0.04),-2)</f>
        <v>3947000</v>
      </c>
      <c r="I54" s="206"/>
      <c r="J54" s="206">
        <f t="shared" si="14"/>
        <v>4786168</v>
      </c>
      <c r="K54" s="492"/>
      <c r="L54" s="194"/>
      <c r="M54" s="194"/>
      <c r="N54" s="194"/>
      <c r="O54" s="194"/>
      <c r="P54" s="190"/>
      <c r="Q54" s="194"/>
      <c r="R54" s="194"/>
      <c r="S54" s="194"/>
      <c r="T54" s="194">
        <f>ROUND(-(B$57*(AU19+AU18))+-(B$57*AU17),-1)+('Service Support &amp; Mgmt'!I28+'Service Support &amp; Mgmt'!J28)</f>
        <v>45335538.339000002</v>
      </c>
      <c r="U54" s="194">
        <f t="shared" si="4"/>
        <v>45335538.339000002</v>
      </c>
      <c r="V54" s="190"/>
      <c r="W54" s="936"/>
      <c r="X54" s="936"/>
      <c r="Y54" s="926"/>
      <c r="Z54" s="926">
        <f>+Research!B42</f>
        <v>0</v>
      </c>
      <c r="AA54" s="936"/>
      <c r="AB54" s="936"/>
      <c r="AC54" s="926">
        <f t="shared" si="19"/>
        <v>0</v>
      </c>
      <c r="AE54" s="194"/>
      <c r="AF54" s="359"/>
      <c r="AG54" s="497">
        <f>+'TECH CHANGE'!W55</f>
        <v>-62100</v>
      </c>
      <c r="AH54" s="359">
        <f t="shared" si="15"/>
        <v>-501220</v>
      </c>
      <c r="AJ54" s="497">
        <f t="shared" si="16"/>
        <v>49558386.339000002</v>
      </c>
      <c r="AK54" s="558"/>
      <c r="AL54" s="194">
        <v>47552201</v>
      </c>
      <c r="AM54" s="497">
        <f t="shared" si="17"/>
        <v>2006185.3390000015</v>
      </c>
      <c r="AN54" s="523"/>
      <c r="AO54" s="497"/>
      <c r="AP54" s="497"/>
      <c r="AR54" s="523"/>
      <c r="AU54" s="243"/>
    </row>
    <row r="55" spans="1:47">
      <c r="A55" s="179" t="s">
        <v>680</v>
      </c>
      <c r="B55" s="496">
        <f t="shared" si="18"/>
        <v>0</v>
      </c>
      <c r="C55" s="190">
        <v>0</v>
      </c>
      <c r="D55" s="190"/>
      <c r="E55" s="198"/>
      <c r="F55" s="198">
        <v>50106</v>
      </c>
      <c r="G55" s="190">
        <v>0</v>
      </c>
      <c r="H55" s="209">
        <f>ROUND('Step 0 Revenue Detail'!H53*0.11,-2)+ROUND('Step 0 Revenue Detail'!H53*0.02,-2)+ROUND('Step 0 Revenue Detail'!H53*0.1,-2)</f>
        <v>11347500</v>
      </c>
      <c r="I55" s="500"/>
      <c r="J55" s="500">
        <f t="shared" si="14"/>
        <v>11397606</v>
      </c>
      <c r="K55" s="492"/>
      <c r="L55" s="178"/>
      <c r="M55" s="178"/>
      <c r="N55" s="178"/>
      <c r="O55" s="178"/>
      <c r="P55" s="190"/>
      <c r="Q55" s="178"/>
      <c r="R55" s="178"/>
      <c r="S55" s="178">
        <f>+'Service Support &amp; Mgmt'!I29+'Service Support &amp; Mgmt'!J29</f>
        <v>25705250.397</v>
      </c>
      <c r="T55" s="178"/>
      <c r="U55" s="178">
        <f t="shared" si="4"/>
        <v>25705250.397</v>
      </c>
      <c r="V55" s="190"/>
      <c r="W55" s="942"/>
      <c r="X55" s="942"/>
      <c r="Y55" s="927"/>
      <c r="Z55" s="927">
        <f>+Research!B43</f>
        <v>0</v>
      </c>
      <c r="AA55" s="942"/>
      <c r="AB55" s="942"/>
      <c r="AC55" s="927">
        <f t="shared" si="19"/>
        <v>0</v>
      </c>
      <c r="AE55" s="178"/>
      <c r="AF55" s="204"/>
      <c r="AG55" s="491">
        <f>+'TECH CHANGE'!W56</f>
        <v>-3710</v>
      </c>
      <c r="AH55" s="499">
        <f t="shared" si="15"/>
        <v>-371030</v>
      </c>
      <c r="AJ55" s="491">
        <f t="shared" si="16"/>
        <v>36728116.397</v>
      </c>
      <c r="AK55" s="558"/>
      <c r="AL55" s="178">
        <v>33457723</v>
      </c>
      <c r="AM55" s="491">
        <f t="shared" si="17"/>
        <v>3270393.3969999999</v>
      </c>
      <c r="AN55" s="523"/>
      <c r="AO55" s="491"/>
      <c r="AP55" s="491"/>
      <c r="AR55" s="523"/>
      <c r="AU55" s="243"/>
    </row>
    <row r="56" spans="1:47">
      <c r="A56" s="210" t="s">
        <v>169</v>
      </c>
      <c r="B56" s="211">
        <f>SUM(B40:B55)</f>
        <v>0</v>
      </c>
      <c r="C56" s="211">
        <f>SUM(C40:C55)</f>
        <v>67459</v>
      </c>
      <c r="D56" s="211"/>
      <c r="E56" s="211">
        <f t="shared" ref="E56:J56" si="21">SUM(E40:E55)</f>
        <v>0</v>
      </c>
      <c r="F56" s="211">
        <f>SUM(F40:F55)</f>
        <v>8762656</v>
      </c>
      <c r="G56" s="211">
        <f t="shared" si="21"/>
        <v>0</v>
      </c>
      <c r="H56" s="211">
        <f t="shared" si="21"/>
        <v>22695100</v>
      </c>
      <c r="I56" s="211">
        <f t="shared" si="21"/>
        <v>0</v>
      </c>
      <c r="J56" s="211">
        <f t="shared" si="21"/>
        <v>31525215</v>
      </c>
      <c r="K56" s="804"/>
      <c r="L56" s="211">
        <f>SUM(L40:L55)</f>
        <v>0</v>
      </c>
      <c r="M56" s="211">
        <f>SUM(M40:M55)</f>
        <v>8930050</v>
      </c>
      <c r="N56" s="211">
        <f>SUM(N40:N55)</f>
        <v>14812263.491</v>
      </c>
      <c r="O56" s="211">
        <f>SUM(O40:O55)</f>
        <v>0</v>
      </c>
      <c r="P56" s="198"/>
      <c r="Q56" s="211">
        <f>SUM(Q40:Q55)</f>
        <v>37496669.450000003</v>
      </c>
      <c r="R56" s="211">
        <f>SUM(R40:R55)</f>
        <v>31107365.843000002</v>
      </c>
      <c r="S56" s="211">
        <f>SUM(S40:S55)</f>
        <v>25705250.397</v>
      </c>
      <c r="T56" s="211">
        <f>SUM(T40:T55)</f>
        <v>49748565.120000005</v>
      </c>
      <c r="U56" s="211">
        <f>SUM(U40:U55)</f>
        <v>144057850.81</v>
      </c>
      <c r="V56" s="198"/>
      <c r="W56" s="211">
        <f t="shared" ref="W56:AC56" si="22">SUM(W40:W55)</f>
        <v>10600</v>
      </c>
      <c r="X56" s="211">
        <f t="shared" si="22"/>
        <v>2000</v>
      </c>
      <c r="Y56" s="211">
        <f t="shared" si="22"/>
        <v>15000</v>
      </c>
      <c r="Z56" s="211">
        <f t="shared" si="22"/>
        <v>0</v>
      </c>
      <c r="AA56" s="211">
        <f t="shared" si="22"/>
        <v>0</v>
      </c>
      <c r="AB56" s="211">
        <f t="shared" si="22"/>
        <v>0</v>
      </c>
      <c r="AC56" s="211">
        <f t="shared" si="22"/>
        <v>27600</v>
      </c>
      <c r="AD56" s="451"/>
      <c r="AE56" s="211">
        <f>SUM(AE40:AE55)</f>
        <v>0</v>
      </c>
      <c r="AF56" s="211">
        <f>SUM(AF40:AF55)</f>
        <v>0</v>
      </c>
      <c r="AG56" s="211">
        <f>SUM(AG40:AG55)</f>
        <v>-653420</v>
      </c>
      <c r="AH56" s="211">
        <f>SUM(AH40:AH55)</f>
        <v>-1993550</v>
      </c>
      <c r="AI56" s="198"/>
      <c r="AJ56" s="501">
        <f>SUM(AJ40:AJ55)</f>
        <v>196706009.301</v>
      </c>
      <c r="AK56" s="856"/>
      <c r="AL56" s="212">
        <f>SUM(AL40:AL55)</f>
        <v>187491366.55000001</v>
      </c>
      <c r="AM56" s="887">
        <f>+AJ56-AL56</f>
        <v>9214642.7509999871</v>
      </c>
      <c r="AN56" s="523"/>
      <c r="AO56" s="212">
        <f>SUM(AO40:AO55)</f>
        <v>0</v>
      </c>
      <c r="AP56" s="501">
        <f>SUM(AP40:AP55)</f>
        <v>0</v>
      </c>
      <c r="AR56" s="523"/>
      <c r="AU56" s="243"/>
    </row>
    <row r="57" spans="1:47" ht="15.75" thickBot="1">
      <c r="A57" s="213" t="s">
        <v>170</v>
      </c>
      <c r="B57" s="214">
        <f t="shared" ref="B57:I57" si="23">B7+B8+B9+B10+B11+B12+B13+B36+B56+B14</f>
        <v>0</v>
      </c>
      <c r="C57" s="214">
        <f>C7+C8+C9+C10+C11+C12+C13+C36+C56+C14</f>
        <v>16389315</v>
      </c>
      <c r="D57" s="214">
        <f>D7+D8+D9+D10+D11+D12+D13+D36+D56+D14</f>
        <v>75439168</v>
      </c>
      <c r="E57" s="214">
        <f>E7+E8+E9+E10+E11+E12+E13+E36+E56+E14</f>
        <v>36602442.899999999</v>
      </c>
      <c r="F57" s="214">
        <f>F7+F8+F9+F10+F11+F12+F13+F36+F56+F14</f>
        <v>34137207</v>
      </c>
      <c r="G57" s="214">
        <f>G7+G8+G9+G10+G11+G12+G13+G36+G56+G14</f>
        <v>1521890</v>
      </c>
      <c r="H57" s="214">
        <f t="shared" si="23"/>
        <v>49537030</v>
      </c>
      <c r="I57" s="214">
        <f t="shared" si="23"/>
        <v>2926554.0999999996</v>
      </c>
      <c r="J57" s="214">
        <f>J7+J8+J9+J10+J11+J12+J13+J36+J56+J14</f>
        <v>216553607</v>
      </c>
      <c r="K57" s="804"/>
      <c r="L57" s="214">
        <f>L7+L8+L9+L10+L11+L12+L13+L36+L56+L14</f>
        <v>7243870</v>
      </c>
      <c r="M57" s="214">
        <f>M7+M8+M9+M10+M11+M12+M13+M36+M56+M14</f>
        <v>10590925</v>
      </c>
      <c r="N57" s="214">
        <f>N7+N8+N9+N10+N11+N12+N13+N36+N56+N14</f>
        <v>15901263.491</v>
      </c>
      <c r="O57" s="214">
        <f>O7+O8+O9+O10+O11+O12+O13+O36+O56+O14</f>
        <v>21738322</v>
      </c>
      <c r="P57" s="447"/>
      <c r="Q57" s="214">
        <f>Q7+Q8+Q9+Q10+Q11+Q12+Q13+Q36+Q56+Q14</f>
        <v>65960746.640000015</v>
      </c>
      <c r="R57" s="214">
        <f>R7+R8+R9+R10+R11+R12+R13+R36+R56+R14</f>
        <v>31107365.843000002</v>
      </c>
      <c r="S57" s="214">
        <f>S7+S8+S9+S10+S11+S12+S13+S36+S56+S14</f>
        <v>25705250.397</v>
      </c>
      <c r="T57" s="214">
        <f>T7+T8+T9+T10+T11+T12+T13+T36+T56+T14</f>
        <v>49748565.120000005</v>
      </c>
      <c r="U57" s="214">
        <f>U7+U8+U9+U10+U11+U12+U13+U36+U56+U14</f>
        <v>172521928</v>
      </c>
      <c r="V57" s="447"/>
      <c r="W57" s="214">
        <f t="shared" ref="W57:AC57" si="24">W7+W8+W9+W10+W11+W12+W13+W36+W56+W14</f>
        <v>65630099.080000006</v>
      </c>
      <c r="X57" s="214">
        <f t="shared" si="24"/>
        <v>38945333.519999996</v>
      </c>
      <c r="Y57" s="214">
        <f t="shared" si="24"/>
        <v>113162000</v>
      </c>
      <c r="Z57" s="214">
        <f t="shared" si="24"/>
        <v>8654518.5600000005</v>
      </c>
      <c r="AA57" s="214">
        <f t="shared" si="24"/>
        <v>6490888.9199999999</v>
      </c>
      <c r="AB57" s="214">
        <f t="shared" si="24"/>
        <v>24521135.919999998</v>
      </c>
      <c r="AC57" s="214">
        <f t="shared" si="24"/>
        <v>257403976</v>
      </c>
      <c r="AD57" s="447"/>
      <c r="AE57" s="214">
        <f>SUM(AE7:AE13)+AE36+AE56</f>
        <v>0</v>
      </c>
      <c r="AF57" s="214">
        <f>SUM(AF7:AF13)+AF36+AF56</f>
        <v>0</v>
      </c>
      <c r="AG57" s="214">
        <f>SUM(AG7:AG13)+AG36+AG56</f>
        <v>0</v>
      </c>
      <c r="AH57" s="214">
        <f>SUM(AH7:AH13)+AH36+AH56</f>
        <v>0</v>
      </c>
      <c r="AI57" s="447"/>
      <c r="AJ57" s="502">
        <f>SUM(AJ7:AJ14)+AJ36+AJ56</f>
        <v>701953891.49100006</v>
      </c>
      <c r="AK57" s="857">
        <v>616383710</v>
      </c>
      <c r="AL57" s="215">
        <f>SUM(AL7:AL14)+AL36+AL56</f>
        <v>649085727</v>
      </c>
      <c r="AM57" s="886">
        <f>+AJ57-AL57</f>
        <v>52868164.491000056</v>
      </c>
      <c r="AN57" s="523"/>
      <c r="AO57" s="215">
        <f>AO56+AO36+AO13+AO12+AO11+AO10+AO9+AO8+AO7+AO14</f>
        <v>0</v>
      </c>
      <c r="AP57" s="502">
        <f>AP56+AP36+AP13+AP12+AP11+AP10+AP9+AP8+AP7+AP14</f>
        <v>0</v>
      </c>
      <c r="AR57" s="523"/>
      <c r="AU57" s="243"/>
    </row>
    <row r="58" spans="1:47" ht="15.75" thickTop="1">
      <c r="A58" s="179"/>
      <c r="B58" s="179"/>
      <c r="C58" s="179"/>
      <c r="D58" s="179"/>
      <c r="E58" s="179"/>
      <c r="F58" s="207"/>
      <c r="G58" s="179"/>
      <c r="H58" s="179"/>
      <c r="I58" s="492"/>
      <c r="J58" s="179"/>
      <c r="K58" s="1180"/>
      <c r="L58" s="179"/>
      <c r="M58" s="179"/>
      <c r="N58" s="179"/>
      <c r="O58" s="179"/>
      <c r="P58" s="179"/>
      <c r="Q58" s="179"/>
      <c r="R58" s="179"/>
      <c r="S58" s="179"/>
      <c r="T58" s="179"/>
      <c r="U58" s="179"/>
      <c r="V58" s="179"/>
      <c r="W58" s="179"/>
      <c r="X58" s="179"/>
      <c r="Y58" s="179"/>
      <c r="Z58" s="179"/>
      <c r="AA58" s="179"/>
      <c r="AB58" s="179"/>
      <c r="AC58" s="198"/>
      <c r="AD58" s="370"/>
      <c r="AE58" s="204"/>
      <c r="AF58" s="204"/>
      <c r="AG58" s="499"/>
      <c r="AH58" s="204"/>
      <c r="AI58" s="370"/>
      <c r="AJ58" s="204"/>
      <c r="AK58" s="179"/>
      <c r="AM58" s="216"/>
      <c r="AN58" s="523"/>
      <c r="AO58" s="167"/>
      <c r="AP58" s="167"/>
      <c r="AQ58" s="167"/>
      <c r="AR58" s="523"/>
    </row>
    <row r="59" spans="1:47" ht="21">
      <c r="A59" s="167" t="s">
        <v>471</v>
      </c>
      <c r="B59" s="1225" t="s">
        <v>459</v>
      </c>
      <c r="C59" s="1225"/>
      <c r="D59" s="1225"/>
      <c r="E59" s="1225"/>
      <c r="F59" s="1225"/>
      <c r="G59" s="1225"/>
      <c r="H59" s="1225"/>
      <c r="I59" s="1225"/>
      <c r="J59" s="1225"/>
      <c r="K59" s="179"/>
      <c r="L59" s="452" t="s">
        <v>463</v>
      </c>
      <c r="M59" s="1225" t="s">
        <v>461</v>
      </c>
      <c r="N59" s="1225"/>
      <c r="O59" s="456" t="s">
        <v>460</v>
      </c>
      <c r="P59" s="179"/>
      <c r="Q59" s="1226" t="s">
        <v>462</v>
      </c>
      <c r="R59" s="1226"/>
      <c r="S59" s="1226"/>
      <c r="T59" s="1226"/>
      <c r="U59" s="1226"/>
      <c r="W59" s="1225" t="s">
        <v>460</v>
      </c>
      <c r="X59" s="1225"/>
      <c r="Y59" s="1225"/>
      <c r="Z59" s="1225"/>
      <c r="AA59" s="1225"/>
      <c r="AB59" s="1225"/>
      <c r="AC59" s="1225"/>
      <c r="AE59" s="1225"/>
      <c r="AF59" s="1225"/>
      <c r="AG59" s="1225"/>
      <c r="AH59" s="1225"/>
      <c r="AJ59" s="183"/>
      <c r="AK59" s="167"/>
      <c r="AL59" s="546"/>
      <c r="AM59" s="216"/>
      <c r="AO59" s="167"/>
      <c r="AP59" s="167"/>
      <c r="AQ59" s="167"/>
    </row>
    <row r="60" spans="1:47">
      <c r="A60" s="167"/>
      <c r="B60" s="446" t="s">
        <v>458</v>
      </c>
      <c r="C60" s="1199" t="s">
        <v>457</v>
      </c>
      <c r="D60" s="1199"/>
      <c r="E60" s="1199"/>
      <c r="F60" s="1199"/>
      <c r="G60" s="1199"/>
      <c r="H60" s="1199"/>
      <c r="I60" s="963"/>
      <c r="J60" s="446" t="s">
        <v>458</v>
      </c>
      <c r="K60" s="179"/>
      <c r="L60" s="443" t="s">
        <v>458</v>
      </c>
      <c r="M60" s="1199" t="s">
        <v>457</v>
      </c>
      <c r="N60" s="1199"/>
      <c r="O60" s="443" t="s">
        <v>457</v>
      </c>
      <c r="P60" s="179"/>
      <c r="Q60" s="1199" t="s">
        <v>458</v>
      </c>
      <c r="R60" s="1199"/>
      <c r="S60" s="1199"/>
      <c r="T60" s="1199"/>
      <c r="U60" s="1199"/>
      <c r="V60" s="179"/>
      <c r="W60" s="1199" t="s">
        <v>458</v>
      </c>
      <c r="X60" s="1199"/>
      <c r="Y60" s="1199"/>
      <c r="Z60" s="1199"/>
      <c r="AA60" s="1199"/>
      <c r="AB60" s="1199"/>
      <c r="AC60" s="1199"/>
      <c r="AD60" s="179"/>
      <c r="AE60" s="443" t="s">
        <v>456</v>
      </c>
      <c r="AF60" s="443" t="s">
        <v>456</v>
      </c>
      <c r="AG60" s="443"/>
      <c r="AH60" s="443" t="s">
        <v>458</v>
      </c>
      <c r="AI60" s="179"/>
      <c r="AJ60" s="523"/>
      <c r="AK60" s="167"/>
      <c r="AL60" s="167"/>
      <c r="AM60" s="167"/>
      <c r="AO60" s="167"/>
      <c r="AP60" s="167"/>
      <c r="AQ60" s="167"/>
    </row>
    <row r="61" spans="1:47">
      <c r="A61" s="167"/>
      <c r="B61" s="167"/>
      <c r="C61" s="167"/>
      <c r="D61" s="167"/>
      <c r="E61" s="167"/>
      <c r="F61" s="167"/>
      <c r="G61" s="167"/>
      <c r="H61" s="167"/>
      <c r="I61" s="487"/>
      <c r="J61" s="167"/>
      <c r="K61" s="179"/>
      <c r="L61" s="167"/>
      <c r="M61" s="167"/>
      <c r="N61" s="167"/>
      <c r="O61" s="167"/>
      <c r="P61" s="179"/>
      <c r="Q61" s="167"/>
      <c r="R61" s="167"/>
      <c r="S61" s="167"/>
      <c r="T61" s="167"/>
      <c r="U61" s="167"/>
      <c r="V61" s="179"/>
      <c r="W61" s="167"/>
      <c r="X61" s="167"/>
      <c r="Y61" s="167"/>
      <c r="Z61" s="167"/>
      <c r="AA61" s="167"/>
      <c r="AB61" s="167"/>
      <c r="AC61" s="216"/>
      <c r="AD61" s="179"/>
      <c r="AE61" s="167"/>
      <c r="AF61" s="167"/>
      <c r="AG61" s="487"/>
      <c r="AH61" s="167"/>
      <c r="AI61" s="179"/>
      <c r="AJ61" s="482" t="str">
        <f>IF(ROUND(AJ57,0)-ROUND('Step 0 Revenue Detail'!I61,0)=0,"","Check")</f>
        <v/>
      </c>
      <c r="AK61" s="167"/>
      <c r="AL61" s="836"/>
      <c r="AM61" s="167"/>
      <c r="AO61" s="167"/>
      <c r="AP61" s="167"/>
      <c r="AQ61" s="167"/>
    </row>
    <row r="62" spans="1:47">
      <c r="A62" s="167"/>
      <c r="B62" s="167"/>
      <c r="C62" s="167"/>
      <c r="D62" s="521"/>
      <c r="E62" s="167"/>
      <c r="F62" s="483"/>
      <c r="G62" s="167"/>
      <c r="H62" s="167"/>
      <c r="I62" s="487"/>
      <c r="J62" s="494"/>
      <c r="K62" s="179"/>
      <c r="L62" s="601"/>
      <c r="M62" s="167"/>
      <c r="N62" s="167"/>
      <c r="O62" s="167"/>
      <c r="P62" s="179"/>
      <c r="Q62" s="601"/>
      <c r="R62" s="167"/>
      <c r="S62" s="167"/>
      <c r="T62" s="167"/>
      <c r="U62" s="512" t="str">
        <f>IF(U56+U34+U32+U30='Service Support &amp; Mgmt'!I30+'Service Support &amp; Mgmt'!M30+'Service Support &amp; Mgmt'!J30-SUM('Service Support &amp; Mgmt'!I17:J19,'Service Support &amp; Mgmt'!I15:J15),"","Check")</f>
        <v/>
      </c>
      <c r="V62" s="179"/>
      <c r="W62" s="167"/>
      <c r="X62" s="167"/>
      <c r="Y62" s="167"/>
      <c r="Z62" s="167"/>
      <c r="AA62" s="167"/>
      <c r="AB62" s="167"/>
      <c r="AC62" s="183"/>
      <c r="AD62" s="179"/>
      <c r="AE62" s="167"/>
      <c r="AF62" s="167"/>
      <c r="AG62" s="487"/>
      <c r="AH62" s="167" t="s">
        <v>560</v>
      </c>
      <c r="AI62" s="179"/>
      <c r="AJ62" s="506">
        <f>+SUM(AJ7:AJ14)</f>
        <v>89933646.965000004</v>
      </c>
      <c r="AK62" s="167"/>
      <c r="AL62" s="167"/>
      <c r="AM62" s="167"/>
      <c r="AO62" s="167"/>
      <c r="AP62" s="167"/>
      <c r="AQ62" s="167"/>
    </row>
    <row r="63" spans="1:47">
      <c r="A63" s="167" t="s">
        <v>528</v>
      </c>
      <c r="B63" s="167"/>
      <c r="C63" s="511" t="str">
        <f>IF(C57=ROUND('Step 0 Revenue Detail'!H39+'Step 0 Revenue Detail'!L21-'Step 0 Revenue Detail'!L18,0),"","Check")</f>
        <v/>
      </c>
      <c r="D63" s="472"/>
      <c r="E63" s="511" t="str">
        <f>+IF(E57=Differential!F28,"","Check")</f>
        <v/>
      </c>
      <c r="F63" s="512" t="str">
        <f>IF(ROUND((F57-F30),0)=('Step 0 Revenue Detail'!I49+'Step 0 Revenue Detail'!I50+'Step 0 Revenue Detail'!I55+'Step 0 Revenue Detail'!I56),"","Check")</f>
        <v/>
      </c>
      <c r="G63" s="511" t="str">
        <f>IF(G57='Step 0 Revenue Detail'!L18,"","Check")</f>
        <v/>
      </c>
      <c r="H63" s="511" t="str">
        <f>IF(ROUND(H57,0)='Step 0 Revenue Detail'!I53,"","Check")</f>
        <v/>
      </c>
      <c r="I63" s="511"/>
      <c r="J63" s="494"/>
      <c r="K63" s="179"/>
      <c r="L63" s="167"/>
      <c r="M63" s="167"/>
      <c r="N63" s="167"/>
      <c r="O63" s="511" t="str">
        <f>IF(O57='Productivity Split'!C14,IF(O11=IM!F24,IF(O11&gt;=0,"","Check")))</f>
        <v/>
      </c>
      <c r="P63" s="179"/>
      <c r="Q63" s="643"/>
      <c r="R63" s="167"/>
      <c r="S63" s="167"/>
      <c r="T63" s="167"/>
      <c r="U63" s="512" t="str">
        <f>IF(U56+N56+U36='Service Support &amp; Mgmt'!I30+'Service Support &amp; Mgmt'!J30+'Service Support &amp; Mgmt'!M30,"","Check")</f>
        <v/>
      </c>
      <c r="V63" s="179"/>
      <c r="W63" s="511" t="str">
        <f>IF(ROUND(Dashboard!D22+Dashboard!D28,2)=ROUND(W57,2),"","Check")</f>
        <v/>
      </c>
      <c r="X63" s="511" t="str">
        <f>IF(Dashboard!D29+Dashboard!D30=X57,"","Check")</f>
        <v/>
      </c>
      <c r="Y63" s="511" t="str">
        <f>IF(Dashboard!D37+Dashboard!D38=Y57,"","Check")</f>
        <v/>
      </c>
      <c r="Z63" s="511" t="str">
        <f>+IF(ROUND(Dashboard!D41,2)=ROUND(Z57,2),"","Check")</f>
        <v/>
      </c>
      <c r="AA63" s="511" t="str">
        <f>+IF(Dashboard!D42+Dashboard!D48=AA57,"","Check")</f>
        <v/>
      </c>
      <c r="AB63" s="511" t="str">
        <f>IF(Dashboard!D31+Dashboard!D36=AB57,"","Check")</f>
        <v/>
      </c>
      <c r="AC63" s="511" t="str">
        <f>IF(ROUND(AC57,0)=ROUND(Dashboard!D51,0),"","Check")</f>
        <v/>
      </c>
      <c r="AD63" s="179"/>
      <c r="AE63" s="167"/>
      <c r="AF63" s="167"/>
      <c r="AG63" s="487"/>
      <c r="AH63" s="167" t="s">
        <v>543</v>
      </c>
      <c r="AI63" s="179"/>
      <c r="AJ63" s="506">
        <f>+IM!B29</f>
        <v>92850820</v>
      </c>
      <c r="AK63" s="167"/>
      <c r="AL63" s="167"/>
      <c r="AM63" s="167"/>
      <c r="AO63" s="167"/>
      <c r="AP63" s="167"/>
      <c r="AQ63" s="167"/>
    </row>
    <row r="64" spans="1:47">
      <c r="A64" s="167"/>
      <c r="B64" s="167"/>
      <c r="C64" s="478"/>
      <c r="D64" s="167"/>
      <c r="E64" s="167"/>
      <c r="F64" s="495"/>
      <c r="G64" s="506"/>
      <c r="H64" s="506"/>
      <c r="I64" s="506"/>
      <c r="J64" s="494"/>
      <c r="K64" s="179"/>
      <c r="L64" s="167"/>
      <c r="M64" s="483"/>
      <c r="N64" s="167"/>
      <c r="O64" s="167"/>
      <c r="P64" s="179"/>
      <c r="Q64" s="167"/>
      <c r="R64" s="167"/>
      <c r="S64" s="167"/>
      <c r="T64" s="167"/>
      <c r="U64" s="503"/>
      <c r="V64" s="179"/>
      <c r="W64" s="167"/>
      <c r="X64" s="167"/>
      <c r="Y64" s="167"/>
      <c r="Z64" s="494"/>
      <c r="AA64" s="167"/>
      <c r="AB64" s="167"/>
      <c r="AC64" s="511" t="str">
        <f>IF(AC56+AC34-AC41+AC32='Service Support &amp; Mgmt'!L30,"","Check")</f>
        <v/>
      </c>
      <c r="AD64" s="179"/>
      <c r="AE64" s="167"/>
      <c r="AF64" s="167"/>
      <c r="AG64" s="487"/>
      <c r="AH64" s="167"/>
      <c r="AI64" s="179"/>
      <c r="AJ64" s="494">
        <f>+AJ62-AJ63</f>
        <v>-2917173.0349999964</v>
      </c>
      <c r="AK64" s="167" t="s">
        <v>597</v>
      </c>
      <c r="AL64" s="167"/>
      <c r="AM64" s="167"/>
    </row>
    <row r="65" spans="2:36">
      <c r="B65" s="523"/>
      <c r="C65" s="523"/>
      <c r="D65" s="523"/>
      <c r="E65" s="523"/>
      <c r="F65" s="1148"/>
      <c r="G65" s="523"/>
      <c r="H65" s="523"/>
      <c r="I65" s="523"/>
      <c r="J65" s="523"/>
      <c r="M65" s="483"/>
      <c r="O65" s="523"/>
      <c r="U65" s="218"/>
      <c r="AC65" s="480"/>
      <c r="AE65" s="483"/>
      <c r="AF65" s="483"/>
    </row>
    <row r="66" spans="2:36">
      <c r="B66" s="523"/>
      <c r="C66" s="523"/>
      <c r="D66" s="523"/>
      <c r="E66" s="523"/>
      <c r="F66" s="1149"/>
      <c r="G66" s="523"/>
      <c r="H66" s="523"/>
      <c r="I66" s="523"/>
      <c r="J66" s="523"/>
      <c r="W66" s="219"/>
      <c r="AC66" s="285"/>
      <c r="AJ66" s="188">
        <f>SUM(J7:L13)+B8</f>
        <v>92850820</v>
      </c>
    </row>
    <row r="67" spans="2:36">
      <c r="F67" s="409"/>
      <c r="G67" s="163"/>
      <c r="H67" s="163"/>
      <c r="I67" s="163"/>
      <c r="U67" s="350"/>
      <c r="AC67" s="350"/>
      <c r="AJ67" s="141">
        <f>+IM!B29</f>
        <v>92850820</v>
      </c>
    </row>
    <row r="68" spans="2:36">
      <c r="F68" s="409"/>
      <c r="AC68" s="965"/>
      <c r="AJ68" s="285">
        <f>ROUND(+AJ66-AJ67,2)</f>
        <v>0</v>
      </c>
    </row>
    <row r="69" spans="2:36">
      <c r="F69" s="409"/>
      <c r="AC69" s="965"/>
      <c r="AJ69" s="511" t="str">
        <f>IF(AJ68=0,"","Check")</f>
        <v/>
      </c>
    </row>
    <row r="70" spans="2:36">
      <c r="F70" s="523"/>
      <c r="G70" s="523"/>
      <c r="H70" s="523"/>
      <c r="I70" s="523"/>
    </row>
    <row r="72" spans="2:36">
      <c r="F72" s="523"/>
    </row>
    <row r="73" spans="2:36">
      <c r="F73" s="523"/>
    </row>
  </sheetData>
  <mergeCells count="18">
    <mergeCell ref="C60:H60"/>
    <mergeCell ref="M60:N60"/>
    <mergeCell ref="Q60:U60"/>
    <mergeCell ref="W60:AC60"/>
    <mergeCell ref="C3:H3"/>
    <mergeCell ref="L5:O5"/>
    <mergeCell ref="Q5:T5"/>
    <mergeCell ref="W5:AB5"/>
    <mergeCell ref="B5:J5"/>
    <mergeCell ref="B59:J59"/>
    <mergeCell ref="AL2:AM2"/>
    <mergeCell ref="B1:AC1"/>
    <mergeCell ref="B2:J2"/>
    <mergeCell ref="AE59:AH59"/>
    <mergeCell ref="M59:N59"/>
    <mergeCell ref="Q59:U59"/>
    <mergeCell ref="W59:AC59"/>
    <mergeCell ref="AE5:AH5"/>
  </mergeCells>
  <pageMargins left="0.7" right="0.7" top="0.75" bottom="0.75" header="0.3" footer="0.3"/>
  <pageSetup orientation="portrait" horizontalDpi="1200" verticalDpi="1200"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AK169"/>
  <sheetViews>
    <sheetView workbookViewId="0"/>
  </sheetViews>
  <sheetFormatPr defaultColWidth="12.5703125" defaultRowHeight="15.75" outlineLevelRow="1"/>
  <cols>
    <col min="1" max="1" width="41.5703125" style="838" bestFit="1" customWidth="1"/>
    <col min="2" max="2" width="16.5703125" style="839" bestFit="1" customWidth="1"/>
    <col min="3" max="3" width="21.85546875" style="839" bestFit="1" customWidth="1"/>
    <col min="4" max="4" width="21.140625" style="839" bestFit="1" customWidth="1"/>
    <col min="5" max="5" width="13.5703125" style="839" bestFit="1" customWidth="1"/>
    <col min="6" max="6" width="12.7109375" style="839" bestFit="1" customWidth="1"/>
    <col min="7" max="7" width="17.28515625" style="839" bestFit="1" customWidth="1"/>
    <col min="8" max="8" width="13.5703125" style="839" bestFit="1" customWidth="1"/>
    <col min="9" max="9" width="21.42578125" style="839" bestFit="1" customWidth="1"/>
    <col min="10" max="10" width="5.5703125" style="838" customWidth="1"/>
    <col min="11" max="11" width="41.7109375" style="838" customWidth="1"/>
    <col min="12" max="12" width="16.5703125" style="838" bestFit="1" customWidth="1"/>
    <col min="13" max="13" width="14.5703125" style="838" customWidth="1"/>
    <col min="14" max="16" width="12.7109375" style="838" bestFit="1" customWidth="1"/>
    <col min="17" max="17" width="13.5703125" style="838" bestFit="1" customWidth="1"/>
    <col min="18" max="18" width="14.140625" style="838" customWidth="1"/>
    <col min="19" max="19" width="12.7109375" style="838" bestFit="1" customWidth="1"/>
    <col min="20" max="16384" width="12.5703125" style="838"/>
  </cols>
  <sheetData>
    <row r="1" spans="1:11" ht="21">
      <c r="A1" s="476" t="s">
        <v>695</v>
      </c>
    </row>
    <row r="4" spans="1:11">
      <c r="A4" s="884" t="s">
        <v>832</v>
      </c>
    </row>
    <row r="5" spans="1:11" ht="45" hidden="1" outlineLevel="1">
      <c r="A5" s="853" t="s">
        <v>106</v>
      </c>
      <c r="B5" s="852" t="s">
        <v>677</v>
      </c>
      <c r="C5" s="852" t="s">
        <v>676</v>
      </c>
      <c r="D5" s="852" t="s">
        <v>292</v>
      </c>
      <c r="E5" s="852" t="s">
        <v>675</v>
      </c>
      <c r="F5" s="852" t="s">
        <v>674</v>
      </c>
      <c r="G5" s="852" t="s">
        <v>673</v>
      </c>
      <c r="H5" s="852" t="s">
        <v>672</v>
      </c>
      <c r="I5" s="852" t="str">
        <f>+A4</f>
        <v>FY24 Prospective BUDGET MODEL</v>
      </c>
    </row>
    <row r="6" spans="1:11" hidden="1" outlineLevel="1">
      <c r="A6" s="164" t="s">
        <v>120</v>
      </c>
      <c r="B6" s="843">
        <f>+'FINAL-Distributed E&amp;G Budget'!B7+'FINAL-Distributed E&amp;G Budget'!J7</f>
        <v>4146000</v>
      </c>
      <c r="C6" s="843">
        <f>+'FINAL-Distributed E&amp;G Budget'!L7+'FINAL-Distributed E&amp;G Budget'!M7+'FINAL-Distributed E&amp;G Budget'!N7</f>
        <v>0</v>
      </c>
      <c r="D6" s="843">
        <f>+'FINAL-Distributed E&amp;G Budget'!O7</f>
        <v>0</v>
      </c>
      <c r="E6" s="843">
        <f>+'FINAL-Distributed E&amp;G Budget'!U7</f>
        <v>-4146000</v>
      </c>
      <c r="F6" s="843">
        <f>+'FINAL-Distributed E&amp;G Budget'!Y7</f>
        <v>0</v>
      </c>
      <c r="G6" s="843">
        <f>+'FINAL-Distributed E&amp;G Budget'!W7+'FINAL-Distributed E&amp;G Budget'!X7+'FINAL-Distributed E&amp;G Budget'!Z7+'FINAL-Distributed E&amp;G Budget'!AA7+'FINAL-Distributed E&amp;G Budget'!AB7</f>
        <v>0</v>
      </c>
      <c r="H6" s="843">
        <f>+'FINAL-Distributed E&amp;G Budget'!AE7+'FINAL-Distributed E&amp;G Budget'!AF7+'FINAL-Distributed E&amp;G Budget'!AH7+'FINAL-Distributed E&amp;G Budget'!AG7</f>
        <v>0</v>
      </c>
      <c r="I6" s="843">
        <f t="shared" ref="I6:I13" si="0">SUM(B6:H6)</f>
        <v>0</v>
      </c>
      <c r="K6" s="885">
        <f>+I6-'FINAL-Distributed E&amp;G Budget'!AJ7</f>
        <v>0</v>
      </c>
    </row>
    <row r="7" spans="1:11" hidden="1" outlineLevel="1">
      <c r="A7" s="164" t="s">
        <v>121</v>
      </c>
      <c r="B7" s="843">
        <f>+'FINAL-Distributed E&amp;G Budget'!B8+'FINAL-Distributed E&amp;G Budget'!J8</f>
        <v>17619853</v>
      </c>
      <c r="C7" s="843">
        <f>+'FINAL-Distributed E&amp;G Budget'!L8+'FINAL-Distributed E&amp;G Budget'!M8+'FINAL-Distributed E&amp;G Budget'!N8</f>
        <v>0</v>
      </c>
      <c r="D7" s="843">
        <f>+'FINAL-Distributed E&amp;G Budget'!O8</f>
        <v>0</v>
      </c>
      <c r="E7" s="843">
        <f>+'FINAL-Distributed E&amp;G Budget'!U8</f>
        <v>-7331224.0349999927</v>
      </c>
      <c r="F7" s="843">
        <f>+'FINAL-Distributed E&amp;G Budget'!Y8</f>
        <v>0</v>
      </c>
      <c r="G7" s="843">
        <f>+'FINAL-Distributed E&amp;G Budget'!W8+'FINAL-Distributed E&amp;G Budget'!X8+'FINAL-Distributed E&amp;G Budget'!Z8+'FINAL-Distributed E&amp;G Budget'!AA8+'FINAL-Distributed E&amp;G Budget'!AB8</f>
        <v>0</v>
      </c>
      <c r="H7" s="843">
        <f>+'FINAL-Distributed E&amp;G Budget'!AE8+'FINAL-Distributed E&amp;G Budget'!AF8+'FINAL-Distributed E&amp;G Budget'!AH8+'FINAL-Distributed E&amp;G Budget'!AG8</f>
        <v>5445278</v>
      </c>
      <c r="I7" s="843">
        <f t="shared" si="0"/>
        <v>15733906.965000007</v>
      </c>
      <c r="K7" s="885">
        <f>+I7-'FINAL-Distributed E&amp;G Budget'!AJ8</f>
        <v>0</v>
      </c>
    </row>
    <row r="8" spans="1:11" hidden="1" outlineLevel="1">
      <c r="A8" s="164" t="s">
        <v>122</v>
      </c>
      <c r="B8" s="843">
        <f>+'FINAL-Distributed E&amp;G Budget'!B9+'FINAL-Distributed E&amp;G Budget'!J9</f>
        <v>0</v>
      </c>
      <c r="C8" s="843">
        <f>+'FINAL-Distributed E&amp;G Budget'!L9+'FINAL-Distributed E&amp;G Budget'!M9+'FINAL-Distributed E&amp;G Budget'!N9</f>
        <v>0</v>
      </c>
      <c r="D8" s="843">
        <f>+'FINAL-Distributed E&amp;G Budget'!O9</f>
        <v>3115000</v>
      </c>
      <c r="E8" s="843">
        <f>+'FINAL-Distributed E&amp;G Budget'!U9</f>
        <v>0</v>
      </c>
      <c r="F8" s="843">
        <f>+'FINAL-Distributed E&amp;G Budget'!Y9</f>
        <v>0</v>
      </c>
      <c r="G8" s="843">
        <f>+'FINAL-Distributed E&amp;G Budget'!W9+'FINAL-Distributed E&amp;G Budget'!X9+'FINAL-Distributed E&amp;G Budget'!Z9+'FINAL-Distributed E&amp;G Budget'!AA9+'FINAL-Distributed E&amp;G Budget'!AB9</f>
        <v>0</v>
      </c>
      <c r="H8" s="843">
        <f>+'FINAL-Distributed E&amp;G Budget'!AE9+'FINAL-Distributed E&amp;G Budget'!AF9+'FINAL-Distributed E&amp;G Budget'!AH9+'FINAL-Distributed E&amp;G Budget'!AG9</f>
        <v>0</v>
      </c>
      <c r="I8" s="843">
        <f t="shared" si="0"/>
        <v>3115000</v>
      </c>
      <c r="K8" s="885">
        <f>+I8-'FINAL-Distributed E&amp;G Budget'!AJ9</f>
        <v>0</v>
      </c>
    </row>
    <row r="9" spans="1:11" hidden="1" outlineLevel="1">
      <c r="A9" s="164" t="s">
        <v>123</v>
      </c>
      <c r="B9" s="843">
        <f>+'FINAL-Distributed E&amp;G Budget'!B10+'FINAL-Distributed E&amp;G Budget'!J10</f>
        <v>14709475</v>
      </c>
      <c r="C9" s="843">
        <f>+'FINAL-Distributed E&amp;G Budget'!L10+'FINAL-Distributed E&amp;G Budget'!M10+'FINAL-Distributed E&amp;G Budget'!N10</f>
        <v>0</v>
      </c>
      <c r="D9" s="843">
        <f>+'FINAL-Distributed E&amp;G Budget'!O10</f>
        <v>0</v>
      </c>
      <c r="E9" s="843">
        <f>+'FINAL-Distributed E&amp;G Budget'!U10</f>
        <v>0</v>
      </c>
      <c r="F9" s="843">
        <f>+'FINAL-Distributed E&amp;G Budget'!Y10</f>
        <v>0</v>
      </c>
      <c r="G9" s="843">
        <f>+'FINAL-Distributed E&amp;G Budget'!W10+'FINAL-Distributed E&amp;G Budget'!X10+'FINAL-Distributed E&amp;G Budget'!Z10+'FINAL-Distributed E&amp;G Budget'!AA10+'FINAL-Distributed E&amp;G Budget'!AB10</f>
        <v>0</v>
      </c>
      <c r="H9" s="843">
        <f>+'FINAL-Distributed E&amp;G Budget'!AE10+'FINAL-Distributed E&amp;G Budget'!AF10+'FINAL-Distributed E&amp;G Budget'!AH10+'FINAL-Distributed E&amp;G Budget'!AG10</f>
        <v>0</v>
      </c>
      <c r="I9" s="843">
        <f t="shared" si="0"/>
        <v>14709475</v>
      </c>
      <c r="K9" s="885">
        <f>+I9-'FINAL-Distributed E&amp;G Budget'!AJ10</f>
        <v>0</v>
      </c>
    </row>
    <row r="10" spans="1:11" hidden="1" outlineLevel="1">
      <c r="A10" s="164" t="s">
        <v>125</v>
      </c>
      <c r="B10" s="843">
        <f>+'FINAL-Distributed E&amp;G Budget'!B11+'FINAL-Distributed E&amp;G Budget'!J11</f>
        <v>4152830</v>
      </c>
      <c r="C10" s="843">
        <f>+'FINAL-Distributed E&amp;G Budget'!L11+'FINAL-Distributed E&amp;G Budget'!M11+'FINAL-Distributed E&amp;G Budget'!N11</f>
        <v>7243870</v>
      </c>
      <c r="D10" s="843">
        <f>+'FINAL-Distributed E&amp;G Budget'!O11</f>
        <v>0</v>
      </c>
      <c r="E10" s="843">
        <f>+'FINAL-Distributed E&amp;G Budget'!U11</f>
        <v>0</v>
      </c>
      <c r="F10" s="843">
        <f>+'FINAL-Distributed E&amp;G Budget'!Y11</f>
        <v>0</v>
      </c>
      <c r="G10" s="843">
        <f>+'FINAL-Distributed E&amp;G Budget'!W11+'FINAL-Distributed E&amp;G Budget'!X11+'FINAL-Distributed E&amp;G Budget'!Z11+'FINAL-Distributed E&amp;G Budget'!AA11+'FINAL-Distributed E&amp;G Budget'!AB11</f>
        <v>0</v>
      </c>
      <c r="H10" s="843">
        <f>+'FINAL-Distributed E&amp;G Budget'!AE11+'FINAL-Distributed E&amp;G Budget'!AF11+'FINAL-Distributed E&amp;G Budget'!AH11+'FINAL-Distributed E&amp;G Budget'!AG11</f>
        <v>0</v>
      </c>
      <c r="I10" s="843">
        <f t="shared" si="0"/>
        <v>11396700</v>
      </c>
      <c r="K10" s="885">
        <f>+I10-'FINAL-Distributed E&amp;G Budget'!AJ11</f>
        <v>0</v>
      </c>
    </row>
    <row r="11" spans="1:11" hidden="1" outlineLevel="1">
      <c r="A11" s="164" t="s">
        <v>128</v>
      </c>
      <c r="B11" s="843">
        <f>+'FINAL-Distributed E&amp;G Budget'!B12+'FINAL-Distributed E&amp;G Budget'!J12</f>
        <v>180000</v>
      </c>
      <c r="C11" s="843">
        <f>+'FINAL-Distributed E&amp;G Budget'!L12+'FINAL-Distributed E&amp;G Budget'!M12+'FINAL-Distributed E&amp;G Budget'!N12</f>
        <v>0</v>
      </c>
      <c r="D11" s="843">
        <f>+'FINAL-Distributed E&amp;G Budget'!O12</f>
        <v>0</v>
      </c>
      <c r="E11" s="843">
        <f>+'FINAL-Distributed E&amp;G Budget'!U12</f>
        <v>0</v>
      </c>
      <c r="F11" s="843">
        <f>+'FINAL-Distributed E&amp;G Budget'!Y12</f>
        <v>0</v>
      </c>
      <c r="G11" s="843">
        <f>+'FINAL-Distributed E&amp;G Budget'!W12+'FINAL-Distributed E&amp;G Budget'!X12+'FINAL-Distributed E&amp;G Budget'!Z12+'FINAL-Distributed E&amp;G Budget'!AA12+'FINAL-Distributed E&amp;G Budget'!AB12</f>
        <v>0</v>
      </c>
      <c r="H11" s="843">
        <f>+'FINAL-Distributed E&amp;G Budget'!AE12+'FINAL-Distributed E&amp;G Budget'!AF12+'FINAL-Distributed E&amp;G Budget'!AH12+'FINAL-Distributed E&amp;G Budget'!AG12</f>
        <v>0</v>
      </c>
      <c r="I11" s="843">
        <f t="shared" si="0"/>
        <v>180000</v>
      </c>
      <c r="K11" s="885">
        <f>+I11-'FINAL-Distributed E&amp;G Budget'!AJ12</f>
        <v>0</v>
      </c>
    </row>
    <row r="12" spans="1:11" hidden="1" outlineLevel="1">
      <c r="A12" s="164" t="s">
        <v>129</v>
      </c>
      <c r="B12" s="843">
        <f>+'FINAL-Distributed E&amp;G Budget'!B13+'FINAL-Distributed E&amp;G Budget'!J13</f>
        <v>44798792</v>
      </c>
      <c r="C12" s="843">
        <f>+'FINAL-Distributed E&amp;G Budget'!L13+'FINAL-Distributed E&amp;G Budget'!M13+'FINAL-Distributed E&amp;G Budget'!N13</f>
        <v>0</v>
      </c>
      <c r="D12" s="843">
        <f>+'FINAL-Distributed E&amp;G Budget'!O13</f>
        <v>0</v>
      </c>
      <c r="E12" s="843">
        <f>+'FINAL-Distributed E&amp;G Budget'!U13</f>
        <v>0</v>
      </c>
      <c r="F12" s="843">
        <f>+'FINAL-Distributed E&amp;G Budget'!Y13</f>
        <v>0</v>
      </c>
      <c r="G12" s="843">
        <f>+'FINAL-Distributed E&amp;G Budget'!W13+'FINAL-Distributed E&amp;G Budget'!X13+'FINAL-Distributed E&amp;G Budget'!Z13+'FINAL-Distributed E&amp;G Budget'!AA13+'FINAL-Distributed E&amp;G Budget'!AB13</f>
        <v>0</v>
      </c>
      <c r="H12" s="843">
        <f>+'FINAL-Distributed E&amp;G Budget'!AE13+'FINAL-Distributed E&amp;G Budget'!AF13+'FINAL-Distributed E&amp;G Budget'!AH13+'FINAL-Distributed E&amp;G Budget'!AG13</f>
        <v>0</v>
      </c>
      <c r="I12" s="843">
        <f t="shared" si="0"/>
        <v>44798792</v>
      </c>
      <c r="K12" s="885">
        <f>+I12-'FINAL-Distributed E&amp;G Budget'!AJ13</f>
        <v>0</v>
      </c>
    </row>
    <row r="13" spans="1:11" hidden="1" outlineLevel="1">
      <c r="A13" s="164" t="s">
        <v>627</v>
      </c>
      <c r="B13" s="843">
        <f>+'FINAL-Distributed E&amp;G Budget'!B14+'FINAL-Distributed E&amp;G Budget'!J14</f>
        <v>-3</v>
      </c>
      <c r="C13" s="843">
        <f>+'FINAL-Distributed E&amp;G Budget'!L14+'FINAL-Distributed E&amp;G Budget'!M14+'FINAL-Distributed E&amp;G Budget'!N14</f>
        <v>0</v>
      </c>
      <c r="D13" s="843">
        <f>+'FINAL-Distributed E&amp;G Budget'!O14</f>
        <v>0</v>
      </c>
      <c r="E13" s="843">
        <f>+'FINAL-Distributed E&amp;G Budget'!U14</f>
        <v>0</v>
      </c>
      <c r="F13" s="843">
        <f>+'FINAL-Distributed E&amp;G Budget'!Y14</f>
        <v>0</v>
      </c>
      <c r="G13" s="843">
        <f>+'FINAL-Distributed E&amp;G Budget'!W14+'FINAL-Distributed E&amp;G Budget'!X14+'FINAL-Distributed E&amp;G Budget'!Z14+'FINAL-Distributed E&amp;G Budget'!AA14+'FINAL-Distributed E&amp;G Budget'!AB14</f>
        <v>-224</v>
      </c>
      <c r="H13" s="843">
        <f>+'FINAL-Distributed E&amp;G Budget'!AE14+'FINAL-Distributed E&amp;G Budget'!AF14+'FINAL-Distributed E&amp;G Budget'!AH14+'FINAL-Distributed E&amp;G Budget'!AG14</f>
        <v>0</v>
      </c>
      <c r="I13" s="843">
        <f t="shared" si="0"/>
        <v>-227</v>
      </c>
      <c r="K13" s="885">
        <f>+I13-'FINAL-Distributed E&amp;G Budget'!AJ14</f>
        <v>0</v>
      </c>
    </row>
    <row r="14" spans="1:11" hidden="1" outlineLevel="1">
      <c r="A14" s="490"/>
      <c r="B14" s="841"/>
      <c r="C14" s="841"/>
      <c r="D14" s="841"/>
      <c r="E14" s="841"/>
      <c r="F14" s="841"/>
      <c r="G14" s="841"/>
      <c r="H14" s="841"/>
      <c r="I14" s="841"/>
      <c r="K14" s="885">
        <f>+I14-'FINAL-Distributed E&amp;G Budget'!AJ15</f>
        <v>0</v>
      </c>
    </row>
    <row r="15" spans="1:11" hidden="1" outlineLevel="1">
      <c r="A15" s="181" t="s">
        <v>132</v>
      </c>
      <c r="B15" s="851"/>
      <c r="C15" s="851"/>
      <c r="D15" s="851"/>
      <c r="E15" s="851"/>
      <c r="F15" s="851"/>
      <c r="G15" s="851"/>
      <c r="H15" s="851"/>
      <c r="I15" s="851"/>
      <c r="K15" s="885">
        <f>+I15-'FINAL-Distributed E&amp;G Budget'!AJ16</f>
        <v>0</v>
      </c>
    </row>
    <row r="16" spans="1:11" hidden="1" outlineLevel="1">
      <c r="A16" s="184" t="s">
        <v>134</v>
      </c>
      <c r="B16" s="850"/>
      <c r="C16" s="850"/>
      <c r="D16" s="850"/>
      <c r="E16" s="850"/>
      <c r="F16" s="850"/>
      <c r="G16" s="850"/>
      <c r="H16" s="850"/>
      <c r="I16" s="850"/>
      <c r="K16" s="885">
        <f>+I16-'FINAL-Distributed E&amp;G Budget'!AJ17</f>
        <v>0</v>
      </c>
    </row>
    <row r="17" spans="1:11" hidden="1" outlineLevel="1">
      <c r="A17" s="186" t="s">
        <v>136</v>
      </c>
      <c r="B17" s="846">
        <f>+'FINAL-Distributed E&amp;G Budget'!B18+'FINAL-Distributed E&amp;G Budget'!J18</f>
        <v>5673091</v>
      </c>
      <c r="C17" s="846">
        <f>+'FINAL-Distributed E&amp;G Budget'!L18+'FINAL-Distributed E&amp;G Budget'!M18+'FINAL-Distributed E&amp;G Budget'!N18</f>
        <v>0</v>
      </c>
      <c r="D17" s="846">
        <f>+'FINAL-Distributed E&amp;G Budget'!O18</f>
        <v>0</v>
      </c>
      <c r="E17" s="846">
        <f>+'FINAL-Distributed E&amp;G Budget'!U18</f>
        <v>0</v>
      </c>
      <c r="F17" s="846">
        <f>+'FINAL-Distributed E&amp;G Budget'!Y18</f>
        <v>12756000</v>
      </c>
      <c r="G17" s="846">
        <f>+'FINAL-Distributed E&amp;G Budget'!W18+'FINAL-Distributed E&amp;G Budget'!X18+'FINAL-Distributed E&amp;G Budget'!Z18+'FINAL-Distributed E&amp;G Budget'!AA18+'FINAL-Distributed E&amp;G Budget'!AB18</f>
        <v>12887700</v>
      </c>
      <c r="H17" s="846">
        <f>+'FINAL-Distributed E&amp;G Budget'!AE18+'FINAL-Distributed E&amp;G Budget'!AF18+'FINAL-Distributed E&amp;G Budget'!AH18+'FINAL-Distributed E&amp;G Budget'!AG18</f>
        <v>-487504</v>
      </c>
      <c r="I17" s="846">
        <f t="shared" ref="I17:I34" si="1">SUM(B17:H17)</f>
        <v>30829287</v>
      </c>
      <c r="J17" s="840"/>
      <c r="K17" s="885">
        <f>+I17-'FINAL-Distributed E&amp;G Budget'!AJ18</f>
        <v>0</v>
      </c>
    </row>
    <row r="18" spans="1:11" hidden="1" outlineLevel="1">
      <c r="A18" s="189" t="s">
        <v>138</v>
      </c>
      <c r="B18" s="841">
        <f>+'FINAL-Distributed E&amp;G Budget'!B19+'FINAL-Distributed E&amp;G Budget'!J19</f>
        <v>3494215</v>
      </c>
      <c r="C18" s="841">
        <f>+'FINAL-Distributed E&amp;G Budget'!L19+'FINAL-Distributed E&amp;G Budget'!M19+'FINAL-Distributed E&amp;G Budget'!N19</f>
        <v>0</v>
      </c>
      <c r="D18" s="841">
        <f>+'FINAL-Distributed E&amp;G Budget'!O19</f>
        <v>0</v>
      </c>
      <c r="E18" s="841">
        <f>+'FINAL-Distributed E&amp;G Budget'!U19</f>
        <v>0</v>
      </c>
      <c r="F18" s="841">
        <f>+'FINAL-Distributed E&amp;G Budget'!Y19</f>
        <v>14014000</v>
      </c>
      <c r="G18" s="841">
        <f>+'FINAL-Distributed E&amp;G Budget'!W19+'FINAL-Distributed E&amp;G Budget'!X19+'FINAL-Distributed E&amp;G Budget'!Z19+'FINAL-Distributed E&amp;G Budget'!AA19+'FINAL-Distributed E&amp;G Budget'!AB19</f>
        <v>13878600</v>
      </c>
      <c r="H18" s="841">
        <f>+'FINAL-Distributed E&amp;G Budget'!AE19+'FINAL-Distributed E&amp;G Budget'!AF19+'FINAL-Distributed E&amp;G Budget'!AH19+'FINAL-Distributed E&amp;G Budget'!AG19</f>
        <v>-915909</v>
      </c>
      <c r="I18" s="841">
        <f t="shared" si="1"/>
        <v>30470906</v>
      </c>
      <c r="J18" s="840"/>
      <c r="K18" s="885">
        <f>+I18-'FINAL-Distributed E&amp;G Budget'!AJ19</f>
        <v>0</v>
      </c>
    </row>
    <row r="19" spans="1:11" hidden="1" outlineLevel="1">
      <c r="A19" s="492" t="s">
        <v>140</v>
      </c>
      <c r="B19" s="841">
        <f>+'FINAL-Distributed E&amp;G Budget'!B20+'FINAL-Distributed E&amp;G Budget'!J20</f>
        <v>22983907</v>
      </c>
      <c r="C19" s="841">
        <f>+'FINAL-Distributed E&amp;G Budget'!L20+'FINAL-Distributed E&amp;G Budget'!M20+'FINAL-Distributed E&amp;G Budget'!N20</f>
        <v>0</v>
      </c>
      <c r="D19" s="841">
        <f>+'FINAL-Distributed E&amp;G Budget'!O20</f>
        <v>0</v>
      </c>
      <c r="E19" s="841">
        <f>+'FINAL-Distributed E&amp;G Budget'!U20</f>
        <v>0</v>
      </c>
      <c r="F19" s="841">
        <f>+'FINAL-Distributed E&amp;G Budget'!Y20</f>
        <v>29946000</v>
      </c>
      <c r="G19" s="841">
        <f>+'FINAL-Distributed E&amp;G Budget'!W20+'FINAL-Distributed E&amp;G Budget'!X20+'FINAL-Distributed E&amp;G Budget'!Z20+'FINAL-Distributed E&amp;G Budget'!AA20+'FINAL-Distributed E&amp;G Budget'!AB20</f>
        <v>33224900</v>
      </c>
      <c r="H19" s="841">
        <f>+'FINAL-Distributed E&amp;G Budget'!AE20+'FINAL-Distributed E&amp;G Budget'!AF20+'FINAL-Distributed E&amp;G Budget'!AH20+'FINAL-Distributed E&amp;G Budget'!AG20</f>
        <v>-1234530</v>
      </c>
      <c r="I19" s="841">
        <f t="shared" si="1"/>
        <v>84920277</v>
      </c>
      <c r="J19" s="840"/>
      <c r="K19" s="885">
        <f>+I19-'FINAL-Distributed E&amp;G Budget'!AJ20</f>
        <v>0</v>
      </c>
    </row>
    <row r="20" spans="1:11" hidden="1" outlineLevel="1">
      <c r="A20" s="186" t="s">
        <v>141</v>
      </c>
      <c r="B20" s="846">
        <f>+'FINAL-Distributed E&amp;G Budget'!B21+'FINAL-Distributed E&amp;G Budget'!J21</f>
        <v>4325747</v>
      </c>
      <c r="C20" s="846">
        <f>+'FINAL-Distributed E&amp;G Budget'!L21+'FINAL-Distributed E&amp;G Budget'!M21+'FINAL-Distributed E&amp;G Budget'!N21</f>
        <v>0</v>
      </c>
      <c r="D20" s="846">
        <f>+'FINAL-Distributed E&amp;G Budget'!O21</f>
        <v>681200</v>
      </c>
      <c r="E20" s="846">
        <f>+'FINAL-Distributed E&amp;G Budget'!U21</f>
        <v>0</v>
      </c>
      <c r="F20" s="846">
        <f>+'FINAL-Distributed E&amp;G Budget'!Y21</f>
        <v>2436000</v>
      </c>
      <c r="G20" s="846">
        <f>+'FINAL-Distributed E&amp;G Budget'!W21+'FINAL-Distributed E&amp;G Budget'!X21+'FINAL-Distributed E&amp;G Budget'!Z21+'FINAL-Distributed E&amp;G Budget'!AA21+'FINAL-Distributed E&amp;G Budget'!AB21</f>
        <v>3973400</v>
      </c>
      <c r="H20" s="846">
        <f>+'FINAL-Distributed E&amp;G Budget'!AE21+'FINAL-Distributed E&amp;G Budget'!AF21+'FINAL-Distributed E&amp;G Budget'!AH21+'FINAL-Distributed E&amp;G Budget'!AG21</f>
        <v>-349393</v>
      </c>
      <c r="I20" s="846">
        <f t="shared" si="1"/>
        <v>11066954</v>
      </c>
      <c r="J20" s="840"/>
      <c r="K20" s="885">
        <f>+I20-'FINAL-Distributed E&amp;G Budget'!AJ21</f>
        <v>0</v>
      </c>
    </row>
    <row r="21" spans="1:11" hidden="1" outlineLevel="1">
      <c r="A21" s="189" t="s">
        <v>142</v>
      </c>
      <c r="B21" s="841">
        <f>+'FINAL-Distributed E&amp;G Budget'!B22+'FINAL-Distributed E&amp;G Budget'!J22</f>
        <v>1821791</v>
      </c>
      <c r="C21" s="841">
        <f>+'FINAL-Distributed E&amp;G Budget'!L22+'FINAL-Distributed E&amp;G Budget'!M22+'FINAL-Distributed E&amp;G Budget'!N22</f>
        <v>850000</v>
      </c>
      <c r="D21" s="841">
        <f>+'FINAL-Distributed E&amp;G Budget'!O22</f>
        <v>0</v>
      </c>
      <c r="E21" s="841">
        <f>+'FINAL-Distributed E&amp;G Budget'!U22</f>
        <v>0</v>
      </c>
      <c r="F21" s="841">
        <f>+'FINAL-Distributed E&amp;G Budget'!Y22</f>
        <v>6617000</v>
      </c>
      <c r="G21" s="841">
        <f>+'FINAL-Distributed E&amp;G Budget'!W22+'FINAL-Distributed E&amp;G Budget'!X22+'FINAL-Distributed E&amp;G Budget'!Z22+'FINAL-Distributed E&amp;G Budget'!AA22+'FINAL-Distributed E&amp;G Budget'!AB22</f>
        <v>10132400</v>
      </c>
      <c r="H21" s="841">
        <f>+'FINAL-Distributed E&amp;G Budget'!AE22+'FINAL-Distributed E&amp;G Budget'!AF22+'FINAL-Distributed E&amp;G Budget'!AH22+'FINAL-Distributed E&amp;G Budget'!AG22</f>
        <v>1842120</v>
      </c>
      <c r="I21" s="841">
        <f t="shared" si="1"/>
        <v>21263311</v>
      </c>
      <c r="J21" s="840"/>
      <c r="K21" s="885">
        <f>+I21-'FINAL-Distributed E&amp;G Budget'!AJ22</f>
        <v>0</v>
      </c>
    </row>
    <row r="22" spans="1:11" hidden="1" outlineLevel="1">
      <c r="A22" s="492" t="s">
        <v>143</v>
      </c>
      <c r="B22" s="841">
        <f>+'FINAL-Distributed E&amp;G Budget'!B23+'FINAL-Distributed E&amp;G Budget'!J23</f>
        <v>447358</v>
      </c>
      <c r="C22" s="841">
        <f>+'FINAL-Distributed E&amp;G Budget'!L23+'FINAL-Distributed E&amp;G Budget'!M23+'FINAL-Distributed E&amp;G Budget'!N23</f>
        <v>0</v>
      </c>
      <c r="D22" s="841">
        <f>+'FINAL-Distributed E&amp;G Budget'!O23</f>
        <v>267100</v>
      </c>
      <c r="E22" s="841">
        <f>+'FINAL-Distributed E&amp;G Budget'!U23</f>
        <v>0</v>
      </c>
      <c r="F22" s="841">
        <f>+'FINAL-Distributed E&amp;G Budget'!Y23</f>
        <v>4271000</v>
      </c>
      <c r="G22" s="841">
        <f>+'FINAL-Distributed E&amp;G Budget'!W23+'FINAL-Distributed E&amp;G Budget'!X23+'FINAL-Distributed E&amp;G Budget'!Z23+'FINAL-Distributed E&amp;G Budget'!AA23+'FINAL-Distributed E&amp;G Budget'!AB23</f>
        <v>2197800</v>
      </c>
      <c r="H22" s="841">
        <f>+'FINAL-Distributed E&amp;G Budget'!AE23+'FINAL-Distributed E&amp;G Budget'!AF23+'FINAL-Distributed E&amp;G Budget'!AH23+'FINAL-Distributed E&amp;G Budget'!AG23</f>
        <v>-138022</v>
      </c>
      <c r="I22" s="841">
        <f t="shared" si="1"/>
        <v>7045236</v>
      </c>
      <c r="J22" s="840"/>
      <c r="K22" s="885">
        <f>+I22-'FINAL-Distributed E&amp;G Budget'!AJ23</f>
        <v>0</v>
      </c>
    </row>
    <row r="23" spans="1:11" hidden="1" outlineLevel="1">
      <c r="A23" s="186" t="s">
        <v>144</v>
      </c>
      <c r="B23" s="846">
        <f>+'FINAL-Distributed E&amp;G Budget'!B24+'FINAL-Distributed E&amp;G Budget'!J24</f>
        <v>1268289</v>
      </c>
      <c r="C23" s="846">
        <f>+'FINAL-Distributed E&amp;G Budget'!L24+'FINAL-Distributed E&amp;G Budget'!M24+'FINAL-Distributed E&amp;G Budget'!N24</f>
        <v>50000</v>
      </c>
      <c r="D23" s="846">
        <f>+'FINAL-Distributed E&amp;G Budget'!O24</f>
        <v>55000</v>
      </c>
      <c r="E23" s="846">
        <f>+'FINAL-Distributed E&amp;G Budget'!U24</f>
        <v>0</v>
      </c>
      <c r="F23" s="846">
        <f>+'FINAL-Distributed E&amp;G Budget'!Y24</f>
        <v>22221000</v>
      </c>
      <c r="G23" s="846">
        <f>+'FINAL-Distributed E&amp;G Budget'!W24+'FINAL-Distributed E&amp;G Budget'!X24+'FINAL-Distributed E&amp;G Budget'!Z24+'FINAL-Distributed E&amp;G Budget'!AA24+'FINAL-Distributed E&amp;G Budget'!AB24</f>
        <v>26384400</v>
      </c>
      <c r="H23" s="846">
        <f>+'FINAL-Distributed E&amp;G Budget'!AE24+'FINAL-Distributed E&amp;G Budget'!AF24+'FINAL-Distributed E&amp;G Budget'!AH24+'FINAL-Distributed E&amp;G Budget'!AG24</f>
        <v>138862</v>
      </c>
      <c r="I23" s="846">
        <f t="shared" si="1"/>
        <v>50117551</v>
      </c>
      <c r="J23" s="840"/>
      <c r="K23" s="885">
        <f>+I23-'FINAL-Distributed E&amp;G Budget'!AJ24</f>
        <v>0</v>
      </c>
    </row>
    <row r="24" spans="1:11" hidden="1" outlineLevel="1">
      <c r="A24" s="492" t="s">
        <v>145</v>
      </c>
      <c r="B24" s="841">
        <f>+'FINAL-Distributed E&amp;G Budget'!B25+'FINAL-Distributed E&amp;G Budget'!J25</f>
        <v>4979803</v>
      </c>
      <c r="C24" s="841">
        <f>+'FINAL-Distributed E&amp;G Budget'!L25+'FINAL-Distributed E&amp;G Budget'!M25+'FINAL-Distributed E&amp;G Budget'!N25</f>
        <v>10875</v>
      </c>
      <c r="D24" s="841">
        <f>+'FINAL-Distributed E&amp;G Budget'!O25</f>
        <v>2360100</v>
      </c>
      <c r="E24" s="841">
        <f>+'FINAL-Distributed E&amp;G Budget'!U25</f>
        <v>0</v>
      </c>
      <c r="F24" s="841">
        <f>+'FINAL-Distributed E&amp;G Budget'!Y25</f>
        <v>3534000</v>
      </c>
      <c r="G24" s="841">
        <f>+'FINAL-Distributed E&amp;G Budget'!W25+'FINAL-Distributed E&amp;G Budget'!X25+'FINAL-Distributed E&amp;G Budget'!Z25+'FINAL-Distributed E&amp;G Budget'!AA25+'FINAL-Distributed E&amp;G Budget'!AB25</f>
        <v>7090900</v>
      </c>
      <c r="H24" s="841">
        <f>+'FINAL-Distributed E&amp;G Budget'!AE25+'FINAL-Distributed E&amp;G Budget'!AF25+'FINAL-Distributed E&amp;G Budget'!AH25+'FINAL-Distributed E&amp;G Budget'!AG25</f>
        <v>-210712</v>
      </c>
      <c r="I24" s="841">
        <f t="shared" si="1"/>
        <v>17764966</v>
      </c>
      <c r="J24" s="840"/>
      <c r="K24" s="885">
        <f>+I24-'FINAL-Distributed E&amp;G Budget'!AJ25</f>
        <v>0</v>
      </c>
    </row>
    <row r="25" spans="1:11" hidden="1" outlineLevel="1">
      <c r="A25" s="492" t="s">
        <v>146</v>
      </c>
      <c r="B25" s="841">
        <f>+'FINAL-Distributed E&amp;G Budget'!B26+'FINAL-Distributed E&amp;G Budget'!J26</f>
        <v>12905159</v>
      </c>
      <c r="C25" s="841">
        <f>+'FINAL-Distributed E&amp;G Budget'!L26+'FINAL-Distributed E&amp;G Budget'!M26+'FINAL-Distributed E&amp;G Budget'!N26</f>
        <v>0</v>
      </c>
      <c r="D25" s="841">
        <f>+'FINAL-Distributed E&amp;G Budget'!O26</f>
        <v>0</v>
      </c>
      <c r="E25" s="841">
        <f>+'FINAL-Distributed E&amp;G Budget'!U26</f>
        <v>0</v>
      </c>
      <c r="F25" s="841">
        <f>+'FINAL-Distributed E&amp;G Budget'!Y26</f>
        <v>131000</v>
      </c>
      <c r="G25" s="841">
        <f>+'FINAL-Distributed E&amp;G Budget'!W26+'FINAL-Distributed E&amp;G Budget'!X26+'FINAL-Distributed E&amp;G Budget'!Z26+'FINAL-Distributed E&amp;G Budget'!AA26+'FINAL-Distributed E&amp;G Budget'!AB26</f>
        <v>0</v>
      </c>
      <c r="H25" s="841">
        <f>+'FINAL-Distributed E&amp;G Budget'!AE26+'FINAL-Distributed E&amp;G Budget'!AF26+'FINAL-Distributed E&amp;G Budget'!AH26+'FINAL-Distributed E&amp;G Budget'!AG26</f>
        <v>-430360</v>
      </c>
      <c r="I25" s="841">
        <f t="shared" si="1"/>
        <v>12605799</v>
      </c>
      <c r="J25" s="840"/>
      <c r="K25" s="885">
        <f>+I25-'FINAL-Distributed E&amp;G Budget'!AJ26</f>
        <v>0</v>
      </c>
    </row>
    <row r="26" spans="1:11" hidden="1" outlineLevel="1">
      <c r="A26" s="186" t="s">
        <v>147</v>
      </c>
      <c r="B26" s="846">
        <f>+'FINAL-Distributed E&amp;G Budget'!B27+'FINAL-Distributed E&amp;G Budget'!J27</f>
        <v>2051400</v>
      </c>
      <c r="C26" s="846">
        <f>+'FINAL-Distributed E&amp;G Budget'!L27+'FINAL-Distributed E&amp;G Budget'!M27+'FINAL-Distributed E&amp;G Budget'!N27</f>
        <v>750000</v>
      </c>
      <c r="D26" s="846">
        <f>+'FINAL-Distributed E&amp;G Budget'!O27</f>
        <v>0</v>
      </c>
      <c r="E26" s="846">
        <f>+'FINAL-Distributed E&amp;G Budget'!U27</f>
        <v>0</v>
      </c>
      <c r="F26" s="846">
        <f>+'FINAL-Distributed E&amp;G Budget'!Y27</f>
        <v>16471000</v>
      </c>
      <c r="G26" s="846">
        <f>+'FINAL-Distributed E&amp;G Budget'!W27+'FINAL-Distributed E&amp;G Budget'!X27+'FINAL-Distributed E&amp;G Budget'!Z27+'FINAL-Distributed E&amp;G Budget'!AA27+'FINAL-Distributed E&amp;G Budget'!AB27</f>
        <v>31420200</v>
      </c>
      <c r="H26" s="846">
        <f>+'FINAL-Distributed E&amp;G Budget'!AE27+'FINAL-Distributed E&amp;G Budget'!AF27+'FINAL-Distributed E&amp;G Budget'!AH27+'FINAL-Distributed E&amp;G Budget'!AG27</f>
        <v>239153</v>
      </c>
      <c r="I26" s="846">
        <f t="shared" si="1"/>
        <v>50931753</v>
      </c>
      <c r="J26" s="840"/>
      <c r="K26" s="885">
        <f>+I26-'FINAL-Distributed E&amp;G Budget'!AJ27</f>
        <v>0</v>
      </c>
    </row>
    <row r="27" spans="1:11" hidden="1" outlineLevel="1">
      <c r="A27" s="492" t="s">
        <v>148</v>
      </c>
      <c r="B27" s="841">
        <f>+'FINAL-Distributed E&amp;G Budget'!B28+'FINAL-Distributed E&amp;G Budget'!J28</f>
        <v>24860642</v>
      </c>
      <c r="C27" s="841">
        <f>+'FINAL-Distributed E&amp;G Budget'!L28+'FINAL-Distributed E&amp;G Budget'!M28+'FINAL-Distributed E&amp;G Budget'!N28</f>
        <v>0</v>
      </c>
      <c r="D27" s="841">
        <f>+'FINAL-Distributed E&amp;G Budget'!O28</f>
        <v>6750000</v>
      </c>
      <c r="E27" s="841">
        <f>+'FINAL-Distributed E&amp;G Budget'!U28</f>
        <v>0</v>
      </c>
      <c r="F27" s="841">
        <f>+'FINAL-Distributed E&amp;G Budget'!Y28</f>
        <v>0</v>
      </c>
      <c r="G27" s="841">
        <f>+'FINAL-Distributed E&amp;G Budget'!W28+'FINAL-Distributed E&amp;G Budget'!X28+'FINAL-Distributed E&amp;G Budget'!Z28+'FINAL-Distributed E&amp;G Budget'!AA28+'FINAL-Distributed E&amp;G Budget'!AB28</f>
        <v>0</v>
      </c>
      <c r="H27" s="841">
        <f>+'FINAL-Distributed E&amp;G Budget'!AE28+'FINAL-Distributed E&amp;G Budget'!AF28+'FINAL-Distributed E&amp;G Budget'!AH28+'FINAL-Distributed E&amp;G Budget'!AG28</f>
        <v>-316110</v>
      </c>
      <c r="I27" s="841">
        <f t="shared" si="1"/>
        <v>31294532</v>
      </c>
      <c r="J27" s="840"/>
      <c r="K27" s="885">
        <f>+I27-'FINAL-Distributed E&amp;G Budget'!AJ28</f>
        <v>0</v>
      </c>
    </row>
    <row r="28" spans="1:11" hidden="1" outlineLevel="1">
      <c r="A28" s="186" t="s">
        <v>801</v>
      </c>
      <c r="B28" s="846">
        <f>+'FINAL-Distributed E&amp;G Budget'!B29+'FINAL-Distributed E&amp;G Budget'!J29</f>
        <v>2083674</v>
      </c>
      <c r="C28" s="846">
        <f>+'FINAL-Distributed E&amp;G Budget'!L29+'FINAL-Distributed E&amp;G Budget'!M29+'FINAL-Distributed E&amp;G Budget'!N29</f>
        <v>0</v>
      </c>
      <c r="D28" s="846">
        <f>+'FINAL-Distributed E&amp;G Budget'!O29</f>
        <v>670515</v>
      </c>
      <c r="E28" s="846">
        <f>+'FINAL-Distributed E&amp;G Budget'!U29</f>
        <v>0</v>
      </c>
      <c r="F28" s="846">
        <f>+'FINAL-Distributed E&amp;G Budget'!Y29</f>
        <v>74000</v>
      </c>
      <c r="G28" s="846">
        <f>+'FINAL-Distributed E&amp;G Budget'!W29+'FINAL-Distributed E&amp;G Budget'!X29+'FINAL-Distributed E&amp;G Budget'!Z29+'FINAL-Distributed E&amp;G Budget'!AA29+'FINAL-Distributed E&amp;G Budget'!AB29</f>
        <v>1624900</v>
      </c>
      <c r="H28" s="846">
        <f>+'FINAL-Distributed E&amp;G Budget'!AE29+'FINAL-Distributed E&amp;G Budget'!AF29+'FINAL-Distributed E&amp;G Budget'!AH29+'FINAL-Distributed E&amp;G Budget'!AG29</f>
        <v>-100213</v>
      </c>
      <c r="I28" s="846">
        <f t="shared" si="1"/>
        <v>4352876</v>
      </c>
      <c r="J28" s="840"/>
      <c r="K28" s="885">
        <f>+I28-'FINAL-Distributed E&amp;G Budget'!AJ29</f>
        <v>0</v>
      </c>
    </row>
    <row r="29" spans="1:11" hidden="1" outlineLevel="1">
      <c r="A29" s="189" t="s">
        <v>150</v>
      </c>
      <c r="B29" s="841">
        <f>+'FINAL-Distributed E&amp;G Budget'!B30+'FINAL-Distributed E&amp;G Budget'!J30</f>
        <v>0</v>
      </c>
      <c r="C29" s="841">
        <f>+'FINAL-Distributed E&amp;G Budget'!L30+'FINAL-Distributed E&amp;G Budget'!M30+'FINAL-Distributed E&amp;G Budget'!N30</f>
        <v>0</v>
      </c>
      <c r="D29" s="841">
        <f>+'FINAL-Distributed E&amp;G Budget'!O30</f>
        <v>0</v>
      </c>
      <c r="E29" s="841">
        <f>+'FINAL-Distributed E&amp;G Budget'!U30</f>
        <v>25201382.419</v>
      </c>
      <c r="F29" s="841">
        <f>+'FINAL-Distributed E&amp;G Budget'!Y30</f>
        <v>0</v>
      </c>
      <c r="G29" s="841">
        <f>+'FINAL-Distributed E&amp;G Budget'!W30+'FINAL-Distributed E&amp;G Budget'!X30+'FINAL-Distributed E&amp;G Budget'!Z30+'FINAL-Distributed E&amp;G Budget'!AA30+'FINAL-Distributed E&amp;G Budget'!AB30</f>
        <v>0</v>
      </c>
      <c r="H29" s="841">
        <f>+'FINAL-Distributed E&amp;G Budget'!AE30+'FINAL-Distributed E&amp;G Budget'!AF30+'FINAL-Distributed E&amp;G Budget'!AH30+'FINAL-Distributed E&amp;G Budget'!AG30</f>
        <v>-252010</v>
      </c>
      <c r="I29" s="841">
        <f t="shared" si="1"/>
        <v>24949372.419</v>
      </c>
      <c r="J29" s="840"/>
      <c r="K29" s="885">
        <f>+I29-'FINAL-Distributed E&amp;G Budget'!AJ30</f>
        <v>0</v>
      </c>
    </row>
    <row r="30" spans="1:11" hidden="1" outlineLevel="1">
      <c r="A30" s="492" t="s">
        <v>540</v>
      </c>
      <c r="B30" s="841">
        <f>+'FINAL-Distributed E&amp;G Budget'!B31+'FINAL-Distributed E&amp;G Budget'!J31</f>
        <v>5920400</v>
      </c>
      <c r="C30" s="841">
        <f>+'FINAL-Distributed E&amp;G Budget'!L31+'FINAL-Distributed E&amp;G Budget'!M31+'FINAL-Distributed E&amp;G Budget'!N31</f>
        <v>0</v>
      </c>
      <c r="D30" s="841">
        <f>+'FINAL-Distributed E&amp;G Budget'!O31</f>
        <v>0</v>
      </c>
      <c r="E30" s="841">
        <f>+'FINAL-Distributed E&amp;G Budget'!U31</f>
        <v>0</v>
      </c>
      <c r="F30" s="841">
        <f>+'FINAL-Distributed E&amp;G Budget'!Y31</f>
        <v>0</v>
      </c>
      <c r="G30" s="841">
        <f>+'FINAL-Distributed E&amp;G Budget'!W31+'FINAL-Distributed E&amp;G Budget'!X31+'FINAL-Distributed E&amp;G Budget'!Z31+'FINAL-Distributed E&amp;G Budget'!AA31+'FINAL-Distributed E&amp;G Budget'!AB31</f>
        <v>0</v>
      </c>
      <c r="H30" s="841">
        <f>+'FINAL-Distributed E&amp;G Budget'!AE31+'FINAL-Distributed E&amp;G Budget'!AF31+'FINAL-Distributed E&amp;G Budget'!AH31+'FINAL-Distributed E&amp;G Budget'!AG31</f>
        <v>-59200</v>
      </c>
      <c r="I30" s="841">
        <f t="shared" si="1"/>
        <v>5861200</v>
      </c>
      <c r="J30" s="840"/>
      <c r="K30" s="885">
        <f>+I30-'FINAL-Distributed E&amp;G Budget'!AJ31</f>
        <v>0</v>
      </c>
    </row>
    <row r="31" spans="1:11" hidden="1" outlineLevel="1">
      <c r="A31" s="602" t="s">
        <v>653</v>
      </c>
      <c r="B31" s="846">
        <f>+'FINAL-Distributed E&amp;G Budget'!B32+'FINAL-Distributed E&amp;G Budget'!J32</f>
        <v>0</v>
      </c>
      <c r="C31" s="846">
        <f>+'FINAL-Distributed E&amp;G Budget'!L32+'FINAL-Distributed E&amp;G Budget'!M32+'FINAL-Distributed E&amp;G Budget'!N32</f>
        <v>0</v>
      </c>
      <c r="D31" s="846">
        <f>+'FINAL-Distributed E&amp;G Budget'!O32</f>
        <v>0</v>
      </c>
      <c r="E31" s="846">
        <f>+'FINAL-Distributed E&amp;G Budget'!U32</f>
        <v>720497.66700000002</v>
      </c>
      <c r="F31" s="846">
        <f>+'FINAL-Distributed E&amp;G Budget'!Y32</f>
        <v>0</v>
      </c>
      <c r="G31" s="846">
        <f>+'FINAL-Distributed E&amp;G Budget'!W32+'FINAL-Distributed E&amp;G Budget'!X32+'FINAL-Distributed E&amp;G Budget'!Z32+'FINAL-Distributed E&amp;G Budget'!AA32+'FINAL-Distributed E&amp;G Budget'!AB32</f>
        <v>1400</v>
      </c>
      <c r="H31" s="846">
        <f>+'FINAL-Distributed E&amp;G Budget'!AE32+'FINAL-Distributed E&amp;G Budget'!AF32+'FINAL-Distributed E&amp;G Budget'!AH32+'FINAL-Distributed E&amp;G Budget'!AG32</f>
        <v>-7220</v>
      </c>
      <c r="I31" s="846">
        <f t="shared" si="1"/>
        <v>714677.66700000002</v>
      </c>
      <c r="J31" s="840"/>
      <c r="K31" s="885">
        <f>+I31-'FINAL-Distributed E&amp;G Budget'!AJ32</f>
        <v>0</v>
      </c>
    </row>
    <row r="32" spans="1:11" hidden="1" outlineLevel="1">
      <c r="A32" s="197" t="s">
        <v>152</v>
      </c>
      <c r="B32" s="841">
        <f>+'FINAL-Distributed E&amp;G Budget'!B33+'FINAL-Distributed E&amp;G Budget'!J33</f>
        <v>12000</v>
      </c>
      <c r="C32" s="841">
        <f>+'FINAL-Distributed E&amp;G Budget'!L33+'FINAL-Distributed E&amp;G Budget'!M33+'FINAL-Distributed E&amp;G Budget'!N33</f>
        <v>0</v>
      </c>
      <c r="D32" s="841">
        <f>+'FINAL-Distributed E&amp;G Budget'!O33</f>
        <v>0</v>
      </c>
      <c r="E32" s="841">
        <f>+'FINAL-Distributed E&amp;G Budget'!U33</f>
        <v>0</v>
      </c>
      <c r="F32" s="841">
        <f>+'FINAL-Distributed E&amp;G Budget'!Y33</f>
        <v>676000</v>
      </c>
      <c r="G32" s="841">
        <f>+'FINAL-Distributed E&amp;G Budget'!W33+'FINAL-Distributed E&amp;G Budget'!X33+'FINAL-Distributed E&amp;G Budget'!Z33+'FINAL-Distributed E&amp;G Budget'!AA33+'FINAL-Distributed E&amp;G Budget'!AB33</f>
        <v>467500</v>
      </c>
      <c r="H32" s="841">
        <f>+'FINAL-Distributed E&amp;G Budget'!AE33+'FINAL-Distributed E&amp;G Budget'!AF33+'FINAL-Distributed E&amp;G Budget'!AH33+'FINAL-Distributed E&amp;G Budget'!AG33</f>
        <v>-11560</v>
      </c>
      <c r="I32" s="841">
        <f t="shared" si="1"/>
        <v>1143940</v>
      </c>
      <c r="J32" s="840"/>
      <c r="K32" s="885">
        <f>+I32-'FINAL-Distributed E&amp;G Budget'!AJ33</f>
        <v>0</v>
      </c>
    </row>
    <row r="33" spans="1:11" hidden="1" outlineLevel="1">
      <c r="A33" s="492" t="s">
        <v>153</v>
      </c>
      <c r="B33" s="841">
        <f>+'FINAL-Distributed E&amp;G Budget'!B34+'FINAL-Distributed E&amp;G Budget'!J34</f>
        <v>3154371</v>
      </c>
      <c r="C33" s="841">
        <f>+'FINAL-Distributed E&amp;G Budget'!L34+'FINAL-Distributed E&amp;G Budget'!M34+'FINAL-Distributed E&amp;G Budget'!N34</f>
        <v>0</v>
      </c>
      <c r="D33" s="841">
        <f>+'FINAL-Distributed E&amp;G Budget'!O34</f>
        <v>0</v>
      </c>
      <c r="E33" s="841">
        <f>+'FINAL-Distributed E&amp;G Budget'!U34</f>
        <v>14019421.139</v>
      </c>
      <c r="F33" s="841">
        <f>+'FINAL-Distributed E&amp;G Budget'!Y34</f>
        <v>0</v>
      </c>
      <c r="G33" s="841">
        <f>+'FINAL-Distributed E&amp;G Budget'!W34+'FINAL-Distributed E&amp;G Budget'!X34+'FINAL-Distributed E&amp;G Budget'!Z34+'FINAL-Distributed E&amp;G Budget'!AA34+'FINAL-Distributed E&amp;G Budget'!AB34</f>
        <v>0</v>
      </c>
      <c r="H33" s="841">
        <f>+'FINAL-Distributed E&amp;G Budget'!AE34+'FINAL-Distributed E&amp;G Budget'!AF34+'FINAL-Distributed E&amp;G Budget'!AH34+'FINAL-Distributed E&amp;G Budget'!AG34</f>
        <v>-186110</v>
      </c>
      <c r="I33" s="841">
        <f t="shared" si="1"/>
        <v>16987682.138999999</v>
      </c>
      <c r="J33" s="840"/>
      <c r="K33" s="885">
        <f>+I33-'FINAL-Distributed E&amp;G Budget'!AJ34</f>
        <v>0</v>
      </c>
    </row>
    <row r="34" spans="1:11" hidden="1" outlineLevel="1">
      <c r="A34" s="196" t="s">
        <v>361</v>
      </c>
      <c r="B34" s="843">
        <f>+'FINAL-Distributed E&amp;G Budget'!B35+'FINAL-Distributed E&amp;G Budget'!J35</f>
        <v>3439598</v>
      </c>
      <c r="C34" s="843">
        <f>+'FINAL-Distributed E&amp;G Budget'!L35+'FINAL-Distributed E&amp;G Budget'!M35+'FINAL-Distributed E&amp;G Budget'!N35</f>
        <v>1089000</v>
      </c>
      <c r="D34" s="843">
        <f>+'FINAL-Distributed E&amp;G Budget'!O35</f>
        <v>7839407</v>
      </c>
      <c r="E34" s="843">
        <f>+'FINAL-Distributed E&amp;G Budget'!U35</f>
        <v>0</v>
      </c>
      <c r="F34" s="843">
        <f>+'FINAL-Distributed E&amp;G Budget'!Y35</f>
        <v>0</v>
      </c>
      <c r="G34" s="843">
        <f>+'FINAL-Distributed E&amp;G Budget'!W35+'FINAL-Distributed E&amp;G Budget'!X35+'FINAL-Distributed E&amp;G Budget'!Z35+'FINAL-Distributed E&amp;G Budget'!AA35+'FINAL-Distributed E&amp;G Budget'!AB35</f>
        <v>945500</v>
      </c>
      <c r="H34" s="843">
        <f>+'FINAL-Distributed E&amp;G Budget'!AE35+'FINAL-Distributed E&amp;G Budget'!AF35+'FINAL-Distributed E&amp;G Budget'!AH35+'FINAL-Distributed E&amp;G Budget'!AG35</f>
        <v>-319590</v>
      </c>
      <c r="I34" s="843">
        <f t="shared" si="1"/>
        <v>12993915</v>
      </c>
      <c r="J34" s="840"/>
      <c r="K34" s="885">
        <f>+I34-'FINAL-Distributed E&amp;G Budget'!AJ35</f>
        <v>0</v>
      </c>
    </row>
    <row r="35" spans="1:11" hidden="1" outlineLevel="1">
      <c r="A35" s="200" t="s">
        <v>155</v>
      </c>
      <c r="B35" s="849">
        <f>+'FINAL-Distributed E&amp;G Budget'!B36+'FINAL-Distributed E&amp;G Budget'!J36</f>
        <v>99421445</v>
      </c>
      <c r="C35" s="849">
        <f>+'FINAL-Distributed E&amp;G Budget'!L36+'FINAL-Distributed E&amp;G Budget'!M36+'FINAL-Distributed E&amp;G Budget'!N36</f>
        <v>2749875</v>
      </c>
      <c r="D35" s="849">
        <f>+'FINAL-Distributed E&amp;G Budget'!O36</f>
        <v>18623322</v>
      </c>
      <c r="E35" s="849">
        <f>+'FINAL-Distributed E&amp;G Budget'!U36</f>
        <v>39941301.225000001</v>
      </c>
      <c r="F35" s="849">
        <f>+'FINAL-Distributed E&amp;G Budget'!Y36</f>
        <v>113147000</v>
      </c>
      <c r="G35" s="849">
        <f>+'FINAL-Distributed E&amp;G Budget'!W36+'FINAL-Distributed E&amp;G Budget'!X36+'FINAL-Distributed E&amp;G Budget'!Z36+'FINAL-Distributed E&amp;G Budget'!AA36+'FINAL-Distributed E&amp;G Budget'!AB36</f>
        <v>144229600</v>
      </c>
      <c r="H35" s="849">
        <f>+'FINAL-Distributed E&amp;G Budget'!AE36+'FINAL-Distributed E&amp;G Budget'!AF36+'FINAL-Distributed E&amp;G Budget'!AH36+'FINAL-Distributed E&amp;G Budget'!AG36</f>
        <v>-2798308</v>
      </c>
      <c r="I35" s="849">
        <f t="shared" ref="I35" si="2">SUM(I17:I34)</f>
        <v>415314235.22500002</v>
      </c>
      <c r="J35" s="840"/>
      <c r="K35" s="885">
        <f>+I35-'FINAL-Distributed E&amp;G Budget'!AJ36</f>
        <v>0</v>
      </c>
    </row>
    <row r="36" spans="1:11" hidden="1" outlineLevel="1">
      <c r="A36" s="492"/>
      <c r="B36" s="848"/>
      <c r="C36" s="848"/>
      <c r="D36" s="848"/>
      <c r="E36" s="848"/>
      <c r="F36" s="848"/>
      <c r="G36" s="848"/>
      <c r="H36" s="848"/>
      <c r="I36" s="848"/>
      <c r="K36" s="885">
        <f>+I36-'FINAL-Distributed E&amp;G Budget'!AJ37</f>
        <v>0</v>
      </c>
    </row>
    <row r="37" spans="1:11" hidden="1" outlineLevel="1">
      <c r="A37" s="490"/>
      <c r="B37" s="848"/>
      <c r="C37" s="848"/>
      <c r="D37" s="848"/>
      <c r="E37" s="848"/>
      <c r="F37" s="848"/>
      <c r="G37" s="848"/>
      <c r="H37" s="848"/>
      <c r="I37" s="848"/>
      <c r="K37" s="885">
        <f>+I37-'FINAL-Distributed E&amp;G Budget'!AJ38</f>
        <v>0</v>
      </c>
    </row>
    <row r="38" spans="1:11" hidden="1" outlineLevel="1">
      <c r="A38" s="189" t="s">
        <v>156</v>
      </c>
      <c r="B38" s="841">
        <f>+'FINAL-Distributed E&amp;G Budget'!B39+'FINAL-Distributed E&amp;G Budget'!J39</f>
        <v>0</v>
      </c>
      <c r="C38" s="841">
        <f>+'FINAL-Distributed E&amp;G Budget'!L39+'FINAL-Distributed E&amp;G Budget'!M39+'FINAL-Distributed E&amp;G Budget'!N39</f>
        <v>0</v>
      </c>
      <c r="D38" s="841">
        <f>+'FINAL-Distributed E&amp;G Budget'!O39</f>
        <v>0</v>
      </c>
      <c r="E38" s="841">
        <f>+'FINAL-Distributed E&amp;G Budget'!U39</f>
        <v>0</v>
      </c>
      <c r="F38" s="841">
        <f>+'FINAL-Distributed E&amp;G Budget'!Y39</f>
        <v>0</v>
      </c>
      <c r="G38" s="841">
        <f>+'FINAL-Distributed E&amp;G Budget'!W39+'FINAL-Distributed E&amp;G Budget'!X39+'FINAL-Distributed E&amp;G Budget'!Z39+'FINAL-Distributed E&amp;G Budget'!AA39+'FINAL-Distributed E&amp;G Budget'!AB39</f>
        <v>0</v>
      </c>
      <c r="H38" s="841">
        <f>+'FINAL-Distributed E&amp;G Budget'!AE39+'FINAL-Distributed E&amp;G Budget'!AF39+'FINAL-Distributed E&amp;G Budget'!AH39+'FINAL-Distributed E&amp;G Budget'!AG39</f>
        <v>0</v>
      </c>
      <c r="I38" s="841"/>
      <c r="J38" s="840"/>
      <c r="K38" s="885">
        <f>+I38-'FINAL-Distributed E&amp;G Budget'!AJ39</f>
        <v>0</v>
      </c>
    </row>
    <row r="39" spans="1:11" hidden="1" outlineLevel="1">
      <c r="A39" s="186" t="s">
        <v>586</v>
      </c>
      <c r="B39" s="847">
        <f>+'FINAL-Distributed E&amp;G Budget'!B40+'FINAL-Distributed E&amp;G Budget'!J40</f>
        <v>0</v>
      </c>
      <c r="C39" s="847">
        <f>+'FINAL-Distributed E&amp;G Budget'!L40+'FINAL-Distributed E&amp;G Budget'!M40+'FINAL-Distributed E&amp;G Budget'!N40</f>
        <v>10836994.424000001</v>
      </c>
      <c r="D39" s="847">
        <f>+'FINAL-Distributed E&amp;G Budget'!O40</f>
        <v>0</v>
      </c>
      <c r="E39" s="847">
        <f>+'FINAL-Distributed E&amp;G Budget'!U40</f>
        <v>0</v>
      </c>
      <c r="F39" s="847">
        <f>+'FINAL-Distributed E&amp;G Budget'!Y40</f>
        <v>0</v>
      </c>
      <c r="G39" s="847">
        <f>+'FINAL-Distributed E&amp;G Budget'!W40+'FINAL-Distributed E&amp;G Budget'!X40+'FINAL-Distributed E&amp;G Budget'!Z40+'FINAL-Distributed E&amp;G Budget'!AA40+'FINAL-Distributed E&amp;G Budget'!AB40</f>
        <v>0</v>
      </c>
      <c r="H39" s="847">
        <f>+'FINAL-Distributed E&amp;G Budget'!AE40+'FINAL-Distributed E&amp;G Budget'!AF40+'FINAL-Distributed E&amp;G Budget'!AH40+'FINAL-Distributed E&amp;G Budget'!AG40</f>
        <v>-108370</v>
      </c>
      <c r="I39" s="847">
        <f t="shared" ref="I39:I56" si="3">SUM(B39:H39)</f>
        <v>10728624.424000001</v>
      </c>
      <c r="J39" s="840"/>
      <c r="K39" s="885">
        <f>+I39-'FINAL-Distributed E&amp;G Budget'!AJ40</f>
        <v>0</v>
      </c>
    </row>
    <row r="40" spans="1:11" hidden="1" outlineLevel="1">
      <c r="A40" s="197" t="s">
        <v>158</v>
      </c>
      <c r="B40" s="842">
        <f>+'FINAL-Distributed E&amp;G Budget'!B41+'FINAL-Distributed E&amp;G Budget'!J41</f>
        <v>0</v>
      </c>
      <c r="C40" s="842">
        <f>+'FINAL-Distributed E&amp;G Budget'!L41+'FINAL-Distributed E&amp;G Budget'!M41+'FINAL-Distributed E&amp;G Budget'!N41</f>
        <v>8000000</v>
      </c>
      <c r="D40" s="842">
        <f>+'FINAL-Distributed E&amp;G Budget'!O41</f>
        <v>0</v>
      </c>
      <c r="E40" s="842">
        <f>+'FINAL-Distributed E&amp;G Budget'!U41</f>
        <v>0</v>
      </c>
      <c r="F40" s="842">
        <f>+'FINAL-Distributed E&amp;G Budget'!Y41</f>
        <v>0</v>
      </c>
      <c r="G40" s="842">
        <f>+'FINAL-Distributed E&amp;G Budget'!W41+'FINAL-Distributed E&amp;G Budget'!X41+'FINAL-Distributed E&amp;G Budget'!Z41+'FINAL-Distributed E&amp;G Budget'!AA41+'FINAL-Distributed E&amp;G Budget'!AB41</f>
        <v>0</v>
      </c>
      <c r="H40" s="842">
        <f>+'FINAL-Distributed E&amp;G Budget'!AE41+'FINAL-Distributed E&amp;G Budget'!AF41+'FINAL-Distributed E&amp;G Budget'!AH41+'FINAL-Distributed E&amp;G Budget'!AG41</f>
        <v>-80000</v>
      </c>
      <c r="I40" s="842">
        <f t="shared" si="3"/>
        <v>7920000</v>
      </c>
      <c r="J40" s="840"/>
      <c r="K40" s="885">
        <f>+I40-'FINAL-Distributed E&amp;G Budget'!AJ41</f>
        <v>0</v>
      </c>
    </row>
    <row r="41" spans="1:11" hidden="1" outlineLevel="1">
      <c r="A41" s="492" t="s">
        <v>159</v>
      </c>
      <c r="B41" s="842">
        <f>+'FINAL-Distributed E&amp;G Budget'!B42+'FINAL-Distributed E&amp;G Budget'!J42</f>
        <v>7716</v>
      </c>
      <c r="C41" s="842">
        <f>+'FINAL-Distributed E&amp;G Budget'!L42+'FINAL-Distributed E&amp;G Budget'!M42+'FINAL-Distributed E&amp;G Budget'!N42</f>
        <v>0</v>
      </c>
      <c r="D41" s="842">
        <f>+'FINAL-Distributed E&amp;G Budget'!O42</f>
        <v>0</v>
      </c>
      <c r="E41" s="842">
        <f>+'FINAL-Distributed E&amp;G Budget'!U42</f>
        <v>4413026.7810000004</v>
      </c>
      <c r="F41" s="842">
        <f>+'FINAL-Distributed E&amp;G Budget'!Y42</f>
        <v>0</v>
      </c>
      <c r="G41" s="842">
        <f>+'FINAL-Distributed E&amp;G Budget'!W42+'FINAL-Distributed E&amp;G Budget'!X42+'FINAL-Distributed E&amp;G Budget'!Z42+'FINAL-Distributed E&amp;G Budget'!AA42+'FINAL-Distributed E&amp;G Budget'!AB42</f>
        <v>0</v>
      </c>
      <c r="H41" s="842">
        <f>+'FINAL-Distributed E&amp;G Budget'!AE42+'FINAL-Distributed E&amp;G Budget'!AF42+'FINAL-Distributed E&amp;G Budget'!AH42+'FINAL-Distributed E&amp;G Budget'!AG42</f>
        <v>-44780</v>
      </c>
      <c r="I41" s="842">
        <f t="shared" si="3"/>
        <v>4375962.7810000004</v>
      </c>
      <c r="J41" s="840"/>
      <c r="K41" s="885">
        <f>+I41-'FINAL-Distributed E&amp;G Budget'!AJ42</f>
        <v>0</v>
      </c>
    </row>
    <row r="42" spans="1:11" hidden="1" outlineLevel="1">
      <c r="A42" s="189" t="s">
        <v>160</v>
      </c>
      <c r="B42" s="841">
        <f>+'FINAL-Distributed E&amp;G Budget'!B43+'FINAL-Distributed E&amp;G Budget'!J43</f>
        <v>0</v>
      </c>
      <c r="C42" s="841">
        <f>+'FINAL-Distributed E&amp;G Budget'!L43+'FINAL-Distributed E&amp;G Budget'!M43+'FINAL-Distributed E&amp;G Budget'!N43</f>
        <v>1273142.8060000001</v>
      </c>
      <c r="D42" s="841">
        <f>+'FINAL-Distributed E&amp;G Budget'!O43</f>
        <v>0</v>
      </c>
      <c r="E42" s="841">
        <f>+'FINAL-Distributed E&amp;G Budget'!U43</f>
        <v>0</v>
      </c>
      <c r="F42" s="841">
        <f>+'FINAL-Distributed E&amp;G Budget'!Y43</f>
        <v>0</v>
      </c>
      <c r="G42" s="841">
        <f>+'FINAL-Distributed E&amp;G Budget'!W43+'FINAL-Distributed E&amp;G Budget'!X43+'FINAL-Distributed E&amp;G Budget'!Z43+'FINAL-Distributed E&amp;G Budget'!AA43+'FINAL-Distributed E&amp;G Budget'!AB43</f>
        <v>0</v>
      </c>
      <c r="H42" s="841">
        <f>+'FINAL-Distributed E&amp;G Budget'!AE43+'FINAL-Distributed E&amp;G Budget'!AF43+'FINAL-Distributed E&amp;G Budget'!AH43+'FINAL-Distributed E&amp;G Budget'!AG43</f>
        <v>-12730</v>
      </c>
      <c r="I42" s="841">
        <f t="shared" si="3"/>
        <v>1260412.8060000001</v>
      </c>
      <c r="J42" s="840"/>
      <c r="K42" s="885">
        <f>+I42-'FINAL-Distributed E&amp;G Budget'!AJ43</f>
        <v>0</v>
      </c>
    </row>
    <row r="43" spans="1:11" hidden="1" outlineLevel="1">
      <c r="A43" s="186" t="s">
        <v>161</v>
      </c>
      <c r="B43" s="847">
        <f>+'FINAL-Distributed E&amp;G Budget'!B44+'FINAL-Distributed E&amp;G Budget'!J44</f>
        <v>0</v>
      </c>
      <c r="C43" s="847">
        <f>+'FINAL-Distributed E&amp;G Budget'!L44+'FINAL-Distributed E&amp;G Budget'!M44+'FINAL-Distributed E&amp;G Budget'!N44</f>
        <v>1876731.1540000001</v>
      </c>
      <c r="D43" s="847">
        <f>+'FINAL-Distributed E&amp;G Budget'!O44</f>
        <v>0</v>
      </c>
      <c r="E43" s="847">
        <f>+'FINAL-Distributed E&amp;G Budget'!U44</f>
        <v>0</v>
      </c>
      <c r="F43" s="847">
        <f>+'FINAL-Distributed E&amp;G Budget'!Y44</f>
        <v>0</v>
      </c>
      <c r="G43" s="847">
        <f>+'FINAL-Distributed E&amp;G Budget'!W44+'FINAL-Distributed E&amp;G Budget'!X44+'FINAL-Distributed E&amp;G Budget'!Z44+'FINAL-Distributed E&amp;G Budget'!AA44+'FINAL-Distributed E&amp;G Budget'!AB44</f>
        <v>0</v>
      </c>
      <c r="H43" s="847">
        <f>+'FINAL-Distributed E&amp;G Budget'!AE44+'FINAL-Distributed E&amp;G Budget'!AF44+'FINAL-Distributed E&amp;G Budget'!AH44+'FINAL-Distributed E&amp;G Budget'!AG44</f>
        <v>-18770</v>
      </c>
      <c r="I43" s="847">
        <f t="shared" si="3"/>
        <v>1857961.1540000001</v>
      </c>
      <c r="J43" s="840"/>
      <c r="K43" s="885">
        <f>+I43-'FINAL-Distributed E&amp;G Budget'!AJ44</f>
        <v>0</v>
      </c>
    </row>
    <row r="44" spans="1:11" hidden="1" outlineLevel="1">
      <c r="A44" s="189" t="s">
        <v>632</v>
      </c>
      <c r="B44" s="841">
        <f>+'FINAL-Distributed E&amp;G Budget'!B45+'FINAL-Distributed E&amp;G Budget'!J45</f>
        <v>6514</v>
      </c>
      <c r="C44" s="841">
        <f>+'FINAL-Distributed E&amp;G Budget'!L45+'FINAL-Distributed E&amp;G Budget'!M45+'FINAL-Distributed E&amp;G Budget'!N45</f>
        <v>825395.10699999996</v>
      </c>
      <c r="D44" s="841">
        <f>+'FINAL-Distributed E&amp;G Budget'!O45</f>
        <v>0</v>
      </c>
      <c r="E44" s="841">
        <f>+'FINAL-Distributed E&amp;G Budget'!U45</f>
        <v>0</v>
      </c>
      <c r="F44" s="841">
        <f>+'FINAL-Distributed E&amp;G Budget'!Y45</f>
        <v>0</v>
      </c>
      <c r="G44" s="841">
        <f>+'FINAL-Distributed E&amp;G Budget'!W45+'FINAL-Distributed E&amp;G Budget'!X45+'FINAL-Distributed E&amp;G Budget'!Z45+'FINAL-Distributed E&amp;G Budget'!AA45+'FINAL-Distributed E&amp;G Budget'!AB45</f>
        <v>12600</v>
      </c>
      <c r="H44" s="841">
        <f>+'FINAL-Distributed E&amp;G Budget'!AE45+'FINAL-Distributed E&amp;G Budget'!AF45+'FINAL-Distributed E&amp;G Budget'!AH45+'FINAL-Distributed E&amp;G Budget'!AG45</f>
        <v>-8930</v>
      </c>
      <c r="I44" s="841">
        <f t="shared" si="3"/>
        <v>835579.10699999996</v>
      </c>
      <c r="J44" s="840"/>
      <c r="K44" s="885">
        <f>+I44-'FINAL-Distributed E&amp;G Budget'!AJ45</f>
        <v>0</v>
      </c>
    </row>
    <row r="45" spans="1:11" hidden="1" outlineLevel="1">
      <c r="A45" s="492" t="s">
        <v>162</v>
      </c>
      <c r="B45" s="842">
        <f>+'FINAL-Distributed E&amp;G Budget'!B46+'FINAL-Distributed E&amp;G Budget'!J46</f>
        <v>2828655</v>
      </c>
      <c r="C45" s="842">
        <f>+'FINAL-Distributed E&amp;G Budget'!L46+'FINAL-Distributed E&amp;G Budget'!M46+'FINAL-Distributed E&amp;G Budget'!N46</f>
        <v>0</v>
      </c>
      <c r="D45" s="842">
        <f>+'FINAL-Distributed E&amp;G Budget'!O46</f>
        <v>0</v>
      </c>
      <c r="E45" s="842">
        <f>+'FINAL-Distributed E&amp;G Budget'!U46</f>
        <v>9129127.5089999996</v>
      </c>
      <c r="F45" s="842">
        <f>+'FINAL-Distributed E&amp;G Budget'!Y46</f>
        <v>0</v>
      </c>
      <c r="G45" s="842">
        <f>+'FINAL-Distributed E&amp;G Budget'!W46+'FINAL-Distributed E&amp;G Budget'!X46+'FINAL-Distributed E&amp;G Budget'!Z46+'FINAL-Distributed E&amp;G Budget'!AA46+'FINAL-Distributed E&amp;G Budget'!AB46</f>
        <v>0</v>
      </c>
      <c r="H45" s="842">
        <f>+'FINAL-Distributed E&amp;G Budget'!AE46+'FINAL-Distributed E&amp;G Budget'!AF46+'FINAL-Distributed E&amp;G Budget'!AH46+'FINAL-Distributed E&amp;G Budget'!AG46</f>
        <v>-328900</v>
      </c>
      <c r="I45" s="842">
        <f t="shared" si="3"/>
        <v>11628882.509</v>
      </c>
      <c r="J45" s="840"/>
      <c r="K45" s="885">
        <f>+I45-'FINAL-Distributed E&amp;G Budget'!AJ46</f>
        <v>0</v>
      </c>
    </row>
    <row r="46" spans="1:11" hidden="1" outlineLevel="1">
      <c r="A46" s="604" t="s">
        <v>697</v>
      </c>
      <c r="B46" s="842">
        <f>+'FINAL-Distributed E&amp;G Budget'!B47+'FINAL-Distributed E&amp;G Budget'!J47</f>
        <v>2527325</v>
      </c>
      <c r="C46" s="842">
        <f>+'FINAL-Distributed E&amp;G Budget'!L47+'FINAL-Distributed E&amp;G Budget'!M47+'FINAL-Distributed E&amp;G Budget'!N47</f>
        <v>0</v>
      </c>
      <c r="D46" s="842">
        <f>+'FINAL-Distributed E&amp;G Budget'!O47</f>
        <v>0</v>
      </c>
      <c r="E46" s="842">
        <f>+'FINAL-Distributed E&amp;G Budget'!U47</f>
        <v>6806661.4740000004</v>
      </c>
      <c r="F46" s="842">
        <f>+'FINAL-Distributed E&amp;G Budget'!Y47</f>
        <v>0</v>
      </c>
      <c r="G46" s="842">
        <f>+'FINAL-Distributed E&amp;G Budget'!W47+'FINAL-Distributed E&amp;G Budget'!X47+'FINAL-Distributed E&amp;G Budget'!Z47+'FINAL-Distributed E&amp;G Budget'!AA47+'FINAL-Distributed E&amp;G Budget'!AB47</f>
        <v>0</v>
      </c>
      <c r="H46" s="842">
        <f>+'FINAL-Distributed E&amp;G Budget'!AE47+'FINAL-Distributed E&amp;G Budget'!AF47+'FINAL-Distributed E&amp;G Budget'!AH47+'FINAL-Distributed E&amp;G Budget'!AG47</f>
        <v>-280360</v>
      </c>
      <c r="I46" s="842">
        <f t="shared" si="3"/>
        <v>9053626.4739999995</v>
      </c>
      <c r="J46" s="840"/>
      <c r="K46" s="885">
        <f>+I46-'FINAL-Distributed E&amp;G Budget'!AJ47</f>
        <v>0</v>
      </c>
    </row>
    <row r="47" spans="1:11" hidden="1" outlineLevel="1">
      <c r="A47" s="492" t="s">
        <v>163</v>
      </c>
      <c r="B47" s="842">
        <f>+'FINAL-Distributed E&amp;G Budget'!B48+'FINAL-Distributed E&amp;G Budget'!J48</f>
        <v>0</v>
      </c>
      <c r="C47" s="842">
        <f>+'FINAL-Distributed E&amp;G Budget'!L48+'FINAL-Distributed E&amp;G Budget'!M48+'FINAL-Distributed E&amp;G Budget'!N48</f>
        <v>0</v>
      </c>
      <c r="D47" s="842">
        <f>+'FINAL-Distributed E&amp;G Budget'!O48</f>
        <v>0</v>
      </c>
      <c r="E47" s="842">
        <f>+'FINAL-Distributed E&amp;G Budget'!U48</f>
        <v>1382565.091</v>
      </c>
      <c r="F47" s="842">
        <f>+'FINAL-Distributed E&amp;G Budget'!Y48</f>
        <v>0</v>
      </c>
      <c r="G47" s="842">
        <f>+'FINAL-Distributed E&amp;G Budget'!W48+'FINAL-Distributed E&amp;G Budget'!X48+'FINAL-Distributed E&amp;G Budget'!Z48+'FINAL-Distributed E&amp;G Budget'!AA48+'FINAL-Distributed E&amp;G Budget'!AB48</f>
        <v>0</v>
      </c>
      <c r="H47" s="842">
        <f>+'FINAL-Distributed E&amp;G Budget'!AE48+'FINAL-Distributed E&amp;G Budget'!AF48+'FINAL-Distributed E&amp;G Budget'!AH48+'FINAL-Distributed E&amp;G Budget'!AG48</f>
        <v>-13830</v>
      </c>
      <c r="I47" s="842">
        <f t="shared" si="3"/>
        <v>1368735.091</v>
      </c>
      <c r="J47" s="840"/>
      <c r="K47" s="885">
        <f>+I47-'FINAL-Distributed E&amp;G Budget'!AJ48</f>
        <v>0</v>
      </c>
    </row>
    <row r="48" spans="1:11" hidden="1" outlineLevel="1">
      <c r="A48" s="602" t="s">
        <v>698</v>
      </c>
      <c r="B48" s="847">
        <f>+'FINAL-Distributed E&amp;G Budget'!B49+'FINAL-Distributed E&amp;G Budget'!J49</f>
        <v>2977637</v>
      </c>
      <c r="C48" s="847">
        <f>+'FINAL-Distributed E&amp;G Budget'!L49+'FINAL-Distributed E&amp;G Budget'!M49+'FINAL-Distributed E&amp;G Budget'!N49</f>
        <v>0</v>
      </c>
      <c r="D48" s="847">
        <f>+'FINAL-Distributed E&amp;G Budget'!O49</f>
        <v>0</v>
      </c>
      <c r="E48" s="847">
        <f>+'FINAL-Distributed E&amp;G Budget'!U49</f>
        <v>27049003.756000001</v>
      </c>
      <c r="F48" s="847">
        <f>+'FINAL-Distributed E&amp;G Budget'!Y49</f>
        <v>0</v>
      </c>
      <c r="G48" s="847">
        <f>+'FINAL-Distributed E&amp;G Budget'!W49+'FINAL-Distributed E&amp;G Budget'!X49+'FINAL-Distributed E&amp;G Budget'!Z49+'FINAL-Distributed E&amp;G Budget'!AA49+'FINAL-Distributed E&amp;G Budget'!AB49</f>
        <v>0</v>
      </c>
      <c r="H48" s="847">
        <f>+'FINAL-Distributed E&amp;G Budget'!AE49+'FINAL-Distributed E&amp;G Budget'!AF49+'FINAL-Distributed E&amp;G Budget'!AH49+'FINAL-Distributed E&amp;G Budget'!AG49</f>
        <v>-301560</v>
      </c>
      <c r="I48" s="847">
        <f t="shared" si="3"/>
        <v>29725080.756000001</v>
      </c>
      <c r="J48" s="840"/>
      <c r="K48" s="885">
        <f>+I48-'FINAL-Distributed E&amp;G Budget'!AJ49</f>
        <v>0</v>
      </c>
    </row>
    <row r="49" spans="1:37" hidden="1" outlineLevel="1">
      <c r="A49" s="492" t="s">
        <v>362</v>
      </c>
      <c r="B49" s="842">
        <f>+'FINAL-Distributed E&amp;G Budget'!B50+'FINAL-Distributed E&amp;G Budget'!J50</f>
        <v>1545616</v>
      </c>
      <c r="C49" s="842">
        <f>+'FINAL-Distributed E&amp;G Budget'!L50+'FINAL-Distributed E&amp;G Budget'!M50+'FINAL-Distributed E&amp;G Budget'!N50</f>
        <v>930050</v>
      </c>
      <c r="D49" s="842">
        <f>+'FINAL-Distributed E&amp;G Budget'!O50</f>
        <v>0</v>
      </c>
      <c r="E49" s="842">
        <f>+'FINAL-Distributed E&amp;G Budget'!U50</f>
        <v>2346294.736</v>
      </c>
      <c r="F49" s="842">
        <f>+'FINAL-Distributed E&amp;G Budget'!Y50</f>
        <v>0</v>
      </c>
      <c r="G49" s="842">
        <f>+'FINAL-Distributed E&amp;G Budget'!W50+'FINAL-Distributed E&amp;G Budget'!X50+'FINAL-Distributed E&amp;G Budget'!Z50+'FINAL-Distributed E&amp;G Budget'!AA50+'FINAL-Distributed E&amp;G Budget'!AB50</f>
        <v>0</v>
      </c>
      <c r="H49" s="842">
        <f>+'FINAL-Distributed E&amp;G Budget'!AE50+'FINAL-Distributed E&amp;G Budget'!AF50+'FINAL-Distributed E&amp;G Budget'!AH50+'FINAL-Distributed E&amp;G Budget'!AG50</f>
        <v>-126080</v>
      </c>
      <c r="I49" s="842">
        <f t="shared" si="3"/>
        <v>4695880.7359999996</v>
      </c>
      <c r="J49" s="840"/>
      <c r="K49" s="885">
        <f>+I49-'FINAL-Distributed E&amp;G Budget'!AJ50</f>
        <v>0</v>
      </c>
    </row>
    <row r="50" spans="1:37" hidden="1" outlineLevel="1">
      <c r="A50" s="189" t="s">
        <v>699</v>
      </c>
      <c r="B50" s="842">
        <f>+'FINAL-Distributed E&amp;G Budget'!B51+'FINAL-Distributed E&amp;G Budget'!J51</f>
        <v>0</v>
      </c>
      <c r="C50" s="842">
        <f>+'FINAL-Distributed E&amp;G Budget'!L51+'FINAL-Distributed E&amp;G Budget'!M51+'FINAL-Distributed E&amp;G Budget'!N51</f>
        <v>0</v>
      </c>
      <c r="D50" s="842">
        <f>+'FINAL-Distributed E&amp;G Budget'!O51</f>
        <v>0</v>
      </c>
      <c r="E50" s="842">
        <f>+'FINAL-Distributed E&amp;G Budget'!U51</f>
        <v>793203.77</v>
      </c>
      <c r="F50" s="842">
        <f>+'FINAL-Distributed E&amp;G Budget'!Y51</f>
        <v>0</v>
      </c>
      <c r="G50" s="842">
        <f>+'FINAL-Distributed E&amp;G Budget'!W51+'FINAL-Distributed E&amp;G Budget'!X51+'FINAL-Distributed E&amp;G Budget'!Z51+'FINAL-Distributed E&amp;G Budget'!AA51+'FINAL-Distributed E&amp;G Budget'!AB51</f>
        <v>0</v>
      </c>
      <c r="H50" s="842">
        <f>+'FINAL-Distributed E&amp;G Budget'!AE51+'FINAL-Distributed E&amp;G Budget'!AF51+'FINAL-Distributed E&amp;G Budget'!AH51+'FINAL-Distributed E&amp;G Budget'!AG51</f>
        <v>-7930</v>
      </c>
      <c r="I50" s="842">
        <f t="shared" si="3"/>
        <v>785273.77</v>
      </c>
      <c r="J50" s="840"/>
      <c r="K50" s="885">
        <f>+I50-'FINAL-Distributed E&amp;G Budget'!AJ51</f>
        <v>0</v>
      </c>
    </row>
    <row r="51" spans="1:37" hidden="1" outlineLevel="1">
      <c r="A51" s="196" t="s">
        <v>164</v>
      </c>
      <c r="B51" s="845">
        <f>+'FINAL-Distributed E&amp;G Budget'!B52+'FINAL-Distributed E&amp;G Budget'!J52</f>
        <v>3957021</v>
      </c>
      <c r="C51" s="845">
        <f>+'FINAL-Distributed E&amp;G Budget'!L52+'FINAL-Distributed E&amp;G Budget'!M52+'FINAL-Distributed E&amp;G Budget'!N52</f>
        <v>0</v>
      </c>
      <c r="D51" s="845">
        <f>+'FINAL-Distributed E&amp;G Budget'!O52</f>
        <v>0</v>
      </c>
      <c r="E51" s="845">
        <f>+'FINAL-Distributed E&amp;G Budget'!U52</f>
        <v>7308167.1880000001</v>
      </c>
      <c r="F51" s="845">
        <f>+'FINAL-Distributed E&amp;G Budget'!Y52</f>
        <v>0</v>
      </c>
      <c r="G51" s="845">
        <f>+'FINAL-Distributed E&amp;G Budget'!W52+'FINAL-Distributed E&amp;G Budget'!X52+'FINAL-Distributed E&amp;G Budget'!Z52+'FINAL-Distributed E&amp;G Budget'!AA52+'FINAL-Distributed E&amp;G Budget'!AB52</f>
        <v>0</v>
      </c>
      <c r="H51" s="845">
        <f>+'FINAL-Distributed E&amp;G Budget'!AE52+'FINAL-Distributed E&amp;G Budget'!AF52+'FINAL-Distributed E&amp;G Budget'!AH52+'FINAL-Distributed E&amp;G Budget'!AG52</f>
        <v>-113390</v>
      </c>
      <c r="I51" s="845">
        <f t="shared" si="3"/>
        <v>11151798.188000001</v>
      </c>
      <c r="J51" s="840"/>
      <c r="K51" s="885">
        <f>+I51-'FINAL-Distributed E&amp;G Budget'!AJ52</f>
        <v>0</v>
      </c>
    </row>
    <row r="52" spans="1:37" hidden="1" outlineLevel="1">
      <c r="A52" s="492" t="s">
        <v>165</v>
      </c>
      <c r="B52" s="844">
        <f>+'FINAL-Distributed E&amp;G Budget'!B53+'FINAL-Distributed E&amp;G Budget'!J53</f>
        <v>1490957</v>
      </c>
      <c r="C52" s="844">
        <f>+'FINAL-Distributed E&amp;G Budget'!L53+'FINAL-Distributed E&amp;G Budget'!M53+'FINAL-Distributed E&amp;G Budget'!N53</f>
        <v>0</v>
      </c>
      <c r="D52" s="844">
        <f>+'FINAL-Distributed E&amp;G Budget'!O53</f>
        <v>0</v>
      </c>
      <c r="E52" s="844">
        <f>+'FINAL-Distributed E&amp;G Budget'!U53</f>
        <v>13789011.768999999</v>
      </c>
      <c r="F52" s="844">
        <f>+'FINAL-Distributed E&amp;G Budget'!Y53</f>
        <v>15000</v>
      </c>
      <c r="G52" s="844">
        <f>+'FINAL-Distributed E&amp;G Budget'!W53+'FINAL-Distributed E&amp;G Budget'!X53+'FINAL-Distributed E&amp;G Budget'!Z53+'FINAL-Distributed E&amp;G Budget'!AA53+'FINAL-Distributed E&amp;G Budget'!AB53</f>
        <v>0</v>
      </c>
      <c r="H52" s="844">
        <f>+'FINAL-Distributed E&amp;G Budget'!AE53+'FINAL-Distributed E&amp;G Budget'!AF53+'FINAL-Distributed E&amp;G Budget'!AH53+'FINAL-Distributed E&amp;G Budget'!AG53</f>
        <v>-263280</v>
      </c>
      <c r="I52" s="844">
        <f t="shared" si="3"/>
        <v>15031688.768999999</v>
      </c>
      <c r="J52" s="840"/>
      <c r="K52" s="885">
        <f>+I52-'FINAL-Distributed E&amp;G Budget'!AJ53</f>
        <v>0</v>
      </c>
    </row>
    <row r="53" spans="1:37" hidden="1" outlineLevel="1">
      <c r="A53" s="196" t="s">
        <v>167</v>
      </c>
      <c r="B53" s="845">
        <f>+'FINAL-Distributed E&amp;G Budget'!B54+'FINAL-Distributed E&amp;G Budget'!J54</f>
        <v>4786168</v>
      </c>
      <c r="C53" s="845">
        <f>+'FINAL-Distributed E&amp;G Budget'!L54+'FINAL-Distributed E&amp;G Budget'!M54+'FINAL-Distributed E&amp;G Budget'!N54</f>
        <v>0</v>
      </c>
      <c r="D53" s="845">
        <f>+'FINAL-Distributed E&amp;G Budget'!O54</f>
        <v>0</v>
      </c>
      <c r="E53" s="845">
        <f>+'FINAL-Distributed E&amp;G Budget'!U54</f>
        <v>45335538.339000002</v>
      </c>
      <c r="F53" s="845">
        <f>+'FINAL-Distributed E&amp;G Budget'!Y54</f>
        <v>0</v>
      </c>
      <c r="G53" s="845">
        <f>+'FINAL-Distributed E&amp;G Budget'!W54+'FINAL-Distributed E&amp;G Budget'!X54+'FINAL-Distributed E&amp;G Budget'!Z54+'FINAL-Distributed E&amp;G Budget'!AA54+'FINAL-Distributed E&amp;G Budget'!AB54</f>
        <v>0</v>
      </c>
      <c r="H53" s="845">
        <f>+'FINAL-Distributed E&amp;G Budget'!AE54+'FINAL-Distributed E&amp;G Budget'!AF54+'FINAL-Distributed E&amp;G Budget'!AH54+'FINAL-Distributed E&amp;G Budget'!AG54</f>
        <v>-563320</v>
      </c>
      <c r="I53" s="845">
        <f t="shared" si="3"/>
        <v>49558386.339000002</v>
      </c>
      <c r="J53" s="840"/>
      <c r="K53" s="885">
        <f>+I53-'FINAL-Distributed E&amp;G Budget'!AJ54</f>
        <v>0</v>
      </c>
    </row>
    <row r="54" spans="1:37" hidden="1" outlineLevel="1">
      <c r="A54" s="492" t="s">
        <v>680</v>
      </c>
      <c r="B54" s="844">
        <f>+'FINAL-Distributed E&amp;G Budget'!B55+'FINAL-Distributed E&amp;G Budget'!J55</f>
        <v>11397606</v>
      </c>
      <c r="C54" s="844">
        <f>+'FINAL-Distributed E&amp;G Budget'!L55+'FINAL-Distributed E&amp;G Budget'!M55+'FINAL-Distributed E&amp;G Budget'!N55</f>
        <v>0</v>
      </c>
      <c r="D54" s="844">
        <f>+'FINAL-Distributed E&amp;G Budget'!O55</f>
        <v>0</v>
      </c>
      <c r="E54" s="844">
        <f>+'FINAL-Distributed E&amp;G Budget'!U55</f>
        <v>25705250.397</v>
      </c>
      <c r="F54" s="844">
        <f>+'FINAL-Distributed E&amp;G Budget'!Y55</f>
        <v>0</v>
      </c>
      <c r="G54" s="844">
        <f>+'FINAL-Distributed E&amp;G Budget'!W55+'FINAL-Distributed E&amp;G Budget'!X55+'FINAL-Distributed E&amp;G Budget'!Z55+'FINAL-Distributed E&amp;G Budget'!AA55+'FINAL-Distributed E&amp;G Budget'!AB55</f>
        <v>0</v>
      </c>
      <c r="H54" s="844">
        <f>+'FINAL-Distributed E&amp;G Budget'!AE55+'FINAL-Distributed E&amp;G Budget'!AF55+'FINAL-Distributed E&amp;G Budget'!AH55+'FINAL-Distributed E&amp;G Budget'!AG55</f>
        <v>-374740</v>
      </c>
      <c r="I54" s="844">
        <f t="shared" si="3"/>
        <v>36728116.397</v>
      </c>
      <c r="J54" s="840"/>
      <c r="K54" s="885">
        <f>+I54-'FINAL-Distributed E&amp;G Budget'!AJ55</f>
        <v>0</v>
      </c>
    </row>
    <row r="55" spans="1:37" hidden="1" outlineLevel="1">
      <c r="A55" s="210" t="s">
        <v>169</v>
      </c>
      <c r="B55" s="211">
        <f>+'FINAL-Distributed E&amp;G Budget'!B56+'FINAL-Distributed E&amp;G Budget'!J56</f>
        <v>31525215</v>
      </c>
      <c r="C55" s="211">
        <f>+'FINAL-Distributed E&amp;G Budget'!L56+'FINAL-Distributed E&amp;G Budget'!M56+'FINAL-Distributed E&amp;G Budget'!N56</f>
        <v>23742313.491</v>
      </c>
      <c r="D55" s="211">
        <f>+'FINAL-Distributed E&amp;G Budget'!O56</f>
        <v>0</v>
      </c>
      <c r="E55" s="211">
        <f>+'FINAL-Distributed E&amp;G Budget'!U56</f>
        <v>144057850.81</v>
      </c>
      <c r="F55" s="211">
        <f>+'FINAL-Distributed E&amp;G Budget'!Y56</f>
        <v>15000</v>
      </c>
      <c r="G55" s="211">
        <f>+'FINAL-Distributed E&amp;G Budget'!W56+'FINAL-Distributed E&amp;G Budget'!X56+'FINAL-Distributed E&amp;G Budget'!Z56+'FINAL-Distributed E&amp;G Budget'!AA56+'FINAL-Distributed E&amp;G Budget'!AB56</f>
        <v>12600</v>
      </c>
      <c r="H55" s="211">
        <f>+'FINAL-Distributed E&amp;G Budget'!AE56+'FINAL-Distributed E&amp;G Budget'!AF56+'FINAL-Distributed E&amp;G Budget'!AH56+'FINAL-Distributed E&amp;G Budget'!AG56</f>
        <v>-2646970</v>
      </c>
      <c r="I55" s="211">
        <f t="shared" si="3"/>
        <v>196706009.301</v>
      </c>
      <c r="J55" s="840"/>
      <c r="K55" s="885">
        <f>+I55-'FINAL-Distributed E&amp;G Budget'!AJ56</f>
        <v>0</v>
      </c>
    </row>
    <row r="56" spans="1:37" ht="16.5" hidden="1" outlineLevel="1" thickBot="1">
      <c r="A56" s="213" t="s">
        <v>170</v>
      </c>
      <c r="B56" s="214">
        <f>+'FINAL-Distributed E&amp;G Budget'!B57+'FINAL-Distributed E&amp;G Budget'!J57</f>
        <v>216553607</v>
      </c>
      <c r="C56" s="214">
        <f>+'FINAL-Distributed E&amp;G Budget'!L57+'FINAL-Distributed E&amp;G Budget'!M57+'FINAL-Distributed E&amp;G Budget'!N57</f>
        <v>33736058.490999997</v>
      </c>
      <c r="D56" s="214">
        <f>+'FINAL-Distributed E&amp;G Budget'!O57</f>
        <v>21738322</v>
      </c>
      <c r="E56" s="214">
        <f>+'FINAL-Distributed E&amp;G Budget'!U57</f>
        <v>172521928</v>
      </c>
      <c r="F56" s="214">
        <f>+'FINAL-Distributed E&amp;G Budget'!Y57</f>
        <v>113162000</v>
      </c>
      <c r="G56" s="214">
        <f>+'FINAL-Distributed E&amp;G Budget'!W57+'FINAL-Distributed E&amp;G Budget'!X57+'FINAL-Distributed E&amp;G Budget'!Z57+'FINAL-Distributed E&amp;G Budget'!AA57+'FINAL-Distributed E&amp;G Budget'!AB57</f>
        <v>144241976</v>
      </c>
      <c r="H56" s="214">
        <f>+'FINAL-Distributed E&amp;G Budget'!AE57+'FINAL-Distributed E&amp;G Budget'!AF57+'FINAL-Distributed E&amp;G Budget'!AH57+'FINAL-Distributed E&amp;G Budget'!AG57</f>
        <v>0</v>
      </c>
      <c r="I56" s="214">
        <f t="shared" si="3"/>
        <v>701953891.49099994</v>
      </c>
      <c r="J56" s="840"/>
      <c r="K56" s="885">
        <f>+I56-'FINAL-Distributed E&amp;G Budget'!AJ57</f>
        <v>0</v>
      </c>
    </row>
    <row r="57" spans="1:37" ht="16.5" hidden="1" outlineLevel="1" thickTop="1"/>
    <row r="58" spans="1:37" collapsed="1"/>
    <row r="59" spans="1:37">
      <c r="A59" s="884" t="s">
        <v>793</v>
      </c>
      <c r="K59" s="884" t="s">
        <v>833</v>
      </c>
      <c r="L59" s="839"/>
      <c r="M59" s="839"/>
      <c r="N59" s="839"/>
      <c r="O59" s="839"/>
      <c r="P59" s="839"/>
      <c r="Q59" s="839"/>
      <c r="R59" s="839"/>
      <c r="S59" s="839"/>
    </row>
    <row r="60" spans="1:37" ht="75" hidden="1" outlineLevel="1">
      <c r="A60" s="853" t="s">
        <v>106</v>
      </c>
      <c r="B60" s="852" t="s">
        <v>677</v>
      </c>
      <c r="C60" s="852" t="s">
        <v>676</v>
      </c>
      <c r="D60" s="852" t="s">
        <v>292</v>
      </c>
      <c r="E60" s="852" t="s">
        <v>675</v>
      </c>
      <c r="F60" s="852" t="s">
        <v>674</v>
      </c>
      <c r="G60" s="852" t="s">
        <v>673</v>
      </c>
      <c r="H60" s="852" t="s">
        <v>672</v>
      </c>
      <c r="I60" s="852" t="str">
        <f>+A59</f>
        <v>FY22 FINAL BUDGET MODEL</v>
      </c>
      <c r="K60" s="853" t="s">
        <v>106</v>
      </c>
      <c r="L60" s="852" t="s">
        <v>677</v>
      </c>
      <c r="M60" s="852" t="s">
        <v>676</v>
      </c>
      <c r="N60" s="852" t="s">
        <v>292</v>
      </c>
      <c r="O60" s="852" t="s">
        <v>675</v>
      </c>
      <c r="P60" s="852" t="s">
        <v>674</v>
      </c>
      <c r="Q60" s="852" t="s">
        <v>673</v>
      </c>
      <c r="R60" s="852" t="s">
        <v>672</v>
      </c>
      <c r="S60" s="852" t="s">
        <v>696</v>
      </c>
    </row>
    <row r="61" spans="1:37" hidden="1" outlineLevel="1">
      <c r="A61" s="164" t="s">
        <v>120</v>
      </c>
      <c r="B61" s="843">
        <v>0</v>
      </c>
      <c r="C61" s="843">
        <v>3276588</v>
      </c>
      <c r="D61" s="843">
        <v>0</v>
      </c>
      <c r="E61" s="843">
        <v>-3276588</v>
      </c>
      <c r="F61" s="843">
        <v>0</v>
      </c>
      <c r="G61" s="843">
        <v>0</v>
      </c>
      <c r="H61" s="843">
        <v>0</v>
      </c>
      <c r="I61" s="843">
        <v>0</v>
      </c>
      <c r="K61" s="164" t="s">
        <v>120</v>
      </c>
      <c r="L61" s="843">
        <f>+B6-B61</f>
        <v>4146000</v>
      </c>
      <c r="M61" s="843">
        <f t="shared" ref="M61:S61" si="4">+C6-C61</f>
        <v>-3276588</v>
      </c>
      <c r="N61" s="843">
        <f t="shared" si="4"/>
        <v>0</v>
      </c>
      <c r="O61" s="843">
        <f t="shared" si="4"/>
        <v>-869412</v>
      </c>
      <c r="P61" s="843">
        <f t="shared" si="4"/>
        <v>0</v>
      </c>
      <c r="Q61" s="843">
        <f t="shared" si="4"/>
        <v>0</v>
      </c>
      <c r="R61" s="843">
        <f>+H6-H61</f>
        <v>0</v>
      </c>
      <c r="S61" s="843">
        <f t="shared" si="4"/>
        <v>0</v>
      </c>
      <c r="AD61" s="840"/>
      <c r="AE61" s="840"/>
      <c r="AF61" s="840"/>
      <c r="AG61" s="840"/>
      <c r="AH61" s="840"/>
      <c r="AI61" s="840"/>
      <c r="AJ61" s="840"/>
      <c r="AK61" s="840"/>
    </row>
    <row r="62" spans="1:37" hidden="1" outlineLevel="1">
      <c r="A62" s="164" t="s">
        <v>121</v>
      </c>
      <c r="B62" s="843">
        <v>6200000</v>
      </c>
      <c r="C62" s="843">
        <v>4155208</v>
      </c>
      <c r="D62" s="843">
        <v>0</v>
      </c>
      <c r="E62" s="843">
        <v>-7751405.5500000119</v>
      </c>
      <c r="F62" s="843">
        <v>0</v>
      </c>
      <c r="G62" s="843">
        <v>0</v>
      </c>
      <c r="H62" s="843">
        <v>1867372</v>
      </c>
      <c r="I62" s="843">
        <v>4471174.4499999881</v>
      </c>
      <c r="K62" s="164" t="s">
        <v>121</v>
      </c>
      <c r="L62" s="843">
        <f t="shared" ref="L62:L111" si="5">+B7-B62</f>
        <v>11419853</v>
      </c>
      <c r="M62" s="843">
        <f t="shared" ref="M62:M111" si="6">+C7-C62</f>
        <v>-4155208</v>
      </c>
      <c r="N62" s="843">
        <f t="shared" ref="N62:N111" si="7">+D7-D62</f>
        <v>0</v>
      </c>
      <c r="O62" s="843">
        <f t="shared" ref="O62:O111" si="8">+E7-E62</f>
        <v>420181.51500001922</v>
      </c>
      <c r="P62" s="843">
        <f t="shared" ref="P62:P111" si="9">+F7-F62</f>
        <v>0</v>
      </c>
      <c r="Q62" s="843">
        <f t="shared" ref="Q62:Q111" si="10">+G7-G62</f>
        <v>0</v>
      </c>
      <c r="R62" s="843">
        <f t="shared" ref="R62:R111" si="11">+H7-H62</f>
        <v>3577906</v>
      </c>
      <c r="S62" s="843">
        <f t="shared" ref="S62:S111" si="12">+I7-I62</f>
        <v>11262732.515000019</v>
      </c>
      <c r="AD62" s="840"/>
      <c r="AE62" s="840"/>
      <c r="AF62" s="840"/>
      <c r="AG62" s="840"/>
      <c r="AH62" s="840"/>
      <c r="AI62" s="840"/>
      <c r="AJ62" s="840"/>
      <c r="AK62" s="840"/>
    </row>
    <row r="63" spans="1:37" hidden="1" outlineLevel="1">
      <c r="A63" s="164" t="s">
        <v>122</v>
      </c>
      <c r="B63" s="843">
        <v>0</v>
      </c>
      <c r="C63" s="843">
        <v>0</v>
      </c>
      <c r="D63" s="843">
        <v>2016500</v>
      </c>
      <c r="E63" s="843">
        <v>0</v>
      </c>
      <c r="F63" s="843">
        <v>0</v>
      </c>
      <c r="G63" s="843">
        <v>0</v>
      </c>
      <c r="H63" s="843">
        <v>-2161000</v>
      </c>
      <c r="I63" s="843">
        <v>-144500</v>
      </c>
      <c r="K63" s="164" t="s">
        <v>122</v>
      </c>
      <c r="L63" s="843">
        <f t="shared" si="5"/>
        <v>0</v>
      </c>
      <c r="M63" s="843">
        <f t="shared" si="6"/>
        <v>0</v>
      </c>
      <c r="N63" s="843">
        <f t="shared" si="7"/>
        <v>1098500</v>
      </c>
      <c r="O63" s="843">
        <f t="shared" si="8"/>
        <v>0</v>
      </c>
      <c r="P63" s="843">
        <f t="shared" si="9"/>
        <v>0</v>
      </c>
      <c r="Q63" s="843">
        <f t="shared" si="10"/>
        <v>0</v>
      </c>
      <c r="R63" s="843">
        <f t="shared" si="11"/>
        <v>2161000</v>
      </c>
      <c r="S63" s="843">
        <f t="shared" si="12"/>
        <v>3259500</v>
      </c>
      <c r="AD63" s="840"/>
      <c r="AE63" s="840"/>
      <c r="AF63" s="840"/>
      <c r="AG63" s="840"/>
      <c r="AH63" s="840"/>
      <c r="AI63" s="840"/>
      <c r="AJ63" s="840"/>
      <c r="AK63" s="840"/>
    </row>
    <row r="64" spans="1:37" hidden="1" outlineLevel="1">
      <c r="A64" s="164" t="s">
        <v>123</v>
      </c>
      <c r="B64" s="843">
        <v>12000000</v>
      </c>
      <c r="C64" s="843">
        <v>0</v>
      </c>
      <c r="D64" s="843">
        <v>0</v>
      </c>
      <c r="E64" s="843">
        <v>0</v>
      </c>
      <c r="F64" s="843">
        <v>0</v>
      </c>
      <c r="G64" s="843">
        <v>0</v>
      </c>
      <c r="H64" s="843">
        <v>0</v>
      </c>
      <c r="I64" s="843">
        <v>12000000</v>
      </c>
      <c r="K64" s="164" t="s">
        <v>123</v>
      </c>
      <c r="L64" s="843">
        <f t="shared" si="5"/>
        <v>2709475</v>
      </c>
      <c r="M64" s="843">
        <f t="shared" si="6"/>
        <v>0</v>
      </c>
      <c r="N64" s="843">
        <f t="shared" si="7"/>
        <v>0</v>
      </c>
      <c r="O64" s="843">
        <f t="shared" si="8"/>
        <v>0</v>
      </c>
      <c r="P64" s="843">
        <f t="shared" si="9"/>
        <v>0</v>
      </c>
      <c r="Q64" s="843">
        <f t="shared" si="10"/>
        <v>0</v>
      </c>
      <c r="R64" s="843">
        <f t="shared" si="11"/>
        <v>0</v>
      </c>
      <c r="S64" s="843">
        <f t="shared" si="12"/>
        <v>2709475</v>
      </c>
      <c r="AD64" s="840"/>
      <c r="AE64" s="840"/>
      <c r="AF64" s="840"/>
      <c r="AG64" s="840"/>
      <c r="AH64" s="840"/>
      <c r="AI64" s="840"/>
      <c r="AJ64" s="840"/>
      <c r="AK64" s="840"/>
    </row>
    <row r="65" spans="1:37" hidden="1" outlineLevel="1">
      <c r="A65" s="164" t="s">
        <v>125</v>
      </c>
      <c r="B65" s="843">
        <v>1998400</v>
      </c>
      <c r="C65" s="843">
        <v>13081831</v>
      </c>
      <c r="D65" s="843">
        <v>0</v>
      </c>
      <c r="E65" s="843">
        <v>0</v>
      </c>
      <c r="F65" s="843">
        <v>0</v>
      </c>
      <c r="G65" s="843">
        <v>0</v>
      </c>
      <c r="H65" s="843">
        <v>0</v>
      </c>
      <c r="I65" s="843">
        <v>15080231</v>
      </c>
      <c r="K65" s="164" t="s">
        <v>125</v>
      </c>
      <c r="L65" s="843">
        <f t="shared" si="5"/>
        <v>2154430</v>
      </c>
      <c r="M65" s="843">
        <f t="shared" si="6"/>
        <v>-5837961</v>
      </c>
      <c r="N65" s="843">
        <f t="shared" si="7"/>
        <v>0</v>
      </c>
      <c r="O65" s="843">
        <f t="shared" si="8"/>
        <v>0</v>
      </c>
      <c r="P65" s="843">
        <f t="shared" si="9"/>
        <v>0</v>
      </c>
      <c r="Q65" s="843">
        <f t="shared" si="10"/>
        <v>0</v>
      </c>
      <c r="R65" s="843">
        <f t="shared" si="11"/>
        <v>0</v>
      </c>
      <c r="S65" s="843">
        <f t="shared" si="12"/>
        <v>-3683531</v>
      </c>
      <c r="AD65" s="840"/>
      <c r="AE65" s="840"/>
      <c r="AF65" s="840"/>
      <c r="AG65" s="840"/>
      <c r="AH65" s="840"/>
      <c r="AI65" s="840"/>
      <c r="AJ65" s="840"/>
      <c r="AK65" s="840"/>
    </row>
    <row r="66" spans="1:37" hidden="1" outlineLevel="1">
      <c r="A66" s="164" t="s">
        <v>128</v>
      </c>
      <c r="B66" s="843">
        <v>8380000</v>
      </c>
      <c r="C66" s="843">
        <v>0</v>
      </c>
      <c r="D66" s="843">
        <v>0</v>
      </c>
      <c r="E66" s="843">
        <v>0</v>
      </c>
      <c r="F66" s="843">
        <v>0</v>
      </c>
      <c r="G66" s="843">
        <v>0</v>
      </c>
      <c r="H66" s="843">
        <v>0</v>
      </c>
      <c r="I66" s="843">
        <v>8380000</v>
      </c>
      <c r="K66" s="164" t="s">
        <v>128</v>
      </c>
      <c r="L66" s="843">
        <f t="shared" si="5"/>
        <v>-8200000</v>
      </c>
      <c r="M66" s="843">
        <f t="shared" si="6"/>
        <v>0</v>
      </c>
      <c r="N66" s="843">
        <f t="shared" si="7"/>
        <v>0</v>
      </c>
      <c r="O66" s="843">
        <f t="shared" si="8"/>
        <v>0</v>
      </c>
      <c r="P66" s="843">
        <f t="shared" si="9"/>
        <v>0</v>
      </c>
      <c r="Q66" s="843">
        <f t="shared" si="10"/>
        <v>0</v>
      </c>
      <c r="R66" s="843">
        <f t="shared" si="11"/>
        <v>0</v>
      </c>
      <c r="S66" s="843">
        <f t="shared" si="12"/>
        <v>-8200000</v>
      </c>
      <c r="AD66" s="840"/>
      <c r="AE66" s="840"/>
      <c r="AF66" s="840"/>
      <c r="AG66" s="840"/>
      <c r="AH66" s="840"/>
      <c r="AI66" s="840"/>
      <c r="AJ66" s="840"/>
      <c r="AK66" s="840"/>
    </row>
    <row r="67" spans="1:37" hidden="1" outlineLevel="1">
      <c r="A67" s="164" t="s">
        <v>129</v>
      </c>
      <c r="B67" s="843">
        <v>17850661</v>
      </c>
      <c r="C67" s="843">
        <v>22943575</v>
      </c>
      <c r="D67" s="843">
        <v>0</v>
      </c>
      <c r="E67" s="843">
        <v>0</v>
      </c>
      <c r="F67" s="843">
        <v>0</v>
      </c>
      <c r="G67" s="843">
        <v>0</v>
      </c>
      <c r="H67" s="843">
        <v>0</v>
      </c>
      <c r="I67" s="843">
        <v>40794236</v>
      </c>
      <c r="K67" s="164" t="s">
        <v>129</v>
      </c>
      <c r="L67" s="843">
        <f t="shared" si="5"/>
        <v>26948131</v>
      </c>
      <c r="M67" s="843">
        <f t="shared" si="6"/>
        <v>-22943575</v>
      </c>
      <c r="N67" s="843">
        <f t="shared" si="7"/>
        <v>0</v>
      </c>
      <c r="O67" s="843">
        <f t="shared" si="8"/>
        <v>0</v>
      </c>
      <c r="P67" s="843">
        <f t="shared" si="9"/>
        <v>0</v>
      </c>
      <c r="Q67" s="843">
        <f t="shared" si="10"/>
        <v>0</v>
      </c>
      <c r="R67" s="843">
        <f t="shared" si="11"/>
        <v>0</v>
      </c>
      <c r="S67" s="843">
        <f t="shared" si="12"/>
        <v>4004556</v>
      </c>
      <c r="AD67" s="840"/>
      <c r="AE67" s="840"/>
      <c r="AF67" s="840"/>
      <c r="AG67" s="840"/>
      <c r="AH67" s="840"/>
      <c r="AI67" s="840"/>
      <c r="AJ67" s="840"/>
      <c r="AK67" s="840"/>
    </row>
    <row r="68" spans="1:37" hidden="1" outlineLevel="1">
      <c r="A68" s="164" t="s">
        <v>627</v>
      </c>
      <c r="B68" s="843">
        <v>0</v>
      </c>
      <c r="C68" s="843">
        <v>0</v>
      </c>
      <c r="D68" s="843">
        <v>0</v>
      </c>
      <c r="E68" s="843">
        <v>0</v>
      </c>
      <c r="F68" s="843">
        <v>0</v>
      </c>
      <c r="G68" s="843">
        <v>137.00000000465661</v>
      </c>
      <c r="H68" s="843">
        <v>0</v>
      </c>
      <c r="I68" s="843">
        <v>137.00000000465661</v>
      </c>
      <c r="K68" s="164" t="s">
        <v>627</v>
      </c>
      <c r="L68" s="843">
        <f t="shared" si="5"/>
        <v>-3</v>
      </c>
      <c r="M68" s="843">
        <f t="shared" si="6"/>
        <v>0</v>
      </c>
      <c r="N68" s="843">
        <f t="shared" si="7"/>
        <v>0</v>
      </c>
      <c r="O68" s="843">
        <f t="shared" si="8"/>
        <v>0</v>
      </c>
      <c r="P68" s="843">
        <f t="shared" si="9"/>
        <v>0</v>
      </c>
      <c r="Q68" s="843">
        <f t="shared" si="10"/>
        <v>-361.00000000465661</v>
      </c>
      <c r="R68" s="843">
        <f t="shared" si="11"/>
        <v>0</v>
      </c>
      <c r="S68" s="843">
        <f t="shared" si="12"/>
        <v>-364.00000000465661</v>
      </c>
      <c r="AD68" s="840"/>
      <c r="AE68" s="840"/>
      <c r="AF68" s="840"/>
      <c r="AG68" s="840"/>
      <c r="AH68" s="840"/>
      <c r="AI68" s="840"/>
      <c r="AJ68" s="840"/>
      <c r="AK68" s="840"/>
    </row>
    <row r="69" spans="1:37" hidden="1" outlineLevel="1">
      <c r="A69" s="490"/>
      <c r="B69" s="841"/>
      <c r="C69" s="841"/>
      <c r="D69" s="841"/>
      <c r="E69" s="841"/>
      <c r="F69" s="841"/>
      <c r="G69" s="841"/>
      <c r="H69" s="841"/>
      <c r="I69" s="841"/>
      <c r="K69" s="490"/>
      <c r="L69" s="841">
        <f t="shared" si="5"/>
        <v>0</v>
      </c>
      <c r="M69" s="841">
        <f t="shared" si="6"/>
        <v>0</v>
      </c>
      <c r="N69" s="841">
        <f t="shared" si="7"/>
        <v>0</v>
      </c>
      <c r="O69" s="841">
        <f t="shared" si="8"/>
        <v>0</v>
      </c>
      <c r="P69" s="841">
        <f t="shared" si="9"/>
        <v>0</v>
      </c>
      <c r="Q69" s="841">
        <f t="shared" si="10"/>
        <v>0</v>
      </c>
      <c r="R69" s="841">
        <f t="shared" si="11"/>
        <v>0</v>
      </c>
      <c r="S69" s="841">
        <f t="shared" si="12"/>
        <v>0</v>
      </c>
      <c r="AD69" s="840"/>
      <c r="AE69" s="840"/>
      <c r="AF69" s="840"/>
      <c r="AG69" s="840"/>
      <c r="AH69" s="840"/>
      <c r="AI69" s="840"/>
      <c r="AJ69" s="840"/>
      <c r="AK69" s="840"/>
    </row>
    <row r="70" spans="1:37" hidden="1" outlineLevel="1">
      <c r="A70" s="181" t="s">
        <v>132</v>
      </c>
      <c r="B70" s="851"/>
      <c r="C70" s="851"/>
      <c r="D70" s="851"/>
      <c r="E70" s="851"/>
      <c r="F70" s="851"/>
      <c r="G70" s="851"/>
      <c r="H70" s="851"/>
      <c r="I70" s="851"/>
      <c r="K70" s="181" t="s">
        <v>132</v>
      </c>
      <c r="L70" s="851">
        <f t="shared" si="5"/>
        <v>0</v>
      </c>
      <c r="M70" s="851">
        <f t="shared" si="6"/>
        <v>0</v>
      </c>
      <c r="N70" s="851">
        <f t="shared" si="7"/>
        <v>0</v>
      </c>
      <c r="O70" s="851">
        <f t="shared" si="8"/>
        <v>0</v>
      </c>
      <c r="P70" s="851">
        <f t="shared" si="9"/>
        <v>0</v>
      </c>
      <c r="Q70" s="851">
        <f t="shared" si="10"/>
        <v>0</v>
      </c>
      <c r="R70" s="851">
        <f t="shared" si="11"/>
        <v>0</v>
      </c>
      <c r="S70" s="851">
        <f t="shared" si="12"/>
        <v>0</v>
      </c>
      <c r="AD70" s="840"/>
      <c r="AE70" s="840"/>
      <c r="AF70" s="840"/>
      <c r="AG70" s="840"/>
      <c r="AH70" s="840"/>
      <c r="AI70" s="840"/>
      <c r="AJ70" s="840"/>
      <c r="AK70" s="840"/>
    </row>
    <row r="71" spans="1:37" hidden="1" outlineLevel="1">
      <c r="A71" s="184" t="s">
        <v>134</v>
      </c>
      <c r="B71" s="850"/>
      <c r="C71" s="850"/>
      <c r="D71" s="850"/>
      <c r="E71" s="850"/>
      <c r="F71" s="850"/>
      <c r="G71" s="850"/>
      <c r="H71" s="850"/>
      <c r="I71" s="850"/>
      <c r="K71" s="184" t="s">
        <v>134</v>
      </c>
      <c r="L71" s="850">
        <f>+B16-B71</f>
        <v>0</v>
      </c>
      <c r="M71" s="850">
        <f t="shared" si="6"/>
        <v>0</v>
      </c>
      <c r="N71" s="850">
        <f t="shared" si="7"/>
        <v>0</v>
      </c>
      <c r="O71" s="850">
        <f t="shared" si="8"/>
        <v>0</v>
      </c>
      <c r="P71" s="850">
        <f t="shared" si="9"/>
        <v>0</v>
      </c>
      <c r="Q71" s="850">
        <f t="shared" si="10"/>
        <v>0</v>
      </c>
      <c r="R71" s="850">
        <f t="shared" si="11"/>
        <v>0</v>
      </c>
      <c r="S71" s="850">
        <f t="shared" si="12"/>
        <v>0</v>
      </c>
      <c r="AD71" s="840"/>
      <c r="AE71" s="840"/>
      <c r="AF71" s="840"/>
      <c r="AG71" s="840"/>
      <c r="AH71" s="840"/>
      <c r="AI71" s="840"/>
      <c r="AJ71" s="840"/>
      <c r="AK71" s="840"/>
    </row>
    <row r="72" spans="1:37" hidden="1" outlineLevel="1">
      <c r="A72" s="186" t="s">
        <v>136</v>
      </c>
      <c r="B72" s="846">
        <v>4175164</v>
      </c>
      <c r="C72" s="846">
        <v>0</v>
      </c>
      <c r="D72" s="846">
        <v>0</v>
      </c>
      <c r="E72" s="846">
        <v>0</v>
      </c>
      <c r="F72" s="846">
        <v>10900000</v>
      </c>
      <c r="G72" s="846">
        <v>10337500</v>
      </c>
      <c r="H72" s="846">
        <v>-203300</v>
      </c>
      <c r="I72" s="846">
        <v>25209364</v>
      </c>
      <c r="K72" s="186" t="s">
        <v>136</v>
      </c>
      <c r="L72" s="846">
        <f t="shared" si="5"/>
        <v>1497927</v>
      </c>
      <c r="M72" s="846">
        <f t="shared" si="6"/>
        <v>0</v>
      </c>
      <c r="N72" s="846">
        <f t="shared" si="7"/>
        <v>0</v>
      </c>
      <c r="O72" s="846">
        <f t="shared" si="8"/>
        <v>0</v>
      </c>
      <c r="P72" s="846">
        <f t="shared" si="9"/>
        <v>1856000</v>
      </c>
      <c r="Q72" s="846">
        <f t="shared" si="10"/>
        <v>2550200</v>
      </c>
      <c r="R72" s="846">
        <f t="shared" si="11"/>
        <v>-284204</v>
      </c>
      <c r="S72" s="846">
        <f t="shared" si="12"/>
        <v>5619923</v>
      </c>
      <c r="AD72" s="840"/>
      <c r="AE72" s="840"/>
      <c r="AF72" s="840"/>
      <c r="AG72" s="840"/>
      <c r="AH72" s="840"/>
      <c r="AI72" s="840"/>
      <c r="AJ72" s="840"/>
      <c r="AK72" s="840"/>
    </row>
    <row r="73" spans="1:37" hidden="1" outlineLevel="1">
      <c r="A73" s="189" t="s">
        <v>138</v>
      </c>
      <c r="B73" s="841">
        <v>3284307</v>
      </c>
      <c r="C73" s="841">
        <v>0</v>
      </c>
      <c r="D73" s="841">
        <v>0</v>
      </c>
      <c r="E73" s="841">
        <v>0</v>
      </c>
      <c r="F73" s="841">
        <v>10718900</v>
      </c>
      <c r="G73" s="841">
        <v>12177300</v>
      </c>
      <c r="H73" s="841">
        <v>-209440</v>
      </c>
      <c r="I73" s="841">
        <v>25971067</v>
      </c>
      <c r="K73" s="189" t="s">
        <v>138</v>
      </c>
      <c r="L73" s="841">
        <f t="shared" si="5"/>
        <v>209908</v>
      </c>
      <c r="M73" s="841">
        <f t="shared" si="6"/>
        <v>0</v>
      </c>
      <c r="N73" s="841">
        <f t="shared" si="7"/>
        <v>0</v>
      </c>
      <c r="O73" s="841">
        <f t="shared" si="8"/>
        <v>0</v>
      </c>
      <c r="P73" s="841">
        <f t="shared" si="9"/>
        <v>3295100</v>
      </c>
      <c r="Q73" s="841">
        <f t="shared" si="10"/>
        <v>1701300</v>
      </c>
      <c r="R73" s="841">
        <f t="shared" si="11"/>
        <v>-706469</v>
      </c>
      <c r="S73" s="841">
        <f t="shared" si="12"/>
        <v>4499839</v>
      </c>
      <c r="AD73" s="840"/>
      <c r="AE73" s="840"/>
      <c r="AF73" s="840"/>
      <c r="AG73" s="840"/>
      <c r="AH73" s="840"/>
      <c r="AI73" s="840"/>
      <c r="AJ73" s="840"/>
      <c r="AK73" s="840"/>
    </row>
    <row r="74" spans="1:37" hidden="1" outlineLevel="1">
      <c r="A74" s="492" t="s">
        <v>140</v>
      </c>
      <c r="B74" s="841">
        <v>20628306</v>
      </c>
      <c r="C74" s="841">
        <v>0</v>
      </c>
      <c r="D74" s="841">
        <v>0</v>
      </c>
      <c r="E74" s="841">
        <v>0</v>
      </c>
      <c r="F74" s="841">
        <v>22500000</v>
      </c>
      <c r="G74" s="841">
        <v>26786200</v>
      </c>
      <c r="H74" s="841">
        <v>-559320</v>
      </c>
      <c r="I74" s="841">
        <v>69355186</v>
      </c>
      <c r="K74" s="492" t="s">
        <v>140</v>
      </c>
      <c r="L74" s="841">
        <f t="shared" si="5"/>
        <v>2355601</v>
      </c>
      <c r="M74" s="841">
        <f t="shared" si="6"/>
        <v>0</v>
      </c>
      <c r="N74" s="841">
        <f t="shared" si="7"/>
        <v>0</v>
      </c>
      <c r="O74" s="841">
        <f t="shared" si="8"/>
        <v>0</v>
      </c>
      <c r="P74" s="841">
        <f t="shared" si="9"/>
        <v>7446000</v>
      </c>
      <c r="Q74" s="841">
        <f t="shared" si="10"/>
        <v>6438700</v>
      </c>
      <c r="R74" s="841">
        <f t="shared" si="11"/>
        <v>-675210</v>
      </c>
      <c r="S74" s="841">
        <f t="shared" si="12"/>
        <v>15565091</v>
      </c>
      <c r="AD74" s="840"/>
      <c r="AE74" s="840"/>
      <c r="AF74" s="840"/>
      <c r="AG74" s="840"/>
      <c r="AH74" s="840"/>
      <c r="AI74" s="840"/>
      <c r="AJ74" s="840"/>
      <c r="AK74" s="840"/>
    </row>
    <row r="75" spans="1:37" hidden="1" outlineLevel="1">
      <c r="A75" s="186" t="s">
        <v>141</v>
      </c>
      <c r="B75" s="846">
        <v>3464054</v>
      </c>
      <c r="C75" s="846">
        <v>0</v>
      </c>
      <c r="D75" s="846">
        <v>681200</v>
      </c>
      <c r="E75" s="846">
        <v>0</v>
      </c>
      <c r="F75" s="846">
        <v>1512000</v>
      </c>
      <c r="G75" s="846">
        <v>3348900</v>
      </c>
      <c r="H75" s="846">
        <v>-72050</v>
      </c>
      <c r="I75" s="846">
        <v>8934104</v>
      </c>
      <c r="K75" s="186" t="s">
        <v>141</v>
      </c>
      <c r="L75" s="846">
        <f t="shared" si="5"/>
        <v>861693</v>
      </c>
      <c r="M75" s="846">
        <f t="shared" si="6"/>
        <v>0</v>
      </c>
      <c r="N75" s="846">
        <f t="shared" si="7"/>
        <v>0</v>
      </c>
      <c r="O75" s="846">
        <f t="shared" si="8"/>
        <v>0</v>
      </c>
      <c r="P75" s="846">
        <f t="shared" si="9"/>
        <v>924000</v>
      </c>
      <c r="Q75" s="846">
        <f t="shared" si="10"/>
        <v>624500</v>
      </c>
      <c r="R75" s="846">
        <f t="shared" si="11"/>
        <v>-277343</v>
      </c>
      <c r="S75" s="846">
        <f t="shared" si="12"/>
        <v>2132850</v>
      </c>
      <c r="AD75" s="840"/>
      <c r="AE75" s="840"/>
      <c r="AF75" s="840"/>
      <c r="AG75" s="840"/>
      <c r="AH75" s="840"/>
      <c r="AI75" s="840"/>
      <c r="AJ75" s="840"/>
      <c r="AK75" s="840"/>
    </row>
    <row r="76" spans="1:37" hidden="1" outlineLevel="1">
      <c r="A76" s="189" t="s">
        <v>142</v>
      </c>
      <c r="B76" s="841">
        <v>1686584</v>
      </c>
      <c r="C76" s="841">
        <v>850000</v>
      </c>
      <c r="D76" s="841">
        <v>0</v>
      </c>
      <c r="E76" s="841">
        <v>0</v>
      </c>
      <c r="F76" s="841">
        <v>5795000</v>
      </c>
      <c r="G76" s="841">
        <v>8732200</v>
      </c>
      <c r="H76" s="841">
        <v>2474191</v>
      </c>
      <c r="I76" s="841">
        <v>19537975</v>
      </c>
      <c r="K76" s="189" t="s">
        <v>142</v>
      </c>
      <c r="L76" s="841">
        <f t="shared" si="5"/>
        <v>135207</v>
      </c>
      <c r="M76" s="841">
        <f t="shared" si="6"/>
        <v>0</v>
      </c>
      <c r="N76" s="841">
        <f t="shared" si="7"/>
        <v>0</v>
      </c>
      <c r="O76" s="841">
        <f t="shared" si="8"/>
        <v>0</v>
      </c>
      <c r="P76" s="841">
        <f t="shared" si="9"/>
        <v>822000</v>
      </c>
      <c r="Q76" s="841">
        <f t="shared" si="10"/>
        <v>1400200</v>
      </c>
      <c r="R76" s="841">
        <f t="shared" si="11"/>
        <v>-632071</v>
      </c>
      <c r="S76" s="841">
        <f t="shared" si="12"/>
        <v>1725336</v>
      </c>
      <c r="AD76" s="840"/>
      <c r="AE76" s="840"/>
      <c r="AF76" s="840"/>
      <c r="AG76" s="840"/>
      <c r="AH76" s="840"/>
      <c r="AI76" s="840"/>
      <c r="AJ76" s="840"/>
      <c r="AK76" s="840"/>
    </row>
    <row r="77" spans="1:37" hidden="1" outlineLevel="1">
      <c r="A77" s="492" t="s">
        <v>143</v>
      </c>
      <c r="B77" s="841">
        <v>150600</v>
      </c>
      <c r="C77" s="841">
        <v>0</v>
      </c>
      <c r="D77" s="841">
        <v>227100</v>
      </c>
      <c r="E77" s="841">
        <v>0</v>
      </c>
      <c r="F77" s="841">
        <v>3865000</v>
      </c>
      <c r="G77" s="841">
        <v>2054700</v>
      </c>
      <c r="H77" s="841">
        <v>-50380</v>
      </c>
      <c r="I77" s="841">
        <v>6247020</v>
      </c>
      <c r="K77" s="492" t="s">
        <v>143</v>
      </c>
      <c r="L77" s="841">
        <f t="shared" si="5"/>
        <v>296758</v>
      </c>
      <c r="M77" s="841">
        <f t="shared" si="6"/>
        <v>0</v>
      </c>
      <c r="N77" s="841">
        <f t="shared" si="7"/>
        <v>40000</v>
      </c>
      <c r="O77" s="841">
        <f t="shared" si="8"/>
        <v>0</v>
      </c>
      <c r="P77" s="841">
        <f t="shared" si="9"/>
        <v>406000</v>
      </c>
      <c r="Q77" s="841">
        <f t="shared" si="10"/>
        <v>143100</v>
      </c>
      <c r="R77" s="841">
        <f t="shared" si="11"/>
        <v>-87642</v>
      </c>
      <c r="S77" s="841">
        <f t="shared" si="12"/>
        <v>798216</v>
      </c>
      <c r="AD77" s="840"/>
      <c r="AE77" s="840"/>
      <c r="AF77" s="840"/>
      <c r="AG77" s="840"/>
      <c r="AH77" s="840"/>
      <c r="AI77" s="840"/>
      <c r="AJ77" s="840"/>
      <c r="AK77" s="840"/>
    </row>
    <row r="78" spans="1:37" hidden="1" outlineLevel="1">
      <c r="A78" s="186" t="s">
        <v>144</v>
      </c>
      <c r="B78" s="846">
        <v>1286339</v>
      </c>
      <c r="C78" s="846">
        <v>50000</v>
      </c>
      <c r="D78" s="846">
        <v>0</v>
      </c>
      <c r="E78" s="846">
        <v>0</v>
      </c>
      <c r="F78" s="846">
        <v>22295000</v>
      </c>
      <c r="G78" s="846">
        <v>22244100</v>
      </c>
      <c r="H78" s="846">
        <v>500017</v>
      </c>
      <c r="I78" s="846">
        <v>46375456</v>
      </c>
      <c r="K78" s="186" t="s">
        <v>144</v>
      </c>
      <c r="L78" s="846">
        <f t="shared" si="5"/>
        <v>-18050</v>
      </c>
      <c r="M78" s="846">
        <f t="shared" si="6"/>
        <v>0</v>
      </c>
      <c r="N78" s="846">
        <f t="shared" si="7"/>
        <v>55000</v>
      </c>
      <c r="O78" s="846">
        <f t="shared" si="8"/>
        <v>0</v>
      </c>
      <c r="P78" s="846">
        <f t="shared" si="9"/>
        <v>-74000</v>
      </c>
      <c r="Q78" s="846">
        <f t="shared" si="10"/>
        <v>4140300</v>
      </c>
      <c r="R78" s="846">
        <f t="shared" si="11"/>
        <v>-361155</v>
      </c>
      <c r="S78" s="846">
        <f t="shared" si="12"/>
        <v>3742095</v>
      </c>
      <c r="AD78" s="840"/>
      <c r="AE78" s="840"/>
      <c r="AF78" s="840"/>
      <c r="AG78" s="840"/>
      <c r="AH78" s="840"/>
      <c r="AI78" s="840"/>
      <c r="AJ78" s="840"/>
      <c r="AK78" s="840"/>
    </row>
    <row r="79" spans="1:37" hidden="1" outlineLevel="1">
      <c r="A79" s="492" t="s">
        <v>145</v>
      </c>
      <c r="B79" s="841">
        <v>4427861</v>
      </c>
      <c r="C79" s="841">
        <v>10875</v>
      </c>
      <c r="D79" s="841">
        <v>2360100</v>
      </c>
      <c r="E79" s="841">
        <v>0</v>
      </c>
      <c r="F79" s="841">
        <v>2600000</v>
      </c>
      <c r="G79" s="841">
        <v>5571300</v>
      </c>
      <c r="H79" s="841">
        <v>-119760</v>
      </c>
      <c r="I79" s="841">
        <v>14850376</v>
      </c>
      <c r="K79" s="492" t="s">
        <v>145</v>
      </c>
      <c r="L79" s="841">
        <f t="shared" si="5"/>
        <v>551942</v>
      </c>
      <c r="M79" s="841">
        <f t="shared" si="6"/>
        <v>0</v>
      </c>
      <c r="N79" s="841">
        <f t="shared" si="7"/>
        <v>0</v>
      </c>
      <c r="O79" s="841">
        <f t="shared" si="8"/>
        <v>0</v>
      </c>
      <c r="P79" s="841">
        <f t="shared" si="9"/>
        <v>934000</v>
      </c>
      <c r="Q79" s="841">
        <f t="shared" si="10"/>
        <v>1519600</v>
      </c>
      <c r="R79" s="841">
        <f t="shared" si="11"/>
        <v>-90952</v>
      </c>
      <c r="S79" s="841">
        <f t="shared" si="12"/>
        <v>2914590</v>
      </c>
      <c r="AD79" s="840"/>
      <c r="AE79" s="840"/>
      <c r="AF79" s="840"/>
      <c r="AG79" s="840"/>
      <c r="AH79" s="840"/>
      <c r="AI79" s="840"/>
      <c r="AJ79" s="840"/>
      <c r="AK79" s="840"/>
    </row>
    <row r="80" spans="1:37" hidden="1" outlineLevel="1">
      <c r="A80" s="492" t="s">
        <v>146</v>
      </c>
      <c r="B80" s="841">
        <v>6370937</v>
      </c>
      <c r="C80" s="841">
        <v>0</v>
      </c>
      <c r="D80" s="841">
        <v>2660100</v>
      </c>
      <c r="E80" s="841">
        <v>0</v>
      </c>
      <c r="F80" s="841">
        <v>110000</v>
      </c>
      <c r="G80" s="841">
        <v>3243700</v>
      </c>
      <c r="H80" s="841">
        <v>-99080</v>
      </c>
      <c r="I80" s="841">
        <v>12285657</v>
      </c>
      <c r="K80" s="492" t="s">
        <v>146</v>
      </c>
      <c r="L80" s="841">
        <f t="shared" si="5"/>
        <v>6534222</v>
      </c>
      <c r="M80" s="841">
        <f t="shared" si="6"/>
        <v>0</v>
      </c>
      <c r="N80" s="841">
        <f t="shared" si="7"/>
        <v>-2660100</v>
      </c>
      <c r="O80" s="841">
        <f t="shared" si="8"/>
        <v>0</v>
      </c>
      <c r="P80" s="841">
        <f t="shared" si="9"/>
        <v>21000</v>
      </c>
      <c r="Q80" s="841">
        <f t="shared" si="10"/>
        <v>-3243700</v>
      </c>
      <c r="R80" s="841">
        <f t="shared" si="11"/>
        <v>-331280</v>
      </c>
      <c r="S80" s="841">
        <f t="shared" si="12"/>
        <v>320142</v>
      </c>
      <c r="AD80" s="840"/>
      <c r="AE80" s="840"/>
      <c r="AF80" s="840"/>
      <c r="AG80" s="840"/>
      <c r="AH80" s="840"/>
      <c r="AI80" s="840"/>
      <c r="AJ80" s="840"/>
      <c r="AK80" s="840"/>
    </row>
    <row r="81" spans="1:37" hidden="1" outlineLevel="1">
      <c r="A81" s="186" t="s">
        <v>147</v>
      </c>
      <c r="B81" s="846">
        <v>2068057</v>
      </c>
      <c r="C81" s="846">
        <v>750000</v>
      </c>
      <c r="D81" s="846">
        <v>0</v>
      </c>
      <c r="E81" s="846">
        <v>0</v>
      </c>
      <c r="F81" s="846">
        <v>14400000</v>
      </c>
      <c r="G81" s="846">
        <v>26163400</v>
      </c>
      <c r="H81" s="846">
        <v>752950</v>
      </c>
      <c r="I81" s="846">
        <v>44134407</v>
      </c>
      <c r="K81" s="186" t="s">
        <v>147</v>
      </c>
      <c r="L81" s="846">
        <f t="shared" si="5"/>
        <v>-16657</v>
      </c>
      <c r="M81" s="846">
        <f t="shared" si="6"/>
        <v>0</v>
      </c>
      <c r="N81" s="846">
        <f t="shared" si="7"/>
        <v>0</v>
      </c>
      <c r="O81" s="846">
        <f t="shared" si="8"/>
        <v>0</v>
      </c>
      <c r="P81" s="846">
        <f t="shared" si="9"/>
        <v>2071000</v>
      </c>
      <c r="Q81" s="846">
        <f t="shared" si="10"/>
        <v>5256800</v>
      </c>
      <c r="R81" s="846">
        <f t="shared" si="11"/>
        <v>-513797</v>
      </c>
      <c r="S81" s="846">
        <f t="shared" si="12"/>
        <v>6797346</v>
      </c>
      <c r="AD81" s="840"/>
      <c r="AE81" s="840"/>
      <c r="AF81" s="840"/>
      <c r="AG81" s="840"/>
      <c r="AH81" s="840"/>
      <c r="AI81" s="840"/>
      <c r="AJ81" s="840"/>
      <c r="AK81" s="840"/>
    </row>
    <row r="82" spans="1:37" hidden="1" outlineLevel="1">
      <c r="A82" s="492" t="s">
        <v>148</v>
      </c>
      <c r="B82" s="841">
        <v>18503667</v>
      </c>
      <c r="C82" s="841">
        <v>0</v>
      </c>
      <c r="D82" s="841">
        <v>6808500</v>
      </c>
      <c r="E82" s="841">
        <v>0</v>
      </c>
      <c r="F82" s="841">
        <v>0</v>
      </c>
      <c r="G82" s="841">
        <v>2568300</v>
      </c>
      <c r="H82" s="841">
        <v>-223040</v>
      </c>
      <c r="I82" s="841">
        <v>27657427</v>
      </c>
      <c r="K82" s="492" t="s">
        <v>148</v>
      </c>
      <c r="L82" s="841">
        <f t="shared" si="5"/>
        <v>6356975</v>
      </c>
      <c r="M82" s="841">
        <f t="shared" si="6"/>
        <v>0</v>
      </c>
      <c r="N82" s="841">
        <f t="shared" si="7"/>
        <v>-58500</v>
      </c>
      <c r="O82" s="841">
        <f t="shared" si="8"/>
        <v>0</v>
      </c>
      <c r="P82" s="841">
        <f t="shared" si="9"/>
        <v>0</v>
      </c>
      <c r="Q82" s="841">
        <f t="shared" si="10"/>
        <v>-2568300</v>
      </c>
      <c r="R82" s="841">
        <f t="shared" si="11"/>
        <v>-93070</v>
      </c>
      <c r="S82" s="841">
        <f t="shared" si="12"/>
        <v>3637105</v>
      </c>
      <c r="AD82" s="840"/>
      <c r="AE82" s="840"/>
      <c r="AF82" s="840"/>
      <c r="AG82" s="840"/>
      <c r="AH82" s="840"/>
      <c r="AI82" s="840"/>
      <c r="AJ82" s="840"/>
      <c r="AK82" s="840"/>
    </row>
    <row r="83" spans="1:37" hidden="1" outlineLevel="1">
      <c r="A83" s="186" t="s">
        <v>801</v>
      </c>
      <c r="B83" s="846">
        <v>2031310</v>
      </c>
      <c r="C83" s="846">
        <v>0</v>
      </c>
      <c r="D83" s="846">
        <v>640515</v>
      </c>
      <c r="E83" s="846">
        <v>0</v>
      </c>
      <c r="F83" s="846">
        <v>45000</v>
      </c>
      <c r="G83" s="846">
        <v>1207800</v>
      </c>
      <c r="H83" s="846">
        <v>-31400</v>
      </c>
      <c r="I83" s="846">
        <v>3893225</v>
      </c>
      <c r="K83" s="186" t="s">
        <v>801</v>
      </c>
      <c r="L83" s="846">
        <f t="shared" si="5"/>
        <v>52364</v>
      </c>
      <c r="M83" s="846">
        <f t="shared" si="6"/>
        <v>0</v>
      </c>
      <c r="N83" s="846">
        <f t="shared" si="7"/>
        <v>30000</v>
      </c>
      <c r="O83" s="846">
        <f t="shared" si="8"/>
        <v>0</v>
      </c>
      <c r="P83" s="846">
        <f t="shared" si="9"/>
        <v>29000</v>
      </c>
      <c r="Q83" s="846">
        <f t="shared" si="10"/>
        <v>417100</v>
      </c>
      <c r="R83" s="846">
        <f t="shared" si="11"/>
        <v>-68813</v>
      </c>
      <c r="S83" s="846">
        <f t="shared" si="12"/>
        <v>459651</v>
      </c>
      <c r="AD83" s="840"/>
      <c r="AE83" s="840"/>
      <c r="AF83" s="840"/>
      <c r="AG83" s="840"/>
      <c r="AH83" s="840"/>
      <c r="AI83" s="840"/>
      <c r="AJ83" s="840"/>
      <c r="AK83" s="840"/>
    </row>
    <row r="84" spans="1:37" hidden="1" outlineLevel="1">
      <c r="A84" s="189" t="s">
        <v>150</v>
      </c>
      <c r="B84" s="841">
        <v>23134207</v>
      </c>
      <c r="C84" s="841">
        <v>0</v>
      </c>
      <c r="D84" s="841">
        <v>0</v>
      </c>
      <c r="E84" s="841">
        <v>0</v>
      </c>
      <c r="F84" s="841">
        <v>0</v>
      </c>
      <c r="G84" s="841">
        <v>0</v>
      </c>
      <c r="H84" s="841">
        <v>-185070</v>
      </c>
      <c r="I84" s="841">
        <v>22949137</v>
      </c>
      <c r="K84" s="189" t="s">
        <v>150</v>
      </c>
      <c r="L84" s="841">
        <f t="shared" si="5"/>
        <v>-23134207</v>
      </c>
      <c r="M84" s="841">
        <f t="shared" si="6"/>
        <v>0</v>
      </c>
      <c r="N84" s="841">
        <f t="shared" si="7"/>
        <v>0</v>
      </c>
      <c r="O84" s="841">
        <f t="shared" si="8"/>
        <v>25201382.419</v>
      </c>
      <c r="P84" s="841">
        <f t="shared" si="9"/>
        <v>0</v>
      </c>
      <c r="Q84" s="841">
        <f t="shared" si="10"/>
        <v>0</v>
      </c>
      <c r="R84" s="841">
        <f t="shared" si="11"/>
        <v>-66940</v>
      </c>
      <c r="S84" s="841">
        <f t="shared" si="12"/>
        <v>2000235.4189999998</v>
      </c>
      <c r="AD84" s="840"/>
      <c r="AE84" s="840"/>
      <c r="AF84" s="840"/>
      <c r="AG84" s="840"/>
      <c r="AH84" s="840"/>
      <c r="AI84" s="840"/>
      <c r="AJ84" s="840"/>
      <c r="AK84" s="840"/>
    </row>
    <row r="85" spans="1:37" hidden="1" outlineLevel="1">
      <c r="A85" s="492" t="s">
        <v>540</v>
      </c>
      <c r="B85" s="841">
        <v>5160000</v>
      </c>
      <c r="C85" s="841">
        <v>0</v>
      </c>
      <c r="D85" s="841">
        <v>0</v>
      </c>
      <c r="E85" s="841">
        <v>0</v>
      </c>
      <c r="F85" s="841">
        <v>0</v>
      </c>
      <c r="G85" s="841">
        <v>0</v>
      </c>
      <c r="H85" s="841">
        <v>-41280</v>
      </c>
      <c r="I85" s="841">
        <v>5118720</v>
      </c>
      <c r="K85" s="492" t="s">
        <v>540</v>
      </c>
      <c r="L85" s="841">
        <f t="shared" si="5"/>
        <v>760400</v>
      </c>
      <c r="M85" s="841">
        <f t="shared" si="6"/>
        <v>0</v>
      </c>
      <c r="N85" s="841">
        <f t="shared" si="7"/>
        <v>0</v>
      </c>
      <c r="O85" s="841">
        <f t="shared" si="8"/>
        <v>0</v>
      </c>
      <c r="P85" s="841">
        <f t="shared" si="9"/>
        <v>0</v>
      </c>
      <c r="Q85" s="841">
        <f t="shared" si="10"/>
        <v>0</v>
      </c>
      <c r="R85" s="841">
        <f t="shared" si="11"/>
        <v>-17920</v>
      </c>
      <c r="S85" s="841">
        <f t="shared" si="12"/>
        <v>742480</v>
      </c>
      <c r="AD85" s="840"/>
      <c r="AE85" s="840"/>
      <c r="AF85" s="840"/>
      <c r="AG85" s="840"/>
      <c r="AH85" s="840"/>
      <c r="AI85" s="840"/>
      <c r="AJ85" s="840"/>
      <c r="AK85" s="840"/>
    </row>
    <row r="86" spans="1:37" hidden="1" outlineLevel="1">
      <c r="A86" s="602" t="s">
        <v>653</v>
      </c>
      <c r="B86" s="846">
        <v>0</v>
      </c>
      <c r="C86" s="846">
        <v>0</v>
      </c>
      <c r="D86" s="846">
        <v>0</v>
      </c>
      <c r="E86" s="846">
        <v>668115</v>
      </c>
      <c r="F86" s="846">
        <v>0</v>
      </c>
      <c r="G86" s="846">
        <v>0</v>
      </c>
      <c r="H86" s="846">
        <v>-5340</v>
      </c>
      <c r="I86" s="846">
        <v>662775</v>
      </c>
      <c r="K86" s="602" t="s">
        <v>653</v>
      </c>
      <c r="L86" s="846">
        <f t="shared" si="5"/>
        <v>0</v>
      </c>
      <c r="M86" s="846">
        <f t="shared" si="6"/>
        <v>0</v>
      </c>
      <c r="N86" s="846">
        <f t="shared" si="7"/>
        <v>0</v>
      </c>
      <c r="O86" s="846">
        <f t="shared" si="8"/>
        <v>52382.667000000016</v>
      </c>
      <c r="P86" s="846">
        <f t="shared" si="9"/>
        <v>0</v>
      </c>
      <c r="Q86" s="846">
        <f t="shared" si="10"/>
        <v>1400</v>
      </c>
      <c r="R86" s="846">
        <f t="shared" si="11"/>
        <v>-1880</v>
      </c>
      <c r="S86" s="846">
        <f t="shared" si="12"/>
        <v>51902.667000000016</v>
      </c>
      <c r="AD86" s="840"/>
      <c r="AE86" s="840"/>
      <c r="AF86" s="840"/>
      <c r="AG86" s="840"/>
      <c r="AH86" s="840"/>
      <c r="AI86" s="840"/>
      <c r="AJ86" s="840"/>
      <c r="AK86" s="840"/>
    </row>
    <row r="87" spans="1:37" hidden="1" outlineLevel="1">
      <c r="A87" s="197" t="s">
        <v>152</v>
      </c>
      <c r="B87" s="841">
        <v>0</v>
      </c>
      <c r="C87" s="841">
        <v>0</v>
      </c>
      <c r="D87" s="841">
        <v>0</v>
      </c>
      <c r="E87" s="841">
        <v>0</v>
      </c>
      <c r="F87" s="841">
        <v>403000</v>
      </c>
      <c r="G87" s="841">
        <v>466900</v>
      </c>
      <c r="H87" s="841">
        <v>-6960</v>
      </c>
      <c r="I87" s="841">
        <v>862940</v>
      </c>
      <c r="K87" s="197" t="s">
        <v>152</v>
      </c>
      <c r="L87" s="841">
        <f t="shared" si="5"/>
        <v>12000</v>
      </c>
      <c r="M87" s="841">
        <f t="shared" si="6"/>
        <v>0</v>
      </c>
      <c r="N87" s="841">
        <f t="shared" si="7"/>
        <v>0</v>
      </c>
      <c r="O87" s="841">
        <f t="shared" si="8"/>
        <v>0</v>
      </c>
      <c r="P87" s="841">
        <f t="shared" si="9"/>
        <v>273000</v>
      </c>
      <c r="Q87" s="841">
        <f t="shared" si="10"/>
        <v>600</v>
      </c>
      <c r="R87" s="841">
        <f t="shared" si="11"/>
        <v>-4600</v>
      </c>
      <c r="S87" s="841">
        <f t="shared" si="12"/>
        <v>281000</v>
      </c>
      <c r="AD87" s="840"/>
      <c r="AE87" s="840"/>
      <c r="AF87" s="840"/>
      <c r="AG87" s="840"/>
      <c r="AH87" s="840"/>
      <c r="AI87" s="840"/>
      <c r="AJ87" s="840"/>
      <c r="AK87" s="840"/>
    </row>
    <row r="88" spans="1:37" hidden="1" outlineLevel="1">
      <c r="A88" s="492" t="s">
        <v>153</v>
      </c>
      <c r="B88" s="841">
        <v>2745469</v>
      </c>
      <c r="C88" s="841">
        <v>0</v>
      </c>
      <c r="D88" s="841">
        <v>0</v>
      </c>
      <c r="E88" s="841">
        <v>12389837</v>
      </c>
      <c r="F88" s="841">
        <v>0</v>
      </c>
      <c r="G88" s="841">
        <v>1200</v>
      </c>
      <c r="H88" s="841">
        <v>-121090</v>
      </c>
      <c r="I88" s="841">
        <v>15015416</v>
      </c>
      <c r="K88" s="492" t="s">
        <v>153</v>
      </c>
      <c r="L88" s="841">
        <f t="shared" si="5"/>
        <v>408902</v>
      </c>
      <c r="M88" s="841">
        <f t="shared" si="6"/>
        <v>0</v>
      </c>
      <c r="N88" s="841">
        <f t="shared" si="7"/>
        <v>0</v>
      </c>
      <c r="O88" s="841">
        <f t="shared" si="8"/>
        <v>1629584.1390000004</v>
      </c>
      <c r="P88" s="841">
        <f t="shared" si="9"/>
        <v>0</v>
      </c>
      <c r="Q88" s="841">
        <f t="shared" si="10"/>
        <v>-1200</v>
      </c>
      <c r="R88" s="841">
        <f t="shared" si="11"/>
        <v>-65020</v>
      </c>
      <c r="S88" s="841">
        <f t="shared" si="12"/>
        <v>1972266.1389999986</v>
      </c>
      <c r="AD88" s="840"/>
      <c r="AE88" s="840"/>
      <c r="AF88" s="840"/>
      <c r="AG88" s="840"/>
      <c r="AH88" s="840"/>
      <c r="AI88" s="840"/>
      <c r="AJ88" s="840"/>
      <c r="AK88" s="840"/>
    </row>
    <row r="89" spans="1:37" hidden="1" outlineLevel="1">
      <c r="A89" s="196" t="s">
        <v>361</v>
      </c>
      <c r="B89" s="843">
        <v>3167097</v>
      </c>
      <c r="C89" s="843">
        <v>225000</v>
      </c>
      <c r="D89" s="843">
        <v>7799407</v>
      </c>
      <c r="E89" s="843">
        <v>0</v>
      </c>
      <c r="F89" s="843">
        <v>0</v>
      </c>
      <c r="G89" s="843">
        <v>608900</v>
      </c>
      <c r="H89" s="843">
        <v>-94400</v>
      </c>
      <c r="I89" s="843">
        <v>11706004</v>
      </c>
      <c r="K89" s="196" t="s">
        <v>361</v>
      </c>
      <c r="L89" s="843">
        <f t="shared" si="5"/>
        <v>272501</v>
      </c>
      <c r="M89" s="843">
        <f t="shared" si="6"/>
        <v>864000</v>
      </c>
      <c r="N89" s="843">
        <f t="shared" si="7"/>
        <v>40000</v>
      </c>
      <c r="O89" s="843">
        <f t="shared" si="8"/>
        <v>0</v>
      </c>
      <c r="P89" s="843">
        <f t="shared" si="9"/>
        <v>0</v>
      </c>
      <c r="Q89" s="843">
        <f t="shared" si="10"/>
        <v>336600</v>
      </c>
      <c r="R89" s="843">
        <f t="shared" si="11"/>
        <v>-225190</v>
      </c>
      <c r="S89" s="843">
        <f t="shared" si="12"/>
        <v>1287911</v>
      </c>
      <c r="AD89" s="840"/>
      <c r="AE89" s="840"/>
      <c r="AF89" s="840"/>
      <c r="AG89" s="840"/>
      <c r="AH89" s="840"/>
      <c r="AI89" s="840"/>
      <c r="AJ89" s="840"/>
      <c r="AK89" s="840"/>
    </row>
    <row r="90" spans="1:37" hidden="1" outlineLevel="1">
      <c r="A90" s="200" t="s">
        <v>155</v>
      </c>
      <c r="B90" s="849">
        <f>SUM(B71:B89)</f>
        <v>102283959</v>
      </c>
      <c r="C90" s="849">
        <f t="shared" ref="C90:I90" si="13">SUM(C71:C89)</f>
        <v>1885875</v>
      </c>
      <c r="D90" s="849">
        <f t="shared" si="13"/>
        <v>21176922</v>
      </c>
      <c r="E90" s="849">
        <f t="shared" si="13"/>
        <v>13057952</v>
      </c>
      <c r="F90" s="849">
        <f t="shared" si="13"/>
        <v>95143900</v>
      </c>
      <c r="G90" s="849">
        <f t="shared" si="13"/>
        <v>125512400</v>
      </c>
      <c r="H90" s="849">
        <f t="shared" si="13"/>
        <v>1705248</v>
      </c>
      <c r="I90" s="849">
        <f t="shared" si="13"/>
        <v>360766256</v>
      </c>
      <c r="K90" s="200" t="s">
        <v>155</v>
      </c>
      <c r="L90" s="849">
        <f t="shared" si="5"/>
        <v>-2862514</v>
      </c>
      <c r="M90" s="849">
        <f t="shared" si="6"/>
        <v>864000</v>
      </c>
      <c r="N90" s="849">
        <f t="shared" si="7"/>
        <v>-2553600</v>
      </c>
      <c r="O90" s="849">
        <f t="shared" si="8"/>
        <v>26883349.225000001</v>
      </c>
      <c r="P90" s="849">
        <f t="shared" si="9"/>
        <v>18003100</v>
      </c>
      <c r="Q90" s="849">
        <f t="shared" si="10"/>
        <v>18717200</v>
      </c>
      <c r="R90" s="849">
        <f t="shared" si="11"/>
        <v>-4503556</v>
      </c>
      <c r="S90" s="849">
        <f t="shared" si="12"/>
        <v>54547979.225000024</v>
      </c>
      <c r="AD90" s="840"/>
      <c r="AE90" s="840"/>
      <c r="AF90" s="840"/>
      <c r="AG90" s="840"/>
      <c r="AH90" s="840"/>
      <c r="AI90" s="840"/>
      <c r="AJ90" s="840"/>
      <c r="AK90" s="840"/>
    </row>
    <row r="91" spans="1:37" hidden="1" outlineLevel="1">
      <c r="A91" s="492"/>
      <c r="B91" s="848"/>
      <c r="C91" s="848"/>
      <c r="D91" s="848"/>
      <c r="E91" s="848"/>
      <c r="F91" s="848"/>
      <c r="G91" s="848"/>
      <c r="H91" s="848"/>
      <c r="I91" s="848"/>
      <c r="K91" s="492"/>
      <c r="L91" s="848"/>
      <c r="M91" s="848"/>
      <c r="N91" s="848"/>
      <c r="O91" s="848"/>
      <c r="P91" s="848"/>
      <c r="Q91" s="848"/>
      <c r="R91" s="848"/>
      <c r="S91" s="848"/>
      <c r="AD91" s="840"/>
      <c r="AE91" s="840"/>
      <c r="AF91" s="840"/>
      <c r="AG91" s="840"/>
      <c r="AH91" s="840"/>
      <c r="AI91" s="840"/>
      <c r="AJ91" s="840"/>
      <c r="AK91" s="840"/>
    </row>
    <row r="92" spans="1:37" hidden="1" outlineLevel="1">
      <c r="A92" s="490"/>
      <c r="B92" s="848"/>
      <c r="C92" s="848"/>
      <c r="D92" s="848"/>
      <c r="E92" s="848"/>
      <c r="F92" s="848"/>
      <c r="G92" s="848"/>
      <c r="H92" s="848"/>
      <c r="I92" s="848"/>
      <c r="K92" s="490"/>
      <c r="L92" s="848"/>
      <c r="M92" s="848"/>
      <c r="N92" s="848"/>
      <c r="O92" s="848"/>
      <c r="P92" s="848"/>
      <c r="Q92" s="848"/>
      <c r="R92" s="848"/>
      <c r="S92" s="848"/>
      <c r="AD92" s="840"/>
      <c r="AE92" s="840"/>
      <c r="AF92" s="840"/>
      <c r="AG92" s="840"/>
      <c r="AH92" s="840"/>
      <c r="AI92" s="840"/>
      <c r="AJ92" s="840"/>
      <c r="AK92" s="840"/>
    </row>
    <row r="93" spans="1:37" hidden="1" outlineLevel="1">
      <c r="A93" s="189" t="s">
        <v>156</v>
      </c>
      <c r="B93" s="841">
        <v>0</v>
      </c>
      <c r="C93" s="841">
        <v>0</v>
      </c>
      <c r="D93" s="841">
        <v>0</v>
      </c>
      <c r="E93" s="841">
        <v>0</v>
      </c>
      <c r="F93" s="841">
        <v>0</v>
      </c>
      <c r="G93" s="841">
        <v>0</v>
      </c>
      <c r="H93" s="841">
        <v>0</v>
      </c>
      <c r="I93" s="841"/>
      <c r="K93" s="189" t="s">
        <v>156</v>
      </c>
      <c r="L93" s="841">
        <f t="shared" si="5"/>
        <v>0</v>
      </c>
      <c r="M93" s="841">
        <f t="shared" si="6"/>
        <v>0</v>
      </c>
      <c r="N93" s="841">
        <f t="shared" si="7"/>
        <v>0</v>
      </c>
      <c r="O93" s="841">
        <f t="shared" si="8"/>
        <v>0</v>
      </c>
      <c r="P93" s="841">
        <f t="shared" si="9"/>
        <v>0</v>
      </c>
      <c r="Q93" s="841">
        <f t="shared" si="10"/>
        <v>0</v>
      </c>
      <c r="R93" s="841">
        <f t="shared" si="11"/>
        <v>0</v>
      </c>
      <c r="S93" s="841">
        <f t="shared" si="12"/>
        <v>0</v>
      </c>
      <c r="AD93" s="840"/>
      <c r="AE93" s="840"/>
      <c r="AF93" s="840"/>
      <c r="AG93" s="840"/>
      <c r="AH93" s="840"/>
      <c r="AI93" s="840"/>
      <c r="AJ93" s="840"/>
      <c r="AK93" s="840"/>
    </row>
    <row r="94" spans="1:37" hidden="1" outlineLevel="1">
      <c r="A94" s="186" t="s">
        <v>586</v>
      </c>
      <c r="B94" s="847">
        <v>0</v>
      </c>
      <c r="C94" s="847">
        <v>9782098</v>
      </c>
      <c r="D94" s="847">
        <v>0</v>
      </c>
      <c r="E94" s="847">
        <v>0</v>
      </c>
      <c r="F94" s="847">
        <v>0</v>
      </c>
      <c r="G94" s="847">
        <v>0</v>
      </c>
      <c r="H94" s="847">
        <v>-78260</v>
      </c>
      <c r="I94" s="847">
        <v>9703838</v>
      </c>
      <c r="K94" s="186" t="s">
        <v>586</v>
      </c>
      <c r="L94" s="847">
        <f t="shared" si="5"/>
        <v>0</v>
      </c>
      <c r="M94" s="847">
        <f t="shared" si="6"/>
        <v>1054896.4240000006</v>
      </c>
      <c r="N94" s="847">
        <f t="shared" si="7"/>
        <v>0</v>
      </c>
      <c r="O94" s="847">
        <f t="shared" si="8"/>
        <v>0</v>
      </c>
      <c r="P94" s="847">
        <f t="shared" si="9"/>
        <v>0</v>
      </c>
      <c r="Q94" s="847">
        <f t="shared" si="10"/>
        <v>0</v>
      </c>
      <c r="R94" s="847">
        <f t="shared" si="11"/>
        <v>-30110</v>
      </c>
      <c r="S94" s="847">
        <f t="shared" si="12"/>
        <v>1024786.4240000006</v>
      </c>
      <c r="AD94" s="840"/>
      <c r="AE94" s="840"/>
      <c r="AF94" s="840"/>
      <c r="AG94" s="840"/>
      <c r="AH94" s="840"/>
      <c r="AI94" s="840"/>
      <c r="AJ94" s="840"/>
      <c r="AK94" s="840"/>
    </row>
    <row r="95" spans="1:37" hidden="1" outlineLevel="1">
      <c r="A95" s="197" t="s">
        <v>158</v>
      </c>
      <c r="B95" s="842">
        <v>0</v>
      </c>
      <c r="C95" s="842">
        <v>8000000</v>
      </c>
      <c r="D95" s="842">
        <v>0</v>
      </c>
      <c r="E95" s="842">
        <v>0</v>
      </c>
      <c r="F95" s="842">
        <v>0</v>
      </c>
      <c r="G95" s="842">
        <v>500</v>
      </c>
      <c r="H95" s="842">
        <v>-64000</v>
      </c>
      <c r="I95" s="842">
        <v>7936500</v>
      </c>
      <c r="K95" s="197" t="s">
        <v>158</v>
      </c>
      <c r="L95" s="842">
        <f t="shared" si="5"/>
        <v>0</v>
      </c>
      <c r="M95" s="842">
        <f t="shared" si="6"/>
        <v>0</v>
      </c>
      <c r="N95" s="842">
        <f t="shared" si="7"/>
        <v>0</v>
      </c>
      <c r="O95" s="842">
        <f t="shared" si="8"/>
        <v>0</v>
      </c>
      <c r="P95" s="842">
        <f t="shared" si="9"/>
        <v>0</v>
      </c>
      <c r="Q95" s="842">
        <f t="shared" si="10"/>
        <v>-500</v>
      </c>
      <c r="R95" s="842">
        <f t="shared" si="11"/>
        <v>-16000</v>
      </c>
      <c r="S95" s="842">
        <f t="shared" si="12"/>
        <v>-16500</v>
      </c>
      <c r="AD95" s="840"/>
      <c r="AE95" s="840"/>
      <c r="AF95" s="840"/>
      <c r="AG95" s="840"/>
      <c r="AH95" s="840"/>
      <c r="AI95" s="840"/>
      <c r="AJ95" s="840"/>
      <c r="AK95" s="840"/>
    </row>
    <row r="96" spans="1:37" hidden="1" outlineLevel="1">
      <c r="A96" s="492" t="s">
        <v>159</v>
      </c>
      <c r="B96" s="842">
        <v>6390</v>
      </c>
      <c r="C96" s="842">
        <v>0</v>
      </c>
      <c r="D96" s="842">
        <v>0</v>
      </c>
      <c r="E96" s="842">
        <v>4144983</v>
      </c>
      <c r="F96" s="842">
        <v>0</v>
      </c>
      <c r="G96" s="842">
        <v>0</v>
      </c>
      <c r="H96" s="842">
        <v>-33210</v>
      </c>
      <c r="I96" s="842">
        <v>4118163</v>
      </c>
      <c r="K96" s="492" t="s">
        <v>159</v>
      </c>
      <c r="L96" s="842">
        <f t="shared" si="5"/>
        <v>1326</v>
      </c>
      <c r="M96" s="842">
        <f t="shared" si="6"/>
        <v>0</v>
      </c>
      <c r="N96" s="842">
        <f t="shared" si="7"/>
        <v>0</v>
      </c>
      <c r="O96" s="842">
        <f t="shared" si="8"/>
        <v>268043.78100000042</v>
      </c>
      <c r="P96" s="842">
        <f t="shared" si="9"/>
        <v>0</v>
      </c>
      <c r="Q96" s="842">
        <f t="shared" si="10"/>
        <v>0</v>
      </c>
      <c r="R96" s="842">
        <f t="shared" si="11"/>
        <v>-11570</v>
      </c>
      <c r="S96" s="842">
        <f t="shared" si="12"/>
        <v>257799.78100000042</v>
      </c>
      <c r="AD96" s="840"/>
      <c r="AE96" s="840"/>
      <c r="AF96" s="840"/>
      <c r="AG96" s="840"/>
      <c r="AH96" s="840"/>
      <c r="AI96" s="840"/>
      <c r="AJ96" s="840"/>
      <c r="AK96" s="840"/>
    </row>
    <row r="97" spans="1:37" hidden="1" outlineLevel="1">
      <c r="A97" s="189" t="s">
        <v>160</v>
      </c>
      <c r="B97" s="841">
        <v>0</v>
      </c>
      <c r="C97" s="841">
        <v>1201776</v>
      </c>
      <c r="D97" s="841">
        <v>0</v>
      </c>
      <c r="E97" s="841">
        <v>0</v>
      </c>
      <c r="F97" s="841">
        <v>0</v>
      </c>
      <c r="G97" s="841">
        <v>0</v>
      </c>
      <c r="H97" s="841">
        <v>-9610</v>
      </c>
      <c r="I97" s="841">
        <v>1192166</v>
      </c>
      <c r="K97" s="189" t="s">
        <v>160</v>
      </c>
      <c r="L97" s="841">
        <f t="shared" si="5"/>
        <v>0</v>
      </c>
      <c r="M97" s="841">
        <f t="shared" si="6"/>
        <v>71366.806000000099</v>
      </c>
      <c r="N97" s="841">
        <f t="shared" si="7"/>
        <v>0</v>
      </c>
      <c r="O97" s="841">
        <f t="shared" si="8"/>
        <v>0</v>
      </c>
      <c r="P97" s="841">
        <f t="shared" si="9"/>
        <v>0</v>
      </c>
      <c r="Q97" s="841">
        <f t="shared" si="10"/>
        <v>0</v>
      </c>
      <c r="R97" s="841">
        <f t="shared" si="11"/>
        <v>-3120</v>
      </c>
      <c r="S97" s="841">
        <f t="shared" si="12"/>
        <v>68246.806000000099</v>
      </c>
      <c r="AD97" s="840"/>
      <c r="AE97" s="840"/>
      <c r="AF97" s="840"/>
      <c r="AG97" s="840"/>
      <c r="AH97" s="840"/>
      <c r="AI97" s="840"/>
      <c r="AJ97" s="840"/>
      <c r="AK97" s="840"/>
    </row>
    <row r="98" spans="1:37" hidden="1" outlineLevel="1">
      <c r="A98" s="186" t="s">
        <v>161</v>
      </c>
      <c r="B98" s="847">
        <v>0</v>
      </c>
      <c r="C98" s="847">
        <v>1740299</v>
      </c>
      <c r="D98" s="847">
        <v>0</v>
      </c>
      <c r="E98" s="847">
        <v>0</v>
      </c>
      <c r="F98" s="847">
        <v>0</v>
      </c>
      <c r="G98" s="847">
        <v>0</v>
      </c>
      <c r="H98" s="847">
        <v>-13920</v>
      </c>
      <c r="I98" s="847">
        <v>1726379</v>
      </c>
      <c r="K98" s="186" t="s">
        <v>161</v>
      </c>
      <c r="L98" s="847">
        <f t="shared" si="5"/>
        <v>0</v>
      </c>
      <c r="M98" s="847">
        <f t="shared" si="6"/>
        <v>136432.1540000001</v>
      </c>
      <c r="N98" s="847">
        <f t="shared" si="7"/>
        <v>0</v>
      </c>
      <c r="O98" s="847">
        <f t="shared" si="8"/>
        <v>0</v>
      </c>
      <c r="P98" s="847">
        <f t="shared" si="9"/>
        <v>0</v>
      </c>
      <c r="Q98" s="847">
        <f t="shared" si="10"/>
        <v>0</v>
      </c>
      <c r="R98" s="847">
        <f t="shared" si="11"/>
        <v>-4850</v>
      </c>
      <c r="S98" s="847">
        <f t="shared" si="12"/>
        <v>131582.1540000001</v>
      </c>
      <c r="AD98" s="840"/>
      <c r="AE98" s="840"/>
      <c r="AF98" s="840"/>
      <c r="AG98" s="840"/>
      <c r="AH98" s="840"/>
      <c r="AI98" s="840"/>
      <c r="AJ98" s="840"/>
      <c r="AK98" s="840"/>
    </row>
    <row r="99" spans="1:37" hidden="1" outlineLevel="1">
      <c r="A99" s="189" t="s">
        <v>632</v>
      </c>
      <c r="B99" s="841">
        <v>1110</v>
      </c>
      <c r="C99" s="841">
        <v>761242</v>
      </c>
      <c r="D99" s="841">
        <v>0</v>
      </c>
      <c r="E99" s="841">
        <v>0</v>
      </c>
      <c r="F99" s="841">
        <v>0</v>
      </c>
      <c r="G99" s="841">
        <v>2300</v>
      </c>
      <c r="H99" s="841">
        <v>-6120</v>
      </c>
      <c r="I99" s="841">
        <v>758532</v>
      </c>
      <c r="K99" s="189" t="s">
        <v>632</v>
      </c>
      <c r="L99" s="841">
        <f t="shared" si="5"/>
        <v>5404</v>
      </c>
      <c r="M99" s="841">
        <f t="shared" si="6"/>
        <v>64153.10699999996</v>
      </c>
      <c r="N99" s="841">
        <f t="shared" si="7"/>
        <v>0</v>
      </c>
      <c r="O99" s="841">
        <f t="shared" si="8"/>
        <v>0</v>
      </c>
      <c r="P99" s="841">
        <f t="shared" si="9"/>
        <v>0</v>
      </c>
      <c r="Q99" s="841">
        <f t="shared" si="10"/>
        <v>10300</v>
      </c>
      <c r="R99" s="841">
        <f t="shared" si="11"/>
        <v>-2810</v>
      </c>
      <c r="S99" s="841">
        <f t="shared" si="12"/>
        <v>77047.10699999996</v>
      </c>
      <c r="AD99" s="840"/>
      <c r="AE99" s="840"/>
      <c r="AF99" s="840"/>
      <c r="AG99" s="840"/>
      <c r="AH99" s="840"/>
      <c r="AI99" s="840"/>
      <c r="AJ99" s="840"/>
      <c r="AK99" s="840"/>
    </row>
    <row r="100" spans="1:37" hidden="1" outlineLevel="1">
      <c r="A100" s="492" t="s">
        <v>162</v>
      </c>
      <c r="B100" s="842">
        <v>3139996</v>
      </c>
      <c r="C100" s="842">
        <v>0</v>
      </c>
      <c r="D100" s="842">
        <v>0</v>
      </c>
      <c r="E100" s="842">
        <v>10047408</v>
      </c>
      <c r="F100" s="842">
        <v>0</v>
      </c>
      <c r="G100" s="842">
        <v>22600</v>
      </c>
      <c r="H100" s="842">
        <v>-105680</v>
      </c>
      <c r="I100" s="842">
        <v>13104324</v>
      </c>
      <c r="K100" s="492" t="s">
        <v>162</v>
      </c>
      <c r="L100" s="842">
        <f t="shared" si="5"/>
        <v>-311341</v>
      </c>
      <c r="M100" s="842">
        <f t="shared" si="6"/>
        <v>0</v>
      </c>
      <c r="N100" s="842">
        <f t="shared" si="7"/>
        <v>0</v>
      </c>
      <c r="O100" s="842">
        <f t="shared" si="8"/>
        <v>-918280.49100000039</v>
      </c>
      <c r="P100" s="842">
        <f t="shared" si="9"/>
        <v>0</v>
      </c>
      <c r="Q100" s="842">
        <f t="shared" si="10"/>
        <v>-22600</v>
      </c>
      <c r="R100" s="842">
        <f t="shared" si="11"/>
        <v>-223220</v>
      </c>
      <c r="S100" s="842">
        <f t="shared" si="12"/>
        <v>-1475441.4910000004</v>
      </c>
      <c r="AD100" s="840"/>
      <c r="AE100" s="840"/>
      <c r="AF100" s="840"/>
      <c r="AG100" s="840"/>
      <c r="AH100" s="840"/>
      <c r="AI100" s="840"/>
      <c r="AJ100" s="840"/>
      <c r="AK100" s="840"/>
    </row>
    <row r="101" spans="1:37" hidden="1" outlineLevel="1">
      <c r="A101" s="604" t="s">
        <v>697</v>
      </c>
      <c r="B101" s="842">
        <v>884330</v>
      </c>
      <c r="C101" s="842">
        <v>0</v>
      </c>
      <c r="D101" s="842">
        <v>0</v>
      </c>
      <c r="E101" s="842">
        <v>3488467.65</v>
      </c>
      <c r="F101" s="842">
        <v>0</v>
      </c>
      <c r="G101" s="842">
        <v>391800</v>
      </c>
      <c r="H101" s="842">
        <v>-38120</v>
      </c>
      <c r="I101" s="842">
        <v>4726477.6500000004</v>
      </c>
      <c r="K101" s="604" t="s">
        <v>697</v>
      </c>
      <c r="L101" s="842">
        <f t="shared" si="5"/>
        <v>1642995</v>
      </c>
      <c r="M101" s="842">
        <f t="shared" si="6"/>
        <v>0</v>
      </c>
      <c r="N101" s="842">
        <f t="shared" si="7"/>
        <v>0</v>
      </c>
      <c r="O101" s="842">
        <f t="shared" si="8"/>
        <v>3318193.8240000005</v>
      </c>
      <c r="P101" s="842">
        <f t="shared" si="9"/>
        <v>0</v>
      </c>
      <c r="Q101" s="842">
        <f t="shared" si="10"/>
        <v>-391800</v>
      </c>
      <c r="R101" s="842">
        <f t="shared" si="11"/>
        <v>-242240</v>
      </c>
      <c r="S101" s="842">
        <f t="shared" si="12"/>
        <v>4327148.8239999991</v>
      </c>
      <c r="AD101" s="840"/>
      <c r="AE101" s="840"/>
      <c r="AF101" s="840"/>
      <c r="AG101" s="840"/>
      <c r="AH101" s="840"/>
      <c r="AI101" s="840"/>
      <c r="AJ101" s="840"/>
      <c r="AK101" s="840"/>
    </row>
    <row r="102" spans="1:37" hidden="1" outlineLevel="1">
      <c r="A102" s="492" t="s">
        <v>163</v>
      </c>
      <c r="B102" s="842">
        <v>0</v>
      </c>
      <c r="C102" s="842">
        <v>0</v>
      </c>
      <c r="D102" s="842">
        <v>0</v>
      </c>
      <c r="E102" s="842">
        <v>1342681</v>
      </c>
      <c r="F102" s="842">
        <v>0</v>
      </c>
      <c r="G102" s="842">
        <v>1200</v>
      </c>
      <c r="H102" s="842">
        <v>-10750</v>
      </c>
      <c r="I102" s="842">
        <v>1333131</v>
      </c>
      <c r="K102" s="492" t="s">
        <v>163</v>
      </c>
      <c r="L102" s="842">
        <f t="shared" si="5"/>
        <v>0</v>
      </c>
      <c r="M102" s="842">
        <f t="shared" si="6"/>
        <v>0</v>
      </c>
      <c r="N102" s="842">
        <f t="shared" si="7"/>
        <v>0</v>
      </c>
      <c r="O102" s="842">
        <f t="shared" si="8"/>
        <v>39884.091000000015</v>
      </c>
      <c r="P102" s="842">
        <f t="shared" si="9"/>
        <v>0</v>
      </c>
      <c r="Q102" s="842">
        <f t="shared" si="10"/>
        <v>-1200</v>
      </c>
      <c r="R102" s="842">
        <f t="shared" si="11"/>
        <v>-3080</v>
      </c>
      <c r="S102" s="842">
        <f t="shared" si="12"/>
        <v>35604.091000000015</v>
      </c>
      <c r="AD102" s="840"/>
      <c r="AE102" s="840"/>
      <c r="AF102" s="840"/>
      <c r="AG102" s="840"/>
      <c r="AH102" s="840"/>
      <c r="AI102" s="840"/>
      <c r="AJ102" s="840"/>
      <c r="AK102" s="840"/>
    </row>
    <row r="103" spans="1:37" hidden="1" outlineLevel="1">
      <c r="A103" s="602" t="s">
        <v>698</v>
      </c>
      <c r="B103" s="847">
        <v>2693620</v>
      </c>
      <c r="C103" s="847">
        <v>0</v>
      </c>
      <c r="D103" s="847">
        <v>0</v>
      </c>
      <c r="E103" s="847">
        <v>24025397</v>
      </c>
      <c r="F103" s="847">
        <v>0</v>
      </c>
      <c r="G103" s="847">
        <v>0</v>
      </c>
      <c r="H103" s="847">
        <v>-213750</v>
      </c>
      <c r="I103" s="847">
        <v>26505267</v>
      </c>
      <c r="K103" s="602" t="s">
        <v>698</v>
      </c>
      <c r="L103" s="847">
        <f t="shared" si="5"/>
        <v>284017</v>
      </c>
      <c r="M103" s="847">
        <f t="shared" si="6"/>
        <v>0</v>
      </c>
      <c r="N103" s="847">
        <f t="shared" si="7"/>
        <v>0</v>
      </c>
      <c r="O103" s="847">
        <f t="shared" si="8"/>
        <v>3023606.756000001</v>
      </c>
      <c r="P103" s="847">
        <f t="shared" si="9"/>
        <v>0</v>
      </c>
      <c r="Q103" s="847">
        <f t="shared" si="10"/>
        <v>0</v>
      </c>
      <c r="R103" s="847">
        <f t="shared" si="11"/>
        <v>-87810</v>
      </c>
      <c r="S103" s="847">
        <f t="shared" si="12"/>
        <v>3219813.756000001</v>
      </c>
      <c r="AD103" s="840"/>
      <c r="AE103" s="840"/>
      <c r="AF103" s="840"/>
      <c r="AG103" s="840"/>
      <c r="AH103" s="840"/>
      <c r="AI103" s="840"/>
      <c r="AJ103" s="840"/>
      <c r="AK103" s="840"/>
    </row>
    <row r="104" spans="1:37" hidden="1" outlineLevel="1">
      <c r="A104" s="492" t="s">
        <v>362</v>
      </c>
      <c r="B104" s="842">
        <v>1356000</v>
      </c>
      <c r="C104" s="842">
        <v>930050</v>
      </c>
      <c r="D104" s="842">
        <v>0</v>
      </c>
      <c r="E104" s="842">
        <v>2280246.9</v>
      </c>
      <c r="F104" s="842">
        <v>0</v>
      </c>
      <c r="G104" s="842">
        <v>0</v>
      </c>
      <c r="H104" s="842">
        <v>-36530</v>
      </c>
      <c r="I104" s="842">
        <v>4529766.9000000004</v>
      </c>
      <c r="K104" s="492" t="s">
        <v>362</v>
      </c>
      <c r="L104" s="842">
        <f t="shared" si="5"/>
        <v>189616</v>
      </c>
      <c r="M104" s="842">
        <f t="shared" si="6"/>
        <v>0</v>
      </c>
      <c r="N104" s="842">
        <f t="shared" si="7"/>
        <v>0</v>
      </c>
      <c r="O104" s="842">
        <f t="shared" si="8"/>
        <v>66047.836000000127</v>
      </c>
      <c r="P104" s="842">
        <f t="shared" si="9"/>
        <v>0</v>
      </c>
      <c r="Q104" s="842">
        <f t="shared" si="10"/>
        <v>0</v>
      </c>
      <c r="R104" s="842">
        <f t="shared" si="11"/>
        <v>-89550</v>
      </c>
      <c r="S104" s="842">
        <f t="shared" si="12"/>
        <v>166113.8359999992</v>
      </c>
      <c r="AD104" s="840"/>
      <c r="AE104" s="840"/>
      <c r="AF104" s="840"/>
      <c r="AG104" s="840"/>
      <c r="AH104" s="840"/>
      <c r="AI104" s="840"/>
      <c r="AJ104" s="840"/>
      <c r="AK104" s="840"/>
    </row>
    <row r="105" spans="1:37" hidden="1" outlineLevel="1">
      <c r="A105" s="189" t="s">
        <v>699</v>
      </c>
      <c r="B105" s="842">
        <v>0</v>
      </c>
      <c r="C105" s="842">
        <v>0</v>
      </c>
      <c r="D105" s="842">
        <v>0</v>
      </c>
      <c r="E105" s="842">
        <v>741220</v>
      </c>
      <c r="F105" s="842">
        <v>0</v>
      </c>
      <c r="G105" s="842">
        <v>11300</v>
      </c>
      <c r="H105" s="842">
        <v>-6020</v>
      </c>
      <c r="I105" s="842">
        <v>746500</v>
      </c>
      <c r="K105" s="189" t="s">
        <v>699</v>
      </c>
      <c r="L105" s="842">
        <f t="shared" si="5"/>
        <v>0</v>
      </c>
      <c r="M105" s="842">
        <f t="shared" si="6"/>
        <v>0</v>
      </c>
      <c r="N105" s="842">
        <f t="shared" si="7"/>
        <v>0</v>
      </c>
      <c r="O105" s="842">
        <f t="shared" si="8"/>
        <v>51983.770000000019</v>
      </c>
      <c r="P105" s="842">
        <f t="shared" si="9"/>
        <v>0</v>
      </c>
      <c r="Q105" s="842">
        <f t="shared" si="10"/>
        <v>-11300</v>
      </c>
      <c r="R105" s="842">
        <f t="shared" si="11"/>
        <v>-1910</v>
      </c>
      <c r="S105" s="842">
        <f t="shared" si="12"/>
        <v>38773.770000000019</v>
      </c>
      <c r="AD105" s="840"/>
      <c r="AE105" s="840"/>
      <c r="AF105" s="840"/>
      <c r="AG105" s="840"/>
      <c r="AH105" s="840"/>
      <c r="AI105" s="840"/>
      <c r="AJ105" s="840"/>
      <c r="AK105" s="840"/>
    </row>
    <row r="106" spans="1:37" hidden="1" outlineLevel="1">
      <c r="A106" s="196" t="s">
        <v>164</v>
      </c>
      <c r="B106" s="845">
        <v>3440000</v>
      </c>
      <c r="C106" s="845">
        <v>0</v>
      </c>
      <c r="D106" s="845">
        <v>0</v>
      </c>
      <c r="E106" s="845">
        <v>5908195</v>
      </c>
      <c r="F106" s="845">
        <v>0</v>
      </c>
      <c r="G106" s="845">
        <v>0</v>
      </c>
      <c r="H106" s="845">
        <v>-74790</v>
      </c>
      <c r="I106" s="845">
        <v>9273405</v>
      </c>
      <c r="K106" s="196" t="s">
        <v>164</v>
      </c>
      <c r="L106" s="845">
        <f t="shared" si="5"/>
        <v>517021</v>
      </c>
      <c r="M106" s="845">
        <f t="shared" si="6"/>
        <v>0</v>
      </c>
      <c r="N106" s="845">
        <f t="shared" si="7"/>
        <v>0</v>
      </c>
      <c r="O106" s="845">
        <f t="shared" si="8"/>
        <v>1399972.1880000001</v>
      </c>
      <c r="P106" s="845">
        <f t="shared" si="9"/>
        <v>0</v>
      </c>
      <c r="Q106" s="845">
        <f t="shared" si="10"/>
        <v>0</v>
      </c>
      <c r="R106" s="845">
        <f t="shared" si="11"/>
        <v>-38600</v>
      </c>
      <c r="S106" s="845">
        <f t="shared" si="12"/>
        <v>1878393.188000001</v>
      </c>
      <c r="AD106" s="840"/>
      <c r="AE106" s="840"/>
      <c r="AF106" s="840"/>
      <c r="AG106" s="840"/>
      <c r="AH106" s="840"/>
      <c r="AI106" s="840"/>
      <c r="AJ106" s="840"/>
      <c r="AK106" s="840"/>
    </row>
    <row r="107" spans="1:37" hidden="1" outlineLevel="1">
      <c r="A107" s="492" t="s">
        <v>165</v>
      </c>
      <c r="B107" s="844">
        <v>1239409</v>
      </c>
      <c r="C107" s="844">
        <v>0</v>
      </c>
      <c r="D107" s="844">
        <v>0</v>
      </c>
      <c r="E107" s="844">
        <v>11265841</v>
      </c>
      <c r="F107" s="844">
        <v>50000</v>
      </c>
      <c r="G107" s="844">
        <v>700500</v>
      </c>
      <c r="H107" s="844">
        <v>-106050</v>
      </c>
      <c r="I107" s="844">
        <v>13149700</v>
      </c>
      <c r="K107" s="492" t="s">
        <v>165</v>
      </c>
      <c r="L107" s="844">
        <f t="shared" si="5"/>
        <v>251548</v>
      </c>
      <c r="M107" s="844">
        <f t="shared" si="6"/>
        <v>0</v>
      </c>
      <c r="N107" s="844">
        <f t="shared" si="7"/>
        <v>0</v>
      </c>
      <c r="O107" s="844">
        <f t="shared" si="8"/>
        <v>2523170.7689999994</v>
      </c>
      <c r="P107" s="844">
        <f t="shared" si="9"/>
        <v>-35000</v>
      </c>
      <c r="Q107" s="844">
        <f t="shared" si="10"/>
        <v>-700500</v>
      </c>
      <c r="R107" s="844">
        <f t="shared" si="11"/>
        <v>-157230</v>
      </c>
      <c r="S107" s="844">
        <f t="shared" si="12"/>
        <v>1881988.7689999994</v>
      </c>
      <c r="AD107" s="840"/>
      <c r="AE107" s="840"/>
      <c r="AF107" s="840"/>
      <c r="AG107" s="840"/>
      <c r="AH107" s="840"/>
      <c r="AI107" s="840"/>
      <c r="AJ107" s="840"/>
      <c r="AK107" s="840"/>
    </row>
    <row r="108" spans="1:37" hidden="1" outlineLevel="1">
      <c r="A108" s="196" t="s">
        <v>167</v>
      </c>
      <c r="B108" s="845">
        <v>4028010</v>
      </c>
      <c r="C108" s="845">
        <v>0</v>
      </c>
      <c r="D108" s="845">
        <v>0</v>
      </c>
      <c r="E108" s="845">
        <v>40170249</v>
      </c>
      <c r="F108" s="845">
        <v>0</v>
      </c>
      <c r="G108" s="845">
        <v>0</v>
      </c>
      <c r="H108" s="845">
        <v>-353590</v>
      </c>
      <c r="I108" s="845">
        <v>43844669</v>
      </c>
      <c r="K108" s="196" t="s">
        <v>167</v>
      </c>
      <c r="L108" s="845">
        <f t="shared" si="5"/>
        <v>758158</v>
      </c>
      <c r="M108" s="845">
        <f t="shared" si="6"/>
        <v>0</v>
      </c>
      <c r="N108" s="845">
        <f t="shared" si="7"/>
        <v>0</v>
      </c>
      <c r="O108" s="845">
        <f t="shared" si="8"/>
        <v>5165289.3390000015</v>
      </c>
      <c r="P108" s="845">
        <f t="shared" si="9"/>
        <v>0</v>
      </c>
      <c r="Q108" s="845">
        <f t="shared" si="10"/>
        <v>0</v>
      </c>
      <c r="R108" s="845">
        <f t="shared" si="11"/>
        <v>-209730</v>
      </c>
      <c r="S108" s="845">
        <f t="shared" si="12"/>
        <v>5713717.3390000015</v>
      </c>
      <c r="AD108" s="840"/>
      <c r="AE108" s="840"/>
      <c r="AF108" s="840"/>
      <c r="AG108" s="840"/>
      <c r="AH108" s="840"/>
      <c r="AI108" s="840"/>
      <c r="AJ108" s="840"/>
      <c r="AK108" s="840"/>
    </row>
    <row r="109" spans="1:37" hidden="1" outlineLevel="1">
      <c r="A109" s="492" t="s">
        <v>680</v>
      </c>
      <c r="B109" s="844">
        <v>9936300</v>
      </c>
      <c r="C109" s="844">
        <v>0</v>
      </c>
      <c r="D109" s="844">
        <v>0</v>
      </c>
      <c r="E109" s="844">
        <v>22716422</v>
      </c>
      <c r="F109" s="844">
        <v>0</v>
      </c>
      <c r="G109" s="844">
        <v>0</v>
      </c>
      <c r="H109" s="844">
        <v>-261220</v>
      </c>
      <c r="I109" s="844">
        <v>32391502</v>
      </c>
      <c r="K109" s="492" t="s">
        <v>680</v>
      </c>
      <c r="L109" s="844">
        <f t="shared" si="5"/>
        <v>1461306</v>
      </c>
      <c r="M109" s="844">
        <f t="shared" si="6"/>
        <v>0</v>
      </c>
      <c r="N109" s="844">
        <f t="shared" si="7"/>
        <v>0</v>
      </c>
      <c r="O109" s="844">
        <f t="shared" si="8"/>
        <v>2988828.3969999999</v>
      </c>
      <c r="P109" s="844">
        <f t="shared" si="9"/>
        <v>0</v>
      </c>
      <c r="Q109" s="844">
        <f t="shared" si="10"/>
        <v>0</v>
      </c>
      <c r="R109" s="844">
        <f t="shared" si="11"/>
        <v>-113520</v>
      </c>
      <c r="S109" s="844">
        <f t="shared" si="12"/>
        <v>4336614.3969999999</v>
      </c>
      <c r="AD109" s="840"/>
      <c r="AE109" s="840"/>
      <c r="AF109" s="840"/>
      <c r="AG109" s="840"/>
      <c r="AH109" s="840"/>
      <c r="AI109" s="840"/>
      <c r="AJ109" s="840"/>
      <c r="AK109" s="840"/>
    </row>
    <row r="110" spans="1:37" hidden="1" outlineLevel="1">
      <c r="A110" s="210" t="s">
        <v>169</v>
      </c>
      <c r="B110" s="211">
        <f>SUM(B94:B109)</f>
        <v>26725165</v>
      </c>
      <c r="C110" s="211">
        <f t="shared" ref="C110:I110" si="14">SUM(C94:C109)</f>
        <v>22415465</v>
      </c>
      <c r="D110" s="211">
        <f t="shared" si="14"/>
        <v>0</v>
      </c>
      <c r="E110" s="211">
        <f t="shared" si="14"/>
        <v>126131110.55</v>
      </c>
      <c r="F110" s="211">
        <f t="shared" si="14"/>
        <v>50000</v>
      </c>
      <c r="G110" s="211">
        <f t="shared" si="14"/>
        <v>1130200</v>
      </c>
      <c r="H110" s="211">
        <f t="shared" si="14"/>
        <v>-1411620</v>
      </c>
      <c r="I110" s="211">
        <f t="shared" si="14"/>
        <v>175040320.55000001</v>
      </c>
      <c r="K110" s="210" t="s">
        <v>169</v>
      </c>
      <c r="L110" s="211">
        <f t="shared" si="5"/>
        <v>4800050</v>
      </c>
      <c r="M110" s="211">
        <f t="shared" si="6"/>
        <v>1326848.4910000004</v>
      </c>
      <c r="N110" s="211">
        <f t="shared" si="7"/>
        <v>0</v>
      </c>
      <c r="O110" s="211">
        <f t="shared" si="8"/>
        <v>17926740.260000005</v>
      </c>
      <c r="P110" s="211">
        <f t="shared" si="9"/>
        <v>-35000</v>
      </c>
      <c r="Q110" s="211">
        <f t="shared" si="10"/>
        <v>-1117600</v>
      </c>
      <c r="R110" s="211">
        <f t="shared" si="11"/>
        <v>-1235350</v>
      </c>
      <c r="S110" s="211">
        <f t="shared" si="12"/>
        <v>21665688.750999987</v>
      </c>
      <c r="AD110" s="840"/>
      <c r="AE110" s="840"/>
      <c r="AF110" s="840"/>
      <c r="AG110" s="840"/>
      <c r="AH110" s="840"/>
      <c r="AI110" s="840"/>
      <c r="AJ110" s="840"/>
      <c r="AK110" s="840"/>
    </row>
    <row r="111" spans="1:37" ht="16.5" hidden="1" outlineLevel="1" thickBot="1">
      <c r="A111" s="213" t="s">
        <v>170</v>
      </c>
      <c r="B111" s="214">
        <f>+B110+B90+B68+B67+B66+B65+B64+B63+B62+B61</f>
        <v>175438185</v>
      </c>
      <c r="C111" s="214">
        <f t="shared" ref="C111:H111" si="15">+C110+C90+C68+C67+C66+C65+C64+C63+C62+C61</f>
        <v>67758542</v>
      </c>
      <c r="D111" s="214">
        <f t="shared" si="15"/>
        <v>23193422</v>
      </c>
      <c r="E111" s="214">
        <f>+E110+E90+E68+E67+E66+E65+E64+E63+E62+E61</f>
        <v>128161069</v>
      </c>
      <c r="F111" s="214">
        <f>+F110+F90+F68+F67+F66+F65+F64+F63+F62+F61</f>
        <v>95193900</v>
      </c>
      <c r="G111" s="214">
        <f>+G110+G90+G68+G67+G66+G65+G64+G63+G62+G61</f>
        <v>126642737</v>
      </c>
      <c r="H111" s="214">
        <f t="shared" si="15"/>
        <v>0</v>
      </c>
      <c r="I111" s="214">
        <f>+I110+I90+I68+I67+I66+I65+I64+I63+I62+I61</f>
        <v>616387855</v>
      </c>
      <c r="K111" s="213" t="s">
        <v>170</v>
      </c>
      <c r="L111" s="214">
        <f t="shared" si="5"/>
        <v>41115422</v>
      </c>
      <c r="M111" s="214">
        <f t="shared" si="6"/>
        <v>-34022483.509000003</v>
      </c>
      <c r="N111" s="214">
        <f t="shared" si="7"/>
        <v>-1455100</v>
      </c>
      <c r="O111" s="214">
        <f t="shared" si="8"/>
        <v>44360859</v>
      </c>
      <c r="P111" s="214">
        <f t="shared" si="9"/>
        <v>17968100</v>
      </c>
      <c r="Q111" s="214">
        <f t="shared" si="10"/>
        <v>17599239</v>
      </c>
      <c r="R111" s="214">
        <f t="shared" si="11"/>
        <v>0</v>
      </c>
      <c r="S111" s="214">
        <f t="shared" si="12"/>
        <v>85566036.490999937</v>
      </c>
      <c r="AD111" s="840"/>
      <c r="AE111" s="840"/>
      <c r="AF111" s="840"/>
      <c r="AG111" s="840"/>
      <c r="AH111" s="840"/>
      <c r="AI111" s="840"/>
      <c r="AJ111" s="840"/>
      <c r="AK111" s="840"/>
    </row>
    <row r="112" spans="1:37" ht="16.5" hidden="1" outlineLevel="1" thickTop="1"/>
    <row r="113" spans="1:37" collapsed="1"/>
    <row r="114" spans="1:37">
      <c r="A114" s="884" t="s">
        <v>809</v>
      </c>
      <c r="K114" s="884" t="s">
        <v>834</v>
      </c>
      <c r="L114" s="839"/>
      <c r="M114" s="839"/>
      <c r="N114" s="839"/>
      <c r="O114" s="839"/>
      <c r="P114" s="839"/>
      <c r="Q114" s="839"/>
      <c r="R114" s="839"/>
      <c r="S114" s="839"/>
    </row>
    <row r="115" spans="1:37" ht="75" outlineLevel="1">
      <c r="A115" s="853" t="s">
        <v>106</v>
      </c>
      <c r="B115" s="852" t="s">
        <v>677</v>
      </c>
      <c r="C115" s="852" t="s">
        <v>676</v>
      </c>
      <c r="D115" s="852" t="s">
        <v>292</v>
      </c>
      <c r="E115" s="852" t="s">
        <v>675</v>
      </c>
      <c r="F115" s="852" t="s">
        <v>674</v>
      </c>
      <c r="G115" s="852" t="s">
        <v>673</v>
      </c>
      <c r="H115" s="852" t="s">
        <v>672</v>
      </c>
      <c r="I115" s="852" t="str">
        <f>+A114</f>
        <v>FY23 FINAL BUDGET MODEL</v>
      </c>
      <c r="K115" s="853" t="s">
        <v>106</v>
      </c>
      <c r="L115" s="852" t="s">
        <v>677</v>
      </c>
      <c r="M115" s="852" t="s">
        <v>676</v>
      </c>
      <c r="N115" s="852" t="s">
        <v>292</v>
      </c>
      <c r="O115" s="852" t="s">
        <v>675</v>
      </c>
      <c r="P115" s="852" t="s">
        <v>674</v>
      </c>
      <c r="Q115" s="852" t="s">
        <v>673</v>
      </c>
      <c r="R115" s="852" t="s">
        <v>672</v>
      </c>
      <c r="S115" s="852" t="s">
        <v>696</v>
      </c>
    </row>
    <row r="116" spans="1:37" outlineLevel="1">
      <c r="A116" s="164" t="s">
        <v>120</v>
      </c>
      <c r="B116" s="889">
        <v>3606000</v>
      </c>
      <c r="C116" s="889">
        <v>0</v>
      </c>
      <c r="D116" s="889">
        <v>0</v>
      </c>
      <c r="E116" s="889">
        <v>-3606000</v>
      </c>
      <c r="F116" s="889">
        <v>0</v>
      </c>
      <c r="G116" s="889">
        <v>0</v>
      </c>
      <c r="H116" s="889">
        <v>0</v>
      </c>
      <c r="I116" s="889">
        <f>SUM(B116:H116)</f>
        <v>0</v>
      </c>
      <c r="K116" s="164" t="s">
        <v>120</v>
      </c>
      <c r="L116" s="889">
        <f>+B6-B116</f>
        <v>540000</v>
      </c>
      <c r="M116" s="889">
        <f t="shared" ref="M116:S116" si="16">+C6-C116</f>
        <v>0</v>
      </c>
      <c r="N116" s="889">
        <f t="shared" si="16"/>
        <v>0</v>
      </c>
      <c r="O116" s="889">
        <f t="shared" si="16"/>
        <v>-540000</v>
      </c>
      <c r="P116" s="889">
        <f t="shared" si="16"/>
        <v>0</v>
      </c>
      <c r="Q116" s="889">
        <f t="shared" si="16"/>
        <v>0</v>
      </c>
      <c r="R116" s="889">
        <f t="shared" si="16"/>
        <v>0</v>
      </c>
      <c r="S116" s="889">
        <f t="shared" si="16"/>
        <v>0</v>
      </c>
      <c r="T116" s="840"/>
      <c r="AD116" s="840"/>
      <c r="AE116" s="840"/>
      <c r="AF116" s="840"/>
      <c r="AG116" s="840"/>
      <c r="AH116" s="840"/>
      <c r="AI116" s="840"/>
      <c r="AJ116" s="840"/>
      <c r="AK116" s="840"/>
    </row>
    <row r="117" spans="1:37" outlineLevel="1">
      <c r="A117" s="164" t="s">
        <v>121</v>
      </c>
      <c r="B117" s="889">
        <v>12566795</v>
      </c>
      <c r="C117" s="889">
        <v>0</v>
      </c>
      <c r="D117" s="889">
        <v>0</v>
      </c>
      <c r="E117" s="889">
        <v>-14037038.550000012</v>
      </c>
      <c r="F117" s="889">
        <v>0</v>
      </c>
      <c r="G117" s="889">
        <v>0</v>
      </c>
      <c r="H117" s="889">
        <v>5085138</v>
      </c>
      <c r="I117" s="889">
        <f t="shared" ref="I117:I144" si="17">SUM(B117:H117)</f>
        <v>3614894.4499999881</v>
      </c>
      <c r="K117" s="164" t="s">
        <v>121</v>
      </c>
      <c r="L117" s="889">
        <f t="shared" ref="L117:L123" si="18">+B7-B117</f>
        <v>5053058</v>
      </c>
      <c r="M117" s="889">
        <f t="shared" ref="M117:M123" si="19">+C7-C117</f>
        <v>0</v>
      </c>
      <c r="N117" s="889">
        <f t="shared" ref="N117:N123" si="20">+D7-D117</f>
        <v>0</v>
      </c>
      <c r="O117" s="889">
        <f t="shared" ref="O117:O123" si="21">+E7-E117</f>
        <v>6705814.5150000192</v>
      </c>
      <c r="P117" s="889">
        <f t="shared" ref="P117:P123" si="22">+F7-F117</f>
        <v>0</v>
      </c>
      <c r="Q117" s="889">
        <f t="shared" ref="Q117:Q123" si="23">+G7-G117</f>
        <v>0</v>
      </c>
      <c r="R117" s="889">
        <f t="shared" ref="R117:R123" si="24">+H7-H117</f>
        <v>360140</v>
      </c>
      <c r="S117" s="889">
        <f t="shared" ref="S117:S123" si="25">+I7-I117</f>
        <v>12119012.515000019</v>
      </c>
      <c r="T117" s="840"/>
      <c r="AD117" s="840"/>
      <c r="AE117" s="840"/>
      <c r="AF117" s="840"/>
      <c r="AG117" s="840"/>
      <c r="AH117" s="840"/>
      <c r="AI117" s="840"/>
      <c r="AJ117" s="840"/>
      <c r="AK117" s="840"/>
    </row>
    <row r="118" spans="1:37" outlineLevel="1">
      <c r="A118" s="164" t="s">
        <v>122</v>
      </c>
      <c r="B118" s="889">
        <v>0</v>
      </c>
      <c r="C118" s="889">
        <v>0</v>
      </c>
      <c r="D118" s="889">
        <v>3115000</v>
      </c>
      <c r="E118" s="889">
        <v>0</v>
      </c>
      <c r="F118" s="889">
        <v>0</v>
      </c>
      <c r="G118" s="889">
        <v>0</v>
      </c>
      <c r="H118" s="889">
        <v>0</v>
      </c>
      <c r="I118" s="889">
        <f t="shared" si="17"/>
        <v>3115000</v>
      </c>
      <c r="K118" s="164" t="s">
        <v>122</v>
      </c>
      <c r="L118" s="889">
        <f t="shared" si="18"/>
        <v>0</v>
      </c>
      <c r="M118" s="889">
        <f t="shared" si="19"/>
        <v>0</v>
      </c>
      <c r="N118" s="889">
        <f t="shared" si="20"/>
        <v>0</v>
      </c>
      <c r="O118" s="889">
        <f t="shared" si="21"/>
        <v>0</v>
      </c>
      <c r="P118" s="889">
        <f t="shared" si="22"/>
        <v>0</v>
      </c>
      <c r="Q118" s="889">
        <f t="shared" si="23"/>
        <v>0</v>
      </c>
      <c r="R118" s="889">
        <f t="shared" si="24"/>
        <v>0</v>
      </c>
      <c r="S118" s="889">
        <f t="shared" si="25"/>
        <v>0</v>
      </c>
      <c r="T118" s="840"/>
      <c r="AD118" s="840"/>
      <c r="AE118" s="840"/>
      <c r="AF118" s="840"/>
      <c r="AG118" s="840"/>
      <c r="AH118" s="840"/>
      <c r="AI118" s="840"/>
      <c r="AJ118" s="840"/>
      <c r="AK118" s="840"/>
    </row>
    <row r="119" spans="1:37" outlineLevel="1">
      <c r="A119" s="164" t="s">
        <v>123</v>
      </c>
      <c r="B119" s="889">
        <v>11209475</v>
      </c>
      <c r="C119" s="889">
        <v>0</v>
      </c>
      <c r="D119" s="889">
        <v>0</v>
      </c>
      <c r="E119" s="889">
        <v>0</v>
      </c>
      <c r="F119" s="889">
        <v>0</v>
      </c>
      <c r="G119" s="889">
        <v>0</v>
      </c>
      <c r="H119" s="889">
        <v>0</v>
      </c>
      <c r="I119" s="889">
        <f t="shared" si="17"/>
        <v>11209475</v>
      </c>
      <c r="K119" s="164" t="s">
        <v>123</v>
      </c>
      <c r="L119" s="889">
        <f t="shared" si="18"/>
        <v>3500000</v>
      </c>
      <c r="M119" s="889">
        <f t="shared" si="19"/>
        <v>0</v>
      </c>
      <c r="N119" s="889">
        <f t="shared" si="20"/>
        <v>0</v>
      </c>
      <c r="O119" s="889">
        <f t="shared" si="21"/>
        <v>0</v>
      </c>
      <c r="P119" s="889">
        <f t="shared" si="22"/>
        <v>0</v>
      </c>
      <c r="Q119" s="889">
        <f t="shared" si="23"/>
        <v>0</v>
      </c>
      <c r="R119" s="889">
        <f t="shared" si="24"/>
        <v>0</v>
      </c>
      <c r="S119" s="889">
        <f t="shared" si="25"/>
        <v>3500000</v>
      </c>
      <c r="T119" s="840"/>
      <c r="AD119" s="840"/>
      <c r="AE119" s="840"/>
      <c r="AF119" s="840"/>
      <c r="AG119" s="840"/>
      <c r="AH119" s="840"/>
      <c r="AI119" s="840"/>
      <c r="AJ119" s="840"/>
      <c r="AK119" s="840"/>
    </row>
    <row r="120" spans="1:37" outlineLevel="1">
      <c r="A120" s="164" t="s">
        <v>125</v>
      </c>
      <c r="B120" s="889">
        <v>3670200</v>
      </c>
      <c r="C120" s="889">
        <v>5355382</v>
      </c>
      <c r="D120" s="889">
        <v>0</v>
      </c>
      <c r="E120" s="889">
        <v>0</v>
      </c>
      <c r="F120" s="889">
        <v>0</v>
      </c>
      <c r="G120" s="889">
        <v>0</v>
      </c>
      <c r="H120" s="889">
        <v>0</v>
      </c>
      <c r="I120" s="889">
        <f t="shared" si="17"/>
        <v>9025582</v>
      </c>
      <c r="K120" s="164" t="s">
        <v>125</v>
      </c>
      <c r="L120" s="889">
        <f t="shared" si="18"/>
        <v>482630</v>
      </c>
      <c r="M120" s="889">
        <f t="shared" si="19"/>
        <v>1888488</v>
      </c>
      <c r="N120" s="889">
        <f t="shared" si="20"/>
        <v>0</v>
      </c>
      <c r="O120" s="889">
        <f t="shared" si="21"/>
        <v>0</v>
      </c>
      <c r="P120" s="889">
        <f t="shared" si="22"/>
        <v>0</v>
      </c>
      <c r="Q120" s="889">
        <f t="shared" si="23"/>
        <v>0</v>
      </c>
      <c r="R120" s="889">
        <f t="shared" si="24"/>
        <v>0</v>
      </c>
      <c r="S120" s="889">
        <f t="shared" si="25"/>
        <v>2371118</v>
      </c>
      <c r="T120" s="840"/>
      <c r="AD120" s="840"/>
      <c r="AE120" s="840"/>
      <c r="AF120" s="840"/>
      <c r="AG120" s="840"/>
      <c r="AH120" s="840"/>
      <c r="AI120" s="840"/>
      <c r="AJ120" s="840"/>
      <c r="AK120" s="840"/>
    </row>
    <row r="121" spans="1:37" outlineLevel="1">
      <c r="A121" s="164" t="s">
        <v>128</v>
      </c>
      <c r="B121" s="889">
        <v>180000</v>
      </c>
      <c r="C121" s="889">
        <v>0</v>
      </c>
      <c r="D121" s="889">
        <v>0</v>
      </c>
      <c r="E121" s="889">
        <v>0</v>
      </c>
      <c r="F121" s="889">
        <v>0</v>
      </c>
      <c r="G121" s="889">
        <v>0</v>
      </c>
      <c r="H121" s="889">
        <v>0</v>
      </c>
      <c r="I121" s="889">
        <f t="shared" si="17"/>
        <v>180000</v>
      </c>
      <c r="K121" s="164" t="s">
        <v>128</v>
      </c>
      <c r="L121" s="889">
        <f t="shared" si="18"/>
        <v>0</v>
      </c>
      <c r="M121" s="889">
        <f t="shared" si="19"/>
        <v>0</v>
      </c>
      <c r="N121" s="889">
        <f t="shared" si="20"/>
        <v>0</v>
      </c>
      <c r="O121" s="889">
        <f t="shared" si="21"/>
        <v>0</v>
      </c>
      <c r="P121" s="889">
        <f t="shared" si="22"/>
        <v>0</v>
      </c>
      <c r="Q121" s="889">
        <f t="shared" si="23"/>
        <v>0</v>
      </c>
      <c r="R121" s="889">
        <f t="shared" si="24"/>
        <v>0</v>
      </c>
      <c r="S121" s="889">
        <f t="shared" si="25"/>
        <v>0</v>
      </c>
      <c r="T121" s="840"/>
      <c r="AD121" s="840"/>
      <c r="AE121" s="840"/>
      <c r="AF121" s="840"/>
      <c r="AG121" s="840"/>
      <c r="AH121" s="840"/>
      <c r="AI121" s="840"/>
      <c r="AJ121" s="840"/>
      <c r="AK121" s="840"/>
    </row>
    <row r="122" spans="1:37" outlineLevel="1">
      <c r="A122" s="164" t="s">
        <v>129</v>
      </c>
      <c r="B122" s="889">
        <v>44266187</v>
      </c>
      <c r="C122" s="889">
        <v>0</v>
      </c>
      <c r="D122" s="889">
        <v>0</v>
      </c>
      <c r="E122" s="889">
        <v>0</v>
      </c>
      <c r="F122" s="889">
        <v>0</v>
      </c>
      <c r="G122" s="889">
        <v>0</v>
      </c>
      <c r="H122" s="889">
        <v>0</v>
      </c>
      <c r="I122" s="889">
        <f t="shared" si="17"/>
        <v>44266187</v>
      </c>
      <c r="K122" s="164" t="s">
        <v>129</v>
      </c>
      <c r="L122" s="889">
        <f t="shared" si="18"/>
        <v>532605</v>
      </c>
      <c r="M122" s="889">
        <f t="shared" si="19"/>
        <v>0</v>
      </c>
      <c r="N122" s="889">
        <f t="shared" si="20"/>
        <v>0</v>
      </c>
      <c r="O122" s="889">
        <f t="shared" si="21"/>
        <v>0</v>
      </c>
      <c r="P122" s="889">
        <f t="shared" si="22"/>
        <v>0</v>
      </c>
      <c r="Q122" s="889">
        <f t="shared" si="23"/>
        <v>0</v>
      </c>
      <c r="R122" s="889">
        <f t="shared" si="24"/>
        <v>0</v>
      </c>
      <c r="S122" s="889">
        <f t="shared" si="25"/>
        <v>532605</v>
      </c>
      <c r="T122" s="840"/>
      <c r="AD122" s="840"/>
      <c r="AE122" s="840"/>
      <c r="AF122" s="840"/>
      <c r="AG122" s="840"/>
      <c r="AH122" s="840"/>
      <c r="AI122" s="840"/>
      <c r="AJ122" s="840"/>
      <c r="AK122" s="840"/>
    </row>
    <row r="123" spans="1:37" outlineLevel="1">
      <c r="A123" s="164" t="s">
        <v>627</v>
      </c>
      <c r="B123" s="889">
        <v>0</v>
      </c>
      <c r="C123" s="889">
        <v>0</v>
      </c>
      <c r="D123" s="889">
        <v>0</v>
      </c>
      <c r="E123" s="889">
        <v>0</v>
      </c>
      <c r="F123" s="889">
        <v>0</v>
      </c>
      <c r="G123" s="889">
        <v>237.00000000279397</v>
      </c>
      <c r="H123" s="889">
        <v>0</v>
      </c>
      <c r="I123" s="889">
        <f t="shared" si="17"/>
        <v>237.00000000279397</v>
      </c>
      <c r="K123" s="164" t="s">
        <v>627</v>
      </c>
      <c r="L123" s="889">
        <f t="shared" si="18"/>
        <v>-3</v>
      </c>
      <c r="M123" s="889">
        <f t="shared" si="19"/>
        <v>0</v>
      </c>
      <c r="N123" s="889">
        <f t="shared" si="20"/>
        <v>0</v>
      </c>
      <c r="O123" s="889">
        <f t="shared" si="21"/>
        <v>0</v>
      </c>
      <c r="P123" s="889">
        <f t="shared" si="22"/>
        <v>0</v>
      </c>
      <c r="Q123" s="889">
        <f t="shared" si="23"/>
        <v>-461.00000000279397</v>
      </c>
      <c r="R123" s="889">
        <f t="shared" si="24"/>
        <v>0</v>
      </c>
      <c r="S123" s="889">
        <f t="shared" si="25"/>
        <v>-464.00000000279397</v>
      </c>
      <c r="T123" s="840"/>
      <c r="AD123" s="840"/>
      <c r="AE123" s="840"/>
      <c r="AF123" s="840"/>
      <c r="AG123" s="840"/>
      <c r="AH123" s="840"/>
      <c r="AI123" s="840"/>
      <c r="AJ123" s="840"/>
      <c r="AK123" s="840"/>
    </row>
    <row r="124" spans="1:37" outlineLevel="1">
      <c r="A124" s="490"/>
      <c r="B124" s="890"/>
      <c r="C124" s="890"/>
      <c r="D124" s="890"/>
      <c r="E124" s="890"/>
      <c r="F124" s="890"/>
      <c r="G124" s="890"/>
      <c r="H124" s="890"/>
      <c r="I124" s="890"/>
      <c r="K124" s="490"/>
      <c r="L124" s="890"/>
      <c r="M124" s="890"/>
      <c r="N124" s="890"/>
      <c r="O124" s="890"/>
      <c r="P124" s="890"/>
      <c r="Q124" s="890"/>
      <c r="R124" s="890"/>
      <c r="S124" s="890"/>
      <c r="T124" s="840"/>
      <c r="AD124" s="840"/>
      <c r="AE124" s="840"/>
      <c r="AF124" s="840"/>
      <c r="AG124" s="840"/>
      <c r="AH124" s="840"/>
      <c r="AI124" s="840"/>
      <c r="AJ124" s="840"/>
      <c r="AK124" s="840"/>
    </row>
    <row r="125" spans="1:37" outlineLevel="1">
      <c r="A125" s="181" t="s">
        <v>132</v>
      </c>
      <c r="B125" s="890"/>
      <c r="C125" s="890"/>
      <c r="D125" s="890"/>
      <c r="E125" s="890"/>
      <c r="F125" s="890"/>
      <c r="G125" s="890"/>
      <c r="H125" s="890"/>
      <c r="I125" s="890"/>
      <c r="K125" s="181" t="s">
        <v>132</v>
      </c>
      <c r="L125" s="890"/>
      <c r="M125" s="890"/>
      <c r="N125" s="890"/>
      <c r="O125" s="890"/>
      <c r="P125" s="890"/>
      <c r="Q125" s="890"/>
      <c r="R125" s="890"/>
      <c r="S125" s="890"/>
      <c r="T125" s="840"/>
      <c r="AD125" s="840"/>
      <c r="AE125" s="840"/>
      <c r="AF125" s="840"/>
      <c r="AG125" s="840"/>
      <c r="AH125" s="840"/>
      <c r="AI125" s="840"/>
      <c r="AJ125" s="840"/>
      <c r="AK125" s="840"/>
    </row>
    <row r="126" spans="1:37" outlineLevel="1">
      <c r="A126" s="184" t="s">
        <v>134</v>
      </c>
      <c r="B126" s="891"/>
      <c r="C126" s="891"/>
      <c r="D126" s="891"/>
      <c r="E126" s="891"/>
      <c r="F126" s="891"/>
      <c r="G126" s="891"/>
      <c r="H126" s="891"/>
      <c r="I126" s="891"/>
      <c r="K126" s="184" t="s">
        <v>134</v>
      </c>
      <c r="L126" s="891">
        <f t="shared" ref="L126:L166" si="26">+B16-B126</f>
        <v>0</v>
      </c>
      <c r="M126" s="891">
        <f t="shared" ref="M126:M166" si="27">+C16-C126</f>
        <v>0</v>
      </c>
      <c r="N126" s="891">
        <f t="shared" ref="N126:N166" si="28">+D16-D126</f>
        <v>0</v>
      </c>
      <c r="O126" s="891">
        <f t="shared" ref="O126:O166" si="29">+E16-E126</f>
        <v>0</v>
      </c>
      <c r="P126" s="891">
        <f t="shared" ref="P126:P166" si="30">+F16-F126</f>
        <v>0</v>
      </c>
      <c r="Q126" s="891">
        <f t="shared" ref="Q126:Q166" si="31">+G16-G126</f>
        <v>0</v>
      </c>
      <c r="R126" s="891">
        <f t="shared" ref="R126:R166" si="32">+H16-H126</f>
        <v>0</v>
      </c>
      <c r="S126" s="891">
        <f t="shared" ref="S126:S165" si="33">+I16-I126</f>
        <v>0</v>
      </c>
      <c r="T126" s="840"/>
      <c r="AD126" s="840"/>
      <c r="AE126" s="840"/>
      <c r="AF126" s="840"/>
      <c r="AG126" s="840"/>
      <c r="AH126" s="840"/>
      <c r="AI126" s="840"/>
      <c r="AJ126" s="840"/>
      <c r="AK126" s="840"/>
    </row>
    <row r="127" spans="1:37" outlineLevel="1">
      <c r="A127" s="186" t="s">
        <v>136</v>
      </c>
      <c r="B127" s="892">
        <v>5651116</v>
      </c>
      <c r="C127" s="892">
        <v>0</v>
      </c>
      <c r="D127" s="892">
        <v>0</v>
      </c>
      <c r="E127" s="892">
        <v>0</v>
      </c>
      <c r="F127" s="892">
        <v>12500000</v>
      </c>
      <c r="G127" s="892">
        <v>11604800</v>
      </c>
      <c r="H127" s="892">
        <v>-470264</v>
      </c>
      <c r="I127" s="892">
        <f t="shared" si="17"/>
        <v>29285652</v>
      </c>
      <c r="K127" s="186" t="s">
        <v>136</v>
      </c>
      <c r="L127" s="892">
        <f t="shared" si="26"/>
        <v>21975</v>
      </c>
      <c r="M127" s="892">
        <f t="shared" si="27"/>
        <v>0</v>
      </c>
      <c r="N127" s="892">
        <f t="shared" si="28"/>
        <v>0</v>
      </c>
      <c r="O127" s="892">
        <f t="shared" si="29"/>
        <v>0</v>
      </c>
      <c r="P127" s="892">
        <f t="shared" si="30"/>
        <v>256000</v>
      </c>
      <c r="Q127" s="892">
        <f t="shared" si="31"/>
        <v>1282900</v>
      </c>
      <c r="R127" s="892">
        <f t="shared" si="32"/>
        <v>-17240</v>
      </c>
      <c r="S127" s="892">
        <f t="shared" si="33"/>
        <v>1543635</v>
      </c>
      <c r="T127" s="840"/>
      <c r="AD127" s="840"/>
      <c r="AE127" s="840"/>
      <c r="AF127" s="840"/>
      <c r="AG127" s="840"/>
      <c r="AH127" s="840"/>
      <c r="AI127" s="840"/>
      <c r="AJ127" s="840"/>
      <c r="AK127" s="840"/>
    </row>
    <row r="128" spans="1:37" outlineLevel="1">
      <c r="A128" s="189" t="s">
        <v>138</v>
      </c>
      <c r="B128" s="890">
        <v>3456097</v>
      </c>
      <c r="C128" s="890">
        <v>0</v>
      </c>
      <c r="D128" s="890">
        <v>0</v>
      </c>
      <c r="E128" s="890">
        <v>0</v>
      </c>
      <c r="F128" s="890">
        <v>11273051</v>
      </c>
      <c r="G128" s="890">
        <v>12695600</v>
      </c>
      <c r="H128" s="890">
        <v>-878429</v>
      </c>
      <c r="I128" s="890">
        <f t="shared" si="17"/>
        <v>26546319</v>
      </c>
      <c r="K128" s="189" t="s">
        <v>138</v>
      </c>
      <c r="L128" s="890">
        <f t="shared" si="26"/>
        <v>38118</v>
      </c>
      <c r="M128" s="890">
        <f t="shared" si="27"/>
        <v>0</v>
      </c>
      <c r="N128" s="890">
        <f t="shared" si="28"/>
        <v>0</v>
      </c>
      <c r="O128" s="890">
        <f t="shared" si="29"/>
        <v>0</v>
      </c>
      <c r="P128" s="890">
        <f t="shared" si="30"/>
        <v>2740949</v>
      </c>
      <c r="Q128" s="890">
        <f t="shared" si="31"/>
        <v>1183000</v>
      </c>
      <c r="R128" s="890">
        <f t="shared" si="32"/>
        <v>-37480</v>
      </c>
      <c r="S128" s="890">
        <f t="shared" si="33"/>
        <v>3924587</v>
      </c>
      <c r="T128" s="840"/>
      <c r="AD128" s="840"/>
      <c r="AE128" s="840"/>
      <c r="AF128" s="840"/>
      <c r="AG128" s="840"/>
      <c r="AH128" s="840"/>
      <c r="AI128" s="840"/>
      <c r="AJ128" s="840"/>
      <c r="AK128" s="840"/>
    </row>
    <row r="129" spans="1:37" outlineLevel="1">
      <c r="A129" s="492" t="s">
        <v>140</v>
      </c>
      <c r="B129" s="890">
        <v>22485891</v>
      </c>
      <c r="C129" s="890">
        <v>0</v>
      </c>
      <c r="D129" s="890">
        <v>0</v>
      </c>
      <c r="E129" s="890">
        <v>0</v>
      </c>
      <c r="F129" s="890">
        <v>27300000</v>
      </c>
      <c r="G129" s="890">
        <v>29940900</v>
      </c>
      <c r="H129" s="890">
        <v>-1149230</v>
      </c>
      <c r="I129" s="890">
        <f t="shared" si="17"/>
        <v>78577561</v>
      </c>
      <c r="K129" s="492" t="s">
        <v>140</v>
      </c>
      <c r="L129" s="890">
        <f t="shared" si="26"/>
        <v>498016</v>
      </c>
      <c r="M129" s="890">
        <f t="shared" si="27"/>
        <v>0</v>
      </c>
      <c r="N129" s="890">
        <f t="shared" si="28"/>
        <v>0</v>
      </c>
      <c r="O129" s="890">
        <f t="shared" si="29"/>
        <v>0</v>
      </c>
      <c r="P129" s="890">
        <f t="shared" si="30"/>
        <v>2646000</v>
      </c>
      <c r="Q129" s="890">
        <f t="shared" si="31"/>
        <v>3284000</v>
      </c>
      <c r="R129" s="890">
        <f t="shared" si="32"/>
        <v>-85300</v>
      </c>
      <c r="S129" s="890">
        <f t="shared" si="33"/>
        <v>6342716</v>
      </c>
      <c r="T129" s="840"/>
      <c r="AD129" s="840"/>
      <c r="AE129" s="840"/>
      <c r="AF129" s="840"/>
      <c r="AG129" s="840"/>
      <c r="AH129" s="840"/>
      <c r="AI129" s="840"/>
      <c r="AJ129" s="840"/>
      <c r="AK129" s="840"/>
    </row>
    <row r="130" spans="1:37" outlineLevel="1">
      <c r="A130" s="186" t="s">
        <v>141</v>
      </c>
      <c r="B130" s="892">
        <v>4299824</v>
      </c>
      <c r="C130" s="892">
        <v>0</v>
      </c>
      <c r="D130" s="892">
        <v>681200</v>
      </c>
      <c r="E130" s="892">
        <v>0</v>
      </c>
      <c r="F130" s="892">
        <v>2099000</v>
      </c>
      <c r="G130" s="892">
        <v>3610000</v>
      </c>
      <c r="H130" s="892">
        <v>-341623</v>
      </c>
      <c r="I130" s="892">
        <f t="shared" si="17"/>
        <v>10348401</v>
      </c>
      <c r="K130" s="186" t="s">
        <v>141</v>
      </c>
      <c r="L130" s="892">
        <f t="shared" si="26"/>
        <v>25923</v>
      </c>
      <c r="M130" s="892">
        <f t="shared" si="27"/>
        <v>0</v>
      </c>
      <c r="N130" s="892">
        <f t="shared" si="28"/>
        <v>0</v>
      </c>
      <c r="O130" s="892">
        <f t="shared" si="29"/>
        <v>0</v>
      </c>
      <c r="P130" s="892">
        <f t="shared" si="30"/>
        <v>337000</v>
      </c>
      <c r="Q130" s="892">
        <f t="shared" si="31"/>
        <v>363400</v>
      </c>
      <c r="R130" s="892">
        <f t="shared" si="32"/>
        <v>-7770</v>
      </c>
      <c r="S130" s="892">
        <f t="shared" si="33"/>
        <v>718553</v>
      </c>
      <c r="T130" s="840"/>
      <c r="AD130" s="840"/>
      <c r="AE130" s="840"/>
      <c r="AF130" s="840"/>
      <c r="AG130" s="840"/>
      <c r="AH130" s="840"/>
      <c r="AI130" s="840"/>
      <c r="AJ130" s="840"/>
      <c r="AK130" s="840"/>
    </row>
    <row r="131" spans="1:37" outlineLevel="1">
      <c r="A131" s="189" t="s">
        <v>142</v>
      </c>
      <c r="B131" s="890">
        <v>1857879</v>
      </c>
      <c r="C131" s="890">
        <v>850000</v>
      </c>
      <c r="D131" s="890">
        <v>0</v>
      </c>
      <c r="E131" s="890">
        <v>0</v>
      </c>
      <c r="F131" s="890">
        <v>5820000</v>
      </c>
      <c r="G131" s="890">
        <v>9417500</v>
      </c>
      <c r="H131" s="890">
        <v>1855320</v>
      </c>
      <c r="I131" s="890">
        <f t="shared" si="17"/>
        <v>19800699</v>
      </c>
      <c r="K131" s="189" t="s">
        <v>142</v>
      </c>
      <c r="L131" s="890">
        <f t="shared" si="26"/>
        <v>-36088</v>
      </c>
      <c r="M131" s="890">
        <f t="shared" si="27"/>
        <v>0</v>
      </c>
      <c r="N131" s="890">
        <f t="shared" si="28"/>
        <v>0</v>
      </c>
      <c r="O131" s="890">
        <f t="shared" si="29"/>
        <v>0</v>
      </c>
      <c r="P131" s="890">
        <f t="shared" si="30"/>
        <v>797000</v>
      </c>
      <c r="Q131" s="890">
        <f t="shared" si="31"/>
        <v>714900</v>
      </c>
      <c r="R131" s="890">
        <f t="shared" si="32"/>
        <v>-13200</v>
      </c>
      <c r="S131" s="890">
        <f t="shared" si="33"/>
        <v>1462612</v>
      </c>
      <c r="T131" s="840"/>
      <c r="AD131" s="840"/>
      <c r="AE131" s="840"/>
      <c r="AF131" s="840"/>
      <c r="AG131" s="840"/>
      <c r="AH131" s="840"/>
      <c r="AI131" s="840"/>
      <c r="AJ131" s="840"/>
      <c r="AK131" s="840"/>
    </row>
    <row r="132" spans="1:37" outlineLevel="1">
      <c r="A132" s="492" t="s">
        <v>143</v>
      </c>
      <c r="B132" s="890">
        <v>446500</v>
      </c>
      <c r="C132" s="890">
        <v>0</v>
      </c>
      <c r="D132" s="890">
        <v>267100</v>
      </c>
      <c r="E132" s="890">
        <v>0</v>
      </c>
      <c r="F132" s="890">
        <v>4040000</v>
      </c>
      <c r="G132" s="890">
        <v>2170800</v>
      </c>
      <c r="H132" s="890">
        <v>-135372</v>
      </c>
      <c r="I132" s="890">
        <f t="shared" si="17"/>
        <v>6789028</v>
      </c>
      <c r="K132" s="492" t="s">
        <v>143</v>
      </c>
      <c r="L132" s="890">
        <f t="shared" si="26"/>
        <v>858</v>
      </c>
      <c r="M132" s="890">
        <f t="shared" si="27"/>
        <v>0</v>
      </c>
      <c r="N132" s="890">
        <f t="shared" si="28"/>
        <v>0</v>
      </c>
      <c r="O132" s="890">
        <f t="shared" si="29"/>
        <v>0</v>
      </c>
      <c r="P132" s="890">
        <f t="shared" si="30"/>
        <v>231000</v>
      </c>
      <c r="Q132" s="890">
        <f t="shared" si="31"/>
        <v>27000</v>
      </c>
      <c r="R132" s="890">
        <f t="shared" si="32"/>
        <v>-2650</v>
      </c>
      <c r="S132" s="890">
        <f t="shared" si="33"/>
        <v>256208</v>
      </c>
      <c r="T132" s="840"/>
      <c r="AD132" s="840"/>
      <c r="AE132" s="840"/>
      <c r="AF132" s="840"/>
      <c r="AG132" s="840"/>
      <c r="AH132" s="840"/>
      <c r="AI132" s="840"/>
      <c r="AJ132" s="840"/>
      <c r="AK132" s="840"/>
    </row>
    <row r="133" spans="1:37" outlineLevel="1">
      <c r="A133" s="186" t="s">
        <v>144</v>
      </c>
      <c r="B133" s="892">
        <v>1321209</v>
      </c>
      <c r="C133" s="892">
        <v>50000</v>
      </c>
      <c r="D133" s="892">
        <v>55000</v>
      </c>
      <c r="E133" s="892">
        <v>0</v>
      </c>
      <c r="F133" s="892">
        <v>21965293</v>
      </c>
      <c r="G133" s="892">
        <v>24210700</v>
      </c>
      <c r="H133" s="892">
        <v>157832</v>
      </c>
      <c r="I133" s="892">
        <f t="shared" si="17"/>
        <v>47760034</v>
      </c>
      <c r="K133" s="186" t="s">
        <v>144</v>
      </c>
      <c r="L133" s="892">
        <f t="shared" si="26"/>
        <v>-52920</v>
      </c>
      <c r="M133" s="892">
        <f t="shared" si="27"/>
        <v>0</v>
      </c>
      <c r="N133" s="892">
        <f t="shared" si="28"/>
        <v>0</v>
      </c>
      <c r="O133" s="892">
        <f t="shared" si="29"/>
        <v>0</v>
      </c>
      <c r="P133" s="892">
        <f t="shared" si="30"/>
        <v>255707</v>
      </c>
      <c r="Q133" s="892">
        <f t="shared" si="31"/>
        <v>2173700</v>
      </c>
      <c r="R133" s="892">
        <f t="shared" si="32"/>
        <v>-18970</v>
      </c>
      <c r="S133" s="892">
        <f t="shared" si="33"/>
        <v>2357517</v>
      </c>
      <c r="T133" s="840"/>
      <c r="AD133" s="840"/>
      <c r="AE133" s="840"/>
      <c r="AF133" s="840"/>
      <c r="AG133" s="840"/>
      <c r="AH133" s="840"/>
      <c r="AI133" s="840"/>
      <c r="AJ133" s="840"/>
      <c r="AK133" s="840"/>
    </row>
    <row r="134" spans="1:37" outlineLevel="1">
      <c r="A134" s="492" t="s">
        <v>145</v>
      </c>
      <c r="B134" s="890">
        <v>4956343</v>
      </c>
      <c r="C134" s="890">
        <v>10875</v>
      </c>
      <c r="D134" s="890">
        <v>2360100</v>
      </c>
      <c r="E134" s="890">
        <v>0</v>
      </c>
      <c r="F134" s="890">
        <v>3000000</v>
      </c>
      <c r="G134" s="890">
        <v>6461100</v>
      </c>
      <c r="H134" s="890">
        <v>-197092</v>
      </c>
      <c r="I134" s="890">
        <f t="shared" si="17"/>
        <v>16591326</v>
      </c>
      <c r="K134" s="492" t="s">
        <v>145</v>
      </c>
      <c r="L134" s="890">
        <f t="shared" si="26"/>
        <v>23460</v>
      </c>
      <c r="M134" s="890">
        <f t="shared" si="27"/>
        <v>0</v>
      </c>
      <c r="N134" s="890">
        <f t="shared" si="28"/>
        <v>0</v>
      </c>
      <c r="O134" s="890">
        <f t="shared" si="29"/>
        <v>0</v>
      </c>
      <c r="P134" s="890">
        <f t="shared" si="30"/>
        <v>534000</v>
      </c>
      <c r="Q134" s="890">
        <f t="shared" si="31"/>
        <v>629800</v>
      </c>
      <c r="R134" s="890">
        <f t="shared" si="32"/>
        <v>-13620</v>
      </c>
      <c r="S134" s="890">
        <f t="shared" si="33"/>
        <v>1173640</v>
      </c>
      <c r="T134" s="840"/>
      <c r="AD134" s="840"/>
      <c r="AE134" s="840"/>
      <c r="AF134" s="840"/>
      <c r="AG134" s="840"/>
      <c r="AH134" s="840"/>
      <c r="AI134" s="840"/>
      <c r="AJ134" s="840"/>
      <c r="AK134" s="840"/>
    </row>
    <row r="135" spans="1:37" outlineLevel="1">
      <c r="A135" s="492" t="s">
        <v>146</v>
      </c>
      <c r="B135" s="890">
        <v>13506680</v>
      </c>
      <c r="C135" s="890">
        <v>0</v>
      </c>
      <c r="D135" s="890">
        <v>0</v>
      </c>
      <c r="E135" s="890">
        <v>0</v>
      </c>
      <c r="F135" s="890">
        <v>100000</v>
      </c>
      <c r="G135" s="890">
        <v>0</v>
      </c>
      <c r="H135" s="890">
        <v>-436070</v>
      </c>
      <c r="I135" s="890">
        <f t="shared" si="17"/>
        <v>13170610</v>
      </c>
      <c r="K135" s="492" t="s">
        <v>146</v>
      </c>
      <c r="L135" s="890">
        <f t="shared" si="26"/>
        <v>-601521</v>
      </c>
      <c r="M135" s="890">
        <f t="shared" si="27"/>
        <v>0</v>
      </c>
      <c r="N135" s="890">
        <f t="shared" si="28"/>
        <v>0</v>
      </c>
      <c r="O135" s="890">
        <f t="shared" si="29"/>
        <v>0</v>
      </c>
      <c r="P135" s="890">
        <f t="shared" si="30"/>
        <v>31000</v>
      </c>
      <c r="Q135" s="890">
        <f t="shared" si="31"/>
        <v>0</v>
      </c>
      <c r="R135" s="890">
        <f t="shared" si="32"/>
        <v>5710</v>
      </c>
      <c r="S135" s="890">
        <f t="shared" si="33"/>
        <v>-564811</v>
      </c>
      <c r="T135" s="840"/>
      <c r="AD135" s="840"/>
      <c r="AE135" s="840"/>
      <c r="AF135" s="840"/>
      <c r="AG135" s="840"/>
      <c r="AH135" s="840"/>
      <c r="AI135" s="840"/>
      <c r="AJ135" s="840"/>
      <c r="AK135" s="840"/>
    </row>
    <row r="136" spans="1:37" outlineLevel="1">
      <c r="A136" s="186" t="s">
        <v>147</v>
      </c>
      <c r="B136" s="892">
        <v>2094397</v>
      </c>
      <c r="C136" s="892">
        <v>750000</v>
      </c>
      <c r="D136" s="892">
        <v>0</v>
      </c>
      <c r="E136" s="892">
        <v>0</v>
      </c>
      <c r="F136" s="892">
        <v>14766000</v>
      </c>
      <c r="G136" s="892">
        <v>28687300</v>
      </c>
      <c r="H136" s="892">
        <v>279923</v>
      </c>
      <c r="I136" s="892">
        <f t="shared" si="17"/>
        <v>46577620</v>
      </c>
      <c r="K136" s="186" t="s">
        <v>147</v>
      </c>
      <c r="L136" s="892">
        <f t="shared" si="26"/>
        <v>-42997</v>
      </c>
      <c r="M136" s="892">
        <f t="shared" si="27"/>
        <v>0</v>
      </c>
      <c r="N136" s="892">
        <f t="shared" si="28"/>
        <v>0</v>
      </c>
      <c r="O136" s="892">
        <f t="shared" si="29"/>
        <v>0</v>
      </c>
      <c r="P136" s="892">
        <f t="shared" si="30"/>
        <v>1705000</v>
      </c>
      <c r="Q136" s="892">
        <f t="shared" si="31"/>
        <v>2732900</v>
      </c>
      <c r="R136" s="892">
        <f t="shared" si="32"/>
        <v>-40770</v>
      </c>
      <c r="S136" s="892">
        <f t="shared" si="33"/>
        <v>4354133</v>
      </c>
      <c r="T136" s="840"/>
      <c r="AD136" s="840"/>
      <c r="AE136" s="840"/>
      <c r="AF136" s="840"/>
      <c r="AG136" s="840"/>
      <c r="AH136" s="840"/>
      <c r="AI136" s="840"/>
      <c r="AJ136" s="840"/>
      <c r="AK136" s="840"/>
    </row>
    <row r="137" spans="1:37" outlineLevel="1">
      <c r="A137" s="492" t="s">
        <v>148</v>
      </c>
      <c r="B137" s="890">
        <v>24339671</v>
      </c>
      <c r="C137" s="890">
        <v>0</v>
      </c>
      <c r="D137" s="890">
        <v>6750000</v>
      </c>
      <c r="E137" s="890">
        <v>0</v>
      </c>
      <c r="F137" s="890">
        <v>0</v>
      </c>
      <c r="G137" s="890">
        <v>0</v>
      </c>
      <c r="H137" s="890">
        <v>-310900</v>
      </c>
      <c r="I137" s="890">
        <f t="shared" si="17"/>
        <v>30778771</v>
      </c>
      <c r="K137" s="492" t="s">
        <v>148</v>
      </c>
      <c r="L137" s="890">
        <f t="shared" si="26"/>
        <v>520971</v>
      </c>
      <c r="M137" s="890">
        <f t="shared" si="27"/>
        <v>0</v>
      </c>
      <c r="N137" s="890">
        <f t="shared" si="28"/>
        <v>0</v>
      </c>
      <c r="O137" s="890">
        <f t="shared" si="29"/>
        <v>0</v>
      </c>
      <c r="P137" s="890">
        <f t="shared" si="30"/>
        <v>0</v>
      </c>
      <c r="Q137" s="890">
        <f t="shared" si="31"/>
        <v>0</v>
      </c>
      <c r="R137" s="890">
        <f t="shared" si="32"/>
        <v>-5210</v>
      </c>
      <c r="S137" s="890">
        <f t="shared" si="33"/>
        <v>515761</v>
      </c>
      <c r="T137" s="840"/>
      <c r="AD137" s="840"/>
      <c r="AE137" s="840"/>
      <c r="AF137" s="840"/>
      <c r="AG137" s="840"/>
      <c r="AH137" s="840"/>
      <c r="AI137" s="840"/>
      <c r="AJ137" s="840"/>
      <c r="AK137" s="840"/>
    </row>
    <row r="138" spans="1:37" outlineLevel="1">
      <c r="A138" s="186" t="s">
        <v>801</v>
      </c>
      <c r="B138" s="892">
        <v>2026500</v>
      </c>
      <c r="C138" s="892">
        <v>0</v>
      </c>
      <c r="D138" s="892">
        <v>670515</v>
      </c>
      <c r="E138" s="892">
        <v>0</v>
      </c>
      <c r="F138" s="892">
        <v>49000</v>
      </c>
      <c r="G138" s="892">
        <v>1381700</v>
      </c>
      <c r="H138" s="892">
        <v>-96953</v>
      </c>
      <c r="I138" s="892">
        <f t="shared" si="17"/>
        <v>4030762</v>
      </c>
      <c r="K138" s="186" t="s">
        <v>801</v>
      </c>
      <c r="L138" s="892">
        <f t="shared" si="26"/>
        <v>57174</v>
      </c>
      <c r="M138" s="892">
        <f t="shared" si="27"/>
        <v>0</v>
      </c>
      <c r="N138" s="892">
        <f t="shared" si="28"/>
        <v>0</v>
      </c>
      <c r="O138" s="892">
        <f t="shared" si="29"/>
        <v>0</v>
      </c>
      <c r="P138" s="892">
        <f t="shared" si="30"/>
        <v>25000</v>
      </c>
      <c r="Q138" s="892">
        <f t="shared" si="31"/>
        <v>243200</v>
      </c>
      <c r="R138" s="892">
        <f t="shared" si="32"/>
        <v>-3260</v>
      </c>
      <c r="S138" s="892">
        <f t="shared" si="33"/>
        <v>322114</v>
      </c>
      <c r="T138" s="840"/>
      <c r="AD138" s="840"/>
      <c r="AE138" s="840"/>
      <c r="AF138" s="840"/>
      <c r="AG138" s="840"/>
      <c r="AH138" s="840"/>
      <c r="AI138" s="840"/>
      <c r="AJ138" s="840"/>
      <c r="AK138" s="840"/>
    </row>
    <row r="139" spans="1:37" outlineLevel="1">
      <c r="A139" s="189" t="s">
        <v>150</v>
      </c>
      <c r="B139" s="890">
        <v>0</v>
      </c>
      <c r="C139" s="890">
        <v>0</v>
      </c>
      <c r="D139" s="890">
        <v>0</v>
      </c>
      <c r="E139" s="890">
        <v>24500421</v>
      </c>
      <c r="F139" s="890">
        <v>0</v>
      </c>
      <c r="G139" s="890">
        <v>0</v>
      </c>
      <c r="H139" s="890">
        <v>-245000</v>
      </c>
      <c r="I139" s="890">
        <f t="shared" si="17"/>
        <v>24255421</v>
      </c>
      <c r="K139" s="189" t="s">
        <v>150</v>
      </c>
      <c r="L139" s="890">
        <f t="shared" si="26"/>
        <v>0</v>
      </c>
      <c r="M139" s="890">
        <f t="shared" si="27"/>
        <v>0</v>
      </c>
      <c r="N139" s="890">
        <f t="shared" si="28"/>
        <v>0</v>
      </c>
      <c r="O139" s="890">
        <f t="shared" si="29"/>
        <v>700961.41899999976</v>
      </c>
      <c r="P139" s="890">
        <f t="shared" si="30"/>
        <v>0</v>
      </c>
      <c r="Q139" s="890">
        <f t="shared" si="31"/>
        <v>0</v>
      </c>
      <c r="R139" s="890">
        <f t="shared" si="32"/>
        <v>-7010</v>
      </c>
      <c r="S139" s="890">
        <f t="shared" si="33"/>
        <v>693951.41899999976</v>
      </c>
      <c r="T139" s="840"/>
      <c r="AD139" s="840"/>
      <c r="AE139" s="840"/>
      <c r="AF139" s="840"/>
      <c r="AG139" s="840"/>
      <c r="AH139" s="840"/>
      <c r="AI139" s="840"/>
      <c r="AJ139" s="840"/>
      <c r="AK139" s="840"/>
    </row>
    <row r="140" spans="1:37" outlineLevel="1">
      <c r="A140" s="492" t="s">
        <v>540</v>
      </c>
      <c r="B140" s="890">
        <v>5736100</v>
      </c>
      <c r="C140" s="890">
        <v>0</v>
      </c>
      <c r="D140" s="890">
        <v>0</v>
      </c>
      <c r="E140" s="890">
        <v>0</v>
      </c>
      <c r="F140" s="890">
        <v>0</v>
      </c>
      <c r="G140" s="890">
        <v>0</v>
      </c>
      <c r="H140" s="890">
        <v>-57360</v>
      </c>
      <c r="I140" s="890">
        <f t="shared" si="17"/>
        <v>5678740</v>
      </c>
      <c r="K140" s="492" t="s">
        <v>540</v>
      </c>
      <c r="L140" s="890">
        <f t="shared" si="26"/>
        <v>184300</v>
      </c>
      <c r="M140" s="890">
        <f t="shared" si="27"/>
        <v>0</v>
      </c>
      <c r="N140" s="890">
        <f t="shared" si="28"/>
        <v>0</v>
      </c>
      <c r="O140" s="890">
        <f t="shared" si="29"/>
        <v>0</v>
      </c>
      <c r="P140" s="890">
        <f t="shared" si="30"/>
        <v>0</v>
      </c>
      <c r="Q140" s="890">
        <f t="shared" si="31"/>
        <v>0</v>
      </c>
      <c r="R140" s="890">
        <f t="shared" si="32"/>
        <v>-1840</v>
      </c>
      <c r="S140" s="890">
        <f t="shared" si="33"/>
        <v>182460</v>
      </c>
      <c r="T140" s="840"/>
      <c r="AD140" s="840"/>
      <c r="AE140" s="840"/>
      <c r="AF140" s="840"/>
      <c r="AG140" s="840"/>
      <c r="AH140" s="840"/>
      <c r="AI140" s="840"/>
      <c r="AJ140" s="840"/>
      <c r="AK140" s="840"/>
    </row>
    <row r="141" spans="1:37" outlineLevel="1">
      <c r="A141" s="602" t="s">
        <v>653</v>
      </c>
      <c r="B141" s="892">
        <v>0</v>
      </c>
      <c r="C141" s="892">
        <v>0</v>
      </c>
      <c r="D141" s="892">
        <v>0</v>
      </c>
      <c r="E141" s="892">
        <v>700463</v>
      </c>
      <c r="F141" s="892">
        <v>0</v>
      </c>
      <c r="G141" s="892">
        <v>1000</v>
      </c>
      <c r="H141" s="892">
        <v>-7010</v>
      </c>
      <c r="I141" s="892">
        <f t="shared" si="17"/>
        <v>694453</v>
      </c>
      <c r="K141" s="602" t="s">
        <v>653</v>
      </c>
      <c r="L141" s="892">
        <f t="shared" si="26"/>
        <v>0</v>
      </c>
      <c r="M141" s="892">
        <f t="shared" si="27"/>
        <v>0</v>
      </c>
      <c r="N141" s="892">
        <f t="shared" si="28"/>
        <v>0</v>
      </c>
      <c r="O141" s="892">
        <f t="shared" si="29"/>
        <v>20034.667000000016</v>
      </c>
      <c r="P141" s="892">
        <f t="shared" si="30"/>
        <v>0</v>
      </c>
      <c r="Q141" s="892">
        <f t="shared" si="31"/>
        <v>400</v>
      </c>
      <c r="R141" s="892">
        <f t="shared" si="32"/>
        <v>-210</v>
      </c>
      <c r="S141" s="892">
        <f t="shared" si="33"/>
        <v>20224.667000000016</v>
      </c>
      <c r="T141" s="840"/>
      <c r="AD141" s="840"/>
      <c r="AE141" s="840"/>
      <c r="AF141" s="840"/>
      <c r="AG141" s="840"/>
      <c r="AH141" s="840"/>
      <c r="AI141" s="840"/>
      <c r="AJ141" s="840"/>
      <c r="AK141" s="840"/>
    </row>
    <row r="142" spans="1:37" outlineLevel="1">
      <c r="A142" s="197" t="s">
        <v>152</v>
      </c>
      <c r="B142" s="890">
        <v>12000</v>
      </c>
      <c r="C142" s="890">
        <v>0</v>
      </c>
      <c r="D142" s="890">
        <v>0</v>
      </c>
      <c r="E142" s="890">
        <v>0</v>
      </c>
      <c r="F142" s="890">
        <v>521572</v>
      </c>
      <c r="G142" s="890">
        <v>453100</v>
      </c>
      <c r="H142" s="890">
        <v>-9870</v>
      </c>
      <c r="I142" s="890">
        <f t="shared" si="17"/>
        <v>976802</v>
      </c>
      <c r="K142" s="197" t="s">
        <v>152</v>
      </c>
      <c r="L142" s="890">
        <f t="shared" si="26"/>
        <v>0</v>
      </c>
      <c r="M142" s="890">
        <f t="shared" si="27"/>
        <v>0</v>
      </c>
      <c r="N142" s="890">
        <f t="shared" si="28"/>
        <v>0</v>
      </c>
      <c r="O142" s="890">
        <f t="shared" si="29"/>
        <v>0</v>
      </c>
      <c r="P142" s="890">
        <f t="shared" si="30"/>
        <v>154428</v>
      </c>
      <c r="Q142" s="890">
        <f t="shared" si="31"/>
        <v>14400</v>
      </c>
      <c r="R142" s="890">
        <f t="shared" si="32"/>
        <v>-1690</v>
      </c>
      <c r="S142" s="890">
        <f t="shared" si="33"/>
        <v>167138</v>
      </c>
      <c r="T142" s="840"/>
      <c r="AD142" s="840"/>
      <c r="AE142" s="840"/>
      <c r="AF142" s="840"/>
      <c r="AG142" s="840"/>
      <c r="AH142" s="840"/>
      <c r="AI142" s="840"/>
      <c r="AJ142" s="840"/>
      <c r="AK142" s="840"/>
    </row>
    <row r="143" spans="1:37" outlineLevel="1">
      <c r="A143" s="492" t="s">
        <v>153</v>
      </c>
      <c r="B143" s="890">
        <v>3084289</v>
      </c>
      <c r="C143" s="890">
        <v>0</v>
      </c>
      <c r="D143" s="890">
        <v>0</v>
      </c>
      <c r="E143" s="890">
        <v>13396711</v>
      </c>
      <c r="F143" s="890">
        <v>0</v>
      </c>
      <c r="G143" s="890">
        <v>0</v>
      </c>
      <c r="H143" s="890">
        <v>-180810</v>
      </c>
      <c r="I143" s="890">
        <f t="shared" si="17"/>
        <v>16300190</v>
      </c>
      <c r="K143" s="492" t="s">
        <v>153</v>
      </c>
      <c r="L143" s="890">
        <f t="shared" si="26"/>
        <v>70082</v>
      </c>
      <c r="M143" s="890">
        <f t="shared" si="27"/>
        <v>0</v>
      </c>
      <c r="N143" s="890">
        <f t="shared" si="28"/>
        <v>0</v>
      </c>
      <c r="O143" s="890">
        <f t="shared" si="29"/>
        <v>622710.13900000043</v>
      </c>
      <c r="P143" s="890">
        <f t="shared" si="30"/>
        <v>0</v>
      </c>
      <c r="Q143" s="890">
        <f t="shared" si="31"/>
        <v>0</v>
      </c>
      <c r="R143" s="890">
        <f t="shared" si="32"/>
        <v>-5300</v>
      </c>
      <c r="S143" s="890">
        <f t="shared" si="33"/>
        <v>687492.13899999857</v>
      </c>
      <c r="T143" s="840"/>
      <c r="AD143" s="840"/>
      <c r="AE143" s="840"/>
      <c r="AF143" s="840"/>
      <c r="AG143" s="840"/>
      <c r="AH143" s="840"/>
      <c r="AI143" s="840"/>
      <c r="AJ143" s="840"/>
      <c r="AK143" s="840"/>
    </row>
    <row r="144" spans="1:37" outlineLevel="1">
      <c r="A144" s="196" t="s">
        <v>361</v>
      </c>
      <c r="B144" s="889">
        <v>3439099</v>
      </c>
      <c r="C144" s="889">
        <v>225000</v>
      </c>
      <c r="D144" s="889">
        <v>7839407</v>
      </c>
      <c r="E144" s="889">
        <v>0</v>
      </c>
      <c r="F144" s="889">
        <v>0</v>
      </c>
      <c r="G144" s="889">
        <v>826800</v>
      </c>
      <c r="H144" s="889">
        <v>-309710</v>
      </c>
      <c r="I144" s="889">
        <f t="shared" si="17"/>
        <v>12020596</v>
      </c>
      <c r="K144" s="196" t="s">
        <v>361</v>
      </c>
      <c r="L144" s="889">
        <f t="shared" si="26"/>
        <v>499</v>
      </c>
      <c r="M144" s="889">
        <f t="shared" si="27"/>
        <v>864000</v>
      </c>
      <c r="N144" s="889">
        <f t="shared" si="28"/>
        <v>0</v>
      </c>
      <c r="O144" s="889">
        <f t="shared" si="29"/>
        <v>0</v>
      </c>
      <c r="P144" s="889">
        <f t="shared" si="30"/>
        <v>0</v>
      </c>
      <c r="Q144" s="889">
        <f t="shared" si="31"/>
        <v>118700</v>
      </c>
      <c r="R144" s="889">
        <f t="shared" si="32"/>
        <v>-9880</v>
      </c>
      <c r="S144" s="889">
        <f t="shared" si="33"/>
        <v>973319</v>
      </c>
      <c r="T144" s="840"/>
      <c r="AD144" s="840"/>
      <c r="AE144" s="840"/>
      <c r="AF144" s="840"/>
      <c r="AG144" s="840"/>
      <c r="AH144" s="840"/>
      <c r="AI144" s="840"/>
      <c r="AJ144" s="840"/>
      <c r="AK144" s="840"/>
    </row>
    <row r="145" spans="1:37" outlineLevel="1">
      <c r="A145" s="200" t="s">
        <v>155</v>
      </c>
      <c r="B145" s="893">
        <f>SUM(B126:B144)</f>
        <v>98713595</v>
      </c>
      <c r="C145" s="893">
        <f t="shared" ref="C145:H145" si="34">SUM(C126:C144)</f>
        <v>1885875</v>
      </c>
      <c r="D145" s="893">
        <f t="shared" si="34"/>
        <v>18623322</v>
      </c>
      <c r="E145" s="893">
        <f t="shared" si="34"/>
        <v>38597595</v>
      </c>
      <c r="F145" s="893">
        <f t="shared" si="34"/>
        <v>103433916</v>
      </c>
      <c r="G145" s="893">
        <f t="shared" si="34"/>
        <v>131461300</v>
      </c>
      <c r="H145" s="893">
        <f t="shared" si="34"/>
        <v>-2532618</v>
      </c>
      <c r="I145" s="893">
        <f>SUM(I126:I144)</f>
        <v>390182985</v>
      </c>
      <c r="K145" s="200" t="s">
        <v>155</v>
      </c>
      <c r="L145" s="893">
        <f t="shared" si="26"/>
        <v>707850</v>
      </c>
      <c r="M145" s="893">
        <f t="shared" si="27"/>
        <v>864000</v>
      </c>
      <c r="N145" s="893">
        <f t="shared" si="28"/>
        <v>0</v>
      </c>
      <c r="O145" s="893">
        <f t="shared" si="29"/>
        <v>1343706.2250000015</v>
      </c>
      <c r="P145" s="893">
        <f t="shared" si="30"/>
        <v>9713084</v>
      </c>
      <c r="Q145" s="893">
        <f t="shared" si="31"/>
        <v>12768300</v>
      </c>
      <c r="R145" s="893">
        <f t="shared" si="32"/>
        <v>-265690</v>
      </c>
      <c r="S145" s="893">
        <f t="shared" si="33"/>
        <v>25131250.225000024</v>
      </c>
      <c r="T145" s="840"/>
      <c r="AD145" s="840"/>
      <c r="AE145" s="840"/>
      <c r="AF145" s="840"/>
      <c r="AG145" s="840"/>
      <c r="AH145" s="840"/>
      <c r="AI145" s="840"/>
      <c r="AJ145" s="840"/>
      <c r="AK145" s="840"/>
    </row>
    <row r="146" spans="1:37" outlineLevel="1">
      <c r="A146" s="492"/>
      <c r="B146" s="524"/>
      <c r="C146" s="524"/>
      <c r="D146" s="524"/>
      <c r="E146" s="524"/>
      <c r="F146" s="524"/>
      <c r="G146" s="524"/>
      <c r="H146" s="524"/>
      <c r="I146" s="524"/>
      <c r="K146" s="492"/>
      <c r="L146" s="524"/>
      <c r="M146" s="524"/>
      <c r="N146" s="524"/>
      <c r="O146" s="524"/>
      <c r="P146" s="524"/>
      <c r="Q146" s="524"/>
      <c r="R146" s="524"/>
      <c r="S146" s="524"/>
      <c r="T146" s="840"/>
      <c r="AD146" s="840"/>
      <c r="AE146" s="840"/>
      <c r="AF146" s="840"/>
      <c r="AG146" s="840"/>
      <c r="AH146" s="840"/>
      <c r="AI146" s="840"/>
      <c r="AJ146" s="840"/>
      <c r="AK146" s="840"/>
    </row>
    <row r="147" spans="1:37" outlineLevel="1">
      <c r="A147" s="490"/>
      <c r="B147" s="524"/>
      <c r="C147" s="524"/>
      <c r="D147" s="524"/>
      <c r="E147" s="524"/>
      <c r="F147" s="524"/>
      <c r="G147" s="524"/>
      <c r="H147" s="524"/>
      <c r="I147" s="524"/>
      <c r="K147" s="490"/>
      <c r="L147" s="524"/>
      <c r="M147" s="524"/>
      <c r="N147" s="524"/>
      <c r="O147" s="524"/>
      <c r="P147" s="524"/>
      <c r="Q147" s="524"/>
      <c r="R147" s="524"/>
      <c r="S147" s="524"/>
      <c r="T147" s="840"/>
      <c r="AD147" s="840"/>
      <c r="AE147" s="840"/>
      <c r="AF147" s="840"/>
      <c r="AG147" s="840"/>
      <c r="AH147" s="840"/>
      <c r="AI147" s="840"/>
      <c r="AJ147" s="840"/>
      <c r="AK147" s="840"/>
    </row>
    <row r="148" spans="1:37" outlineLevel="1">
      <c r="A148" s="189" t="s">
        <v>156</v>
      </c>
      <c r="B148" s="890">
        <v>0</v>
      </c>
      <c r="C148" s="890">
        <v>0</v>
      </c>
      <c r="D148" s="890">
        <v>0</v>
      </c>
      <c r="E148" s="890">
        <v>0</v>
      </c>
      <c r="F148" s="890">
        <v>0</v>
      </c>
      <c r="G148" s="890">
        <v>0</v>
      </c>
      <c r="H148" s="890">
        <v>0</v>
      </c>
      <c r="I148" s="890"/>
      <c r="K148" s="189" t="s">
        <v>156</v>
      </c>
      <c r="L148" s="890">
        <f t="shared" si="26"/>
        <v>0</v>
      </c>
      <c r="M148" s="890">
        <f t="shared" si="27"/>
        <v>0</v>
      </c>
      <c r="N148" s="890">
        <f t="shared" si="28"/>
        <v>0</v>
      </c>
      <c r="O148" s="890">
        <f t="shared" si="29"/>
        <v>0</v>
      </c>
      <c r="P148" s="890">
        <f t="shared" si="30"/>
        <v>0</v>
      </c>
      <c r="Q148" s="890">
        <f t="shared" si="31"/>
        <v>0</v>
      </c>
      <c r="R148" s="890">
        <f t="shared" si="32"/>
        <v>0</v>
      </c>
      <c r="S148" s="890">
        <f t="shared" si="33"/>
        <v>0</v>
      </c>
      <c r="T148" s="840"/>
      <c r="AD148" s="840"/>
      <c r="AE148" s="840"/>
      <c r="AF148" s="840"/>
      <c r="AG148" s="840"/>
      <c r="AH148" s="840"/>
      <c r="AI148" s="840"/>
      <c r="AJ148" s="840"/>
      <c r="AK148" s="840"/>
    </row>
    <row r="149" spans="1:37" outlineLevel="1">
      <c r="A149" s="186" t="s">
        <v>586</v>
      </c>
      <c r="B149" s="894">
        <v>0</v>
      </c>
      <c r="C149" s="894">
        <v>10535576</v>
      </c>
      <c r="D149" s="894">
        <v>0</v>
      </c>
      <c r="E149" s="894">
        <v>0</v>
      </c>
      <c r="F149" s="894">
        <v>0</v>
      </c>
      <c r="G149" s="894">
        <v>0</v>
      </c>
      <c r="H149" s="894">
        <v>-105360</v>
      </c>
      <c r="I149" s="894">
        <f>SUM(B149:H149)</f>
        <v>10430216</v>
      </c>
      <c r="K149" s="186" t="s">
        <v>586</v>
      </c>
      <c r="L149" s="894">
        <f t="shared" si="26"/>
        <v>0</v>
      </c>
      <c r="M149" s="894">
        <f t="shared" si="27"/>
        <v>301418.42400000058</v>
      </c>
      <c r="N149" s="894">
        <f t="shared" si="28"/>
        <v>0</v>
      </c>
      <c r="O149" s="894">
        <f t="shared" si="29"/>
        <v>0</v>
      </c>
      <c r="P149" s="894">
        <f t="shared" si="30"/>
        <v>0</v>
      </c>
      <c r="Q149" s="894">
        <f t="shared" si="31"/>
        <v>0</v>
      </c>
      <c r="R149" s="894">
        <f t="shared" si="32"/>
        <v>-3010</v>
      </c>
      <c r="S149" s="894">
        <f t="shared" si="33"/>
        <v>298408.42400000058</v>
      </c>
      <c r="T149" s="840"/>
      <c r="AD149" s="840"/>
      <c r="AE149" s="840"/>
      <c r="AF149" s="840"/>
      <c r="AG149" s="840"/>
      <c r="AH149" s="840"/>
      <c r="AI149" s="840"/>
      <c r="AJ149" s="840"/>
      <c r="AK149" s="840"/>
    </row>
    <row r="150" spans="1:37" outlineLevel="1">
      <c r="A150" s="197" t="s">
        <v>158</v>
      </c>
      <c r="B150" s="891">
        <v>0</v>
      </c>
      <c r="C150" s="891">
        <v>8000000</v>
      </c>
      <c r="D150" s="891">
        <v>0</v>
      </c>
      <c r="E150" s="891">
        <v>0</v>
      </c>
      <c r="F150" s="891">
        <v>0</v>
      </c>
      <c r="G150" s="891">
        <v>0</v>
      </c>
      <c r="H150" s="891">
        <v>-80000</v>
      </c>
      <c r="I150" s="891">
        <f t="shared" ref="I150:I164" si="35">SUM(B150:H150)</f>
        <v>7920000</v>
      </c>
      <c r="K150" s="197" t="s">
        <v>158</v>
      </c>
      <c r="L150" s="891">
        <f t="shared" si="26"/>
        <v>0</v>
      </c>
      <c r="M150" s="891">
        <f t="shared" si="27"/>
        <v>0</v>
      </c>
      <c r="N150" s="891">
        <f t="shared" si="28"/>
        <v>0</v>
      </c>
      <c r="O150" s="891">
        <f t="shared" si="29"/>
        <v>0</v>
      </c>
      <c r="P150" s="891">
        <f t="shared" si="30"/>
        <v>0</v>
      </c>
      <c r="Q150" s="891">
        <f t="shared" si="31"/>
        <v>0</v>
      </c>
      <c r="R150" s="891">
        <f t="shared" si="32"/>
        <v>0</v>
      </c>
      <c r="S150" s="891">
        <f t="shared" si="33"/>
        <v>0</v>
      </c>
      <c r="T150" s="840"/>
      <c r="AD150" s="840"/>
      <c r="AE150" s="840"/>
      <c r="AF150" s="840"/>
      <c r="AG150" s="840"/>
      <c r="AH150" s="840"/>
      <c r="AI150" s="840"/>
      <c r="AJ150" s="840"/>
      <c r="AK150" s="840"/>
    </row>
    <row r="151" spans="1:37" outlineLevel="1">
      <c r="A151" s="492" t="s">
        <v>159</v>
      </c>
      <c r="B151" s="891">
        <v>7700</v>
      </c>
      <c r="C151" s="891">
        <v>0</v>
      </c>
      <c r="D151" s="891">
        <v>0</v>
      </c>
      <c r="E151" s="891">
        <v>4290939</v>
      </c>
      <c r="F151" s="891">
        <v>0</v>
      </c>
      <c r="G151" s="891">
        <v>0</v>
      </c>
      <c r="H151" s="891">
        <v>-43560</v>
      </c>
      <c r="I151" s="891">
        <f t="shared" si="35"/>
        <v>4255079</v>
      </c>
      <c r="K151" s="492" t="s">
        <v>159</v>
      </c>
      <c r="L151" s="891">
        <f t="shared" si="26"/>
        <v>16</v>
      </c>
      <c r="M151" s="891">
        <f t="shared" si="27"/>
        <v>0</v>
      </c>
      <c r="N151" s="891">
        <f t="shared" si="28"/>
        <v>0</v>
      </c>
      <c r="O151" s="891">
        <f t="shared" si="29"/>
        <v>122087.78100000042</v>
      </c>
      <c r="P151" s="891">
        <f t="shared" si="30"/>
        <v>0</v>
      </c>
      <c r="Q151" s="891">
        <f t="shared" si="31"/>
        <v>0</v>
      </c>
      <c r="R151" s="891">
        <f t="shared" si="32"/>
        <v>-1220</v>
      </c>
      <c r="S151" s="891">
        <f t="shared" si="33"/>
        <v>120883.78100000042</v>
      </c>
      <c r="T151" s="840"/>
      <c r="AD151" s="840"/>
      <c r="AE151" s="840"/>
      <c r="AF151" s="840"/>
      <c r="AG151" s="840"/>
      <c r="AH151" s="840"/>
      <c r="AI151" s="840"/>
      <c r="AJ151" s="840"/>
      <c r="AK151" s="840"/>
    </row>
    <row r="152" spans="1:37" outlineLevel="1">
      <c r="A152" s="189" t="s">
        <v>160</v>
      </c>
      <c r="B152" s="890">
        <v>0</v>
      </c>
      <c r="C152" s="890">
        <v>1237734</v>
      </c>
      <c r="D152" s="890">
        <v>0</v>
      </c>
      <c r="E152" s="890">
        <v>0</v>
      </c>
      <c r="F152" s="890">
        <v>0</v>
      </c>
      <c r="G152" s="890">
        <v>0</v>
      </c>
      <c r="H152" s="890">
        <v>-12380</v>
      </c>
      <c r="I152" s="890">
        <f t="shared" si="35"/>
        <v>1225354</v>
      </c>
      <c r="K152" s="189" t="s">
        <v>160</v>
      </c>
      <c r="L152" s="890">
        <f t="shared" si="26"/>
        <v>0</v>
      </c>
      <c r="M152" s="890">
        <f t="shared" si="27"/>
        <v>35408.806000000099</v>
      </c>
      <c r="N152" s="890">
        <f t="shared" si="28"/>
        <v>0</v>
      </c>
      <c r="O152" s="890">
        <f t="shared" si="29"/>
        <v>0</v>
      </c>
      <c r="P152" s="890">
        <f t="shared" si="30"/>
        <v>0</v>
      </c>
      <c r="Q152" s="890">
        <f t="shared" si="31"/>
        <v>0</v>
      </c>
      <c r="R152" s="890">
        <f t="shared" si="32"/>
        <v>-350</v>
      </c>
      <c r="S152" s="890">
        <f t="shared" si="33"/>
        <v>35058.806000000099</v>
      </c>
      <c r="T152" s="840"/>
      <c r="AD152" s="840"/>
      <c r="AE152" s="840"/>
      <c r="AF152" s="840"/>
      <c r="AG152" s="840"/>
      <c r="AH152" s="840"/>
      <c r="AI152" s="840"/>
      <c r="AJ152" s="840"/>
      <c r="AK152" s="840"/>
    </row>
    <row r="153" spans="1:37" outlineLevel="1">
      <c r="A153" s="186" t="s">
        <v>161</v>
      </c>
      <c r="B153" s="894">
        <v>0</v>
      </c>
      <c r="C153" s="894">
        <v>1824536</v>
      </c>
      <c r="D153" s="894">
        <v>0</v>
      </c>
      <c r="E153" s="894">
        <v>0</v>
      </c>
      <c r="F153" s="894">
        <v>0</v>
      </c>
      <c r="G153" s="894">
        <v>0</v>
      </c>
      <c r="H153" s="894">
        <v>-18250</v>
      </c>
      <c r="I153" s="894">
        <f t="shared" si="35"/>
        <v>1806286</v>
      </c>
      <c r="K153" s="186" t="s">
        <v>161</v>
      </c>
      <c r="L153" s="894">
        <f t="shared" si="26"/>
        <v>0</v>
      </c>
      <c r="M153" s="894">
        <f t="shared" si="27"/>
        <v>52195.154000000097</v>
      </c>
      <c r="N153" s="894">
        <f t="shared" si="28"/>
        <v>0</v>
      </c>
      <c r="O153" s="894">
        <f t="shared" si="29"/>
        <v>0</v>
      </c>
      <c r="P153" s="894">
        <f t="shared" si="30"/>
        <v>0</v>
      </c>
      <c r="Q153" s="894">
        <f t="shared" si="31"/>
        <v>0</v>
      </c>
      <c r="R153" s="894">
        <f t="shared" si="32"/>
        <v>-520</v>
      </c>
      <c r="S153" s="894">
        <f t="shared" si="33"/>
        <v>51675.154000000097</v>
      </c>
      <c r="T153" s="840"/>
      <c r="AD153" s="840"/>
      <c r="AE153" s="840"/>
      <c r="AF153" s="840"/>
      <c r="AG153" s="840"/>
      <c r="AH153" s="840"/>
      <c r="AI153" s="840"/>
      <c r="AJ153" s="840"/>
      <c r="AK153" s="840"/>
    </row>
    <row r="154" spans="1:37" outlineLevel="1">
      <c r="A154" s="189" t="s">
        <v>632</v>
      </c>
      <c r="B154" s="890">
        <v>6500</v>
      </c>
      <c r="C154" s="890">
        <v>803053</v>
      </c>
      <c r="D154" s="890">
        <v>0</v>
      </c>
      <c r="E154" s="890">
        <v>0</v>
      </c>
      <c r="F154" s="890">
        <v>0</v>
      </c>
      <c r="G154" s="890">
        <v>6100</v>
      </c>
      <c r="H154" s="890">
        <v>-8640</v>
      </c>
      <c r="I154" s="890">
        <f t="shared" si="35"/>
        <v>807013</v>
      </c>
      <c r="K154" s="189" t="s">
        <v>632</v>
      </c>
      <c r="L154" s="890">
        <f t="shared" si="26"/>
        <v>14</v>
      </c>
      <c r="M154" s="890">
        <f t="shared" si="27"/>
        <v>22342.10699999996</v>
      </c>
      <c r="N154" s="890">
        <f t="shared" si="28"/>
        <v>0</v>
      </c>
      <c r="O154" s="890">
        <f t="shared" si="29"/>
        <v>0</v>
      </c>
      <c r="P154" s="890">
        <f t="shared" si="30"/>
        <v>0</v>
      </c>
      <c r="Q154" s="890">
        <f t="shared" si="31"/>
        <v>6500</v>
      </c>
      <c r="R154" s="890">
        <f t="shared" si="32"/>
        <v>-290</v>
      </c>
      <c r="S154" s="890">
        <f t="shared" si="33"/>
        <v>28566.10699999996</v>
      </c>
      <c r="T154" s="840"/>
      <c r="AD154" s="840"/>
      <c r="AE154" s="840"/>
      <c r="AF154" s="840"/>
      <c r="AG154" s="840"/>
      <c r="AH154" s="840"/>
      <c r="AI154" s="840"/>
      <c r="AJ154" s="840"/>
      <c r="AK154" s="840"/>
    </row>
    <row r="155" spans="1:37" outlineLevel="1">
      <c r="A155" s="492" t="s">
        <v>162</v>
      </c>
      <c r="B155" s="891">
        <v>2822697</v>
      </c>
      <c r="C155" s="891">
        <v>0</v>
      </c>
      <c r="D155" s="891">
        <v>0</v>
      </c>
      <c r="E155" s="891">
        <v>8434181</v>
      </c>
      <c r="F155" s="891">
        <v>0</v>
      </c>
      <c r="G155" s="891">
        <v>0</v>
      </c>
      <c r="H155" s="891">
        <v>-321450</v>
      </c>
      <c r="I155" s="891">
        <f t="shared" si="35"/>
        <v>10935428</v>
      </c>
      <c r="K155" s="492" t="s">
        <v>162</v>
      </c>
      <c r="L155" s="891">
        <f t="shared" si="26"/>
        <v>5958</v>
      </c>
      <c r="M155" s="891">
        <f t="shared" si="27"/>
        <v>0</v>
      </c>
      <c r="N155" s="891">
        <f t="shared" si="28"/>
        <v>0</v>
      </c>
      <c r="O155" s="891">
        <f t="shared" si="29"/>
        <v>694946.50899999961</v>
      </c>
      <c r="P155" s="891">
        <f t="shared" si="30"/>
        <v>0</v>
      </c>
      <c r="Q155" s="891">
        <f t="shared" si="31"/>
        <v>0</v>
      </c>
      <c r="R155" s="891">
        <f t="shared" si="32"/>
        <v>-7450</v>
      </c>
      <c r="S155" s="891">
        <f t="shared" si="33"/>
        <v>693454.50899999961</v>
      </c>
      <c r="T155" s="840"/>
      <c r="AD155" s="840"/>
      <c r="AE155" s="840"/>
      <c r="AF155" s="840"/>
      <c r="AG155" s="840"/>
      <c r="AH155" s="840"/>
      <c r="AI155" s="840"/>
      <c r="AJ155" s="840"/>
      <c r="AK155" s="840"/>
    </row>
    <row r="156" spans="1:37" outlineLevel="1">
      <c r="A156" s="604" t="s">
        <v>697</v>
      </c>
      <c r="B156" s="891">
        <v>2522002</v>
      </c>
      <c r="C156" s="891">
        <v>0</v>
      </c>
      <c r="D156" s="891">
        <v>0</v>
      </c>
      <c r="E156" s="891">
        <v>6831325.6500000004</v>
      </c>
      <c r="F156" s="891">
        <v>0</v>
      </c>
      <c r="G156" s="891">
        <v>0</v>
      </c>
      <c r="H156" s="891">
        <v>-280160</v>
      </c>
      <c r="I156" s="891">
        <f>SUM(B156:H156)</f>
        <v>9073167.6500000004</v>
      </c>
      <c r="K156" s="604" t="s">
        <v>697</v>
      </c>
      <c r="L156" s="891">
        <f t="shared" si="26"/>
        <v>5323</v>
      </c>
      <c r="M156" s="891">
        <f t="shared" si="27"/>
        <v>0</v>
      </c>
      <c r="N156" s="891">
        <f t="shared" si="28"/>
        <v>0</v>
      </c>
      <c r="O156" s="891">
        <f t="shared" si="29"/>
        <v>-24664.175999999978</v>
      </c>
      <c r="P156" s="891">
        <f t="shared" si="30"/>
        <v>0</v>
      </c>
      <c r="Q156" s="891">
        <f t="shared" si="31"/>
        <v>0</v>
      </c>
      <c r="R156" s="891">
        <f t="shared" si="32"/>
        <v>-200</v>
      </c>
      <c r="S156" s="891">
        <f t="shared" si="33"/>
        <v>-19541.176000000909</v>
      </c>
      <c r="T156" s="840"/>
      <c r="AD156" s="840"/>
      <c r="AE156" s="840"/>
      <c r="AF156" s="840"/>
      <c r="AG156" s="840"/>
      <c r="AH156" s="840"/>
      <c r="AI156" s="840"/>
      <c r="AJ156" s="840"/>
      <c r="AK156" s="840"/>
    </row>
    <row r="157" spans="1:37" outlineLevel="1">
      <c r="A157" s="492" t="s">
        <v>163</v>
      </c>
      <c r="B157" s="891">
        <v>0</v>
      </c>
      <c r="C157" s="891">
        <v>0</v>
      </c>
      <c r="D157" s="891">
        <v>0</v>
      </c>
      <c r="E157" s="891">
        <v>1344109</v>
      </c>
      <c r="F157" s="891">
        <v>0</v>
      </c>
      <c r="G157" s="891">
        <v>0</v>
      </c>
      <c r="H157" s="891">
        <v>-13440</v>
      </c>
      <c r="I157" s="891">
        <f t="shared" si="35"/>
        <v>1330669</v>
      </c>
      <c r="K157" s="492" t="s">
        <v>163</v>
      </c>
      <c r="L157" s="891">
        <f t="shared" si="26"/>
        <v>0</v>
      </c>
      <c r="M157" s="891">
        <f t="shared" si="27"/>
        <v>0</v>
      </c>
      <c r="N157" s="891">
        <f t="shared" si="28"/>
        <v>0</v>
      </c>
      <c r="O157" s="891">
        <f t="shared" si="29"/>
        <v>38456.091000000015</v>
      </c>
      <c r="P157" s="891">
        <f t="shared" si="30"/>
        <v>0</v>
      </c>
      <c r="Q157" s="891">
        <f t="shared" si="31"/>
        <v>0</v>
      </c>
      <c r="R157" s="891">
        <f t="shared" si="32"/>
        <v>-390</v>
      </c>
      <c r="S157" s="891">
        <f t="shared" si="33"/>
        <v>38066.091000000015</v>
      </c>
      <c r="T157" s="840"/>
      <c r="AD157" s="840"/>
      <c r="AE157" s="840"/>
      <c r="AF157" s="840"/>
      <c r="AG157" s="840"/>
      <c r="AH157" s="840"/>
      <c r="AI157" s="840"/>
      <c r="AJ157" s="840"/>
      <c r="AK157" s="840"/>
    </row>
    <row r="158" spans="1:37" outlineLevel="1">
      <c r="A158" s="602" t="s">
        <v>698</v>
      </c>
      <c r="B158" s="894">
        <v>2885500</v>
      </c>
      <c r="C158" s="894">
        <v>0</v>
      </c>
      <c r="D158" s="894">
        <v>0</v>
      </c>
      <c r="E158" s="894">
        <v>26047024</v>
      </c>
      <c r="F158" s="894">
        <v>0</v>
      </c>
      <c r="G158" s="894">
        <v>0</v>
      </c>
      <c r="H158" s="894">
        <v>-290620</v>
      </c>
      <c r="I158" s="894">
        <f t="shared" si="35"/>
        <v>28641904</v>
      </c>
      <c r="K158" s="602" t="s">
        <v>698</v>
      </c>
      <c r="L158" s="894">
        <f t="shared" si="26"/>
        <v>92137</v>
      </c>
      <c r="M158" s="894">
        <f t="shared" si="27"/>
        <v>0</v>
      </c>
      <c r="N158" s="894">
        <f t="shared" si="28"/>
        <v>0</v>
      </c>
      <c r="O158" s="894">
        <f t="shared" si="29"/>
        <v>1001979.756000001</v>
      </c>
      <c r="P158" s="894">
        <f t="shared" si="30"/>
        <v>0</v>
      </c>
      <c r="Q158" s="894">
        <f t="shared" si="31"/>
        <v>0</v>
      </c>
      <c r="R158" s="894">
        <f t="shared" si="32"/>
        <v>-10940</v>
      </c>
      <c r="S158" s="894">
        <f t="shared" si="33"/>
        <v>1083176.756000001</v>
      </c>
      <c r="T158" s="840"/>
      <c r="AD158" s="840"/>
      <c r="AE158" s="840"/>
      <c r="AF158" s="840"/>
      <c r="AG158" s="840"/>
      <c r="AH158" s="840"/>
      <c r="AI158" s="840"/>
      <c r="AJ158" s="840"/>
      <c r="AK158" s="840"/>
    </row>
    <row r="159" spans="1:37" outlineLevel="1">
      <c r="A159" s="492" t="s">
        <v>362</v>
      </c>
      <c r="B159" s="891">
        <v>1528000</v>
      </c>
      <c r="C159" s="891">
        <v>930050</v>
      </c>
      <c r="D159" s="891">
        <v>0</v>
      </c>
      <c r="E159" s="891">
        <v>2384343.9000000004</v>
      </c>
      <c r="F159" s="891">
        <v>0</v>
      </c>
      <c r="G159" s="891">
        <v>0</v>
      </c>
      <c r="H159" s="891">
        <v>-126120</v>
      </c>
      <c r="I159" s="891">
        <f t="shared" si="35"/>
        <v>4716273.9000000004</v>
      </c>
      <c r="K159" s="492" t="s">
        <v>362</v>
      </c>
      <c r="L159" s="891">
        <f t="shared" si="26"/>
        <v>17616</v>
      </c>
      <c r="M159" s="891">
        <f t="shared" si="27"/>
        <v>0</v>
      </c>
      <c r="N159" s="891">
        <f t="shared" si="28"/>
        <v>0</v>
      </c>
      <c r="O159" s="891">
        <f t="shared" si="29"/>
        <v>-38049.164000000339</v>
      </c>
      <c r="P159" s="891">
        <f t="shared" si="30"/>
        <v>0</v>
      </c>
      <c r="Q159" s="891">
        <f t="shared" si="31"/>
        <v>0</v>
      </c>
      <c r="R159" s="891">
        <f t="shared" si="32"/>
        <v>40</v>
      </c>
      <c r="S159" s="891">
        <f t="shared" si="33"/>
        <v>-20393.164000000805</v>
      </c>
      <c r="T159" s="840"/>
      <c r="AD159" s="840"/>
      <c r="AE159" s="840"/>
      <c r="AF159" s="840"/>
      <c r="AG159" s="840"/>
      <c r="AH159" s="840"/>
      <c r="AI159" s="840"/>
      <c r="AJ159" s="840"/>
      <c r="AK159" s="840"/>
    </row>
    <row r="160" spans="1:37" outlineLevel="1">
      <c r="A160" s="189" t="s">
        <v>699</v>
      </c>
      <c r="B160" s="891">
        <v>0</v>
      </c>
      <c r="C160" s="891">
        <v>0</v>
      </c>
      <c r="D160" s="891">
        <v>0</v>
      </c>
      <c r="E160" s="891">
        <v>771140</v>
      </c>
      <c r="F160" s="891">
        <v>0</v>
      </c>
      <c r="G160" s="891">
        <v>0</v>
      </c>
      <c r="H160" s="891">
        <v>-7710</v>
      </c>
      <c r="I160" s="891">
        <f t="shared" si="35"/>
        <v>763430</v>
      </c>
      <c r="K160" s="189" t="s">
        <v>699</v>
      </c>
      <c r="L160" s="891">
        <f t="shared" si="26"/>
        <v>0</v>
      </c>
      <c r="M160" s="891">
        <f t="shared" si="27"/>
        <v>0</v>
      </c>
      <c r="N160" s="891">
        <f t="shared" si="28"/>
        <v>0</v>
      </c>
      <c r="O160" s="891">
        <f t="shared" si="29"/>
        <v>22063.770000000019</v>
      </c>
      <c r="P160" s="891">
        <f t="shared" si="30"/>
        <v>0</v>
      </c>
      <c r="Q160" s="891">
        <f t="shared" si="31"/>
        <v>0</v>
      </c>
      <c r="R160" s="891">
        <f t="shared" si="32"/>
        <v>-220</v>
      </c>
      <c r="S160" s="891">
        <f t="shared" si="33"/>
        <v>21843.770000000019</v>
      </c>
      <c r="T160" s="840"/>
      <c r="AD160" s="840"/>
      <c r="AE160" s="840"/>
      <c r="AF160" s="840"/>
      <c r="AG160" s="840"/>
      <c r="AH160" s="840"/>
      <c r="AI160" s="840"/>
      <c r="AJ160" s="840"/>
      <c r="AK160" s="840"/>
    </row>
    <row r="161" spans="1:37" outlineLevel="1">
      <c r="A161" s="196" t="s">
        <v>164</v>
      </c>
      <c r="B161" s="895">
        <v>3834100</v>
      </c>
      <c r="C161" s="895">
        <v>0</v>
      </c>
      <c r="D161" s="895">
        <v>0</v>
      </c>
      <c r="E161" s="895">
        <v>6609672</v>
      </c>
      <c r="F161" s="895">
        <v>0</v>
      </c>
      <c r="G161" s="895">
        <v>0</v>
      </c>
      <c r="H161" s="895">
        <v>-105180</v>
      </c>
      <c r="I161" s="895">
        <f t="shared" si="35"/>
        <v>10338592</v>
      </c>
      <c r="K161" s="196" t="s">
        <v>164</v>
      </c>
      <c r="L161" s="895">
        <f t="shared" si="26"/>
        <v>122921</v>
      </c>
      <c r="M161" s="895">
        <f t="shared" si="27"/>
        <v>0</v>
      </c>
      <c r="N161" s="895">
        <f t="shared" si="28"/>
        <v>0</v>
      </c>
      <c r="O161" s="895">
        <f t="shared" si="29"/>
        <v>698495.18800000008</v>
      </c>
      <c r="P161" s="895">
        <f t="shared" si="30"/>
        <v>0</v>
      </c>
      <c r="Q161" s="895">
        <f t="shared" si="31"/>
        <v>0</v>
      </c>
      <c r="R161" s="895">
        <f t="shared" si="32"/>
        <v>-8210</v>
      </c>
      <c r="S161" s="895">
        <f t="shared" si="33"/>
        <v>813206.18800000101</v>
      </c>
      <c r="T161" s="840"/>
      <c r="AD161" s="840"/>
      <c r="AE161" s="840"/>
      <c r="AF161" s="840"/>
      <c r="AG161" s="840"/>
      <c r="AH161" s="840"/>
      <c r="AI161" s="840"/>
      <c r="AJ161" s="840"/>
      <c r="AK161" s="840"/>
    </row>
    <row r="162" spans="1:37" outlineLevel="1">
      <c r="A162" s="492" t="s">
        <v>165</v>
      </c>
      <c r="B162" s="891">
        <v>1487959</v>
      </c>
      <c r="C162" s="891">
        <v>0</v>
      </c>
      <c r="D162" s="891">
        <v>0</v>
      </c>
      <c r="E162" s="891">
        <v>12997111</v>
      </c>
      <c r="F162" s="891">
        <v>8000</v>
      </c>
      <c r="G162" s="891">
        <v>0</v>
      </c>
      <c r="H162" s="891">
        <v>-255040</v>
      </c>
      <c r="I162" s="891">
        <f t="shared" si="35"/>
        <v>14238030</v>
      </c>
      <c r="K162" s="492" t="s">
        <v>165</v>
      </c>
      <c r="L162" s="891">
        <f t="shared" si="26"/>
        <v>2998</v>
      </c>
      <c r="M162" s="891">
        <f t="shared" si="27"/>
        <v>0</v>
      </c>
      <c r="N162" s="891">
        <f t="shared" si="28"/>
        <v>0</v>
      </c>
      <c r="O162" s="891">
        <f t="shared" si="29"/>
        <v>791900.76899999939</v>
      </c>
      <c r="P162" s="891">
        <f t="shared" si="30"/>
        <v>7000</v>
      </c>
      <c r="Q162" s="891">
        <f t="shared" si="31"/>
        <v>0</v>
      </c>
      <c r="R162" s="891">
        <f t="shared" si="32"/>
        <v>-8240</v>
      </c>
      <c r="S162" s="891">
        <f t="shared" si="33"/>
        <v>793658.76899999939</v>
      </c>
      <c r="T162" s="840"/>
      <c r="AD162" s="840"/>
      <c r="AE162" s="840"/>
      <c r="AF162" s="840"/>
      <c r="AG162" s="840"/>
      <c r="AH162" s="840"/>
      <c r="AI162" s="840"/>
      <c r="AJ162" s="840"/>
      <c r="AK162" s="840"/>
    </row>
    <row r="163" spans="1:37" outlineLevel="1">
      <c r="A163" s="196" t="s">
        <v>167</v>
      </c>
      <c r="B163" s="895">
        <v>4661500</v>
      </c>
      <c r="C163" s="895">
        <v>0</v>
      </c>
      <c r="D163" s="895">
        <v>0</v>
      </c>
      <c r="E163" s="895">
        <v>43433621</v>
      </c>
      <c r="F163" s="895">
        <v>0</v>
      </c>
      <c r="G163" s="895">
        <v>0</v>
      </c>
      <c r="H163" s="895">
        <v>-542920</v>
      </c>
      <c r="I163" s="895">
        <f>SUM(B163:H163)</f>
        <v>47552201</v>
      </c>
      <c r="K163" s="196" t="s">
        <v>167</v>
      </c>
      <c r="L163" s="895">
        <f t="shared" si="26"/>
        <v>124668</v>
      </c>
      <c r="M163" s="895">
        <f t="shared" si="27"/>
        <v>0</v>
      </c>
      <c r="N163" s="895">
        <f t="shared" si="28"/>
        <v>0</v>
      </c>
      <c r="O163" s="895">
        <f t="shared" si="29"/>
        <v>1901917.3390000015</v>
      </c>
      <c r="P163" s="895">
        <f t="shared" si="30"/>
        <v>0</v>
      </c>
      <c r="Q163" s="895">
        <f t="shared" si="31"/>
        <v>0</v>
      </c>
      <c r="R163" s="895">
        <f t="shared" si="32"/>
        <v>-20400</v>
      </c>
      <c r="S163" s="895">
        <f t="shared" si="33"/>
        <v>2006185.3390000015</v>
      </c>
      <c r="T163" s="840"/>
      <c r="AD163" s="840"/>
      <c r="AE163" s="840"/>
      <c r="AF163" s="840"/>
      <c r="AG163" s="840"/>
      <c r="AH163" s="840"/>
      <c r="AI163" s="840"/>
      <c r="AJ163" s="840"/>
      <c r="AK163" s="840"/>
    </row>
    <row r="164" spans="1:37" outlineLevel="1">
      <c r="A164" s="492" t="s">
        <v>680</v>
      </c>
      <c r="B164" s="891">
        <v>11044200</v>
      </c>
      <c r="C164" s="891">
        <v>0</v>
      </c>
      <c r="D164" s="891">
        <v>0</v>
      </c>
      <c r="E164" s="891">
        <v>22755213</v>
      </c>
      <c r="F164" s="891">
        <v>0</v>
      </c>
      <c r="G164" s="891">
        <v>0</v>
      </c>
      <c r="H164" s="891">
        <v>-341690</v>
      </c>
      <c r="I164" s="891">
        <f t="shared" si="35"/>
        <v>33457723</v>
      </c>
      <c r="K164" s="492" t="s">
        <v>680</v>
      </c>
      <c r="L164" s="891">
        <f t="shared" si="26"/>
        <v>353406</v>
      </c>
      <c r="M164" s="891">
        <f t="shared" si="27"/>
        <v>0</v>
      </c>
      <c r="N164" s="891">
        <f t="shared" si="28"/>
        <v>0</v>
      </c>
      <c r="O164" s="891">
        <f t="shared" si="29"/>
        <v>2950037.3969999999</v>
      </c>
      <c r="P164" s="891">
        <f t="shared" si="30"/>
        <v>0</v>
      </c>
      <c r="Q164" s="891">
        <f t="shared" si="31"/>
        <v>0</v>
      </c>
      <c r="R164" s="891">
        <f t="shared" si="32"/>
        <v>-33050</v>
      </c>
      <c r="S164" s="891">
        <f t="shared" si="33"/>
        <v>3270393.3969999999</v>
      </c>
      <c r="T164" s="840"/>
      <c r="AD164" s="840"/>
      <c r="AE164" s="840"/>
      <c r="AF164" s="840"/>
      <c r="AG164" s="840"/>
      <c r="AH164" s="840"/>
      <c r="AI164" s="840"/>
      <c r="AJ164" s="840"/>
      <c r="AK164" s="840"/>
    </row>
    <row r="165" spans="1:37" outlineLevel="1">
      <c r="A165" s="210" t="s">
        <v>169</v>
      </c>
      <c r="B165" s="896">
        <f>SUM(B149:B164)</f>
        <v>30800158</v>
      </c>
      <c r="C165" s="896">
        <f t="shared" ref="C165:H165" si="36">SUM(C149:C164)</f>
        <v>23330949</v>
      </c>
      <c r="D165" s="896">
        <f t="shared" si="36"/>
        <v>0</v>
      </c>
      <c r="E165" s="896">
        <f t="shared" si="36"/>
        <v>135898679.55000001</v>
      </c>
      <c r="F165" s="896">
        <f t="shared" si="36"/>
        <v>8000</v>
      </c>
      <c r="G165" s="896">
        <f t="shared" si="36"/>
        <v>6100</v>
      </c>
      <c r="H165" s="896">
        <f t="shared" si="36"/>
        <v>-2552520</v>
      </c>
      <c r="I165" s="896">
        <f>SUM(I149:I164)</f>
        <v>187491366.55000001</v>
      </c>
      <c r="K165" s="210" t="s">
        <v>169</v>
      </c>
      <c r="L165" s="896">
        <f t="shared" si="26"/>
        <v>725057</v>
      </c>
      <c r="M165" s="896">
        <f t="shared" si="27"/>
        <v>411364.49100000039</v>
      </c>
      <c r="N165" s="896">
        <f t="shared" si="28"/>
        <v>0</v>
      </c>
      <c r="O165" s="896">
        <f t="shared" si="29"/>
        <v>8159171.2599999905</v>
      </c>
      <c r="P165" s="896">
        <f t="shared" si="30"/>
        <v>7000</v>
      </c>
      <c r="Q165" s="896">
        <f t="shared" si="31"/>
        <v>6500</v>
      </c>
      <c r="R165" s="896">
        <f t="shared" si="32"/>
        <v>-94450</v>
      </c>
      <c r="S165" s="896">
        <f t="shared" si="33"/>
        <v>9214642.7509999871</v>
      </c>
      <c r="T165" s="840"/>
      <c r="AD165" s="840"/>
      <c r="AE165" s="840"/>
      <c r="AF165" s="840"/>
      <c r="AG165" s="840"/>
      <c r="AH165" s="840"/>
      <c r="AI165" s="840"/>
      <c r="AJ165" s="840"/>
      <c r="AK165" s="840"/>
    </row>
    <row r="166" spans="1:37" ht="16.5" outlineLevel="1" thickBot="1">
      <c r="A166" s="213" t="s">
        <v>170</v>
      </c>
      <c r="B166" s="214">
        <f>+B165+B145+B123+B122+B121+B120+B119+B118+B117+B116</f>
        <v>205012410</v>
      </c>
      <c r="C166" s="214">
        <f t="shared" ref="C166" si="37">+C165+C145+C123+C122+C121+C120+C119+C118+C117+C116</f>
        <v>30572206</v>
      </c>
      <c r="D166" s="214">
        <f t="shared" ref="D166" si="38">+D165+D145+D123+D122+D121+D120+D119+D118+D117+D116</f>
        <v>21738322</v>
      </c>
      <c r="E166" s="214">
        <f t="shared" ref="E166:F166" si="39">+E165+E145+E123+E122+E121+E120+E119+E118+E117+E116</f>
        <v>156853236</v>
      </c>
      <c r="F166" s="214">
        <f t="shared" si="39"/>
        <v>103441916</v>
      </c>
      <c r="G166" s="214">
        <f t="shared" ref="G166" si="40">+G165+G145+G123+G122+G121+G120+G119+G118+G117+G116</f>
        <v>131467637</v>
      </c>
      <c r="H166" s="214">
        <f t="shared" ref="H166" si="41">+H165+H145+H123+H122+H121+H120+H119+H118+H117+H116</f>
        <v>0</v>
      </c>
      <c r="I166" s="214">
        <f>+I165+I145+I123+I122+I121+I120+I119+I118+I117+I116</f>
        <v>649085727</v>
      </c>
      <c r="K166" s="213" t="s">
        <v>170</v>
      </c>
      <c r="L166" s="214">
        <f t="shared" si="26"/>
        <v>11541197</v>
      </c>
      <c r="M166" s="214">
        <f t="shared" si="27"/>
        <v>3163852.4909999967</v>
      </c>
      <c r="N166" s="214">
        <f t="shared" si="28"/>
        <v>0</v>
      </c>
      <c r="O166" s="214">
        <f t="shared" si="29"/>
        <v>15668692</v>
      </c>
      <c r="P166" s="214">
        <f t="shared" si="30"/>
        <v>9720084</v>
      </c>
      <c r="Q166" s="214">
        <f t="shared" si="31"/>
        <v>12774339</v>
      </c>
      <c r="R166" s="214">
        <f t="shared" si="32"/>
        <v>0</v>
      </c>
      <c r="S166" s="214">
        <f>+I56-I166</f>
        <v>52868164.490999937</v>
      </c>
      <c r="T166" s="840"/>
      <c r="AD166" s="840"/>
      <c r="AE166" s="840"/>
      <c r="AF166" s="840"/>
      <c r="AG166" s="840"/>
      <c r="AH166" s="840"/>
      <c r="AI166" s="840"/>
      <c r="AJ166" s="840"/>
      <c r="AK166" s="840"/>
    </row>
    <row r="167" spans="1:37" ht="16.5" outlineLevel="1" thickTop="1"/>
    <row r="169" spans="1:37">
      <c r="I169" s="888"/>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P39"/>
  <sheetViews>
    <sheetView workbookViewId="0"/>
  </sheetViews>
  <sheetFormatPr defaultColWidth="12.42578125" defaultRowHeight="15"/>
  <cols>
    <col min="1" max="1" width="57" customWidth="1"/>
    <col min="2" max="2" width="16" customWidth="1"/>
    <col min="3" max="3" width="20.42578125" customWidth="1"/>
    <col min="4" max="4" width="13.7109375" bestFit="1" customWidth="1"/>
    <col min="5" max="5" width="49.7109375" customWidth="1"/>
    <col min="6" max="6" width="15.42578125" bestFit="1" customWidth="1"/>
    <col min="7" max="7" width="18.7109375" bestFit="1" customWidth="1"/>
    <col min="8" max="9" width="14" bestFit="1" customWidth="1"/>
  </cols>
  <sheetData>
    <row r="1" spans="1:16" ht="15.75">
      <c r="A1" s="149" t="s">
        <v>98</v>
      </c>
      <c r="H1" s="260"/>
      <c r="I1" s="80"/>
      <c r="J1" s="474"/>
      <c r="K1" s="80"/>
      <c r="L1" s="80"/>
      <c r="M1" s="80"/>
      <c r="N1" s="80"/>
      <c r="O1" s="80"/>
      <c r="P1" s="80"/>
    </row>
    <row r="2" spans="1:16" ht="15.75">
      <c r="A2" s="149" t="s">
        <v>199</v>
      </c>
      <c r="H2" s="260"/>
      <c r="I2" s="80"/>
      <c r="J2" s="474"/>
      <c r="K2" s="80"/>
      <c r="L2" s="80"/>
      <c r="M2" s="80"/>
      <c r="N2" s="80"/>
      <c r="O2" s="80"/>
      <c r="P2" s="80"/>
    </row>
    <row r="3" spans="1:16" ht="18" customHeight="1">
      <c r="A3" s="467" t="s">
        <v>472</v>
      </c>
      <c r="H3" s="1200" t="s">
        <v>504</v>
      </c>
      <c r="I3" s="1200"/>
      <c r="J3" s="1200"/>
      <c r="K3" s="1200"/>
      <c r="L3" s="475"/>
      <c r="M3" s="475"/>
      <c r="N3" s="475"/>
      <c r="O3" s="475"/>
      <c r="P3" s="80"/>
    </row>
    <row r="4" spans="1:16" ht="16.5" customHeight="1" thickBot="1">
      <c r="H4" s="1200"/>
      <c r="I4" s="1200"/>
      <c r="J4" s="1200"/>
      <c r="K4" s="1200"/>
      <c r="L4" s="475"/>
      <c r="M4" s="475"/>
      <c r="N4" s="475"/>
      <c r="O4" s="475"/>
      <c r="P4" s="80"/>
    </row>
    <row r="5" spans="1:16" ht="15.75">
      <c r="A5" s="171"/>
      <c r="B5" s="230"/>
      <c r="C5" s="231"/>
      <c r="E5" s="233" t="s">
        <v>176</v>
      </c>
      <c r="F5" s="231"/>
      <c r="H5" s="1200"/>
      <c r="I5" s="1200"/>
      <c r="J5" s="1200"/>
      <c r="K5" s="1200"/>
      <c r="L5" s="475"/>
      <c r="M5" s="475"/>
      <c r="N5" s="475"/>
      <c r="O5" s="475"/>
      <c r="P5" s="80"/>
    </row>
    <row r="6" spans="1:16" ht="15.75">
      <c r="A6" s="174"/>
      <c r="B6" s="49"/>
      <c r="C6" s="234"/>
      <c r="E6" s="174"/>
      <c r="F6" s="235" t="str">
        <f>"FY"&amp;RIGHT(Dashboard!B6,2)</f>
        <v>FY24</v>
      </c>
      <c r="H6" s="1200"/>
      <c r="I6" s="1200"/>
      <c r="J6" s="1200"/>
      <c r="K6" s="1200"/>
      <c r="L6" s="475"/>
      <c r="M6" s="475"/>
      <c r="N6" s="475"/>
      <c r="O6" s="475"/>
      <c r="P6" s="80"/>
    </row>
    <row r="7" spans="1:16" ht="36" customHeight="1">
      <c r="A7" s="1233" t="s">
        <v>177</v>
      </c>
      <c r="B7" s="1234"/>
      <c r="C7" s="1235"/>
      <c r="E7" s="236" t="s">
        <v>178</v>
      </c>
      <c r="F7" s="237">
        <f>SUM(F8:F10)</f>
        <v>7143870</v>
      </c>
      <c r="H7" s="1200"/>
      <c r="I7" s="1200"/>
      <c r="J7" s="1200"/>
      <c r="K7" s="1200"/>
      <c r="L7" s="475"/>
      <c r="M7" s="475"/>
      <c r="N7" s="475"/>
      <c r="O7" s="475"/>
      <c r="P7" s="80"/>
    </row>
    <row r="8" spans="1:16" ht="17.25">
      <c r="A8" s="238"/>
      <c r="B8" s="239"/>
      <c r="C8" s="235" t="str">
        <f>"FY"&amp;RIGHT(Dashboard!B6,2)</f>
        <v>FY24</v>
      </c>
      <c r="E8" s="240" t="s">
        <v>166</v>
      </c>
      <c r="F8" s="241">
        <f>IM!N12</f>
        <v>6293870</v>
      </c>
      <c r="G8" s="511" t="str">
        <f>IF(F8=IM!N12,"","Check")</f>
        <v/>
      </c>
      <c r="H8" s="1200"/>
      <c r="I8" s="1200"/>
      <c r="J8" s="1200"/>
      <c r="K8" s="1200"/>
      <c r="L8" s="475"/>
      <c r="M8" s="475"/>
      <c r="N8" s="475"/>
      <c r="O8" s="475"/>
      <c r="P8" s="80"/>
    </row>
    <row r="9" spans="1:16" ht="17.25">
      <c r="A9" s="238" t="s">
        <v>179</v>
      </c>
      <c r="B9" s="239"/>
      <c r="C9" s="242">
        <f>+'Step 0 Revenue Detail'!I61-'FINAL-Distributed E&amp;G Budget'!J57</f>
        <v>485400284</v>
      </c>
      <c r="D9" s="232"/>
      <c r="E9" s="240" t="s">
        <v>94</v>
      </c>
      <c r="F9" s="241">
        <f>+IM!N13</f>
        <v>850000</v>
      </c>
      <c r="G9" s="511" t="str">
        <f>IF(F9=IM!N13,"","Check")</f>
        <v/>
      </c>
      <c r="H9" s="1200"/>
      <c r="I9" s="1200"/>
      <c r="J9" s="1200"/>
      <c r="K9" s="1200"/>
      <c r="L9" s="475"/>
      <c r="M9" s="475"/>
      <c r="N9" s="475"/>
      <c r="O9" s="475"/>
      <c r="P9" s="80"/>
    </row>
    <row r="10" spans="1:16" ht="17.25">
      <c r="A10" s="238"/>
      <c r="B10" s="239"/>
      <c r="C10" s="242"/>
      <c r="E10" s="240" t="s">
        <v>180</v>
      </c>
      <c r="F10" s="241">
        <v>0</v>
      </c>
      <c r="H10" s="1200"/>
      <c r="I10" s="1200"/>
      <c r="J10" s="1200"/>
      <c r="K10" s="1200"/>
      <c r="L10" s="475"/>
      <c r="M10" s="475"/>
      <c r="N10" s="475"/>
      <c r="O10" s="475"/>
      <c r="P10" s="80"/>
    </row>
    <row r="11" spans="1:16" ht="18">
      <c r="A11" s="238"/>
      <c r="B11" s="239"/>
      <c r="C11" s="242"/>
      <c r="E11" s="236" t="s">
        <v>182</v>
      </c>
      <c r="F11" s="237">
        <v>0</v>
      </c>
      <c r="H11" s="1200"/>
      <c r="I11" s="1200"/>
      <c r="J11" s="1200"/>
      <c r="K11" s="1200"/>
      <c r="L11" s="475"/>
      <c r="M11" s="475"/>
      <c r="N11" s="475"/>
      <c r="O11" s="475"/>
      <c r="P11" s="80"/>
    </row>
    <row r="12" spans="1:16" ht="18">
      <c r="A12" s="238" t="s">
        <v>181</v>
      </c>
      <c r="B12" s="147">
        <v>0.59</v>
      </c>
      <c r="C12" s="242">
        <f>ROUND(B12*C9,0)</f>
        <v>286386168</v>
      </c>
      <c r="D12" s="232"/>
      <c r="E12" s="236" t="s">
        <v>184</v>
      </c>
      <c r="F12" s="237">
        <f>IM!N18</f>
        <v>50000</v>
      </c>
      <c r="G12" s="511" t="str">
        <f>IF(F12=IM!N18,"","Check")</f>
        <v/>
      </c>
      <c r="H12" s="1200"/>
      <c r="I12" s="1200"/>
      <c r="J12" s="1200"/>
      <c r="K12" s="1200"/>
      <c r="L12" s="475"/>
      <c r="M12" s="475"/>
      <c r="N12" s="475"/>
      <c r="O12" s="475"/>
      <c r="P12" s="80"/>
    </row>
    <row r="13" spans="1:16" ht="15.75">
      <c r="A13" s="244" t="s">
        <v>183</v>
      </c>
      <c r="B13" s="245"/>
      <c r="C13" s="242">
        <f>F15</f>
        <v>7243870</v>
      </c>
      <c r="D13" s="232"/>
      <c r="E13" s="246" t="s">
        <v>186</v>
      </c>
      <c r="F13" s="247">
        <f>+IM!N19+IM!N20</f>
        <v>50000</v>
      </c>
      <c r="G13" s="511" t="str">
        <f>IF(F13=IM!N19+IM!N20,"","Check")</f>
        <v/>
      </c>
      <c r="H13" s="1200"/>
      <c r="I13" s="1200"/>
      <c r="J13" s="1200"/>
      <c r="K13" s="1200"/>
      <c r="L13" s="475"/>
      <c r="M13" s="475"/>
      <c r="N13" s="475"/>
      <c r="O13" s="475"/>
      <c r="P13" s="80"/>
    </row>
    <row r="14" spans="1:16" ht="15.75">
      <c r="A14" s="244" t="s">
        <v>185</v>
      </c>
      <c r="B14" s="245"/>
      <c r="C14" s="549">
        <v>21738322</v>
      </c>
      <c r="D14" s="232"/>
      <c r="E14" s="246"/>
      <c r="F14" s="247"/>
      <c r="G14" s="511"/>
      <c r="H14" s="1200"/>
      <c r="I14" s="1200"/>
      <c r="J14" s="1200"/>
      <c r="K14" s="1200"/>
      <c r="L14" s="872"/>
      <c r="M14" s="475"/>
      <c r="N14" s="475"/>
      <c r="O14" s="475"/>
      <c r="P14" s="80"/>
    </row>
    <row r="15" spans="1:16" ht="18" thickBot="1">
      <c r="A15" s="244" t="s">
        <v>187</v>
      </c>
      <c r="B15" s="245"/>
      <c r="C15" s="265">
        <f>C12-C13-C14</f>
        <v>257403976</v>
      </c>
      <c r="E15" s="248" t="s">
        <v>43</v>
      </c>
      <c r="F15" s="249">
        <f>SUM(F7,F11,F12,F13,F14)</f>
        <v>7243870</v>
      </c>
      <c r="G15" s="873" t="str">
        <f>IF(IM!F18-IM!N14-IM!N16-IM!N15-IM!N17=F15,"","Check")</f>
        <v/>
      </c>
      <c r="H15" s="1200"/>
      <c r="I15" s="1200"/>
      <c r="J15" s="1200"/>
      <c r="K15" s="1200"/>
      <c r="L15" s="475"/>
      <c r="M15" s="475"/>
      <c r="N15" s="475"/>
      <c r="O15" s="475"/>
      <c r="P15" s="80"/>
    </row>
    <row r="16" spans="1:16" ht="15.75">
      <c r="A16" s="238"/>
      <c r="B16" s="245"/>
      <c r="C16" s="242"/>
      <c r="G16" t="s">
        <v>688</v>
      </c>
      <c r="H16" s="1200"/>
      <c r="I16" s="1200"/>
      <c r="J16" s="1200"/>
      <c r="K16" s="1200"/>
      <c r="L16" s="80"/>
      <c r="M16" s="80"/>
      <c r="N16" s="80"/>
      <c r="O16" s="80"/>
      <c r="P16" s="80"/>
    </row>
    <row r="17" spans="1:11" ht="48" thickBot="1">
      <c r="A17" s="251" t="s">
        <v>188</v>
      </c>
      <c r="B17" s="438">
        <f>1-B12</f>
        <v>0.41000000000000003</v>
      </c>
      <c r="C17" s="242">
        <f>ROUND(B17*C9,0)</f>
        <v>199014116</v>
      </c>
      <c r="D17" s="232"/>
      <c r="G17" s="188"/>
      <c r="H17" s="1200"/>
      <c r="I17" s="1200"/>
      <c r="J17" s="1200"/>
      <c r="K17" s="1200"/>
    </row>
    <row r="18" spans="1:11" ht="15.75">
      <c r="A18" s="252" t="s">
        <v>129</v>
      </c>
      <c r="B18" s="250"/>
      <c r="C18" s="242">
        <f>F23</f>
        <v>0</v>
      </c>
      <c r="E18" s="233" t="s">
        <v>189</v>
      </c>
      <c r="F18" s="261" t="str">
        <f>"FY"&amp;RIGHT(Dashboard!B6,2)</f>
        <v>FY24</v>
      </c>
    </row>
    <row r="19" spans="1:11" ht="17.25">
      <c r="A19" s="252" t="s">
        <v>191</v>
      </c>
      <c r="B19" s="250"/>
      <c r="C19" s="242">
        <f>+F24</f>
        <v>15901263.491</v>
      </c>
      <c r="E19" s="236" t="s">
        <v>190</v>
      </c>
      <c r="F19" s="956">
        <v>0</v>
      </c>
      <c r="G19" s="511" t="str">
        <f>IF(F19=IM!B8,"","Check")</f>
        <v>Check</v>
      </c>
      <c r="H19" s="141">
        <f>+IM!B8</f>
        <v>4146000</v>
      </c>
      <c r="I19" t="s">
        <v>705</v>
      </c>
    </row>
    <row r="20" spans="1:11" ht="17.25">
      <c r="A20" s="252" t="s">
        <v>193</v>
      </c>
      <c r="B20" s="250"/>
      <c r="C20" s="1151">
        <f>+F21-C22+F19+F20</f>
        <v>2590925</v>
      </c>
      <c r="E20" s="236" t="s">
        <v>192</v>
      </c>
      <c r="F20" s="956">
        <v>0</v>
      </c>
      <c r="G20" s="511" t="str">
        <f>IF(F20=IM!B11+IM!B17-IM!B11,"","Check")</f>
        <v>Check</v>
      </c>
      <c r="H20" s="141">
        <f>+IM!B11+IM!B17-IM!N90-IM!N92</f>
        <v>11604901</v>
      </c>
      <c r="I20" s="900" t="s">
        <v>705</v>
      </c>
    </row>
    <row r="21" spans="1:11" ht="17.25">
      <c r="A21" s="252" t="s">
        <v>195</v>
      </c>
      <c r="B21" s="250"/>
      <c r="C21" s="242">
        <f>F22</f>
        <v>0</v>
      </c>
      <c r="E21" s="236" t="s">
        <v>194</v>
      </c>
      <c r="F21" s="241">
        <f>+'FINAL-Distributed E&amp;G Budget'!M57</f>
        <v>10590925</v>
      </c>
    </row>
    <row r="22" spans="1:11" ht="17.25">
      <c r="A22" s="253" t="s">
        <v>158</v>
      </c>
      <c r="B22" s="49"/>
      <c r="C22" s="242">
        <f>+'FINAL-Distributed E&amp;G Budget'!M41</f>
        <v>8000000</v>
      </c>
      <c r="E22" s="236" t="s">
        <v>196</v>
      </c>
      <c r="F22" s="241">
        <f>+'FINAL-Distributed E&amp;G Budget'!L12</f>
        <v>0</v>
      </c>
      <c r="G22" s="515"/>
    </row>
    <row r="23" spans="1:11" ht="17.25">
      <c r="A23" s="252" t="s">
        <v>197</v>
      </c>
      <c r="B23" s="250"/>
      <c r="C23" s="242">
        <f>C17-SUM(C18:C22)</f>
        <v>172521927.509</v>
      </c>
      <c r="E23" s="236" t="s">
        <v>129</v>
      </c>
      <c r="F23" s="241">
        <f>+'FINAL-Distributed E&amp;G Budget'!L13</f>
        <v>0</v>
      </c>
    </row>
    <row r="24" spans="1:11" ht="16.5">
      <c r="A24" s="174"/>
      <c r="B24" s="49"/>
      <c r="C24" s="234"/>
      <c r="E24" s="236" t="s">
        <v>191</v>
      </c>
      <c r="F24" s="241">
        <f>+'FINAL-Distributed E&amp;G Budget'!N57</f>
        <v>15901263.491</v>
      </c>
      <c r="H24" s="141">
        <f>+F25-+'Service Support &amp; Mgmt'!G1</f>
        <v>-0.49099999666213989</v>
      </c>
      <c r="I24" s="141"/>
    </row>
    <row r="25" spans="1:11" ht="18" thickBot="1">
      <c r="A25" s="238" t="s">
        <v>97</v>
      </c>
      <c r="B25" s="239"/>
      <c r="C25" s="264">
        <f>SUM(C13:C17)</f>
        <v>485400284</v>
      </c>
      <c r="E25" s="236" t="s">
        <v>197</v>
      </c>
      <c r="F25" s="254">
        <f>C17-SUM(F19:F24)</f>
        <v>172521927.509</v>
      </c>
      <c r="G25" t="s">
        <v>550</v>
      </c>
      <c r="H25" s="232">
        <f>+C23-F25</f>
        <v>0</v>
      </c>
    </row>
    <row r="26" spans="1:11" ht="18.75" thickTop="1" thickBot="1">
      <c r="A26" s="174"/>
      <c r="B26" s="49"/>
      <c r="C26" s="234"/>
      <c r="E26" s="248" t="s">
        <v>43</v>
      </c>
      <c r="F26" s="249">
        <f>SUM(F19:F25)</f>
        <v>199014116</v>
      </c>
      <c r="G26" t="s">
        <v>551</v>
      </c>
    </row>
    <row r="27" spans="1:11" ht="15.75" thickBot="1">
      <c r="A27" s="255"/>
      <c r="B27" s="256"/>
      <c r="C27" s="257"/>
      <c r="G27" s="188"/>
    </row>
    <row r="28" spans="1:11" ht="16.5">
      <c r="E28" s="258" t="s">
        <v>198</v>
      </c>
      <c r="G28" s="188"/>
    </row>
    <row r="29" spans="1:11">
      <c r="G29" s="188"/>
    </row>
    <row r="30" spans="1:11" ht="21">
      <c r="D30" s="452"/>
      <c r="G30" s="188"/>
      <c r="H30" s="452"/>
      <c r="I30" s="452"/>
    </row>
    <row r="31" spans="1:11" ht="21">
      <c r="E31" s="452"/>
      <c r="F31" s="452"/>
      <c r="G31" s="519"/>
    </row>
    <row r="35" spans="3:3">
      <c r="C35" s="218"/>
    </row>
    <row r="37" spans="3:3">
      <c r="C37" s="232"/>
    </row>
    <row r="38" spans="3:3">
      <c r="C38" s="188"/>
    </row>
    <row r="39" spans="3:3">
      <c r="C39" s="188"/>
    </row>
  </sheetData>
  <mergeCells count="2">
    <mergeCell ref="A7:C7"/>
    <mergeCell ref="H3:K17"/>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AC120"/>
  <sheetViews>
    <sheetView topLeftCell="C1" zoomScale="90" zoomScaleNormal="90" workbookViewId="0">
      <selection activeCell="N17" sqref="N17"/>
    </sheetView>
  </sheetViews>
  <sheetFormatPr defaultColWidth="12.42578125" defaultRowHeight="15"/>
  <cols>
    <col min="1" max="1" width="48.42578125" customWidth="1"/>
    <col min="2" max="2" width="14.140625" customWidth="1"/>
    <col min="3" max="3" width="12.7109375" style="80" customWidth="1"/>
    <col min="4" max="4" width="11.7109375" customWidth="1"/>
    <col min="5" max="5" width="51.85546875" customWidth="1"/>
    <col min="6" max="6" width="21" customWidth="1"/>
    <col min="7" max="7" width="11.5703125" bestFit="1" customWidth="1"/>
    <col min="9" max="9" width="14.28515625" customWidth="1"/>
    <col min="10" max="10" width="57.85546875" bestFit="1" customWidth="1"/>
    <col min="11" max="11" width="22" customWidth="1"/>
    <col min="12" max="12" width="13.85546875" bestFit="1" customWidth="1"/>
    <col min="13" max="13" width="14.28515625" bestFit="1" customWidth="1"/>
    <col min="14" max="14" width="16.140625" bestFit="1" customWidth="1"/>
    <col min="15" max="16" width="14.28515625" style="515" bestFit="1" customWidth="1"/>
    <col min="18" max="19" width="12.42578125" customWidth="1"/>
    <col min="20" max="20" width="14.5703125" bestFit="1" customWidth="1"/>
    <col min="21" max="23" width="12.42578125" customWidth="1"/>
  </cols>
  <sheetData>
    <row r="1" spans="1:29" ht="18.75">
      <c r="A1" s="1236" t="s">
        <v>354</v>
      </c>
      <c r="B1" s="1236"/>
      <c r="C1" s="1236"/>
      <c r="D1" s="1236"/>
      <c r="E1" s="1236"/>
    </row>
    <row r="4" spans="1:29" ht="15.75">
      <c r="A4" s="259"/>
      <c r="F4" s="289" t="str">
        <f>"FY"&amp;RIGHT(Dashboard!B6,2)</f>
        <v>FY24</v>
      </c>
      <c r="H4" s="259" t="s">
        <v>455</v>
      </c>
    </row>
    <row r="5" spans="1:29" ht="53.25" thickBot="1">
      <c r="A5" s="290" t="s">
        <v>244</v>
      </c>
      <c r="B5" s="290"/>
      <c r="C5" s="351"/>
      <c r="D5" s="1237" t="s">
        <v>454</v>
      </c>
      <c r="E5" s="1237"/>
      <c r="F5" s="1237"/>
      <c r="H5" s="291"/>
      <c r="I5" s="292" t="s">
        <v>245</v>
      </c>
      <c r="J5" s="293" t="s">
        <v>246</v>
      </c>
      <c r="K5" s="294" t="s">
        <v>247</v>
      </c>
      <c r="L5" s="295" t="str">
        <f>"FY"&amp;RIGHT(Dashboard!B6,2)-1&amp; " Centrally Managed Funds"</f>
        <v>FY23 Centrally Managed Funds</v>
      </c>
      <c r="M5" s="296" t="str">
        <f>"FY"&amp;RIGHT(Dashboard!B6,2)&amp;" - FY"&amp;RIGHT(Dashboard!B6,2)-1&amp;" Incremental Difference"</f>
        <v>FY24 - FY23 Incremental Difference</v>
      </c>
      <c r="N5" s="617" t="str">
        <f>"FY"&amp;RIGHT(Dashboard!B6,2)&amp;" Centrally Managed Funds "</f>
        <v xml:space="preserve">FY24 Centrally Managed Funds </v>
      </c>
    </row>
    <row r="6" spans="1:29" ht="16.5" thickTop="1">
      <c r="A6" s="144"/>
      <c r="B6" s="144"/>
      <c r="C6" s="145"/>
      <c r="D6" s="302" t="s">
        <v>251</v>
      </c>
      <c r="E6" s="302"/>
      <c r="F6" s="517">
        <f>SUM(F7:F17)</f>
        <v>44798792</v>
      </c>
      <c r="G6" s="188"/>
      <c r="H6" s="298"/>
      <c r="I6" s="299" t="s">
        <v>248</v>
      </c>
      <c r="J6" s="300" t="s">
        <v>249</v>
      </c>
      <c r="K6" s="300" t="s">
        <v>250</v>
      </c>
      <c r="L6" s="301">
        <v>-9442663.5500000082</v>
      </c>
      <c r="M6" s="319">
        <f>+N6-L6</f>
        <v>6525490.5150000155</v>
      </c>
      <c r="N6" s="759">
        <f>SUM('FINAL-Distributed E&amp;G Budget'!M7:O13,'FINAL-Distributed E&amp;G Budget'!U7:U13,'FINAL-Distributed E&amp;G Budget'!AE7:AH13,'FINAL-Distributed E&amp;G Budget'!AC7:AC14,'FINAL-Distributed E&amp;G Budget'!J14)</f>
        <v>-2917173.0349999927</v>
      </c>
      <c r="Y6" s="984"/>
      <c r="Z6" s="984"/>
      <c r="AA6" s="984"/>
      <c r="AB6" s="984"/>
      <c r="AC6" s="984"/>
    </row>
    <row r="7" spans="1:29" ht="16.5">
      <c r="A7" s="303" t="s">
        <v>252</v>
      </c>
      <c r="B7" s="304"/>
      <c r="C7" s="329"/>
      <c r="E7" s="306" t="s">
        <v>253</v>
      </c>
      <c r="F7" s="307">
        <f>+N57+N59+N60+N61+N62+N58</f>
        <v>24161851</v>
      </c>
      <c r="G7" s="188"/>
      <c r="H7" s="298"/>
      <c r="I7" s="299"/>
      <c r="J7" s="300"/>
      <c r="K7" s="300"/>
      <c r="L7" s="301"/>
      <c r="M7" s="319"/>
      <c r="N7" s="759"/>
      <c r="X7" s="984"/>
      <c r="Y7" s="984"/>
      <c r="Z7" s="984"/>
      <c r="AA7" s="984"/>
      <c r="AB7" s="984"/>
      <c r="AC7" s="984"/>
    </row>
    <row r="8" spans="1:29" ht="16.5">
      <c r="A8" s="308" t="s">
        <v>254</v>
      </c>
      <c r="B8" s="309">
        <f>+N89</f>
        <v>4146000</v>
      </c>
      <c r="C8" s="329"/>
      <c r="D8" s="483"/>
      <c r="E8" s="306" t="s">
        <v>256</v>
      </c>
      <c r="F8" s="307">
        <f>+N44+N93+N94</f>
        <v>-14484579</v>
      </c>
      <c r="G8" s="483"/>
      <c r="H8" s="311" t="s">
        <v>255</v>
      </c>
      <c r="I8" s="299"/>
      <c r="J8" s="300"/>
      <c r="K8" s="300"/>
      <c r="L8" s="301"/>
      <c r="M8" s="319"/>
      <c r="N8" s="759"/>
      <c r="X8" s="984"/>
      <c r="Y8" s="984"/>
      <c r="Z8" s="984"/>
      <c r="AA8" s="984"/>
      <c r="AB8" s="984"/>
      <c r="AC8" s="984"/>
    </row>
    <row r="9" spans="1:29" ht="16.5">
      <c r="A9" s="312"/>
      <c r="B9" s="313"/>
      <c r="C9" s="313"/>
      <c r="E9" s="306" t="s">
        <v>259</v>
      </c>
      <c r="F9" s="307">
        <f>+N42+N43</f>
        <v>11485543</v>
      </c>
      <c r="H9" s="298"/>
      <c r="I9" s="314" t="s">
        <v>248</v>
      </c>
      <c r="J9" s="315" t="s">
        <v>257</v>
      </c>
      <c r="K9" s="315" t="s">
        <v>258</v>
      </c>
      <c r="L9" s="301">
        <v>11209475</v>
      </c>
      <c r="M9" s="319">
        <v>3500000</v>
      </c>
      <c r="N9" s="769">
        <f>L9+M9</f>
        <v>14709475</v>
      </c>
      <c r="O9" s="1166" t="s">
        <v>842</v>
      </c>
      <c r="X9" s="984"/>
      <c r="Y9" s="984"/>
      <c r="Z9" s="984"/>
      <c r="AA9" s="984"/>
      <c r="AB9" s="984"/>
      <c r="AC9" s="984"/>
    </row>
    <row r="10" spans="1:29" ht="16.5">
      <c r="A10" s="303" t="s">
        <v>260</v>
      </c>
      <c r="B10" s="304"/>
      <c r="C10" s="313"/>
      <c r="E10" s="306" t="s">
        <v>261</v>
      </c>
      <c r="F10" s="307">
        <f>+N45+N46+N47</f>
        <v>7320000</v>
      </c>
      <c r="H10" s="298"/>
      <c r="I10" s="314"/>
      <c r="J10" s="300"/>
      <c r="K10" s="300"/>
      <c r="L10" s="301"/>
      <c r="M10" s="319"/>
      <c r="N10" s="769"/>
      <c r="O10" s="1029"/>
      <c r="X10" s="984"/>
      <c r="Y10" s="984"/>
      <c r="Z10" s="984"/>
      <c r="AA10" s="984"/>
      <c r="AB10" s="984"/>
      <c r="AC10" s="984"/>
    </row>
    <row r="11" spans="1:29" ht="16.5">
      <c r="A11" s="316" t="s">
        <v>552</v>
      </c>
      <c r="B11" s="317">
        <f>F35-B8</f>
        <v>2666900</v>
      </c>
      <c r="C11" s="329"/>
      <c r="D11" s="126"/>
      <c r="E11" s="306" t="s">
        <v>263</v>
      </c>
      <c r="F11" s="307">
        <f>+N35</f>
        <v>2000000</v>
      </c>
      <c r="H11" s="311" t="s">
        <v>262</v>
      </c>
      <c r="I11" s="305"/>
      <c r="J11" s="300"/>
      <c r="K11" s="300"/>
      <c r="L11" s="301"/>
      <c r="M11" s="319"/>
      <c r="N11" s="759"/>
      <c r="X11" s="984"/>
      <c r="Y11" s="984"/>
      <c r="Z11" s="984"/>
      <c r="AA11" s="984"/>
      <c r="AB11" s="984"/>
      <c r="AC11" s="984"/>
    </row>
    <row r="12" spans="1:29" ht="16.5">
      <c r="C12" s="329"/>
      <c r="E12" s="306" t="s">
        <v>266</v>
      </c>
      <c r="F12" s="307">
        <f>+N32</f>
        <v>3000000</v>
      </c>
      <c r="H12" s="305"/>
      <c r="I12" s="299" t="s">
        <v>248</v>
      </c>
      <c r="J12" s="300" t="s">
        <v>264</v>
      </c>
      <c r="K12" s="315" t="s">
        <v>265</v>
      </c>
      <c r="L12" s="318">
        <v>3442782</v>
      </c>
      <c r="M12" s="319">
        <f>+N12-L12</f>
        <v>2851088</v>
      </c>
      <c r="N12" s="759">
        <f>+Ecampus!M30+Ecampus!M31+Ecampus!M32</f>
        <v>6293870</v>
      </c>
      <c r="O12" s="869" t="s">
        <v>722</v>
      </c>
      <c r="X12" s="984"/>
      <c r="Y12" s="984"/>
      <c r="Z12" s="984"/>
      <c r="AA12" s="984"/>
      <c r="AB12" s="984"/>
      <c r="AC12" s="984"/>
    </row>
    <row r="13" spans="1:29" ht="16.5">
      <c r="A13" s="320" t="s">
        <v>251</v>
      </c>
      <c r="B13" s="304"/>
      <c r="E13" s="306" t="s">
        <v>269</v>
      </c>
      <c r="F13" s="307">
        <f>+N34</f>
        <v>225000</v>
      </c>
      <c r="H13" s="305"/>
      <c r="I13" s="299" t="s">
        <v>248</v>
      </c>
      <c r="J13" s="300" t="s">
        <v>267</v>
      </c>
      <c r="K13" s="315" t="s">
        <v>268</v>
      </c>
      <c r="L13" s="318">
        <v>850000</v>
      </c>
      <c r="M13" s="319">
        <f t="shared" ref="M13:M14" si="0">+N13-L13</f>
        <v>0</v>
      </c>
      <c r="N13" s="759">
        <f>+Summer!B28</f>
        <v>850000</v>
      </c>
      <c r="O13" s="869" t="s">
        <v>725</v>
      </c>
      <c r="Q13" s="1186"/>
      <c r="X13" s="984"/>
      <c r="Y13" s="984"/>
      <c r="Z13" s="984"/>
      <c r="AA13" s="984"/>
      <c r="AB13" s="984"/>
      <c r="AC13" s="984"/>
    </row>
    <row r="14" spans="1:29" ht="16.5">
      <c r="A14" s="321" t="s">
        <v>270</v>
      </c>
      <c r="B14" s="322">
        <f>F6</f>
        <v>44798792</v>
      </c>
      <c r="C14" s="329"/>
      <c r="E14" s="323" t="s">
        <v>272</v>
      </c>
      <c r="F14" s="307">
        <f>+N37+N38+N48+N49+N50+N51</f>
        <v>2658977</v>
      </c>
      <c r="G14" s="188"/>
      <c r="H14" s="305"/>
      <c r="I14" s="299" t="s">
        <v>248</v>
      </c>
      <c r="J14" s="300" t="s">
        <v>721</v>
      </c>
      <c r="K14" s="300" t="s">
        <v>271</v>
      </c>
      <c r="L14" s="318">
        <v>1990200</v>
      </c>
      <c r="M14" s="319">
        <f t="shared" si="0"/>
        <v>281230</v>
      </c>
      <c r="N14" s="759">
        <f>+'FINAL-Distributed E&amp;G Budget'!H11-N15</f>
        <v>2271430</v>
      </c>
      <c r="O14" s="869" t="s">
        <v>723</v>
      </c>
      <c r="X14" s="984"/>
      <c r="Y14" s="984"/>
      <c r="Z14" s="984"/>
      <c r="AA14" s="984"/>
      <c r="AB14" s="984"/>
      <c r="AC14" s="984"/>
    </row>
    <row r="15" spans="1:29" ht="16.5">
      <c r="C15" s="313"/>
      <c r="E15" s="323" t="s">
        <v>276</v>
      </c>
      <c r="F15" s="307">
        <f>+N36</f>
        <v>8432000</v>
      </c>
      <c r="G15" s="188"/>
      <c r="H15" s="305"/>
      <c r="I15" s="299" t="s">
        <v>248</v>
      </c>
      <c r="J15" s="300" t="s">
        <v>575</v>
      </c>
      <c r="K15" s="300" t="s">
        <v>271</v>
      </c>
      <c r="L15" s="318">
        <v>305000</v>
      </c>
      <c r="M15" s="319">
        <f>+N15-L15</f>
        <v>195000</v>
      </c>
      <c r="N15" s="769">
        <v>500000</v>
      </c>
      <c r="O15" s="1166"/>
      <c r="Q15" s="1186"/>
      <c r="X15" s="984"/>
      <c r="Y15" s="984"/>
      <c r="Z15" s="984"/>
      <c r="AA15" s="984"/>
      <c r="AB15" s="984"/>
      <c r="AC15" s="984"/>
    </row>
    <row r="16" spans="1:29" ht="16.5">
      <c r="A16" s="320" t="s">
        <v>277</v>
      </c>
      <c r="B16" s="304"/>
      <c r="E16" s="323" t="s">
        <v>670</v>
      </c>
      <c r="F16" s="307">
        <f>+N52</f>
        <v>0</v>
      </c>
      <c r="H16" s="305"/>
      <c r="I16" s="314" t="s">
        <v>273</v>
      </c>
      <c r="J16" s="300" t="s">
        <v>274</v>
      </c>
      <c r="K16" s="324" t="s">
        <v>275</v>
      </c>
      <c r="L16" s="318">
        <v>1375000</v>
      </c>
      <c r="M16" s="319">
        <f>+N16-L16</f>
        <v>-293600</v>
      </c>
      <c r="N16" s="759">
        <f>+Differential!F5-N17</f>
        <v>1081400</v>
      </c>
      <c r="O16" s="869" t="s">
        <v>724</v>
      </c>
      <c r="Q16" s="1186"/>
      <c r="X16" s="984"/>
      <c r="Y16" s="984"/>
      <c r="Z16" s="984"/>
      <c r="AA16" s="984"/>
      <c r="AB16" s="984"/>
      <c r="AC16" s="984"/>
    </row>
    <row r="17" spans="1:29" ht="16.5">
      <c r="A17" s="325" t="s">
        <v>279</v>
      </c>
      <c r="B17" s="326">
        <f>SUM(F36:F56)</f>
        <v>11604901</v>
      </c>
      <c r="C17" s="329"/>
      <c r="E17" s="323" t="s">
        <v>853</v>
      </c>
      <c r="F17" s="307">
        <f>+N39</f>
        <v>0</v>
      </c>
      <c r="G17" s="1185"/>
      <c r="H17" s="305"/>
      <c r="I17" s="314" t="s">
        <v>273</v>
      </c>
      <c r="J17" s="300" t="s">
        <v>882</v>
      </c>
      <c r="K17" s="324" t="s">
        <v>275</v>
      </c>
      <c r="L17" s="318">
        <v>0</v>
      </c>
      <c r="M17" s="319">
        <v>300000</v>
      </c>
      <c r="N17" s="759">
        <f>+L17+M17</f>
        <v>300000</v>
      </c>
      <c r="O17" s="869"/>
      <c r="Q17" s="1186"/>
      <c r="R17" s="1185"/>
      <c r="S17" s="1185"/>
      <c r="T17" s="1185"/>
      <c r="U17" s="1185"/>
      <c r="X17" s="984"/>
      <c r="Y17" s="984"/>
      <c r="Z17" s="984"/>
      <c r="AA17" s="984"/>
      <c r="AB17" s="984"/>
      <c r="AC17" s="984"/>
    </row>
    <row r="18" spans="1:29" ht="16.5">
      <c r="A18" s="328" t="s">
        <v>283</v>
      </c>
      <c r="B18" s="310">
        <f>F34</f>
        <v>14709475</v>
      </c>
      <c r="C18" s="352"/>
      <c r="D18" s="302" t="s">
        <v>282</v>
      </c>
      <c r="E18" s="302"/>
      <c r="F18" s="516">
        <f>SUM(F19:F25)</f>
        <v>11396700</v>
      </c>
      <c r="H18" s="305"/>
      <c r="I18" s="314" t="s">
        <v>248</v>
      </c>
      <c r="J18" s="300" t="s">
        <v>876</v>
      </c>
      <c r="K18" s="300" t="s">
        <v>278</v>
      </c>
      <c r="L18" s="301">
        <v>1022600</v>
      </c>
      <c r="M18" s="319">
        <v>-972600</v>
      </c>
      <c r="N18" s="759">
        <f>+L18+M18</f>
        <v>50000</v>
      </c>
      <c r="O18" s="944" t="s">
        <v>775</v>
      </c>
      <c r="P18" s="1123"/>
      <c r="Q18" s="1187"/>
      <c r="R18" s="1186"/>
      <c r="X18" s="984"/>
      <c r="Y18" s="984"/>
      <c r="Z18" s="984"/>
      <c r="AA18" s="984"/>
      <c r="AB18" s="984"/>
      <c r="AC18" s="984"/>
    </row>
    <row r="19" spans="1:29" ht="16.5">
      <c r="A19" s="320" t="s">
        <v>286</v>
      </c>
      <c r="B19" s="304"/>
      <c r="C19" s="329"/>
      <c r="E19" s="328" t="s">
        <v>285</v>
      </c>
      <c r="F19" s="307">
        <f>+N12+N13+N16+N17</f>
        <v>8525270</v>
      </c>
      <c r="G19" s="188"/>
      <c r="H19" s="305"/>
      <c r="I19" s="314" t="s">
        <v>248</v>
      </c>
      <c r="J19" s="315" t="s">
        <v>280</v>
      </c>
      <c r="K19" s="315" t="s">
        <v>281</v>
      </c>
      <c r="L19" s="301">
        <v>0</v>
      </c>
      <c r="M19" s="319">
        <v>0</v>
      </c>
      <c r="N19" s="943">
        <f>+L19+M19</f>
        <v>0</v>
      </c>
      <c r="O19" s="944"/>
      <c r="P19" s="974"/>
      <c r="Q19" s="523"/>
      <c r="X19" s="984"/>
      <c r="Y19" s="984"/>
      <c r="Z19" s="984"/>
      <c r="AA19" s="984"/>
      <c r="AB19" s="984"/>
      <c r="AC19" s="984"/>
    </row>
    <row r="20" spans="1:29" ht="16.5">
      <c r="A20" s="316" t="s">
        <v>288</v>
      </c>
      <c r="B20" s="329">
        <f>F18</f>
        <v>11396700</v>
      </c>
      <c r="C20" s="329"/>
      <c r="E20" s="328" t="s">
        <v>287</v>
      </c>
      <c r="F20" s="307">
        <f>+N14+N15</f>
        <v>2771430</v>
      </c>
      <c r="G20" s="126"/>
      <c r="H20" s="305"/>
      <c r="I20" s="314" t="s">
        <v>248</v>
      </c>
      <c r="J20" s="315" t="s">
        <v>284</v>
      </c>
      <c r="K20" s="315" t="s">
        <v>281</v>
      </c>
      <c r="L20" s="301">
        <v>40000</v>
      </c>
      <c r="M20" s="319">
        <v>10000</v>
      </c>
      <c r="N20" s="759">
        <f>+L20+M20</f>
        <v>50000</v>
      </c>
      <c r="O20" s="944"/>
      <c r="X20" s="984"/>
      <c r="Y20" s="984"/>
      <c r="Z20" s="984"/>
      <c r="AA20" s="984"/>
      <c r="AB20" s="984"/>
      <c r="AC20" s="984"/>
    </row>
    <row r="21" spans="1:29" ht="16.5">
      <c r="C21" s="329"/>
      <c r="E21" s="328" t="s">
        <v>182</v>
      </c>
      <c r="F21" s="307">
        <v>0</v>
      </c>
      <c r="H21" s="305"/>
      <c r="I21" s="299" t="s">
        <v>248</v>
      </c>
      <c r="J21" s="985" t="s">
        <v>719</v>
      </c>
      <c r="K21" s="315" t="s">
        <v>278</v>
      </c>
      <c r="L21" s="301">
        <v>0</v>
      </c>
      <c r="M21" s="319">
        <f t="shared" ref="M21" si="1">+N21-L21</f>
        <v>0</v>
      </c>
      <c r="N21" s="943">
        <v>0</v>
      </c>
      <c r="O21" s="944"/>
      <c r="X21" s="984"/>
      <c r="Y21" s="984"/>
      <c r="Z21" s="984"/>
      <c r="AA21" s="984"/>
      <c r="AB21" s="984"/>
      <c r="AC21" s="984"/>
    </row>
    <row r="22" spans="1:29" ht="16.5">
      <c r="A22" s="320" t="s">
        <v>290</v>
      </c>
      <c r="B22" s="304"/>
      <c r="E22" s="328" t="s">
        <v>289</v>
      </c>
      <c r="F22" s="307">
        <f>+N18</f>
        <v>50000</v>
      </c>
      <c r="H22" s="305"/>
      <c r="I22" s="299" t="s">
        <v>248</v>
      </c>
      <c r="J22" s="985" t="s">
        <v>720</v>
      </c>
      <c r="K22" s="315" t="s">
        <v>278</v>
      </c>
      <c r="L22" s="301">
        <v>0</v>
      </c>
      <c r="M22" s="319"/>
      <c r="N22" s="943">
        <f t="shared" ref="N22:N29" si="2">+L22+M22</f>
        <v>0</v>
      </c>
      <c r="O22" s="944"/>
      <c r="X22" s="984"/>
      <c r="Y22" s="984"/>
      <c r="Z22" s="984"/>
      <c r="AA22" s="984"/>
      <c r="AB22" s="984"/>
      <c r="AC22" s="984"/>
    </row>
    <row r="23" spans="1:29" ht="16.5">
      <c r="A23" s="316" t="s">
        <v>291</v>
      </c>
      <c r="B23" s="331">
        <f>F26</f>
        <v>180000</v>
      </c>
      <c r="C23" s="329"/>
      <c r="E23" s="316" t="s">
        <v>186</v>
      </c>
      <c r="F23" s="330">
        <f>+N19+N20</f>
        <v>50000</v>
      </c>
      <c r="G23" s="868"/>
      <c r="H23" s="305"/>
      <c r="I23" s="299" t="s">
        <v>248</v>
      </c>
      <c r="J23" s="880" t="s">
        <v>686</v>
      </c>
      <c r="K23" s="315"/>
      <c r="L23" s="301">
        <v>0</v>
      </c>
      <c r="M23" s="319">
        <v>0</v>
      </c>
      <c r="N23" s="943">
        <f t="shared" si="2"/>
        <v>0</v>
      </c>
      <c r="O23" s="944"/>
      <c r="X23" s="984"/>
      <c r="Y23" s="984"/>
      <c r="Z23" s="984"/>
      <c r="AA23" s="984"/>
      <c r="AB23" s="984"/>
      <c r="AC23" s="984"/>
    </row>
    <row r="24" spans="1:29" ht="17.25" thickBot="1">
      <c r="A24" s="332"/>
      <c r="B24" s="332"/>
      <c r="C24" s="331"/>
      <c r="E24" s="328" t="s">
        <v>292</v>
      </c>
      <c r="F24" s="330">
        <f>+N27</f>
        <v>0</v>
      </c>
      <c r="H24" s="305"/>
      <c r="I24" s="299" t="s">
        <v>248</v>
      </c>
      <c r="J24" s="880" t="s">
        <v>668</v>
      </c>
      <c r="K24" s="315" t="s">
        <v>278</v>
      </c>
      <c r="L24" s="301">
        <v>0</v>
      </c>
      <c r="M24" s="319">
        <v>0</v>
      </c>
      <c r="N24" s="943">
        <f t="shared" si="2"/>
        <v>0</v>
      </c>
      <c r="O24" s="944"/>
      <c r="Q24" s="830"/>
      <c r="R24" s="830"/>
      <c r="S24" s="830"/>
      <c r="T24" s="830"/>
      <c r="U24" s="830"/>
      <c r="X24" s="984"/>
      <c r="Y24" s="984"/>
      <c r="Z24" s="984"/>
      <c r="AA24" s="984"/>
      <c r="AB24" s="984"/>
      <c r="AC24" s="984"/>
    </row>
    <row r="25" spans="1:29" ht="17.25" thickTop="1">
      <c r="A25" s="333" t="s">
        <v>293</v>
      </c>
      <c r="B25" s="217">
        <f>B8+B11+B14+B17+B20+B23+B18</f>
        <v>89502768</v>
      </c>
      <c r="C25" s="331"/>
      <c r="D25" s="870"/>
      <c r="E25" s="328"/>
      <c r="F25" s="330"/>
      <c r="G25" s="830"/>
      <c r="H25" s="305"/>
      <c r="I25" s="299" t="s">
        <v>248</v>
      </c>
      <c r="J25" s="880" t="s">
        <v>669</v>
      </c>
      <c r="K25" s="315"/>
      <c r="L25" s="301">
        <v>0</v>
      </c>
      <c r="M25" s="319">
        <v>0</v>
      </c>
      <c r="N25" s="943">
        <f t="shared" si="2"/>
        <v>0</v>
      </c>
      <c r="O25" s="944"/>
      <c r="X25" s="984"/>
      <c r="Y25" s="984"/>
      <c r="Z25" s="984"/>
      <c r="AA25" s="984"/>
      <c r="AB25" s="984"/>
      <c r="AC25" s="984"/>
    </row>
    <row r="26" spans="1:29" ht="16.5">
      <c r="C26" s="125"/>
      <c r="D26" s="302" t="s">
        <v>291</v>
      </c>
      <c r="E26" s="302"/>
      <c r="F26" s="516">
        <f>F27+F28</f>
        <v>180000</v>
      </c>
      <c r="G26" s="870"/>
      <c r="H26" s="305"/>
      <c r="I26" s="299" t="s">
        <v>248</v>
      </c>
      <c r="J26" s="880" t="s">
        <v>631</v>
      </c>
      <c r="K26" s="315" t="s">
        <v>278</v>
      </c>
      <c r="L26" s="301">
        <v>0</v>
      </c>
      <c r="M26" s="319">
        <v>0</v>
      </c>
      <c r="N26" s="943">
        <f t="shared" si="2"/>
        <v>0</v>
      </c>
      <c r="O26" s="944"/>
      <c r="X26" s="984"/>
      <c r="Y26" s="984"/>
      <c r="Z26" s="984"/>
      <c r="AA26" s="984"/>
      <c r="AB26" s="984"/>
      <c r="AC26" s="984"/>
    </row>
    <row r="27" spans="1:29" ht="16.5">
      <c r="A27" s="333"/>
      <c r="B27" s="217"/>
      <c r="C27" s="146"/>
      <c r="E27" s="334" t="s">
        <v>295</v>
      </c>
      <c r="F27" s="335">
        <f>+N24+N26+N21+N22+N25+N23</f>
        <v>0</v>
      </c>
      <c r="H27" s="305"/>
      <c r="I27" s="299" t="s">
        <v>248</v>
      </c>
      <c r="J27" s="300" t="s">
        <v>292</v>
      </c>
      <c r="K27" s="300"/>
      <c r="L27" s="301">
        <v>0</v>
      </c>
      <c r="M27" s="319">
        <v>0</v>
      </c>
      <c r="N27" s="759">
        <f>+L27+M27</f>
        <v>0</v>
      </c>
      <c r="X27" s="984"/>
      <c r="Y27" s="984"/>
      <c r="Z27" s="984"/>
      <c r="AA27" s="984"/>
      <c r="AB27" s="984"/>
      <c r="AC27" s="984"/>
    </row>
    <row r="28" spans="1:29" ht="16.5">
      <c r="A28" s="333" t="s">
        <v>300</v>
      </c>
      <c r="B28" s="217">
        <f>F61</f>
        <v>3348052</v>
      </c>
      <c r="E28" s="334" t="s">
        <v>298</v>
      </c>
      <c r="F28" s="335">
        <f>+N33</f>
        <v>180000</v>
      </c>
      <c r="H28" s="305"/>
      <c r="L28">
        <v>0</v>
      </c>
      <c r="M28" s="319">
        <v>0</v>
      </c>
      <c r="N28" s="769">
        <f t="shared" si="2"/>
        <v>0</v>
      </c>
      <c r="Q28" s="865"/>
      <c r="R28" s="865"/>
      <c r="S28" s="865"/>
      <c r="X28" s="984"/>
      <c r="Y28" s="984"/>
      <c r="Z28" s="984"/>
      <c r="AA28" s="984"/>
      <c r="AB28" s="984"/>
      <c r="AC28" s="984"/>
    </row>
    <row r="29" spans="1:29" ht="17.25">
      <c r="A29" s="333" t="s">
        <v>302</v>
      </c>
      <c r="B29" s="217">
        <f>B25+B27+B28</f>
        <v>92850820</v>
      </c>
      <c r="C29" s="146"/>
      <c r="E29" s="336"/>
      <c r="F29" s="337"/>
      <c r="H29" s="305"/>
      <c r="I29" s="299"/>
      <c r="J29" s="543"/>
      <c r="K29" s="870"/>
      <c r="L29" s="301">
        <v>0</v>
      </c>
      <c r="M29" s="319">
        <v>0</v>
      </c>
      <c r="N29" s="769">
        <f t="shared" si="2"/>
        <v>0</v>
      </c>
      <c r="X29" s="984"/>
      <c r="Y29" s="984"/>
      <c r="Z29" s="984"/>
      <c r="AA29" s="984"/>
      <c r="AB29" s="984"/>
      <c r="AC29" s="984"/>
    </row>
    <row r="30" spans="1:29" ht="16.5">
      <c r="C30" s="146"/>
      <c r="D30" s="302" t="s">
        <v>301</v>
      </c>
      <c r="E30" s="302"/>
      <c r="F30" s="327"/>
      <c r="G30" s="865"/>
      <c r="H30" s="305"/>
      <c r="I30" s="299"/>
      <c r="J30" s="300"/>
      <c r="K30" s="300"/>
      <c r="L30" s="318"/>
      <c r="M30" s="319"/>
      <c r="N30" s="759"/>
      <c r="X30" s="984"/>
      <c r="Y30" s="984"/>
      <c r="Z30" s="984"/>
      <c r="AA30" s="984"/>
      <c r="AB30" s="984"/>
      <c r="AC30" s="984"/>
    </row>
    <row r="31" spans="1:29" ht="15.75">
      <c r="B31" s="126"/>
      <c r="C31" s="146"/>
      <c r="F31" s="80"/>
      <c r="G31" s="521"/>
      <c r="H31" s="311" t="s">
        <v>294</v>
      </c>
      <c r="I31" s="299"/>
      <c r="J31" s="300"/>
      <c r="K31" s="300"/>
      <c r="L31" s="301"/>
      <c r="M31" s="319"/>
      <c r="N31" s="759"/>
      <c r="X31" s="984"/>
      <c r="Y31" s="984"/>
      <c r="Z31" s="984"/>
      <c r="AA31" s="984"/>
      <c r="AB31" s="984"/>
      <c r="AC31" s="984"/>
    </row>
    <row r="32" spans="1:29" ht="16.5">
      <c r="F32" s="80"/>
      <c r="H32" s="305"/>
      <c r="I32" s="314" t="s">
        <v>248</v>
      </c>
      <c r="J32" s="810" t="s">
        <v>296</v>
      </c>
      <c r="K32" s="315" t="s">
        <v>297</v>
      </c>
      <c r="L32" s="301">
        <v>3000000</v>
      </c>
      <c r="M32" s="319">
        <v>0</v>
      </c>
      <c r="N32" s="769">
        <f>+L32+M32</f>
        <v>3000000</v>
      </c>
      <c r="O32" s="1123"/>
      <c r="P32" s="869"/>
      <c r="X32" s="984"/>
      <c r="Y32" s="984"/>
      <c r="Z32" s="984"/>
      <c r="AA32" s="984"/>
      <c r="AB32" s="984"/>
      <c r="AC32" s="984"/>
    </row>
    <row r="33" spans="4:29" ht="16.5">
      <c r="D33" s="302" t="s">
        <v>307</v>
      </c>
      <c r="E33" s="302"/>
      <c r="F33" s="327">
        <f>SUM(F34:F57)</f>
        <v>33127276</v>
      </c>
      <c r="H33" s="305"/>
      <c r="I33" s="299" t="s">
        <v>248</v>
      </c>
      <c r="J33" s="879" t="s">
        <v>299</v>
      </c>
      <c r="K33" s="315" t="s">
        <v>278</v>
      </c>
      <c r="L33" s="301">
        <v>180000</v>
      </c>
      <c r="M33" s="319">
        <v>0</v>
      </c>
      <c r="N33" s="769">
        <f t="shared" ref="N33:N37" si="3">L33+M33</f>
        <v>180000</v>
      </c>
      <c r="O33" s="1123"/>
      <c r="X33" s="984"/>
      <c r="Y33" s="984"/>
      <c r="Z33" s="984"/>
      <c r="AA33" s="984"/>
      <c r="AB33" s="984"/>
      <c r="AC33" s="984"/>
    </row>
    <row r="34" spans="4:29" ht="16.5">
      <c r="E34" s="305" t="s">
        <v>310</v>
      </c>
      <c r="F34" s="307">
        <f>+N9</f>
        <v>14709475</v>
      </c>
      <c r="H34" s="305"/>
      <c r="I34" s="299" t="s">
        <v>248</v>
      </c>
      <c r="J34" s="300" t="s">
        <v>580</v>
      </c>
      <c r="K34" s="300" t="s">
        <v>271</v>
      </c>
      <c r="L34" s="301">
        <v>225000</v>
      </c>
      <c r="M34" s="319">
        <v>0</v>
      </c>
      <c r="N34" s="769">
        <f>+L34+M34</f>
        <v>225000</v>
      </c>
      <c r="O34" s="1123"/>
      <c r="X34" s="984"/>
      <c r="Y34" s="984"/>
      <c r="Z34" s="984"/>
      <c r="AA34" s="984"/>
      <c r="AB34" s="984"/>
      <c r="AC34" s="984"/>
    </row>
    <row r="35" spans="4:29" ht="16.5">
      <c r="E35" s="305" t="s">
        <v>311</v>
      </c>
      <c r="F35" s="307">
        <f>+N89+N90+N92</f>
        <v>6812900</v>
      </c>
      <c r="H35" s="305"/>
      <c r="I35" s="314" t="s">
        <v>248</v>
      </c>
      <c r="J35" s="810" t="s">
        <v>303</v>
      </c>
      <c r="K35" s="315" t="s">
        <v>304</v>
      </c>
      <c r="L35" s="301">
        <v>2000000</v>
      </c>
      <c r="M35" s="319">
        <v>0</v>
      </c>
      <c r="N35" s="769">
        <f>L35+M35</f>
        <v>2000000</v>
      </c>
      <c r="O35" s="1123"/>
      <c r="X35" s="984"/>
      <c r="Y35" s="984"/>
      <c r="Z35" s="984"/>
      <c r="AA35" s="984"/>
      <c r="AB35" s="984"/>
      <c r="AC35" s="984"/>
    </row>
    <row r="36" spans="4:29" ht="16.5">
      <c r="E36" s="305" t="s">
        <v>313</v>
      </c>
      <c r="F36" s="307">
        <f>+N67+N68</f>
        <v>0</v>
      </c>
      <c r="H36" s="305"/>
      <c r="I36" s="314" t="s">
        <v>248</v>
      </c>
      <c r="J36" s="810" t="s">
        <v>276</v>
      </c>
      <c r="K36" s="315" t="s">
        <v>305</v>
      </c>
      <c r="L36" s="301">
        <v>7931878</v>
      </c>
      <c r="M36" s="319">
        <f>500000+122</f>
        <v>500122</v>
      </c>
      <c r="N36" s="877">
        <f t="shared" si="3"/>
        <v>8432000</v>
      </c>
      <c r="O36" s="1166" t="s">
        <v>881</v>
      </c>
      <c r="P36" s="1123"/>
      <c r="R36" s="523"/>
      <c r="X36" s="984"/>
      <c r="Y36" s="984"/>
      <c r="Z36" s="984"/>
      <c r="AA36" s="984"/>
      <c r="AB36" s="984"/>
      <c r="AC36" s="984"/>
    </row>
    <row r="37" spans="4:29" ht="16.5">
      <c r="E37" s="305" t="s">
        <v>316</v>
      </c>
      <c r="F37" s="307">
        <f>+N64</f>
        <v>1680000</v>
      </c>
      <c r="H37" s="305"/>
      <c r="I37" s="314" t="s">
        <v>248</v>
      </c>
      <c r="J37" s="810" t="s">
        <v>306</v>
      </c>
      <c r="K37" s="315" t="s">
        <v>304</v>
      </c>
      <c r="L37" s="301">
        <v>1350000</v>
      </c>
      <c r="M37" s="319">
        <v>150000</v>
      </c>
      <c r="N37" s="769">
        <f t="shared" si="3"/>
        <v>1500000</v>
      </c>
      <c r="O37" s="1123"/>
      <c r="P37" s="1123"/>
      <c r="X37" s="984"/>
      <c r="Y37" s="984"/>
      <c r="Z37" s="984"/>
      <c r="AA37" s="984"/>
      <c r="AB37" s="984"/>
      <c r="AC37" s="984"/>
    </row>
    <row r="38" spans="4:29" ht="16.5">
      <c r="E38" s="305" t="s">
        <v>328</v>
      </c>
      <c r="F38" s="307">
        <f>+N66</f>
        <v>26400</v>
      </c>
      <c r="H38" s="305"/>
      <c r="I38" s="314" t="s">
        <v>308</v>
      </c>
      <c r="J38" s="324" t="s">
        <v>309</v>
      </c>
      <c r="K38" s="324" t="s">
        <v>275</v>
      </c>
      <c r="L38" s="318">
        <v>0</v>
      </c>
      <c r="M38" s="319">
        <v>0</v>
      </c>
      <c r="N38" s="769">
        <f>L38+M38</f>
        <v>0</v>
      </c>
      <c r="O38" s="869"/>
      <c r="X38" s="984"/>
      <c r="Y38" s="984"/>
      <c r="Z38" s="984"/>
      <c r="AA38" s="984"/>
      <c r="AB38" s="984"/>
      <c r="AC38" s="984"/>
    </row>
    <row r="39" spans="4:29" ht="16.5">
      <c r="E39" s="305" t="s">
        <v>527</v>
      </c>
      <c r="F39" s="307">
        <f>+N69</f>
        <v>90000</v>
      </c>
      <c r="H39" s="305"/>
      <c r="I39" s="314" t="s">
        <v>248</v>
      </c>
      <c r="J39" s="324" t="s">
        <v>849</v>
      </c>
      <c r="M39" s="319">
        <v>0</v>
      </c>
      <c r="N39" s="769">
        <f>L39+M39</f>
        <v>0</v>
      </c>
      <c r="O39" s="1166"/>
      <c r="X39" s="984"/>
      <c r="Y39" s="984"/>
      <c r="Z39" s="984"/>
      <c r="AA39" s="984"/>
      <c r="AB39" s="984"/>
      <c r="AC39" s="984"/>
    </row>
    <row r="40" spans="4:29" ht="16.5">
      <c r="E40" s="305" t="s">
        <v>545</v>
      </c>
      <c r="F40" s="307">
        <f>+N70+N71</f>
        <v>650000</v>
      </c>
      <c r="H40" s="297"/>
      <c r="I40" s="299"/>
      <c r="J40" s="300"/>
      <c r="K40" s="300"/>
      <c r="L40" s="301"/>
      <c r="M40" s="319"/>
      <c r="N40" s="759"/>
      <c r="X40" s="984"/>
      <c r="Y40" s="984"/>
      <c r="Z40" s="984"/>
      <c r="AA40" s="984"/>
      <c r="AB40" s="984"/>
      <c r="AC40" s="984"/>
    </row>
    <row r="41" spans="4:29" ht="16.5">
      <c r="E41" s="543" t="s">
        <v>587</v>
      </c>
      <c r="F41" s="307">
        <f>+N72</f>
        <v>30000</v>
      </c>
      <c r="H41" s="311" t="s">
        <v>312</v>
      </c>
      <c r="I41" s="299"/>
      <c r="J41" s="300"/>
      <c r="K41" s="300"/>
      <c r="L41" s="301"/>
      <c r="M41" s="319"/>
      <c r="N41" s="759"/>
      <c r="X41" s="984"/>
      <c r="Y41" s="984"/>
      <c r="Z41" s="984"/>
      <c r="AA41" s="984"/>
      <c r="AB41" s="984"/>
      <c r="AC41" s="984"/>
    </row>
    <row r="42" spans="4:29" ht="16.5">
      <c r="E42" s="300" t="s">
        <v>692</v>
      </c>
      <c r="F42" s="307">
        <f>+N74</f>
        <v>200000</v>
      </c>
      <c r="H42" s="297"/>
      <c r="I42" s="314" t="s">
        <v>248</v>
      </c>
      <c r="J42" s="810" t="s">
        <v>314</v>
      </c>
      <c r="K42" s="315" t="s">
        <v>305</v>
      </c>
      <c r="L42" s="318">
        <v>9697000</v>
      </c>
      <c r="M42" s="319">
        <v>0</v>
      </c>
      <c r="N42" s="799">
        <f>L42+M42</f>
        <v>9697000</v>
      </c>
      <c r="O42" s="869"/>
      <c r="X42" s="984"/>
      <c r="Y42" s="984"/>
      <c r="Z42" s="984"/>
      <c r="AA42" s="984"/>
      <c r="AB42" s="984"/>
      <c r="AC42" s="984"/>
    </row>
    <row r="43" spans="4:29" ht="16.5">
      <c r="E43" s="339" t="s">
        <v>319</v>
      </c>
      <c r="F43" s="307">
        <f>+N65</f>
        <v>140000</v>
      </c>
      <c r="H43" s="297"/>
      <c r="I43" s="314" t="s">
        <v>248</v>
      </c>
      <c r="J43" s="810" t="s">
        <v>315</v>
      </c>
      <c r="K43" s="315" t="s">
        <v>305</v>
      </c>
      <c r="L43" s="318">
        <v>1788543</v>
      </c>
      <c r="M43" s="319">
        <v>0</v>
      </c>
      <c r="N43" s="799">
        <f>L43+M43</f>
        <v>1788543</v>
      </c>
      <c r="X43" s="984"/>
      <c r="Y43" s="984"/>
      <c r="Z43" s="984"/>
      <c r="AA43" s="984"/>
      <c r="AB43" s="984"/>
      <c r="AC43" s="984"/>
    </row>
    <row r="44" spans="4:29" ht="16.5">
      <c r="E44" s="350" t="s">
        <v>734</v>
      </c>
      <c r="F44" s="307">
        <f>+N75</f>
        <v>0</v>
      </c>
      <c r="H44" s="297"/>
      <c r="I44" s="314" t="s">
        <v>248</v>
      </c>
      <c r="J44" s="338" t="s">
        <v>574</v>
      </c>
      <c r="K44" s="315" t="s">
        <v>305</v>
      </c>
      <c r="L44" s="318">
        <v>660000</v>
      </c>
      <c r="M44" s="319">
        <v>44791</v>
      </c>
      <c r="N44" s="799">
        <f t="shared" ref="N44:N46" si="4">L44+M44</f>
        <v>704791</v>
      </c>
      <c r="O44" s="1123"/>
      <c r="P44" s="974"/>
      <c r="X44" s="984"/>
      <c r="Y44" s="984"/>
      <c r="Z44" s="984"/>
      <c r="AA44" s="984"/>
      <c r="AB44" s="984"/>
      <c r="AC44" s="984"/>
    </row>
    <row r="45" spans="4:29" ht="16.5">
      <c r="E45" s="350" t="s">
        <v>735</v>
      </c>
      <c r="F45" s="307">
        <f t="shared" ref="F45:F48" si="5">+N76</f>
        <v>0</v>
      </c>
      <c r="H45" s="297"/>
      <c r="I45" s="299" t="s">
        <v>248</v>
      </c>
      <c r="J45" s="300" t="s">
        <v>317</v>
      </c>
      <c r="K45" s="315" t="s">
        <v>318</v>
      </c>
      <c r="L45" s="301">
        <v>5700000</v>
      </c>
      <c r="M45" s="319">
        <v>0</v>
      </c>
      <c r="N45" s="769">
        <f t="shared" si="4"/>
        <v>5700000</v>
      </c>
      <c r="O45" s="869"/>
      <c r="X45" s="984"/>
      <c r="Y45" s="984"/>
      <c r="Z45" s="984"/>
      <c r="AA45" s="984"/>
      <c r="AB45" s="984"/>
      <c r="AC45" s="984"/>
    </row>
    <row r="46" spans="4:29" ht="16.5">
      <c r="E46" s="350" t="s">
        <v>736</v>
      </c>
      <c r="F46" s="307">
        <f t="shared" si="5"/>
        <v>0</v>
      </c>
      <c r="H46" s="297"/>
      <c r="I46" s="299" t="s">
        <v>248</v>
      </c>
      <c r="J46" s="300" t="s">
        <v>320</v>
      </c>
      <c r="K46" s="315" t="s">
        <v>318</v>
      </c>
      <c r="L46" s="301">
        <v>1100000</v>
      </c>
      <c r="M46" s="319">
        <v>0</v>
      </c>
      <c r="N46" s="769">
        <f t="shared" si="4"/>
        <v>1100000</v>
      </c>
      <c r="O46" s="869"/>
      <c r="X46" s="984"/>
      <c r="Y46" s="984"/>
      <c r="Z46" s="984"/>
      <c r="AA46" s="984"/>
      <c r="AB46" s="984"/>
      <c r="AC46" s="984"/>
    </row>
    <row r="47" spans="4:29" ht="16.5">
      <c r="E47" s="350" t="s">
        <v>737</v>
      </c>
      <c r="F47" s="307">
        <f t="shared" si="5"/>
        <v>0</v>
      </c>
      <c r="H47" s="297"/>
      <c r="I47" s="299" t="s">
        <v>248</v>
      </c>
      <c r="J47" s="324" t="s">
        <v>321</v>
      </c>
      <c r="K47" s="315" t="s">
        <v>318</v>
      </c>
      <c r="L47" s="301">
        <v>520000</v>
      </c>
      <c r="M47" s="319">
        <v>0</v>
      </c>
      <c r="N47" s="769">
        <f>+L47+M47</f>
        <v>520000</v>
      </c>
      <c r="O47" s="869"/>
      <c r="X47" s="984"/>
      <c r="Y47" s="984"/>
      <c r="Z47" s="984"/>
      <c r="AA47" s="984"/>
      <c r="AB47" s="984"/>
      <c r="AC47" s="984"/>
    </row>
    <row r="48" spans="4:29" ht="16.5">
      <c r="E48" s="1141" t="s">
        <v>795</v>
      </c>
      <c r="F48" s="307">
        <f t="shared" si="5"/>
        <v>1010000</v>
      </c>
      <c r="H48" s="297"/>
      <c r="I48" s="340" t="s">
        <v>322</v>
      </c>
      <c r="J48" s="324" t="s">
        <v>323</v>
      </c>
      <c r="K48" s="324" t="s">
        <v>275</v>
      </c>
      <c r="L48" s="318">
        <v>475000</v>
      </c>
      <c r="M48" s="319">
        <v>0</v>
      </c>
      <c r="N48" s="769">
        <f>+L48+M48</f>
        <v>475000</v>
      </c>
      <c r="O48" s="1123"/>
      <c r="X48" s="984"/>
      <c r="Y48" s="984"/>
      <c r="Z48" s="984"/>
      <c r="AA48" s="984"/>
      <c r="AB48" s="984"/>
      <c r="AC48" s="984"/>
    </row>
    <row r="49" spans="3:29" ht="16.5">
      <c r="E49" s="1141" t="s">
        <v>803</v>
      </c>
      <c r="F49" s="307">
        <f t="shared" ref="F49:F54" si="6">+N80</f>
        <v>385428</v>
      </c>
      <c r="H49" s="297"/>
      <c r="I49" s="340" t="s">
        <v>324</v>
      </c>
      <c r="J49" s="324" t="s">
        <v>325</v>
      </c>
      <c r="K49" s="324" t="s">
        <v>275</v>
      </c>
      <c r="L49" s="318">
        <v>103877</v>
      </c>
      <c r="M49" s="319">
        <v>0</v>
      </c>
      <c r="N49" s="769">
        <f>L49+M49</f>
        <v>103877</v>
      </c>
      <c r="O49" s="1123"/>
      <c r="X49" s="984"/>
      <c r="Y49" s="984"/>
      <c r="Z49" s="984"/>
      <c r="AA49" s="984"/>
      <c r="AB49" s="984"/>
      <c r="AC49" s="984"/>
    </row>
    <row r="50" spans="3:29" ht="16.5">
      <c r="E50" s="1141" t="s">
        <v>802</v>
      </c>
      <c r="F50" s="307">
        <f t="shared" si="6"/>
        <v>350000</v>
      </c>
      <c r="H50" s="297"/>
      <c r="I50" s="340" t="s">
        <v>326</v>
      </c>
      <c r="J50" s="324" t="s">
        <v>327</v>
      </c>
      <c r="K50" s="324" t="s">
        <v>275</v>
      </c>
      <c r="L50" s="318">
        <v>235000</v>
      </c>
      <c r="M50" s="319">
        <v>5000</v>
      </c>
      <c r="N50" s="769">
        <f>L50+M50</f>
        <v>240000</v>
      </c>
      <c r="O50" s="1123"/>
      <c r="P50" s="1188"/>
      <c r="R50" s="188"/>
      <c r="X50" s="984"/>
      <c r="Y50" s="984"/>
      <c r="Z50" s="984"/>
      <c r="AA50" s="984"/>
      <c r="AB50" s="984"/>
      <c r="AC50" s="984"/>
    </row>
    <row r="51" spans="3:29" ht="16.5">
      <c r="E51" s="543" t="s">
        <v>843</v>
      </c>
      <c r="F51" s="307">
        <f t="shared" si="6"/>
        <v>500000</v>
      </c>
      <c r="H51" s="297"/>
      <c r="I51" s="543" t="s">
        <v>526</v>
      </c>
      <c r="J51" s="300" t="s">
        <v>544</v>
      </c>
      <c r="K51" s="324" t="s">
        <v>275</v>
      </c>
      <c r="L51" s="318">
        <v>340000</v>
      </c>
      <c r="M51" s="319">
        <v>100</v>
      </c>
      <c r="N51" s="769">
        <f>+L51+M51</f>
        <v>340100</v>
      </c>
      <c r="O51" s="1123"/>
      <c r="X51" s="984"/>
      <c r="Y51" s="984"/>
      <c r="Z51" s="984"/>
      <c r="AA51" s="984"/>
      <c r="AB51" s="984"/>
      <c r="AC51" s="984"/>
    </row>
    <row r="52" spans="3:29" ht="16.5">
      <c r="E52" s="543" t="s">
        <v>873</v>
      </c>
      <c r="F52" s="307">
        <f t="shared" si="6"/>
        <v>2490000</v>
      </c>
      <c r="H52" s="297"/>
      <c r="I52" s="1182" t="s">
        <v>342</v>
      </c>
      <c r="J52" s="300" t="s">
        <v>666</v>
      </c>
      <c r="L52" s="318">
        <v>800000</v>
      </c>
      <c r="M52" s="319">
        <v>-800000</v>
      </c>
      <c r="N52" s="739">
        <f>+L52+M52</f>
        <v>0</v>
      </c>
      <c r="O52" s="869" t="s">
        <v>861</v>
      </c>
      <c r="P52" s="1123"/>
      <c r="X52" s="984"/>
      <c r="Y52" s="984"/>
      <c r="Z52" s="984"/>
      <c r="AA52" s="984"/>
      <c r="AB52" s="984"/>
      <c r="AC52" s="984"/>
    </row>
    <row r="53" spans="3:29" ht="16.5">
      <c r="E53" s="543" t="s">
        <v>851</v>
      </c>
      <c r="F53" s="307">
        <f t="shared" si="6"/>
        <v>700000</v>
      </c>
      <c r="H53" s="297"/>
      <c r="M53" s="319"/>
      <c r="N53" s="759"/>
      <c r="O53" s="869"/>
      <c r="X53" s="984"/>
      <c r="Y53" s="984"/>
      <c r="Z53" s="984"/>
      <c r="AA53" s="984"/>
      <c r="AB53" s="984"/>
      <c r="AC53" s="984"/>
    </row>
    <row r="54" spans="3:29" ht="16.5">
      <c r="E54" s="543" t="s">
        <v>852</v>
      </c>
      <c r="F54" s="307">
        <f t="shared" si="6"/>
        <v>2000000</v>
      </c>
      <c r="H54" s="297"/>
      <c r="M54" s="319"/>
      <c r="N54" s="759"/>
      <c r="X54" s="984"/>
      <c r="Y54" s="984"/>
      <c r="Z54" s="984"/>
      <c r="AA54" s="984"/>
      <c r="AB54" s="984"/>
      <c r="AC54" s="984"/>
    </row>
    <row r="55" spans="3:29" ht="16.5">
      <c r="E55" s="339" t="s">
        <v>866</v>
      </c>
      <c r="F55" s="307">
        <f>+N86</f>
        <v>380473</v>
      </c>
      <c r="H55" s="297"/>
      <c r="I55" s="299"/>
      <c r="J55" s="324"/>
      <c r="K55" s="315"/>
      <c r="L55" s="301"/>
      <c r="M55" s="319"/>
      <c r="N55" s="759"/>
      <c r="X55" s="984"/>
      <c r="Y55" s="984"/>
      <c r="Z55" s="984"/>
      <c r="AA55" s="984"/>
      <c r="AB55" s="984"/>
      <c r="AC55" s="984"/>
    </row>
    <row r="56" spans="3:29" ht="16.5">
      <c r="E56" s="339" t="s">
        <v>883</v>
      </c>
      <c r="F56" s="307">
        <f>+N87</f>
        <v>972600</v>
      </c>
      <c r="H56" s="311" t="s">
        <v>330</v>
      </c>
      <c r="I56" s="297"/>
      <c r="J56" s="297"/>
      <c r="K56" s="297"/>
      <c r="L56" s="297"/>
      <c r="M56" s="616"/>
      <c r="N56" s="759"/>
      <c r="Q56" s="829"/>
      <c r="X56" s="984"/>
      <c r="Y56" s="984"/>
      <c r="Z56" s="984"/>
      <c r="AA56" s="984"/>
      <c r="AB56" s="984"/>
      <c r="AC56" s="984"/>
    </row>
    <row r="57" spans="3:29" s="1131" customFormat="1" ht="16.5">
      <c r="C57" s="80"/>
      <c r="G57"/>
      <c r="H57" s="297"/>
      <c r="I57" s="314" t="s">
        <v>248</v>
      </c>
      <c r="J57" s="810" t="s">
        <v>331</v>
      </c>
      <c r="K57" s="315" t="s">
        <v>332</v>
      </c>
      <c r="L57" s="301">
        <v>610000</v>
      </c>
      <c r="M57" s="1030"/>
      <c r="N57" s="769">
        <f>L57+M57</f>
        <v>610000</v>
      </c>
      <c r="O57" s="1123"/>
      <c r="P57" s="515"/>
      <c r="Q57" s="829"/>
      <c r="R57"/>
      <c r="S57"/>
      <c r="T57"/>
      <c r="U57"/>
    </row>
    <row r="58" spans="3:29" ht="17.25">
      <c r="D58" s="341" t="s">
        <v>329</v>
      </c>
      <c r="E58" s="341"/>
      <c r="F58" s="342">
        <f>F6+F18+F26+F30+F33</f>
        <v>89502768</v>
      </c>
      <c r="H58" s="297"/>
      <c r="I58" s="314" t="s">
        <v>248</v>
      </c>
      <c r="J58" s="810" t="s">
        <v>784</v>
      </c>
      <c r="K58" s="315" t="s">
        <v>332</v>
      </c>
      <c r="L58" s="301">
        <v>700000</v>
      </c>
      <c r="M58" s="1030"/>
      <c r="N58" s="769">
        <f>+L58+M58</f>
        <v>700000</v>
      </c>
      <c r="O58" s="1123"/>
      <c r="Q58" s="829"/>
      <c r="R58" s="1131"/>
      <c r="S58" s="1131"/>
      <c r="T58" s="1131"/>
      <c r="U58" s="1131"/>
      <c r="X58" s="984"/>
      <c r="Y58" s="984"/>
      <c r="Z58" s="984"/>
      <c r="AA58" s="984"/>
      <c r="AB58" s="984"/>
      <c r="AC58" s="984"/>
    </row>
    <row r="59" spans="3:29" ht="16.5">
      <c r="F59" s="203"/>
      <c r="H59" s="297"/>
      <c r="I59" s="314" t="s">
        <v>248</v>
      </c>
      <c r="J59" s="810" t="s">
        <v>334</v>
      </c>
      <c r="K59" s="315" t="s">
        <v>332</v>
      </c>
      <c r="L59" s="301">
        <v>1600000</v>
      </c>
      <c r="M59" s="1030"/>
      <c r="N59" s="769">
        <f>+L59+M59</f>
        <v>1600000</v>
      </c>
      <c r="O59" s="1123"/>
      <c r="X59" s="984"/>
      <c r="Y59" s="984"/>
      <c r="Z59" s="984"/>
      <c r="AA59" s="984"/>
      <c r="AB59" s="984"/>
      <c r="AC59" s="984"/>
    </row>
    <row r="60" spans="3:29" ht="16.5">
      <c r="F60" s="80"/>
      <c r="H60" s="297"/>
      <c r="I60" s="314" t="s">
        <v>248</v>
      </c>
      <c r="J60" s="810" t="s">
        <v>335</v>
      </c>
      <c r="K60" s="315" t="s">
        <v>336</v>
      </c>
      <c r="L60" s="301">
        <v>18051851</v>
      </c>
      <c r="M60" s="1030"/>
      <c r="N60" s="769">
        <f>+L60+M60</f>
        <v>18051851</v>
      </c>
      <c r="O60" s="1123"/>
      <c r="X60" s="984"/>
      <c r="Y60" s="984"/>
      <c r="Z60" s="984"/>
      <c r="AA60" s="984"/>
      <c r="AB60" s="984"/>
      <c r="AC60" s="984"/>
    </row>
    <row r="61" spans="3:29" ht="16.5">
      <c r="D61" s="302" t="s">
        <v>333</v>
      </c>
      <c r="E61" s="302"/>
      <c r="F61" s="327">
        <f>+N98</f>
        <v>3348052</v>
      </c>
      <c r="G61" s="483"/>
      <c r="H61" s="297"/>
      <c r="I61" s="314" t="s">
        <v>248</v>
      </c>
      <c r="J61" s="315" t="s">
        <v>337</v>
      </c>
      <c r="K61" s="315" t="s">
        <v>336</v>
      </c>
      <c r="L61" s="301">
        <v>1053732</v>
      </c>
      <c r="M61" s="1030">
        <v>146268</v>
      </c>
      <c r="N61" s="769">
        <f>+L61+M61</f>
        <v>1200000</v>
      </c>
      <c r="O61" s="1189"/>
      <c r="P61" s="1190"/>
      <c r="R61" s="523">
        <f>+N61-1200000</f>
        <v>0</v>
      </c>
      <c r="X61" s="984"/>
      <c r="Y61" s="984"/>
      <c r="Z61" s="984"/>
      <c r="AA61" s="984"/>
      <c r="AB61" s="984"/>
      <c r="AC61" s="984"/>
    </row>
    <row r="62" spans="3:29" ht="16.5">
      <c r="D62" s="297"/>
      <c r="E62" s="297"/>
      <c r="F62" s="297"/>
      <c r="H62" s="297"/>
      <c r="I62" s="314" t="s">
        <v>248</v>
      </c>
      <c r="J62" s="315" t="s">
        <v>738</v>
      </c>
      <c r="K62" s="315"/>
      <c r="L62" s="301">
        <v>1000000</v>
      </c>
      <c r="M62" s="319">
        <v>1000000</v>
      </c>
      <c r="N62" s="759">
        <f>+L62+M62</f>
        <v>2000000</v>
      </c>
      <c r="O62" s="1166" t="s">
        <v>854</v>
      </c>
      <c r="P62" s="974"/>
      <c r="X62" s="984"/>
      <c r="Y62" s="984"/>
      <c r="Z62" s="984"/>
      <c r="AA62" s="984"/>
      <c r="AB62" s="984"/>
      <c r="AC62" s="984"/>
    </row>
    <row r="63" spans="3:29" ht="16.5">
      <c r="D63" s="297"/>
      <c r="E63" s="297"/>
      <c r="F63" s="327">
        <f>SUM(F58:F61)</f>
        <v>92850820</v>
      </c>
      <c r="H63" s="311" t="s">
        <v>338</v>
      </c>
      <c r="I63" s="339"/>
      <c r="J63" s="339"/>
      <c r="K63" s="339"/>
      <c r="L63" s="339"/>
      <c r="M63" s="320"/>
      <c r="N63" s="759"/>
      <c r="P63" s="974"/>
      <c r="X63" s="984"/>
      <c r="Y63" s="984"/>
      <c r="Z63" s="984"/>
      <c r="AA63" s="984"/>
      <c r="AB63" s="984"/>
      <c r="AC63" s="984"/>
    </row>
    <row r="64" spans="3:29" ht="16.5">
      <c r="D64" s="350"/>
      <c r="E64" s="350"/>
      <c r="F64" s="350"/>
      <c r="H64" s="305"/>
      <c r="I64" s="339" t="s">
        <v>339</v>
      </c>
      <c r="J64" s="339" t="s">
        <v>340</v>
      </c>
      <c r="K64" s="324" t="s">
        <v>275</v>
      </c>
      <c r="L64" s="301">
        <v>1680000</v>
      </c>
      <c r="M64" s="319">
        <v>0</v>
      </c>
      <c r="N64" s="769">
        <f>L64+M64</f>
        <v>1680000</v>
      </c>
      <c r="O64" s="1123"/>
      <c r="P64" s="869"/>
      <c r="X64" s="984"/>
      <c r="Y64" s="984"/>
      <c r="Z64" s="984"/>
      <c r="AA64" s="984"/>
      <c r="AB64" s="984"/>
      <c r="AC64" s="984"/>
    </row>
    <row r="65" spans="3:29" s="521" customFormat="1" ht="16.5">
      <c r="C65" s="80"/>
      <c r="G65"/>
      <c r="H65" s="305"/>
      <c r="I65" s="339" t="s">
        <v>870</v>
      </c>
      <c r="J65" s="339" t="s">
        <v>319</v>
      </c>
      <c r="K65" s="324" t="s">
        <v>275</v>
      </c>
      <c r="L65" s="301">
        <v>133158</v>
      </c>
      <c r="M65" s="319">
        <v>6842</v>
      </c>
      <c r="N65" s="769">
        <f>+L65+M65</f>
        <v>140000</v>
      </c>
      <c r="O65" s="1123"/>
      <c r="P65" s="515"/>
      <c r="Q65" s="188"/>
      <c r="R65"/>
      <c r="S65"/>
      <c r="T65"/>
      <c r="U65"/>
      <c r="X65" s="984"/>
      <c r="Y65" s="984"/>
      <c r="Z65" s="984"/>
      <c r="AA65" s="984"/>
      <c r="AB65" s="984"/>
      <c r="AC65" s="984"/>
    </row>
    <row r="66" spans="3:29" ht="15.75">
      <c r="I66" s="339" t="s">
        <v>342</v>
      </c>
      <c r="J66" s="339" t="s">
        <v>864</v>
      </c>
      <c r="K66" s="324" t="s">
        <v>275</v>
      </c>
      <c r="L66" s="301">
        <v>26400</v>
      </c>
      <c r="M66" s="319"/>
      <c r="N66" s="769">
        <f t="shared" ref="N66" si="7">L66+M66</f>
        <v>26400</v>
      </c>
      <c r="O66" s="869"/>
      <c r="P66" s="1123"/>
      <c r="X66" s="984"/>
      <c r="Y66" s="984"/>
      <c r="Z66" s="984"/>
      <c r="AA66" s="984"/>
      <c r="AB66" s="984"/>
      <c r="AC66" s="984"/>
    </row>
    <row r="67" spans="3:29" ht="15.75">
      <c r="H67" s="521"/>
      <c r="I67" s="339" t="s">
        <v>582</v>
      </c>
      <c r="J67" s="339" t="s">
        <v>691</v>
      </c>
      <c r="K67" s="324"/>
      <c r="L67" s="301">
        <v>958400</v>
      </c>
      <c r="M67" s="319">
        <v>-958400</v>
      </c>
      <c r="N67" s="769">
        <f>L67+M67</f>
        <v>0</v>
      </c>
      <c r="O67" s="869" t="s">
        <v>888</v>
      </c>
      <c r="P67" s="1123"/>
      <c r="T67" s="521"/>
      <c r="U67" s="521"/>
      <c r="X67" s="984"/>
      <c r="Y67" s="984"/>
      <c r="Z67" s="984"/>
      <c r="AA67" s="984"/>
      <c r="AB67" s="984"/>
      <c r="AC67" s="984"/>
    </row>
    <row r="68" spans="3:29" ht="15.75">
      <c r="I68" s="339" t="s">
        <v>343</v>
      </c>
      <c r="J68" s="339" t="s">
        <v>344</v>
      </c>
      <c r="K68" s="324" t="s">
        <v>275</v>
      </c>
      <c r="L68" s="301">
        <v>864000</v>
      </c>
      <c r="M68" s="614">
        <v>-864000</v>
      </c>
      <c r="N68" s="769">
        <f>+L68+M68</f>
        <v>0</v>
      </c>
      <c r="O68" s="869" t="s">
        <v>889</v>
      </c>
      <c r="P68" s="1123"/>
      <c r="Q68" s="521"/>
      <c r="R68" s="521"/>
      <c r="S68" s="521"/>
      <c r="X68" s="984"/>
      <c r="Y68" s="984"/>
      <c r="Z68" s="984"/>
      <c r="AA68" s="984"/>
      <c r="AB68" s="984"/>
      <c r="AC68" s="984"/>
    </row>
    <row r="69" spans="3:29" s="764" customFormat="1" ht="15.75">
      <c r="C69" s="80"/>
      <c r="G69"/>
      <c r="H69"/>
      <c r="I69" s="339" t="s">
        <v>526</v>
      </c>
      <c r="J69" s="339" t="s">
        <v>573</v>
      </c>
      <c r="K69" s="315" t="s">
        <v>275</v>
      </c>
      <c r="L69" s="301">
        <v>75000</v>
      </c>
      <c r="M69" s="319">
        <v>15000</v>
      </c>
      <c r="N69" s="769">
        <f>+L69+M69</f>
        <v>90000</v>
      </c>
      <c r="O69" s="1029"/>
      <c r="P69" s="515"/>
      <c r="Q69"/>
      <c r="R69"/>
      <c r="S69"/>
      <c r="T69"/>
      <c r="U69"/>
      <c r="X69" s="984"/>
      <c r="Y69" s="984"/>
      <c r="Z69" s="984"/>
      <c r="AA69" s="984"/>
      <c r="AB69" s="984"/>
      <c r="AC69" s="984"/>
    </row>
    <row r="70" spans="3:29" s="764" customFormat="1" ht="15.75">
      <c r="C70" s="80"/>
      <c r="G70" s="521"/>
      <c r="H70" s="483"/>
      <c r="I70" s="543" t="s">
        <v>341</v>
      </c>
      <c r="J70" s="543" t="s">
        <v>783</v>
      </c>
      <c r="K70" s="315" t="s">
        <v>275</v>
      </c>
      <c r="L70" s="301">
        <v>400000</v>
      </c>
      <c r="M70" s="319">
        <v>50000</v>
      </c>
      <c r="N70" s="769">
        <f>+L70+M70</f>
        <v>450000</v>
      </c>
      <c r="O70" s="869"/>
      <c r="P70" s="1123"/>
      <c r="Q70"/>
      <c r="R70"/>
      <c r="S70"/>
      <c r="T70"/>
      <c r="U70"/>
      <c r="X70" s="984"/>
      <c r="Y70" s="984"/>
      <c r="Z70" s="984"/>
      <c r="AA70" s="984"/>
      <c r="AB70" s="984"/>
      <c r="AC70" s="984"/>
    </row>
    <row r="71" spans="3:29" s="764" customFormat="1" ht="15.75">
      <c r="C71" s="80"/>
      <c r="D71" s="350"/>
      <c r="E71" s="350"/>
      <c r="F71" s="878"/>
      <c r="G71" s="1185"/>
      <c r="H71" s="1185"/>
      <c r="I71" s="543" t="s">
        <v>341</v>
      </c>
      <c r="J71" s="543" t="s">
        <v>887</v>
      </c>
      <c r="K71" s="315"/>
      <c r="L71" s="301"/>
      <c r="M71" s="319">
        <v>200000</v>
      </c>
      <c r="N71" s="769">
        <f>+L71+M71</f>
        <v>200000</v>
      </c>
      <c r="O71" s="869"/>
      <c r="P71" s="1123"/>
      <c r="Q71" s="1185"/>
      <c r="R71" s="1185"/>
      <c r="S71"/>
      <c r="X71" s="984"/>
      <c r="Y71" s="984"/>
      <c r="Z71" s="984"/>
      <c r="AA71" s="984"/>
      <c r="AB71" s="984"/>
      <c r="AC71" s="984"/>
    </row>
    <row r="72" spans="3:29" ht="15.75">
      <c r="D72" s="350"/>
      <c r="E72" s="350"/>
      <c r="F72" s="350"/>
      <c r="H72" s="483"/>
      <c r="I72" s="543" t="s">
        <v>341</v>
      </c>
      <c r="J72" s="543" t="s">
        <v>587</v>
      </c>
      <c r="K72" s="483"/>
      <c r="L72" s="301">
        <v>30000</v>
      </c>
      <c r="M72" s="319"/>
      <c r="N72" s="769">
        <f>+M72+L72</f>
        <v>30000</v>
      </c>
      <c r="O72" s="869"/>
      <c r="S72" s="764"/>
      <c r="T72" s="764"/>
      <c r="U72" s="764"/>
      <c r="X72" s="984"/>
      <c r="Y72" s="984"/>
      <c r="Z72" s="984"/>
      <c r="AA72" s="984"/>
      <c r="AB72" s="984"/>
      <c r="AC72" s="984"/>
    </row>
    <row r="73" spans="3:29" s="1131" customFormat="1" ht="15.75">
      <c r="C73" s="80"/>
      <c r="D73" s="350"/>
      <c r="E73" s="350"/>
      <c r="F73" s="350"/>
      <c r="G73" s="350"/>
      <c r="H73" s="521"/>
      <c r="I73" s="339" t="s">
        <v>629</v>
      </c>
      <c r="J73" s="543" t="s">
        <v>630</v>
      </c>
      <c r="K73" s="521"/>
      <c r="L73" s="301">
        <v>0</v>
      </c>
      <c r="M73" s="319">
        <v>0</v>
      </c>
      <c r="N73" s="877">
        <f t="shared" ref="N73:N83" si="8">+L73+M73</f>
        <v>0</v>
      </c>
      <c r="O73" s="869"/>
      <c r="P73" s="515"/>
      <c r="Q73" s="764"/>
      <c r="R73" s="764"/>
      <c r="S73" s="764"/>
      <c r="T73" s="764"/>
      <c r="U73" s="764"/>
    </row>
    <row r="74" spans="3:29" s="1131" customFormat="1" ht="15.75">
      <c r="C74" s="80"/>
      <c r="D74" s="350"/>
      <c r="E74" s="350"/>
      <c r="F74" s="350"/>
      <c r="G74" s="350"/>
      <c r="H74" s="764"/>
      <c r="I74" s="339"/>
      <c r="J74" s="811" t="s">
        <v>685</v>
      </c>
      <c r="K74" s="874"/>
      <c r="L74" s="301">
        <v>125000</v>
      </c>
      <c r="M74" s="319">
        <v>75000</v>
      </c>
      <c r="N74" s="769">
        <f t="shared" si="8"/>
        <v>200000</v>
      </c>
      <c r="O74" s="515"/>
      <c r="P74" s="515"/>
      <c r="Q74" s="764"/>
      <c r="R74" s="764"/>
    </row>
    <row r="75" spans="3:29" s="1131" customFormat="1" ht="15.75">
      <c r="C75" s="80"/>
      <c r="D75" s="350"/>
      <c r="E75" s="350"/>
      <c r="F75" s="350"/>
      <c r="G75" s="350"/>
      <c r="I75" s="339" t="s">
        <v>785</v>
      </c>
      <c r="J75" s="350" t="s">
        <v>734</v>
      </c>
      <c r="L75" s="301">
        <v>350000</v>
      </c>
      <c r="M75" s="319">
        <v>-350000</v>
      </c>
      <c r="N75" s="769">
        <f t="shared" si="8"/>
        <v>0</v>
      </c>
      <c r="O75" s="869" t="s">
        <v>871</v>
      </c>
      <c r="P75" s="515"/>
      <c r="Q75" s="1131" t="s">
        <v>830</v>
      </c>
    </row>
    <row r="76" spans="3:29" s="1131" customFormat="1" ht="15.75">
      <c r="C76" s="80"/>
      <c r="D76" s="350"/>
      <c r="E76" s="350"/>
      <c r="F76" s="350"/>
      <c r="G76" s="350"/>
      <c r="I76" s="339" t="s">
        <v>786</v>
      </c>
      <c r="J76" s="350" t="s">
        <v>735</v>
      </c>
      <c r="L76" s="301">
        <v>39309</v>
      </c>
      <c r="M76" s="319">
        <v>-39309</v>
      </c>
      <c r="N76" s="769">
        <f t="shared" si="8"/>
        <v>0</v>
      </c>
      <c r="O76" s="869" t="s">
        <v>871</v>
      </c>
      <c r="P76" s="515"/>
      <c r="Q76" s="1161" t="s">
        <v>830</v>
      </c>
    </row>
    <row r="77" spans="3:29" ht="15.75">
      <c r="D77" s="350"/>
      <c r="E77" s="350"/>
      <c r="F77" s="350"/>
      <c r="G77" s="350"/>
      <c r="H77" s="1131"/>
      <c r="I77" s="339" t="s">
        <v>629</v>
      </c>
      <c r="J77" s="350" t="s">
        <v>736</v>
      </c>
      <c r="K77" s="1131"/>
      <c r="L77" s="301">
        <v>100000</v>
      </c>
      <c r="M77" s="319">
        <v>-100000</v>
      </c>
      <c r="N77" s="769">
        <f t="shared" si="8"/>
        <v>0</v>
      </c>
      <c r="O77" s="869" t="s">
        <v>871</v>
      </c>
      <c r="Q77" s="1161" t="s">
        <v>830</v>
      </c>
      <c r="R77" s="1131"/>
      <c r="S77" s="1131"/>
      <c r="T77" s="1131"/>
      <c r="U77" s="1131"/>
      <c r="X77" s="984"/>
      <c r="Y77" s="984"/>
      <c r="Z77" s="984"/>
      <c r="AA77" s="984"/>
      <c r="AB77" s="984"/>
      <c r="AC77" s="984"/>
    </row>
    <row r="78" spans="3:29" s="1155" customFormat="1" ht="15.75">
      <c r="C78" s="80"/>
      <c r="D78" s="350"/>
      <c r="E78" s="350"/>
      <c r="F78" s="350"/>
      <c r="G78" s="350"/>
      <c r="H78" s="1131"/>
      <c r="I78" s="339" t="s">
        <v>341</v>
      </c>
      <c r="J78" s="350" t="s">
        <v>737</v>
      </c>
      <c r="K78" s="1131"/>
      <c r="L78" s="301">
        <v>109000</v>
      </c>
      <c r="M78" s="319">
        <v>-109000</v>
      </c>
      <c r="N78" s="769">
        <f t="shared" si="8"/>
        <v>0</v>
      </c>
      <c r="O78" s="869" t="s">
        <v>871</v>
      </c>
      <c r="P78" s="515"/>
      <c r="Q78" s="1161" t="s">
        <v>830</v>
      </c>
      <c r="R78" s="1131"/>
      <c r="S78" s="764"/>
      <c r="T78"/>
      <c r="U78"/>
    </row>
    <row r="79" spans="3:29" s="1155" customFormat="1" ht="15.75">
      <c r="C79" s="80"/>
      <c r="D79" s="350"/>
      <c r="E79" s="350"/>
      <c r="F79" s="350"/>
      <c r="G79" s="350"/>
      <c r="H79" s="764"/>
      <c r="I79" s="339"/>
      <c r="J79" s="350" t="s">
        <v>795</v>
      </c>
      <c r="K79" s="764"/>
      <c r="L79" s="301">
        <v>1010000</v>
      </c>
      <c r="M79" s="319"/>
      <c r="N79" s="769">
        <f t="shared" si="8"/>
        <v>1010000</v>
      </c>
      <c r="O79" s="515"/>
      <c r="P79" s="515"/>
      <c r="Q79" s="764"/>
      <c r="R79" s="764"/>
    </row>
    <row r="80" spans="3:29" ht="15.75">
      <c r="D80" s="350"/>
      <c r="E80" s="350"/>
      <c r="F80" s="350"/>
      <c r="G80" s="350"/>
      <c r="H80" s="1155"/>
      <c r="I80" s="339"/>
      <c r="J80" s="350" t="s">
        <v>803</v>
      </c>
      <c r="K80" s="1155"/>
      <c r="L80" s="301">
        <v>385428</v>
      </c>
      <c r="M80" s="1156"/>
      <c r="N80" s="769">
        <f t="shared" si="8"/>
        <v>385428</v>
      </c>
      <c r="O80" s="1123"/>
      <c r="Q80" s="523"/>
      <c r="R80" s="1155"/>
      <c r="S80" s="1155"/>
      <c r="T80" s="1155"/>
      <c r="U80" s="1155"/>
      <c r="X80" s="984"/>
      <c r="Y80" s="984"/>
      <c r="Z80" s="984"/>
      <c r="AA80" s="984"/>
      <c r="AB80" s="984"/>
      <c r="AC80" s="984"/>
    </row>
    <row r="81" spans="3:29" s="1162" customFormat="1" ht="15.75">
      <c r="C81" s="80"/>
      <c r="D81" s="350"/>
      <c r="E81" s="350"/>
      <c r="F81" s="350"/>
      <c r="G81" s="350"/>
      <c r="H81" s="1155"/>
      <c r="I81" s="339"/>
      <c r="J81" s="350" t="s">
        <v>802</v>
      </c>
      <c r="K81" s="1155"/>
      <c r="L81" s="301">
        <v>350000</v>
      </c>
      <c r="M81" s="319"/>
      <c r="N81" s="769">
        <f t="shared" si="8"/>
        <v>350000</v>
      </c>
      <c r="O81" s="1123"/>
      <c r="P81" s="515"/>
      <c r="Q81" s="1155"/>
      <c r="R81" s="1155"/>
      <c r="S81"/>
      <c r="T81"/>
      <c r="U81"/>
    </row>
    <row r="82" spans="3:29" s="1162" customFormat="1" ht="15.75">
      <c r="C82" s="80"/>
      <c r="D82" s="350"/>
      <c r="E82" s="350"/>
      <c r="F82" s="350"/>
      <c r="G82" s="350"/>
      <c r="H82" s="764"/>
      <c r="I82" s="339"/>
      <c r="J82" s="543" t="s">
        <v>843</v>
      </c>
      <c r="K82" s="764"/>
      <c r="L82" s="301"/>
      <c r="M82" s="319">
        <v>500000</v>
      </c>
      <c r="N82" s="769">
        <f t="shared" si="8"/>
        <v>500000</v>
      </c>
      <c r="O82" s="1166" t="s">
        <v>850</v>
      </c>
      <c r="P82" s="1123"/>
      <c r="Q82"/>
      <c r="R82"/>
    </row>
    <row r="83" spans="3:29" s="1162" customFormat="1" ht="15.75">
      <c r="C83" s="80"/>
      <c r="D83" s="350"/>
      <c r="E83" s="350"/>
      <c r="F83" s="350"/>
      <c r="G83" s="350"/>
      <c r="I83" s="339" t="s">
        <v>629</v>
      </c>
      <c r="J83" s="543" t="s">
        <v>873</v>
      </c>
      <c r="L83" s="301"/>
      <c r="M83" s="319">
        <v>2490000</v>
      </c>
      <c r="N83" s="769">
        <f t="shared" si="8"/>
        <v>2490000</v>
      </c>
      <c r="O83" s="1166" t="s">
        <v>872</v>
      </c>
      <c r="P83" s="515"/>
    </row>
    <row r="84" spans="3:29" s="1162" customFormat="1" ht="15.75">
      <c r="C84" s="80"/>
      <c r="D84" s="350"/>
      <c r="E84" s="350"/>
      <c r="F84" s="350"/>
      <c r="G84" s="350"/>
      <c r="I84" s="339"/>
      <c r="J84" s="543" t="s">
        <v>851</v>
      </c>
      <c r="M84" s="319">
        <v>700000</v>
      </c>
      <c r="N84" s="769">
        <f>+L84+M84</f>
        <v>700000</v>
      </c>
      <c r="O84" s="1166" t="s">
        <v>850</v>
      </c>
      <c r="P84" s="515"/>
    </row>
    <row r="85" spans="3:29" ht="15.75">
      <c r="D85" s="350"/>
      <c r="E85" s="350"/>
      <c r="F85" s="350"/>
      <c r="G85" s="350"/>
      <c r="H85" s="1162"/>
      <c r="I85" s="339"/>
      <c r="J85" s="543" t="s">
        <v>852</v>
      </c>
      <c r="K85" s="1162"/>
      <c r="L85" s="1162"/>
      <c r="M85" s="319">
        <v>2000000</v>
      </c>
      <c r="N85" s="769">
        <f>+L85+M85</f>
        <v>2000000</v>
      </c>
      <c r="O85" s="1166" t="s">
        <v>850</v>
      </c>
      <c r="Q85" s="1162"/>
      <c r="R85" s="1162"/>
      <c r="S85" s="1162"/>
      <c r="T85" s="1162"/>
      <c r="U85" s="1162"/>
      <c r="X85" s="984"/>
      <c r="Y85" s="984"/>
      <c r="Z85" s="984"/>
      <c r="AA85" s="984"/>
      <c r="AB85" s="984"/>
      <c r="AC85" s="984"/>
    </row>
    <row r="86" spans="3:29" ht="15.75">
      <c r="D86" s="350"/>
      <c r="E86" s="350"/>
      <c r="F86" s="350"/>
      <c r="G86" s="350"/>
      <c r="H86" s="1162"/>
      <c r="I86" s="339"/>
      <c r="J86" s="339" t="s">
        <v>866</v>
      </c>
      <c r="K86" s="1162"/>
      <c r="L86" s="1162"/>
      <c r="M86" s="319">
        <v>380473</v>
      </c>
      <c r="N86" s="769">
        <f>+L86+M86</f>
        <v>380473</v>
      </c>
      <c r="O86" s="1166"/>
      <c r="Q86" s="1162"/>
      <c r="R86" s="1162"/>
      <c r="S86" s="1185"/>
      <c r="T86" s="1185"/>
      <c r="U86" s="1185"/>
      <c r="X86" s="984"/>
      <c r="Y86" s="984"/>
      <c r="Z86" s="984"/>
      <c r="AA86" s="984"/>
      <c r="AB86" s="984"/>
      <c r="AC86" s="984"/>
    </row>
    <row r="87" spans="3:29" s="521" customFormat="1" ht="15.75">
      <c r="C87" s="80"/>
      <c r="D87" s="350"/>
      <c r="E87" s="350"/>
      <c r="F87" s="350"/>
      <c r="G87" s="350"/>
      <c r="H87" s="1185"/>
      <c r="I87" s="339"/>
      <c r="J87" s="339" t="s">
        <v>883</v>
      </c>
      <c r="K87" s="1185"/>
      <c r="L87" s="1185"/>
      <c r="M87" s="319">
        <v>972600</v>
      </c>
      <c r="N87" s="769">
        <f>+L87+M87</f>
        <v>972600</v>
      </c>
      <c r="O87" s="1166"/>
      <c r="P87" s="515"/>
      <c r="Q87" s="1185"/>
      <c r="R87" s="1185"/>
      <c r="S87"/>
      <c r="T87"/>
      <c r="U87"/>
      <c r="X87" s="984"/>
      <c r="Y87" s="984"/>
      <c r="Z87" s="984"/>
      <c r="AA87" s="984"/>
      <c r="AB87" s="984"/>
      <c r="AC87" s="984"/>
    </row>
    <row r="88" spans="3:29" ht="16.5">
      <c r="D88" s="350"/>
      <c r="E88" s="350"/>
      <c r="F88" s="350"/>
      <c r="G88" s="350"/>
      <c r="H88" s="311" t="s">
        <v>345</v>
      </c>
      <c r="I88" s="297"/>
      <c r="J88" s="297"/>
      <c r="K88" s="297"/>
      <c r="L88" s="297"/>
      <c r="M88" s="616"/>
      <c r="N88" s="739"/>
      <c r="O88" s="1028"/>
      <c r="X88" s="984"/>
      <c r="Y88" s="984"/>
      <c r="Z88" s="984"/>
      <c r="AA88" s="984"/>
      <c r="AB88" s="984"/>
      <c r="AC88" s="984"/>
    </row>
    <row r="89" spans="3:29" s="876" customFormat="1" ht="16.5">
      <c r="C89" s="80"/>
      <c r="D89" s="350"/>
      <c r="E89" s="350"/>
      <c r="F89" s="350"/>
      <c r="G89" s="350"/>
      <c r="H89" s="297"/>
      <c r="I89" s="299" t="s">
        <v>248</v>
      </c>
      <c r="J89" s="300" t="s">
        <v>346</v>
      </c>
      <c r="K89" s="300" t="s">
        <v>250</v>
      </c>
      <c r="L89" s="301">
        <v>3606000</v>
      </c>
      <c r="M89" s="319">
        <f>+N89-L89</f>
        <v>540000</v>
      </c>
      <c r="N89" s="1158">
        <f>ROUND(0.01*('Step 0 Revenue Detail'!L40+'Step 0 Revenue Detail'!L41+'Step 0 Revenue Detail'!L48+'Step 0 Revenue Detail'!L51),-3)</f>
        <v>4146000</v>
      </c>
      <c r="O89" s="869" t="s">
        <v>254</v>
      </c>
      <c r="P89" s="1123"/>
      <c r="Q89" s="1186"/>
      <c r="R89"/>
      <c r="S89"/>
      <c r="T89"/>
      <c r="U89"/>
      <c r="X89" s="984"/>
      <c r="Y89" s="984"/>
      <c r="Z89" s="984"/>
      <c r="AA89" s="984"/>
      <c r="AB89" s="984"/>
      <c r="AC89" s="984"/>
    </row>
    <row r="90" spans="3:29" ht="15.75">
      <c r="D90" s="350"/>
      <c r="E90" s="350"/>
      <c r="F90" s="350"/>
      <c r="G90" s="350"/>
      <c r="H90" s="339"/>
      <c r="I90" s="299" t="s">
        <v>248</v>
      </c>
      <c r="J90" s="300" t="s">
        <v>347</v>
      </c>
      <c r="K90" s="300" t="s">
        <v>271</v>
      </c>
      <c r="L90" s="301">
        <v>2390100</v>
      </c>
      <c r="M90" s="319">
        <f>+N90-L90</f>
        <v>76800</v>
      </c>
      <c r="N90" s="759">
        <f>ROUND('Step 0 Revenue Detail'!H53*0.05,-2)</f>
        <v>2466900</v>
      </c>
      <c r="O90" s="869"/>
      <c r="T90" s="521"/>
      <c r="U90" s="521"/>
      <c r="X90" s="984"/>
      <c r="Y90" s="984"/>
      <c r="Z90" s="984"/>
      <c r="AA90" s="984"/>
      <c r="AB90" s="984"/>
      <c r="AC90" s="984"/>
    </row>
    <row r="91" spans="3:29" ht="15.75">
      <c r="F91" s="350"/>
      <c r="G91" s="350"/>
      <c r="H91" s="339"/>
      <c r="I91" s="314" t="s">
        <v>248</v>
      </c>
      <c r="J91" s="315" t="s">
        <v>348</v>
      </c>
      <c r="K91" s="315" t="s">
        <v>305</v>
      </c>
      <c r="L91" s="318">
        <v>0</v>
      </c>
      <c r="M91" s="319">
        <v>0</v>
      </c>
      <c r="N91" s="760">
        <f>L91+M91</f>
        <v>0</v>
      </c>
      <c r="S91" s="876"/>
      <c r="T91" s="876"/>
      <c r="U91" s="876"/>
      <c r="X91" s="984"/>
      <c r="Y91" s="984"/>
      <c r="Z91" s="984"/>
      <c r="AA91" s="984"/>
      <c r="AB91" s="984"/>
      <c r="AC91" s="984"/>
    </row>
    <row r="92" spans="3:29" ht="15.75">
      <c r="G92" s="350"/>
      <c r="H92" s="339"/>
      <c r="I92" s="314" t="s">
        <v>248</v>
      </c>
      <c r="J92" s="300" t="s">
        <v>679</v>
      </c>
      <c r="K92" s="300" t="s">
        <v>271</v>
      </c>
      <c r="L92" s="301">
        <v>200000</v>
      </c>
      <c r="M92" s="319">
        <v>0</v>
      </c>
      <c r="N92" s="512">
        <f>+L92+M92</f>
        <v>200000</v>
      </c>
      <c r="Q92" s="876"/>
      <c r="R92" s="876"/>
      <c r="S92" s="521"/>
      <c r="T92" s="285"/>
      <c r="U92" s="218"/>
    </row>
    <row r="93" spans="3:29" ht="16.5">
      <c r="G93" s="350"/>
      <c r="H93" s="305"/>
      <c r="I93" s="314" t="s">
        <v>248</v>
      </c>
      <c r="J93" s="315" t="s">
        <v>349</v>
      </c>
      <c r="K93" s="315" t="s">
        <v>350</v>
      </c>
      <c r="L93" s="301">
        <v>-8252000</v>
      </c>
      <c r="M93" s="319">
        <v>-288820</v>
      </c>
      <c r="N93" s="739">
        <f>L93+M93</f>
        <v>-8540820</v>
      </c>
      <c r="O93" s="1123"/>
      <c r="P93" s="974"/>
      <c r="Q93" s="521"/>
      <c r="R93" s="521"/>
      <c r="T93" s="285"/>
      <c r="U93" s="218"/>
    </row>
    <row r="94" spans="3:29" ht="16.5">
      <c r="G94" s="350"/>
      <c r="H94" s="297"/>
      <c r="I94" s="314" t="s">
        <v>248</v>
      </c>
      <c r="J94" s="315" t="s">
        <v>351</v>
      </c>
      <c r="K94" s="315" t="s">
        <v>350</v>
      </c>
      <c r="L94" s="301">
        <v>-6423694</v>
      </c>
      <c r="M94" s="319">
        <v>-224856</v>
      </c>
      <c r="N94" s="739">
        <f>L94+M94</f>
        <v>-6648550</v>
      </c>
      <c r="O94" s="1123"/>
      <c r="P94" s="974"/>
      <c r="Q94" s="1184"/>
      <c r="U94" s="188"/>
    </row>
    <row r="95" spans="3:29" ht="16.5">
      <c r="G95" s="350"/>
      <c r="H95" s="297"/>
      <c r="I95" s="299"/>
      <c r="J95" s="300"/>
      <c r="K95" s="300"/>
      <c r="L95" s="301"/>
      <c r="M95" s="319"/>
      <c r="N95" s="759"/>
      <c r="Q95" s="523"/>
      <c r="U95" s="188"/>
    </row>
    <row r="96" spans="3:29" ht="16.5">
      <c r="G96" s="350"/>
      <c r="H96" s="312" t="s">
        <v>352</v>
      </c>
      <c r="I96" s="297"/>
      <c r="J96" s="297"/>
      <c r="K96" s="324"/>
      <c r="L96" s="343">
        <f>SUM(L9:L94)</f>
        <v>77513039</v>
      </c>
      <c r="M96" s="343">
        <f>SUM(M9:M94)</f>
        <v>11989729</v>
      </c>
      <c r="N96" s="761">
        <f>SUM(N9:N95)</f>
        <v>89502768</v>
      </c>
      <c r="U96" s="218"/>
    </row>
    <row r="97" spans="7:17" ht="16.5">
      <c r="G97" s="350"/>
      <c r="H97" s="312"/>
      <c r="I97" s="297"/>
      <c r="J97" s="297"/>
      <c r="K97" s="315"/>
      <c r="L97" s="344"/>
      <c r="M97" s="618"/>
      <c r="N97" s="762"/>
    </row>
    <row r="98" spans="7:17" ht="16.5">
      <c r="G98" s="350"/>
      <c r="H98" s="297"/>
      <c r="I98" s="297"/>
      <c r="J98" s="315"/>
      <c r="K98" s="345" t="s">
        <v>353</v>
      </c>
      <c r="L98" s="346">
        <v>3341000</v>
      </c>
      <c r="M98" s="346">
        <f>+N98-L98</f>
        <v>7052</v>
      </c>
      <c r="N98" s="763">
        <f>+'FINAL-Distributed E&amp;G Budget'!B8+'FINAL-Distributed E&amp;G Budget'!F8</f>
        <v>3348052</v>
      </c>
      <c r="P98" s="1028"/>
    </row>
    <row r="99" spans="7:17" ht="15.75">
      <c r="G99" s="350"/>
      <c r="H99" s="347"/>
      <c r="I99" s="314"/>
      <c r="J99" s="315"/>
      <c r="K99" s="300"/>
      <c r="L99" s="346"/>
      <c r="M99" s="346"/>
      <c r="N99" s="763"/>
    </row>
    <row r="100" spans="7:17" ht="15.75">
      <c r="G100" s="350"/>
      <c r="H100" s="339"/>
      <c r="I100" s="348"/>
      <c r="J100" s="544" t="s">
        <v>576</v>
      </c>
      <c r="K100" s="300"/>
      <c r="L100" s="346">
        <f>SUM(L96:L98)</f>
        <v>80854039</v>
      </c>
      <c r="M100" s="346">
        <f>SUM(M96:M98)</f>
        <v>11996781</v>
      </c>
      <c r="N100" s="763">
        <f>SUM(N96:N98)</f>
        <v>92850820</v>
      </c>
    </row>
    <row r="101" spans="7:17" ht="15.75">
      <c r="G101" s="350"/>
      <c r="H101" s="347"/>
      <c r="I101" s="349"/>
      <c r="J101" s="544" t="s">
        <v>577</v>
      </c>
      <c r="K101" s="515"/>
      <c r="L101" s="346">
        <f>+L100+L6</f>
        <v>71411375.449999988</v>
      </c>
      <c r="M101" s="346">
        <f>+M100+M6</f>
        <v>18522271.515000015</v>
      </c>
      <c r="N101" s="763">
        <f>N100+N6</f>
        <v>89933646.965000004</v>
      </c>
    </row>
    <row r="102" spans="7:17">
      <c r="G102" s="350"/>
      <c r="J102" s="515"/>
      <c r="K102" s="515"/>
      <c r="L102" s="615"/>
      <c r="N102" s="523"/>
    </row>
    <row r="103" spans="7:17">
      <c r="J103" s="515"/>
      <c r="K103" s="515"/>
      <c r="L103" s="615"/>
      <c r="N103" s="126"/>
    </row>
    <row r="104" spans="7:17">
      <c r="I104" t="s">
        <v>694</v>
      </c>
      <c r="J104" s="350"/>
      <c r="N104" s="285"/>
    </row>
    <row r="105" spans="7:17">
      <c r="I105" s="881">
        <f>+N21+N22+N23+N24+N25+N26+N33</f>
        <v>180000</v>
      </c>
      <c r="J105" s="350"/>
      <c r="K105" s="515"/>
      <c r="M105" s="511" t="s">
        <v>550</v>
      </c>
      <c r="N105" s="512">
        <f>+N100-B29</f>
        <v>0</v>
      </c>
    </row>
    <row r="106" spans="7:17">
      <c r="J106" s="350"/>
      <c r="K106" s="515"/>
      <c r="M106" s="511" t="s">
        <v>551</v>
      </c>
      <c r="N106" s="512">
        <f>+F58+F61-N100</f>
        <v>0</v>
      </c>
    </row>
    <row r="107" spans="7:17">
      <c r="J107" s="350"/>
      <c r="K107" s="515"/>
      <c r="M107" s="511" t="s">
        <v>628</v>
      </c>
      <c r="N107" s="482">
        <f>+N6-'FINAL-Distributed E&amp;G Budget'!AQ4</f>
        <v>3.7252902984619141E-9</v>
      </c>
      <c r="O107" s="869" t="s">
        <v>869</v>
      </c>
      <c r="Q107" s="523"/>
    </row>
    <row r="108" spans="7:17">
      <c r="I108" s="511" t="s">
        <v>567</v>
      </c>
      <c r="J108" s="350"/>
      <c r="K108" s="515"/>
      <c r="M108" s="511" t="s">
        <v>797</v>
      </c>
      <c r="N108" s="512">
        <f>+L96+M96-N96</f>
        <v>0</v>
      </c>
    </row>
    <row r="109" spans="7:17">
      <c r="I109" s="512">
        <f>+I105-'FINAL-Distributed E&amp;G Budget'!D12</f>
        <v>0</v>
      </c>
      <c r="J109" s="350"/>
      <c r="K109" s="515"/>
      <c r="M109" t="s">
        <v>547</v>
      </c>
      <c r="N109" s="141">
        <f>+'Productivity Split'!C13+'Productivity Split'!C18+'Productivity Split'!C19+'Productivity Split'!C20+'Productivity Split'!C21</f>
        <v>25736058.491</v>
      </c>
    </row>
    <row r="110" spans="7:17">
      <c r="J110" s="515"/>
      <c r="K110" s="515"/>
      <c r="M110" t="s">
        <v>549</v>
      </c>
      <c r="N110" s="141">
        <f>+F18-N14-N16-N15</f>
        <v>7543870</v>
      </c>
    </row>
    <row r="111" spans="7:17">
      <c r="J111" s="974"/>
      <c r="K111" s="515"/>
      <c r="N111" s="523"/>
    </row>
    <row r="112" spans="7:17">
      <c r="N112" s="523"/>
    </row>
    <row r="113" spans="10:14">
      <c r="J113" s="188"/>
      <c r="M113" t="s">
        <v>548</v>
      </c>
    </row>
    <row r="114" spans="10:14">
      <c r="J114" s="188"/>
      <c r="L114" s="523"/>
    </row>
    <row r="115" spans="10:14">
      <c r="L115" s="523"/>
      <c r="N115" s="515"/>
    </row>
    <row r="116" spans="10:14">
      <c r="L116" s="523"/>
      <c r="N116" s="515"/>
    </row>
    <row r="117" spans="10:14">
      <c r="L117" s="523"/>
      <c r="N117" s="515"/>
    </row>
    <row r="119" spans="10:14">
      <c r="N119" s="768"/>
    </row>
    <row r="120" spans="10:14">
      <c r="N120" s="515"/>
    </row>
  </sheetData>
  <mergeCells count="2">
    <mergeCell ref="A1:E1"/>
    <mergeCell ref="D5:F5"/>
  </mergeCells>
  <pageMargins left="0.7" right="0.7" top="0.75" bottom="0.75" header="0.3" footer="0.3"/>
  <pageSetup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sheetPr>
  <dimension ref="A1:AC97"/>
  <sheetViews>
    <sheetView workbookViewId="0">
      <selection activeCell="B35" sqref="B35:F35"/>
    </sheetView>
  </sheetViews>
  <sheetFormatPr defaultColWidth="12.42578125" defaultRowHeight="12.75" outlineLevelCol="1"/>
  <cols>
    <col min="1" max="1" width="39.140625" style="167" customWidth="1"/>
    <col min="2" max="2" width="13.85546875" style="167" customWidth="1"/>
    <col min="3" max="3" width="12.7109375" style="167" customWidth="1"/>
    <col min="4" max="4" width="11.42578125" style="167" customWidth="1"/>
    <col min="5" max="5" width="10" style="167" customWidth="1"/>
    <col min="6" max="6" width="12.85546875" style="167" customWidth="1"/>
    <col min="7" max="7" width="15.28515625" style="167" customWidth="1"/>
    <col min="8" max="8" width="2.85546875" style="167" customWidth="1"/>
    <col min="9" max="9" width="13.42578125" style="506" customWidth="1"/>
    <col min="10" max="11" width="13.85546875" style="487" customWidth="1"/>
    <col min="12" max="12" width="15.140625" style="167" customWidth="1"/>
    <col min="13" max="13" width="12.85546875" style="167" customWidth="1"/>
    <col min="14" max="14" width="15" style="167" customWidth="1"/>
    <col min="15" max="15" width="2.42578125" style="487" customWidth="1"/>
    <col min="16" max="16" width="13" style="167" customWidth="1"/>
    <col min="17" max="17" width="13" style="487" customWidth="1"/>
    <col min="18" max="19" width="14.42578125" style="167" hidden="1" customWidth="1" outlineLevel="1"/>
    <col min="20" max="20" width="12.85546875" style="487" hidden="1" customWidth="1" outlineLevel="1"/>
    <col min="21" max="21" width="11.140625" style="167" hidden="1" customWidth="1" outlineLevel="1"/>
    <col min="22" max="22" width="11.140625" style="487" hidden="1" customWidth="1" outlineLevel="1"/>
    <col min="23" max="26" width="12.42578125" style="167" hidden="1" customWidth="1" outlineLevel="1"/>
    <col min="27" max="27" width="12.42578125" style="167" collapsed="1"/>
    <col min="28" max="16384" width="12.42578125" style="167"/>
  </cols>
  <sheetData>
    <row r="1" spans="1:29" ht="15.75" thickBot="1">
      <c r="A1" s="354" t="s">
        <v>618</v>
      </c>
      <c r="D1" s="355" t="s">
        <v>355</v>
      </c>
      <c r="E1" s="356"/>
      <c r="F1" s="356"/>
      <c r="G1" s="357">
        <f>ROUND('Step 0 Revenue Detail'!I61-SUM('FINAL-Distributed E&amp;G Budget'!L57:O57,'FINAL-Distributed E&amp;G Budget'!AC57,'FINAL-Distributed E&amp;G Budget'!B57,'FINAL-Distributed E&amp;G Budget'!J57)+'FINAL-Distributed E&amp;G Budget'!B57,0)</f>
        <v>172521928</v>
      </c>
      <c r="H1" s="216"/>
      <c r="I1" s="739" t="str">
        <f>IF(G1='Productivity Split'!C23,"","Check")</f>
        <v>Check</v>
      </c>
      <c r="J1" s="523">
        <f>+G1-'Productivity Split'!C23</f>
        <v>0.49099999666213989</v>
      </c>
      <c r="K1" s="523"/>
      <c r="L1" s="506"/>
    </row>
    <row r="2" spans="1:29" ht="15.75" thickBot="1">
      <c r="A2" s="354" t="s">
        <v>579</v>
      </c>
      <c r="D2" s="355" t="s">
        <v>356</v>
      </c>
      <c r="E2" s="356"/>
      <c r="F2" s="356"/>
      <c r="G2" s="357">
        <f>-'FINAL-Distributed E&amp;G Budget'!B57</f>
        <v>0</v>
      </c>
      <c r="H2" s="439"/>
      <c r="I2" s="739" t="str">
        <f>+IF(G2=M30,"","Check")</f>
        <v/>
      </c>
      <c r="J2" s="643" t="s">
        <v>678</v>
      </c>
      <c r="K2" s="643"/>
      <c r="L2" s="506"/>
      <c r="AA2" s="167" t="s">
        <v>749</v>
      </c>
    </row>
    <row r="3" spans="1:29" ht="15.75" thickBot="1">
      <c r="D3" s="358" t="s">
        <v>357</v>
      </c>
      <c r="E3" s="356"/>
      <c r="F3" s="356"/>
      <c r="G3" s="357">
        <f>-SUM(M30,I30,J30)+G2+G1+(SUM(I15:J15,I17:J19,M15,M17:M19))</f>
        <v>-11477224.034999993</v>
      </c>
      <c r="I3" s="739" t="str">
        <f>IF(G3='FINAL-Distributed E&amp;G Budget'!Q7+'FINAL-Distributed E&amp;G Budget'!Q8+'FINAL-Distributed E&amp;G Budget'!Q9,"","Check")</f>
        <v/>
      </c>
      <c r="J3" s="643"/>
      <c r="K3" s="643"/>
      <c r="L3" s="506"/>
    </row>
    <row r="4" spans="1:29" s="487" customFormat="1" ht="15">
      <c r="D4" s="645" t="s">
        <v>617</v>
      </c>
      <c r="E4" s="269"/>
      <c r="F4" s="269"/>
      <c r="G4" s="646"/>
      <c r="I4" s="643"/>
      <c r="J4" s="643"/>
      <c r="K4" s="643"/>
      <c r="L4" s="737"/>
      <c r="M4" s="737"/>
    </row>
    <row r="5" spans="1:29" s="487" customFormat="1" ht="15">
      <c r="D5" s="645"/>
      <c r="E5" s="269"/>
      <c r="F5" s="269"/>
      <c r="G5" s="646"/>
      <c r="I5" s="643"/>
      <c r="J5" s="643"/>
      <c r="K5" s="643"/>
      <c r="L5" s="737"/>
      <c r="M5" s="737"/>
      <c r="R5" s="487" t="s">
        <v>748</v>
      </c>
    </row>
    <row r="6" spans="1:29">
      <c r="B6" s="1238" t="str">
        <f>"Prior FY Budget Model - "&amp;Dashboard!B6-1</f>
        <v>Prior FY Budget Model - 2023</v>
      </c>
      <c r="C6" s="1239"/>
      <c r="D6" s="1239"/>
      <c r="E6" s="1239"/>
      <c r="F6" s="1239"/>
      <c r="G6" s="1240"/>
      <c r="H6" s="490"/>
      <c r="I6" s="1238" t="str">
        <f>"This FY Budget Model - "&amp;Dashboard!B6</f>
        <v>This FY Budget Model - 2024</v>
      </c>
      <c r="J6" s="1239"/>
      <c r="K6" s="1239"/>
      <c r="L6" s="1239"/>
      <c r="M6" s="1239"/>
      <c r="N6" s="1240"/>
      <c r="R6" s="1238" t="s">
        <v>747</v>
      </c>
      <c r="S6" s="1239"/>
      <c r="T6" s="1239"/>
      <c r="U6" s="1239"/>
      <c r="V6" s="1239"/>
      <c r="W6" s="1240"/>
    </row>
    <row r="7" spans="1:29" ht="65.25" customHeight="1" thickBot="1">
      <c r="B7" s="717" t="s">
        <v>605</v>
      </c>
      <c r="C7" s="718" t="s">
        <v>474</v>
      </c>
      <c r="D7" s="718" t="s">
        <v>606</v>
      </c>
      <c r="E7" s="718" t="s">
        <v>607</v>
      </c>
      <c r="F7" s="718" t="s">
        <v>608</v>
      </c>
      <c r="G7" s="718" t="s">
        <v>546</v>
      </c>
      <c r="H7" s="513"/>
      <c r="I7" s="740" t="s">
        <v>610</v>
      </c>
      <c r="J7" s="718" t="s">
        <v>358</v>
      </c>
      <c r="K7" s="718" t="s">
        <v>609</v>
      </c>
      <c r="L7" s="718" t="s">
        <v>606</v>
      </c>
      <c r="M7" s="718" t="s">
        <v>607</v>
      </c>
      <c r="N7" s="719" t="s">
        <v>611</v>
      </c>
      <c r="O7" s="505"/>
      <c r="R7" s="740" t="s">
        <v>739</v>
      </c>
      <c r="S7" s="718" t="s">
        <v>740</v>
      </c>
      <c r="T7" s="718" t="s">
        <v>741</v>
      </c>
      <c r="U7" s="718" t="s">
        <v>742</v>
      </c>
      <c r="V7" s="718" t="s">
        <v>743</v>
      </c>
      <c r="W7" s="719" t="s">
        <v>744</v>
      </c>
      <c r="X7" s="505" t="s">
        <v>746</v>
      </c>
      <c r="Y7" s="487"/>
    </row>
    <row r="8" spans="1:29" ht="14.25" customHeight="1" thickTop="1">
      <c r="A8" s="181" t="s">
        <v>132</v>
      </c>
      <c r="B8" s="693"/>
      <c r="C8" s="269"/>
      <c r="D8" s="269"/>
      <c r="E8" s="269"/>
      <c r="F8" s="269"/>
      <c r="G8" s="694"/>
      <c r="H8" s="490"/>
      <c r="I8" s="755"/>
      <c r="J8" s="756"/>
      <c r="K8" s="509"/>
      <c r="L8" s="509"/>
      <c r="M8" s="470"/>
      <c r="N8" s="754"/>
      <c r="X8" s="487"/>
      <c r="Y8" s="487"/>
    </row>
    <row r="9" spans="1:29" s="487" customFormat="1" ht="14.25" customHeight="1">
      <c r="A9" s="1013" t="s">
        <v>166</v>
      </c>
      <c r="B9" s="701">
        <v>24255421</v>
      </c>
      <c r="C9" s="514">
        <v>0</v>
      </c>
      <c r="D9" s="514"/>
      <c r="E9" s="514"/>
      <c r="F9" s="514">
        <f>B9-C9-D9-E9</f>
        <v>24255421</v>
      </c>
      <c r="G9" s="702"/>
      <c r="H9" s="504"/>
      <c r="I9" s="734">
        <f>SUM(F9:G9)</f>
        <v>24255421</v>
      </c>
      <c r="J9" s="672">
        <f>+'Support &amp; Exec Detail'!F4</f>
        <v>945961.41899999999</v>
      </c>
      <c r="K9" s="370">
        <f>SUM('FINAL-Distributed E&amp;G Budget'!B30,'FINAL-Distributed E&amp;G Budget'!J30,'FINAL-Distributed E&amp;G Budget'!L30,'FINAL-Distributed E&amp;G Budget'!M30,'FINAL-Distributed E&amp;G Budget'!N30,'FINAL-Distributed E&amp;G Budget'!O30)</f>
        <v>0</v>
      </c>
      <c r="L9" s="370">
        <f>+'FINAL-Distributed E&amp;G Budget'!AC30</f>
        <v>0</v>
      </c>
      <c r="M9" s="370"/>
      <c r="N9" s="747">
        <f>SUM(I9:M9)</f>
        <v>25201382.419</v>
      </c>
      <c r="P9" s="511" t="str">
        <f>IF(N9=SUM('FINAL-Distributed E&amp;G Budget'!B30,'FINAL-Distributed E&amp;G Budget'!J30,'FINAL-Distributed E&amp;G Budget'!L30:O30,'FINAL-Distributed E&amp;G Budget'!U30,'FINAL-Distributed E&amp;G Budget'!AC30),"","Check")</f>
        <v/>
      </c>
      <c r="R9" s="370">
        <v>23540832</v>
      </c>
      <c r="S9" s="370">
        <v>23305422</v>
      </c>
      <c r="T9" s="370">
        <v>406625</v>
      </c>
      <c r="U9" s="370">
        <v>-185070</v>
      </c>
      <c r="V9" s="370">
        <v>-235410</v>
      </c>
      <c r="W9" s="370">
        <f>+V9-U9</f>
        <v>-50340</v>
      </c>
      <c r="X9" s="370">
        <f>+J9-T9-W9</f>
        <v>589676.41899999999</v>
      </c>
      <c r="Y9" s="1039">
        <f>+F9+C9+T9+W9-S9</f>
        <v>1306284</v>
      </c>
      <c r="Z9" s="1039">
        <f>+S9+X9-N9-C9+K9+L9</f>
        <v>-1306284</v>
      </c>
      <c r="AA9" s="494"/>
      <c r="AB9" s="494"/>
      <c r="AC9" s="494"/>
    </row>
    <row r="10" spans="1:29" ht="14.25" customHeight="1">
      <c r="A10" s="196" t="s">
        <v>671</v>
      </c>
      <c r="B10" s="699">
        <v>694453</v>
      </c>
      <c r="C10" s="551">
        <v>0</v>
      </c>
      <c r="D10" s="551">
        <v>1000</v>
      </c>
      <c r="E10" s="551"/>
      <c r="F10" s="551">
        <f>B10-C10-D10-E10</f>
        <v>693453</v>
      </c>
      <c r="G10" s="700"/>
      <c r="H10" s="504"/>
      <c r="I10" s="735">
        <f>SUM(F10:G10)</f>
        <v>693453</v>
      </c>
      <c r="J10" s="653">
        <f>'Support &amp; Exec Detail'!F11</f>
        <v>27044.667000000001</v>
      </c>
      <c r="K10" s="371">
        <f>SUM('FINAL-Distributed E&amp;G Budget'!B32,'FINAL-Distributed E&amp;G Budget'!J32,'FINAL-Distributed E&amp;G Budget'!L32,'FINAL-Distributed E&amp;G Budget'!M32,'FINAL-Distributed E&amp;G Budget'!N32,'FINAL-Distributed E&amp;G Budget'!O32)</f>
        <v>0</v>
      </c>
      <c r="L10" s="371">
        <f>+'FINAL-Distributed E&amp;G Budget'!AC32</f>
        <v>1400</v>
      </c>
      <c r="M10" s="371"/>
      <c r="N10" s="748">
        <f t="shared" ref="N10:N29" si="0">SUM(I10:M10)</f>
        <v>721897.66700000002</v>
      </c>
      <c r="O10" s="506"/>
      <c r="P10" s="511" t="str">
        <f>IF(N10=SUM('FINAL-Distributed E&amp;G Budget'!B32,'FINAL-Distributed E&amp;G Budget'!J32,'FINAL-Distributed E&amp;G Budget'!L32:O32,'FINAL-Distributed E&amp;G Budget'!U32,'FINAL-Distributed E&amp;G Budget'!AC32),"","Check")</f>
        <v/>
      </c>
      <c r="R10" s="371"/>
      <c r="S10" s="371"/>
      <c r="T10" s="371"/>
      <c r="U10" s="371"/>
      <c r="V10" s="371"/>
      <c r="W10" s="371"/>
      <c r="X10" s="371"/>
      <c r="Y10" s="1039"/>
      <c r="Z10" s="1039"/>
      <c r="AA10" s="494"/>
      <c r="AB10" s="494"/>
      <c r="AC10" s="494"/>
    </row>
    <row r="11" spans="1:29" ht="14.25" customHeight="1">
      <c r="A11" s="179" t="s">
        <v>153</v>
      </c>
      <c r="B11" s="701">
        <v>16300190</v>
      </c>
      <c r="C11" s="514">
        <v>3084289</v>
      </c>
      <c r="D11" s="514">
        <v>0</v>
      </c>
      <c r="E11" s="514"/>
      <c r="F11" s="514">
        <f>B11-C11-D11-E11</f>
        <v>13215901</v>
      </c>
      <c r="G11" s="702">
        <v>288100</v>
      </c>
      <c r="H11" s="504"/>
      <c r="I11" s="734">
        <f>SUM(F11:G11)</f>
        <v>13504001</v>
      </c>
      <c r="J11" s="672">
        <f>'Support &amp; Exec Detail'!F16</f>
        <v>515420.13900000002</v>
      </c>
      <c r="K11" s="370">
        <f>SUM('FINAL-Distributed E&amp;G Budget'!B34,'FINAL-Distributed E&amp;G Budget'!J34,'FINAL-Distributed E&amp;G Budget'!L34,'FINAL-Distributed E&amp;G Budget'!M34,'FINAL-Distributed E&amp;G Budget'!N34,'FINAL-Distributed E&amp;G Budget'!O34)</f>
        <v>3154371</v>
      </c>
      <c r="L11" s="370">
        <f>+'FINAL-Distributed E&amp;G Budget'!AC34</f>
        <v>0</v>
      </c>
      <c r="M11" s="370"/>
      <c r="N11" s="747">
        <f t="shared" si="0"/>
        <v>17173792.138999999</v>
      </c>
      <c r="O11" s="506"/>
      <c r="P11" s="511" t="str">
        <f>IF(N11=SUM('FINAL-Distributed E&amp;G Budget'!B34,'FINAL-Distributed E&amp;G Budget'!J34,'FINAL-Distributed E&amp;G Budget'!L34:O34,'FINAL-Distributed E&amp;G Budget'!U34,'FINAL-Distributed E&amp;G Budget'!AC34),"","Check")</f>
        <v/>
      </c>
      <c r="Q11" s="503"/>
      <c r="R11" s="370"/>
      <c r="S11" s="370"/>
      <c r="T11" s="370"/>
      <c r="U11" s="370"/>
      <c r="V11" s="370"/>
      <c r="W11" s="370"/>
      <c r="X11" s="370"/>
      <c r="Y11" s="1039"/>
      <c r="Z11" s="1039"/>
      <c r="AA11" s="494"/>
      <c r="AB11" s="494"/>
      <c r="AC11" s="494"/>
    </row>
    <row r="12" spans="1:29" ht="14.25" customHeight="1">
      <c r="A12" s="179"/>
      <c r="B12" s="693"/>
      <c r="C12" s="269"/>
      <c r="D12" s="269"/>
      <c r="E12" s="269"/>
      <c r="F12" s="269"/>
      <c r="G12" s="694"/>
      <c r="H12" s="490"/>
      <c r="I12" s="736"/>
      <c r="J12" s="509"/>
      <c r="K12" s="509"/>
      <c r="L12" s="509"/>
      <c r="M12" s="509"/>
      <c r="N12" s="749"/>
      <c r="O12" s="506"/>
      <c r="Q12" s="503"/>
      <c r="R12" s="370"/>
      <c r="S12" s="370"/>
      <c r="T12" s="370"/>
      <c r="U12" s="370"/>
      <c r="V12" s="370"/>
      <c r="W12" s="370"/>
      <c r="X12" s="370"/>
      <c r="Y12" s="1039"/>
      <c r="Z12" s="1039"/>
      <c r="AA12" s="494"/>
      <c r="AB12" s="494"/>
      <c r="AC12" s="494"/>
    </row>
    <row r="13" spans="1:29" ht="14.25" customHeight="1">
      <c r="A13" s="177"/>
      <c r="B13" s="671"/>
      <c r="C13" s="492"/>
      <c r="D13" s="492"/>
      <c r="E13" s="492"/>
      <c r="F13" s="492"/>
      <c r="G13" s="698"/>
      <c r="H13" s="490"/>
      <c r="I13" s="734"/>
      <c r="J13" s="672"/>
      <c r="K13" s="370"/>
      <c r="L13" s="370"/>
      <c r="M13" s="370"/>
      <c r="N13" s="747"/>
      <c r="O13" s="506"/>
      <c r="Q13" s="503"/>
      <c r="R13" s="370"/>
      <c r="S13" s="370"/>
      <c r="T13" s="370"/>
      <c r="U13" s="370"/>
      <c r="V13" s="370"/>
      <c r="W13" s="370"/>
      <c r="X13" s="370"/>
      <c r="Y13" s="1039"/>
      <c r="Z13" s="1039"/>
      <c r="AA13" s="494"/>
      <c r="AB13" s="494"/>
      <c r="AC13" s="494"/>
    </row>
    <row r="14" spans="1:29" ht="14.25" customHeight="1">
      <c r="A14" s="455" t="s">
        <v>156</v>
      </c>
      <c r="B14" s="671"/>
      <c r="C14" s="492"/>
      <c r="D14" s="492"/>
      <c r="E14" s="492"/>
      <c r="F14" s="492"/>
      <c r="G14" s="702"/>
      <c r="H14" s="490"/>
      <c r="I14" s="734"/>
      <c r="J14" s="496"/>
      <c r="K14" s="370"/>
      <c r="L14" s="370"/>
      <c r="M14" s="370"/>
      <c r="N14" s="747"/>
      <c r="O14" s="506"/>
      <c r="Q14" s="503"/>
      <c r="R14" s="370"/>
      <c r="S14" s="370"/>
      <c r="T14" s="370"/>
      <c r="U14" s="370"/>
      <c r="V14" s="370"/>
      <c r="W14" s="370"/>
      <c r="X14" s="370"/>
      <c r="Y14" s="1039"/>
      <c r="Z14" s="1039"/>
      <c r="AA14" s="494"/>
      <c r="AB14" s="494"/>
      <c r="AC14" s="494"/>
    </row>
    <row r="15" spans="1:29" ht="14.25" customHeight="1">
      <c r="A15" s="642" t="s">
        <v>586</v>
      </c>
      <c r="B15" s="703">
        <v>10430216</v>
      </c>
      <c r="C15" s="704">
        <v>0</v>
      </c>
      <c r="D15" s="704">
        <v>0</v>
      </c>
      <c r="E15" s="704"/>
      <c r="F15" s="704">
        <f>B15-C15-D15-E15</f>
        <v>10430216</v>
      </c>
      <c r="G15" s="705"/>
      <c r="H15" s="641"/>
      <c r="I15" s="703">
        <f t="shared" ref="I15:I27" si="1">SUM(F15:G15)</f>
        <v>10430216</v>
      </c>
      <c r="J15" s="713">
        <f>+'Support &amp; Exec Detail'!F24</f>
        <v>406778.424</v>
      </c>
      <c r="K15" s="704">
        <f>SUM('FINAL-Distributed E&amp;G Budget'!B40:H40)</f>
        <v>0</v>
      </c>
      <c r="L15" s="704">
        <f>+'FINAL-Distributed E&amp;G Budget'!AC40</f>
        <v>0</v>
      </c>
      <c r="M15" s="704"/>
      <c r="N15" s="750">
        <f t="shared" si="0"/>
        <v>10836994.424000001</v>
      </c>
      <c r="O15" s="506"/>
      <c r="P15" s="511" t="str">
        <f>IF(N15=SUM('FINAL-Distributed E&amp;G Budget'!B40,'FINAL-Distributed E&amp;G Budget'!J40,'FINAL-Distributed E&amp;G Budget'!L40:O40,'FINAL-Distributed E&amp;G Budget'!U40,'FINAL-Distributed E&amp;G Budget'!AC40),"","Check")</f>
        <v/>
      </c>
      <c r="Q15" s="503"/>
      <c r="R15" s="370"/>
      <c r="S15" s="370"/>
      <c r="T15" s="370"/>
      <c r="U15" s="370"/>
      <c r="V15" s="370"/>
      <c r="W15" s="370"/>
      <c r="X15" s="370"/>
      <c r="Y15" s="1039"/>
      <c r="Z15" s="1039"/>
      <c r="AA15" s="494"/>
      <c r="AB15" s="494"/>
      <c r="AC15" s="494"/>
    </row>
    <row r="16" spans="1:29" ht="14.25" customHeight="1">
      <c r="A16" s="179" t="s">
        <v>159</v>
      </c>
      <c r="B16" s="701">
        <v>4255079</v>
      </c>
      <c r="C16" s="514">
        <v>7700</v>
      </c>
      <c r="D16" s="514">
        <v>0</v>
      </c>
      <c r="E16" s="514"/>
      <c r="F16" s="514">
        <f>B16-C16-D16-E16</f>
        <v>4247379</v>
      </c>
      <c r="G16" s="706"/>
      <c r="H16" s="504"/>
      <c r="I16" s="734">
        <f>SUM(F16:G16)</f>
        <v>4247379</v>
      </c>
      <c r="J16" s="766">
        <f>'Support &amp; Exec Detail'!F40</f>
        <v>165647.78099999999</v>
      </c>
      <c r="K16" s="370">
        <f>SUM('FINAL-Distributed E&amp;G Budget'!B42,'FINAL-Distributed E&amp;G Budget'!J42,'FINAL-Distributed E&amp;G Budget'!L42,'FINAL-Distributed E&amp;G Budget'!M42,'FINAL-Distributed E&amp;G Budget'!N42,'FINAL-Distributed E&amp;G Budget'!O42)</f>
        <v>7716</v>
      </c>
      <c r="L16" s="370">
        <f>+'FINAL-Distributed E&amp;G Budget'!AC42</f>
        <v>0</v>
      </c>
      <c r="M16" s="370"/>
      <c r="N16" s="747">
        <f>SUM(I16:M16)</f>
        <v>4420742.7810000004</v>
      </c>
      <c r="O16" s="506"/>
      <c r="P16" s="511" t="str">
        <f>IF(N16=SUM('FINAL-Distributed E&amp;G Budget'!B42,'FINAL-Distributed E&amp;G Budget'!J42,'FINAL-Distributed E&amp;G Budget'!L42:O42,'FINAL-Distributed E&amp;G Budget'!U42,'FINAL-Distributed E&amp;G Budget'!AC42),"","Check")</f>
        <v/>
      </c>
      <c r="Q16" s="503"/>
      <c r="R16" s="370"/>
      <c r="S16" s="370"/>
      <c r="T16" s="370"/>
      <c r="U16" s="370"/>
      <c r="V16" s="370"/>
      <c r="W16" s="370"/>
      <c r="X16" s="370"/>
      <c r="Y16" s="1039"/>
      <c r="Z16" s="1039"/>
      <c r="AA16" s="494"/>
      <c r="AB16" s="494"/>
      <c r="AC16" s="494"/>
    </row>
    <row r="17" spans="1:29" ht="14.25" customHeight="1">
      <c r="A17" s="640" t="s">
        <v>160</v>
      </c>
      <c r="B17" s="703">
        <v>1225354</v>
      </c>
      <c r="C17" s="704">
        <v>0</v>
      </c>
      <c r="D17" s="642">
        <v>0</v>
      </c>
      <c r="E17" s="642"/>
      <c r="F17" s="704">
        <f t="shared" ref="F17:F29" si="2">B17-C17-D17-E17</f>
        <v>1225354</v>
      </c>
      <c r="G17" s="705"/>
      <c r="H17" s="641"/>
      <c r="I17" s="703">
        <f t="shared" si="1"/>
        <v>1225354</v>
      </c>
      <c r="J17" s="715">
        <f>+'Support &amp; Exec Detail'!F45</f>
        <v>47788.805999999997</v>
      </c>
      <c r="K17" s="704">
        <f>SUM('FINAL-Distributed E&amp;G Budget'!B43:H43)</f>
        <v>0</v>
      </c>
      <c r="L17" s="704">
        <f>+'FINAL-Distributed E&amp;G Budget'!AC43</f>
        <v>0</v>
      </c>
      <c r="M17" s="704"/>
      <c r="N17" s="750">
        <f>SUM(I17:M17)</f>
        <v>1273142.8060000001</v>
      </c>
      <c r="O17" s="506"/>
      <c r="P17" s="511" t="str">
        <f>IF(N17=SUM('FINAL-Distributed E&amp;G Budget'!B43,'FINAL-Distributed E&amp;G Budget'!J43,'FINAL-Distributed E&amp;G Budget'!L43:O43,'FINAL-Distributed E&amp;G Budget'!U43,'FINAL-Distributed E&amp;G Budget'!AC43),"","Check")</f>
        <v/>
      </c>
      <c r="Q17" s="503"/>
      <c r="R17" s="370"/>
      <c r="S17" s="370"/>
      <c r="T17" s="370"/>
      <c r="U17" s="370"/>
      <c r="V17" s="370"/>
      <c r="W17" s="370"/>
      <c r="X17" s="370"/>
      <c r="Y17" s="1039"/>
      <c r="Z17" s="1039"/>
      <c r="AA17" s="494"/>
      <c r="AB17" s="494"/>
      <c r="AC17" s="494"/>
    </row>
    <row r="18" spans="1:29" ht="14.25" customHeight="1">
      <c r="A18" s="642" t="s">
        <v>161</v>
      </c>
      <c r="B18" s="703">
        <v>1806286</v>
      </c>
      <c r="C18" s="704">
        <v>0</v>
      </c>
      <c r="D18" s="642"/>
      <c r="E18" s="642"/>
      <c r="F18" s="704">
        <f t="shared" si="2"/>
        <v>1806286</v>
      </c>
      <c r="G18" s="705"/>
      <c r="H18" s="641"/>
      <c r="I18" s="703">
        <f t="shared" si="1"/>
        <v>1806286</v>
      </c>
      <c r="J18" s="713">
        <f>+'Support &amp; Exec Detail'!F51</f>
        <v>70445.153999999995</v>
      </c>
      <c r="K18" s="704">
        <f>SUM('FINAL-Distributed E&amp;G Budget'!B44:H44)</f>
        <v>0</v>
      </c>
      <c r="L18" s="704"/>
      <c r="M18" s="704"/>
      <c r="N18" s="750">
        <f t="shared" si="0"/>
        <v>1876731.1540000001</v>
      </c>
      <c r="O18" s="506"/>
      <c r="P18" s="511" t="str">
        <f>IF(N18=SUM('FINAL-Distributed E&amp;G Budget'!B44,'FINAL-Distributed E&amp;G Budget'!J44,'FINAL-Distributed E&amp;G Budget'!L44:O44,'FINAL-Distributed E&amp;G Budget'!U44,'FINAL-Distributed E&amp;G Budget'!AC44),"","Check")</f>
        <v/>
      </c>
      <c r="Q18" s="503"/>
      <c r="R18" s="370"/>
      <c r="S18" s="370"/>
      <c r="T18" s="370"/>
      <c r="U18" s="370"/>
      <c r="V18" s="370"/>
      <c r="W18" s="370"/>
      <c r="X18" s="370"/>
      <c r="Y18" s="1039"/>
      <c r="Z18" s="1039"/>
      <c r="AA18" s="494"/>
      <c r="AB18" s="494"/>
      <c r="AC18" s="494"/>
    </row>
    <row r="19" spans="1:29" s="487" customFormat="1" ht="14.25" customHeight="1">
      <c r="A19" s="642" t="s">
        <v>632</v>
      </c>
      <c r="B19" s="703">
        <v>807013</v>
      </c>
      <c r="C19" s="704">
        <v>6500</v>
      </c>
      <c r="D19" s="704">
        <v>6100</v>
      </c>
      <c r="E19" s="642"/>
      <c r="F19" s="704">
        <f t="shared" si="2"/>
        <v>794413</v>
      </c>
      <c r="G19" s="705"/>
      <c r="H19" s="641"/>
      <c r="I19" s="703">
        <f>SUM(F19:G19)</f>
        <v>794413</v>
      </c>
      <c r="J19" s="713">
        <f>+'Support &amp; Exec Detail'!F56</f>
        <v>30982.107</v>
      </c>
      <c r="K19" s="704">
        <f>SUM('FINAL-Distributed E&amp;G Budget'!B45:H45)</f>
        <v>6514</v>
      </c>
      <c r="L19" s="704">
        <f>+'FINAL-Distributed E&amp;G Budget'!AC45</f>
        <v>12600</v>
      </c>
      <c r="M19" s="704"/>
      <c r="N19" s="750">
        <f>SUM(I19:M19)</f>
        <v>844509.10699999996</v>
      </c>
      <c r="O19" s="506"/>
      <c r="P19" s="511" t="str">
        <f>IF(N19=SUM('FINAL-Distributed E&amp;G Budget'!B45,'FINAL-Distributed E&amp;G Budget'!J45,'FINAL-Distributed E&amp;G Budget'!L45:O45,'FINAL-Distributed E&amp;G Budget'!U45,'FINAL-Distributed E&amp;G Budget'!AC45),"","Check")</f>
        <v/>
      </c>
      <c r="Q19" s="503"/>
      <c r="R19" s="370"/>
      <c r="S19" s="370"/>
      <c r="T19" s="370"/>
      <c r="U19" s="370"/>
      <c r="V19" s="370"/>
      <c r="W19" s="370"/>
      <c r="X19" s="370"/>
      <c r="Y19" s="1039"/>
      <c r="Z19" s="1039"/>
      <c r="AA19" s="494"/>
      <c r="AB19" s="494"/>
      <c r="AC19" s="494"/>
    </row>
    <row r="20" spans="1:29" ht="14.25" customHeight="1">
      <c r="A20" s="179" t="s">
        <v>162</v>
      </c>
      <c r="B20" s="708">
        <v>10935428</v>
      </c>
      <c r="C20" s="207">
        <v>2822697</v>
      </c>
      <c r="D20" s="207">
        <v>0</v>
      </c>
      <c r="E20" s="207"/>
      <c r="F20" s="207">
        <f>B20-C20-D20-E20</f>
        <v>8112731</v>
      </c>
      <c r="G20" s="709"/>
      <c r="H20" s="507"/>
      <c r="I20" s="734">
        <f t="shared" si="1"/>
        <v>8112731</v>
      </c>
      <c r="J20" s="766">
        <f>'Support &amp; Exec Detail'!F60</f>
        <v>1016396.5090000001</v>
      </c>
      <c r="K20" s="370">
        <f>SUM('FINAL-Distributed E&amp;G Budget'!B46,'FINAL-Distributed E&amp;G Budget'!J46,'FINAL-Distributed E&amp;G Budget'!L46,'FINAL-Distributed E&amp;G Budget'!M46,'FINAL-Distributed E&amp;G Budget'!N46,'FINAL-Distributed E&amp;G Budget'!O46)</f>
        <v>2828655</v>
      </c>
      <c r="L20" s="370">
        <f>+'FINAL-Distributed E&amp;G Budget'!AC46</f>
        <v>0</v>
      </c>
      <c r="M20" s="370"/>
      <c r="N20" s="747">
        <f t="shared" si="0"/>
        <v>11957782.509</v>
      </c>
      <c r="O20" s="506"/>
      <c r="P20" s="511" t="str">
        <f>IF(N20=SUM('FINAL-Distributed E&amp;G Budget'!B46,'FINAL-Distributed E&amp;G Budget'!J46,'FINAL-Distributed E&amp;G Budget'!L46:O46,'FINAL-Distributed E&amp;G Budget'!U46,'FINAL-Distributed E&amp;G Budget'!AC46),"","Check")</f>
        <v/>
      </c>
      <c r="Q20" s="503"/>
      <c r="R20" s="370"/>
      <c r="S20" s="370"/>
      <c r="T20" s="370"/>
      <c r="U20" s="370"/>
      <c r="V20" s="370"/>
      <c r="W20" s="370"/>
      <c r="X20" s="370"/>
      <c r="Y20" s="1039"/>
      <c r="Z20" s="1039"/>
      <c r="AA20" s="494"/>
      <c r="AB20" s="494"/>
      <c r="AC20" s="494"/>
    </row>
    <row r="21" spans="1:29" ht="14.25" customHeight="1">
      <c r="A21" s="604" t="s">
        <v>697</v>
      </c>
      <c r="B21" s="708">
        <v>9073168</v>
      </c>
      <c r="C21" s="207">
        <v>2522002</v>
      </c>
      <c r="D21" s="207">
        <v>0</v>
      </c>
      <c r="E21" s="207"/>
      <c r="F21" s="207">
        <f t="shared" si="2"/>
        <v>6551166</v>
      </c>
      <c r="G21" s="710"/>
      <c r="H21" s="507"/>
      <c r="I21" s="734">
        <f t="shared" si="1"/>
        <v>6551166</v>
      </c>
      <c r="J21" s="370">
        <f>'Support &amp; Exec Detail'!F66</f>
        <v>255495.47399999999</v>
      </c>
      <c r="K21" s="370">
        <f>SUM('FINAL-Distributed E&amp;G Budget'!B47,'FINAL-Distributed E&amp;G Budget'!J47,'FINAL-Distributed E&amp;G Budget'!L47,'FINAL-Distributed E&amp;G Budget'!M47,'FINAL-Distributed E&amp;G Budget'!N47,'FINAL-Distributed E&amp;G Budget'!O47)</f>
        <v>2527325</v>
      </c>
      <c r="L21" s="370">
        <f>+'FINAL-Distributed E&amp;G Budget'!AC47</f>
        <v>0</v>
      </c>
      <c r="M21" s="370"/>
      <c r="N21" s="747">
        <f t="shared" si="0"/>
        <v>9333986.4739999995</v>
      </c>
      <c r="O21" s="506"/>
      <c r="P21" s="511" t="str">
        <f>IF(N21=SUM('FINAL-Distributed E&amp;G Budget'!B47,'FINAL-Distributed E&amp;G Budget'!J47,'FINAL-Distributed E&amp;G Budget'!L47:O47,'FINAL-Distributed E&amp;G Budget'!U47,'FINAL-Distributed E&amp;G Budget'!AC47),"","Check")</f>
        <v/>
      </c>
      <c r="Q21" s="503"/>
      <c r="R21" s="370"/>
      <c r="S21" s="370"/>
      <c r="T21" s="370"/>
      <c r="U21" s="370"/>
      <c r="V21" s="370"/>
      <c r="W21" s="370"/>
      <c r="X21" s="370"/>
      <c r="Y21" s="1039"/>
      <c r="Z21" s="1039"/>
      <c r="AA21" s="494"/>
      <c r="AB21" s="494"/>
      <c r="AC21" s="494"/>
    </row>
    <row r="22" spans="1:29" ht="14.25" customHeight="1">
      <c r="A22" s="179" t="s">
        <v>163</v>
      </c>
      <c r="B22" s="708">
        <v>1330669</v>
      </c>
      <c r="C22" s="207">
        <v>0</v>
      </c>
      <c r="D22" s="207">
        <v>0</v>
      </c>
      <c r="E22" s="207"/>
      <c r="F22" s="207">
        <f>B22-C22-D22-E22</f>
        <v>1330669</v>
      </c>
      <c r="G22" s="710"/>
      <c r="H22" s="507"/>
      <c r="I22" s="734">
        <f>SUM(F22:G22)</f>
        <v>1330669</v>
      </c>
      <c r="J22" s="766">
        <f>'Support &amp; Exec Detail'!F73</f>
        <v>51896.091</v>
      </c>
      <c r="K22" s="370">
        <f>SUM('FINAL-Distributed E&amp;G Budget'!B48,'FINAL-Distributed E&amp;G Budget'!J48,'FINAL-Distributed E&amp;G Budget'!L48,'FINAL-Distributed E&amp;G Budget'!M48,'FINAL-Distributed E&amp;G Budget'!N48,'FINAL-Distributed E&amp;G Budget'!O48)</f>
        <v>0</v>
      </c>
      <c r="L22" s="370">
        <f>+'FINAL-Distributed E&amp;G Budget'!AC48</f>
        <v>0</v>
      </c>
      <c r="M22" s="370">
        <f>ROUND(-('FINAL-Distributed E&amp;G Budget'!$B$57*'FINAL-Distributed E&amp;G Budget'!AU12),-1)</f>
        <v>0</v>
      </c>
      <c r="N22" s="747">
        <f>SUM(I22:M22)</f>
        <v>1382565.091</v>
      </c>
      <c r="O22" s="506"/>
      <c r="P22" s="511" t="str">
        <f>IF(N22=SUM('FINAL-Distributed E&amp;G Budget'!B48,'FINAL-Distributed E&amp;G Budget'!J48,'FINAL-Distributed E&amp;G Budget'!L48:O48,'FINAL-Distributed E&amp;G Budget'!U48,'FINAL-Distributed E&amp;G Budget'!AC48),"","Check")</f>
        <v/>
      </c>
      <c r="Q22" s="503"/>
      <c r="R22" s="370"/>
      <c r="S22" s="370"/>
      <c r="T22" s="370"/>
      <c r="U22" s="370"/>
      <c r="V22" s="370"/>
      <c r="W22" s="370"/>
      <c r="X22" s="370"/>
      <c r="Y22" s="1039"/>
      <c r="Z22" s="1039"/>
      <c r="AA22" s="494"/>
      <c r="AB22" s="494"/>
      <c r="AC22" s="494"/>
    </row>
    <row r="23" spans="1:29" ht="14.25" customHeight="1">
      <c r="A23" s="602" t="s">
        <v>698</v>
      </c>
      <c r="B23" s="711">
        <v>28641904</v>
      </c>
      <c r="C23" s="199">
        <v>2885500</v>
      </c>
      <c r="D23" s="199">
        <v>0</v>
      </c>
      <c r="E23" s="199"/>
      <c r="F23" s="199">
        <f t="shared" si="2"/>
        <v>25756404</v>
      </c>
      <c r="G23" s="712">
        <v>288100</v>
      </c>
      <c r="H23" s="507"/>
      <c r="I23" s="735">
        <f t="shared" si="1"/>
        <v>26044504</v>
      </c>
      <c r="J23" s="767">
        <f>'Support &amp; Exec Detail'!F80</f>
        <v>1004499.7560000001</v>
      </c>
      <c r="K23" s="371">
        <f>SUM('FINAL-Distributed E&amp;G Budget'!B49,'FINAL-Distributed E&amp;G Budget'!J49,'FINAL-Distributed E&amp;G Budget'!L49,'FINAL-Distributed E&amp;G Budget'!M49,'FINAL-Distributed E&amp;G Budget'!N49,'FINAL-Distributed E&amp;G Budget'!O49)</f>
        <v>2977637</v>
      </c>
      <c r="L23" s="371">
        <f>+'FINAL-Distributed E&amp;G Budget'!AC49</f>
        <v>0</v>
      </c>
      <c r="M23" s="371">
        <f>ROUND(-('FINAL-Distributed E&amp;G Budget'!$B$57*'FINAL-Distributed E&amp;G Budget'!AU13),-1)</f>
        <v>0</v>
      </c>
      <c r="N23" s="748">
        <f t="shared" si="0"/>
        <v>30026640.756000001</v>
      </c>
      <c r="O23" s="506"/>
      <c r="P23" s="511" t="str">
        <f>IF(N23=SUM('FINAL-Distributed E&amp;G Budget'!B49,'FINAL-Distributed E&amp;G Budget'!J49,'FINAL-Distributed E&amp;G Budget'!L49:O49,'FINAL-Distributed E&amp;G Budget'!U49,'FINAL-Distributed E&amp;G Budget'!AC49),"","Check")</f>
        <v/>
      </c>
      <c r="Q23" s="503"/>
      <c r="R23" s="370"/>
      <c r="S23" s="370"/>
      <c r="T23" s="370"/>
      <c r="U23" s="370"/>
      <c r="V23" s="370"/>
      <c r="W23" s="370"/>
      <c r="X23" s="370"/>
      <c r="Y23" s="1039"/>
      <c r="Z23" s="1039"/>
      <c r="AA23" s="494"/>
      <c r="AB23" s="494"/>
      <c r="AC23" s="494"/>
    </row>
    <row r="24" spans="1:29" ht="14.25" customHeight="1">
      <c r="A24" s="179" t="s">
        <v>362</v>
      </c>
      <c r="B24" s="708">
        <v>4716274</v>
      </c>
      <c r="C24" s="207">
        <v>2458050</v>
      </c>
      <c r="D24" s="207">
        <v>0</v>
      </c>
      <c r="E24" s="207"/>
      <c r="F24" s="207">
        <f>B24-C24-D24-E24</f>
        <v>2258224</v>
      </c>
      <c r="G24" s="710"/>
      <c r="H24" s="507"/>
      <c r="I24" s="734">
        <f t="shared" si="1"/>
        <v>2258224</v>
      </c>
      <c r="J24" s="766">
        <f>'Support &amp; Exec Detail'!F91</f>
        <v>88070.736000000004</v>
      </c>
      <c r="K24" s="370">
        <f>SUM('FINAL-Distributed E&amp;G Budget'!B50,'FINAL-Distributed E&amp;G Budget'!J50,'FINAL-Distributed E&amp;G Budget'!L50,'FINAL-Distributed E&amp;G Budget'!M50,'FINAL-Distributed E&amp;G Budget'!N50,'FINAL-Distributed E&amp;G Budget'!O50)</f>
        <v>2475666</v>
      </c>
      <c r="L24" s="370">
        <f>+'FINAL-Distributed E&amp;G Budget'!AC50</f>
        <v>0</v>
      </c>
      <c r="M24" s="370">
        <f>ROUND(-('FINAL-Distributed E&amp;G Budget'!$B$57*'FINAL-Distributed E&amp;G Budget'!AU15),-1)</f>
        <v>0</v>
      </c>
      <c r="N24" s="747">
        <f t="shared" si="0"/>
        <v>4821960.7359999996</v>
      </c>
      <c r="O24" s="506"/>
      <c r="P24" s="511" t="str">
        <f>IF(N24=SUM('FINAL-Distributed E&amp;G Budget'!B50,'FINAL-Distributed E&amp;G Budget'!J50,'FINAL-Distributed E&amp;G Budget'!L50:O50,'FINAL-Distributed E&amp;G Budget'!U50,'FINAL-Distributed E&amp;G Budget'!AC50),"","Check")</f>
        <v/>
      </c>
      <c r="Q24" s="503"/>
      <c r="R24" s="370"/>
      <c r="S24" s="370"/>
      <c r="T24" s="370"/>
      <c r="U24" s="370"/>
      <c r="V24" s="370"/>
      <c r="W24" s="370"/>
      <c r="X24" s="370"/>
      <c r="Y24" s="1039"/>
      <c r="Z24" s="1039"/>
      <c r="AA24" s="494"/>
      <c r="AB24" s="494"/>
      <c r="AC24" s="494"/>
    </row>
    <row r="25" spans="1:29" ht="14.25" customHeight="1">
      <c r="A25" s="189" t="s">
        <v>699</v>
      </c>
      <c r="B25" s="751">
        <v>763430</v>
      </c>
      <c r="C25" s="207">
        <v>0</v>
      </c>
      <c r="D25" s="207">
        <v>0</v>
      </c>
      <c r="E25" s="207"/>
      <c r="F25" s="207">
        <f>B25-C25-D25-E25</f>
        <v>763430</v>
      </c>
      <c r="G25" s="710"/>
      <c r="H25" s="507"/>
      <c r="I25" s="734">
        <f t="shared" si="1"/>
        <v>763430</v>
      </c>
      <c r="J25" s="766">
        <f>'Support &amp; Exec Detail'!F95</f>
        <v>29773.77</v>
      </c>
      <c r="K25" s="370">
        <f>SUM('FINAL-Distributed E&amp;G Budget'!B51,'FINAL-Distributed E&amp;G Budget'!J51,'FINAL-Distributed E&amp;G Budget'!L51,'FINAL-Distributed E&amp;G Budget'!M51,'FINAL-Distributed E&amp;G Budget'!N51,'FINAL-Distributed E&amp;G Budget'!O51)</f>
        <v>0</v>
      </c>
      <c r="L25" s="370">
        <f>+'FINAL-Distributed E&amp;G Budget'!AC51</f>
        <v>0</v>
      </c>
      <c r="M25" s="370"/>
      <c r="N25" s="747">
        <f t="shared" si="0"/>
        <v>793203.77</v>
      </c>
      <c r="O25" s="506"/>
      <c r="P25" s="511" t="str">
        <f>IF(N25=SUM('FINAL-Distributed E&amp;G Budget'!B51,'FINAL-Distributed E&amp;G Budget'!J51,'FINAL-Distributed E&amp;G Budget'!L51:O51,'FINAL-Distributed E&amp;G Budget'!U51,'FINAL-Distributed E&amp;G Budget'!AC51),"","Check")</f>
        <v/>
      </c>
      <c r="Q25" s="503"/>
      <c r="R25" s="370"/>
      <c r="S25" s="370"/>
      <c r="T25" s="370"/>
      <c r="U25" s="370"/>
      <c r="V25" s="370"/>
      <c r="W25" s="370"/>
      <c r="X25" s="370"/>
      <c r="Y25" s="1039"/>
      <c r="Z25" s="1039"/>
      <c r="AA25" s="494"/>
      <c r="AB25" s="494"/>
      <c r="AC25" s="494"/>
    </row>
    <row r="26" spans="1:29" ht="14.25" customHeight="1">
      <c r="A26" s="196" t="s">
        <v>164</v>
      </c>
      <c r="B26" s="711">
        <v>10338592</v>
      </c>
      <c r="C26" s="199">
        <v>3834100</v>
      </c>
      <c r="D26" s="199">
        <v>0</v>
      </c>
      <c r="E26" s="199"/>
      <c r="F26" s="199">
        <f t="shared" si="2"/>
        <v>6504492</v>
      </c>
      <c r="G26" s="712"/>
      <c r="H26" s="507"/>
      <c r="I26" s="735">
        <f t="shared" si="1"/>
        <v>6504492</v>
      </c>
      <c r="J26" s="653">
        <f>'Support &amp; Exec Detail'!F100</f>
        <v>803675.18799999997</v>
      </c>
      <c r="K26" s="371">
        <f>SUM('FINAL-Distributed E&amp;G Budget'!B52,'FINAL-Distributed E&amp;G Budget'!J52,'FINAL-Distributed E&amp;G Budget'!L52,'FINAL-Distributed E&amp;G Budget'!M52,'FINAL-Distributed E&amp;G Budget'!N52,'FINAL-Distributed E&amp;G Budget'!O52)</f>
        <v>3957021</v>
      </c>
      <c r="L26" s="371">
        <f>+'FINAL-Distributed E&amp;G Budget'!AC52</f>
        <v>0</v>
      </c>
      <c r="M26" s="371">
        <f>ROUND(-('FINAL-Distributed E&amp;G Budget'!$B$57*'FINAL-Distributed E&amp;G Budget'!AU16),-1)</f>
        <v>0</v>
      </c>
      <c r="N26" s="748">
        <f t="shared" si="0"/>
        <v>11265188.188000001</v>
      </c>
      <c r="O26" s="506"/>
      <c r="P26" s="511" t="str">
        <f>IF(N26=SUM('FINAL-Distributed E&amp;G Budget'!B52,'FINAL-Distributed E&amp;G Budget'!J52,'FINAL-Distributed E&amp;G Budget'!L52:O52,'FINAL-Distributed E&amp;G Budget'!U52,'FINAL-Distributed E&amp;G Budget'!AC52),"","Check")</f>
        <v/>
      </c>
      <c r="Q26" s="503"/>
      <c r="R26" s="370"/>
      <c r="S26" s="370"/>
      <c r="T26" s="370"/>
      <c r="U26" s="370"/>
      <c r="V26" s="370"/>
      <c r="W26" s="370"/>
      <c r="X26" s="370"/>
      <c r="Y26" s="1039"/>
      <c r="Z26" s="1039"/>
      <c r="AA26" s="494"/>
      <c r="AB26" s="494"/>
      <c r="AC26" s="494"/>
    </row>
    <row r="27" spans="1:29" ht="14.25" customHeight="1">
      <c r="A27" s="179" t="s">
        <v>165</v>
      </c>
      <c r="B27" s="708">
        <v>14238030</v>
      </c>
      <c r="C27" s="207">
        <v>1487959</v>
      </c>
      <c r="D27" s="207">
        <v>8000</v>
      </c>
      <c r="E27" s="207"/>
      <c r="F27" s="207">
        <f>B27-C27-D27-E27</f>
        <v>12742071</v>
      </c>
      <c r="G27" s="710"/>
      <c r="H27" s="507"/>
      <c r="I27" s="734">
        <f t="shared" si="1"/>
        <v>12742071</v>
      </c>
      <c r="J27" s="672">
        <f>'Support &amp; Exec Detail'!F107</f>
        <v>1046940.769</v>
      </c>
      <c r="K27" s="370">
        <f>SUM('FINAL-Distributed E&amp;G Budget'!B53,'FINAL-Distributed E&amp;G Budget'!J53,'FINAL-Distributed E&amp;G Budget'!L53,'FINAL-Distributed E&amp;G Budget'!M53,'FINAL-Distributed E&amp;G Budget'!N53,'FINAL-Distributed E&amp;G Budget'!O53)</f>
        <v>1490957</v>
      </c>
      <c r="L27" s="370">
        <f>+'FINAL-Distributed E&amp;G Budget'!AC53</f>
        <v>15000</v>
      </c>
      <c r="M27" s="370"/>
      <c r="N27" s="747">
        <f t="shared" si="0"/>
        <v>15294968.768999999</v>
      </c>
      <c r="O27" s="506"/>
      <c r="P27" s="511" t="str">
        <f>IF(N27=SUM('FINAL-Distributed E&amp;G Budget'!B53,'FINAL-Distributed E&amp;G Budget'!J53,'FINAL-Distributed E&amp;G Budget'!L53:O53,'FINAL-Distributed E&amp;G Budget'!U53,'FINAL-Distributed E&amp;G Budget'!AC53),"","Check")</f>
        <v/>
      </c>
      <c r="Q27" s="503"/>
      <c r="R27" s="370"/>
      <c r="S27" s="370"/>
      <c r="T27" s="370"/>
      <c r="U27" s="370"/>
      <c r="V27" s="370"/>
      <c r="W27" s="370"/>
      <c r="X27" s="370"/>
      <c r="Y27" s="1039"/>
      <c r="Z27" s="1039"/>
      <c r="AA27" s="494"/>
      <c r="AB27" s="494"/>
      <c r="AC27" s="494"/>
    </row>
    <row r="28" spans="1:29" ht="14.25" customHeight="1">
      <c r="A28" s="196" t="s">
        <v>167</v>
      </c>
      <c r="B28" s="711">
        <v>47552201</v>
      </c>
      <c r="C28" s="199">
        <v>4661500</v>
      </c>
      <c r="D28" s="199">
        <v>0</v>
      </c>
      <c r="E28" s="199"/>
      <c r="F28" s="199">
        <f t="shared" si="2"/>
        <v>42890701</v>
      </c>
      <c r="G28" s="712">
        <v>384100</v>
      </c>
      <c r="H28" s="507"/>
      <c r="I28" s="735">
        <f>SUM(F28:G28)</f>
        <v>43274801</v>
      </c>
      <c r="J28" s="653">
        <f>'Support &amp; Exec Detail'!F113</f>
        <v>2060737.3389999999</v>
      </c>
      <c r="K28" s="371">
        <f>SUM('FINAL-Distributed E&amp;G Budget'!B54,'FINAL-Distributed E&amp;G Budget'!J54,'FINAL-Distributed E&amp;G Budget'!L54,'FINAL-Distributed E&amp;G Budget'!M54,'FINAL-Distributed E&amp;G Budget'!N54,'FINAL-Distributed E&amp;G Budget'!O54)</f>
        <v>4786168</v>
      </c>
      <c r="L28" s="371">
        <f>+'FINAL-Distributed E&amp;G Budget'!AC54</f>
        <v>0</v>
      </c>
      <c r="M28" s="371">
        <f>ROUND(-('FINAL-Distributed E&amp;G Budget'!$B$57*'FINAL-Distributed E&amp;G Budget'!AU18)+-('FINAL-Distributed E&amp;G Budget'!$B$57*'FINAL-Distributed E&amp;G Budget'!AU19)+-('FINAL-Distributed E&amp;G Budget'!$B$57*'FINAL-Distributed E&amp;G Budget'!AU17),-1)</f>
        <v>0</v>
      </c>
      <c r="N28" s="748">
        <f>SUM(I28:M28)</f>
        <v>50121706.339000002</v>
      </c>
      <c r="O28" s="506"/>
      <c r="P28" s="511" t="str">
        <f>IF(N28=SUM('FINAL-Distributed E&amp;G Budget'!B54,'FINAL-Distributed E&amp;G Budget'!J54,'FINAL-Distributed E&amp;G Budget'!L54:O54,'FINAL-Distributed E&amp;G Budget'!U54,'FINAL-Distributed E&amp;G Budget'!AC54),"","Check")</f>
        <v/>
      </c>
      <c r="Q28" s="503"/>
      <c r="R28" s="370"/>
      <c r="S28" s="370"/>
      <c r="T28" s="370"/>
      <c r="U28" s="370"/>
      <c r="V28" s="370"/>
      <c r="W28" s="370"/>
      <c r="X28" s="370"/>
      <c r="Y28" s="1039"/>
      <c r="Z28" s="1039"/>
      <c r="AA28" s="494"/>
      <c r="AB28" s="494"/>
      <c r="AC28" s="494"/>
    </row>
    <row r="29" spans="1:29" ht="14.25" customHeight="1">
      <c r="A29" s="179" t="s">
        <v>168</v>
      </c>
      <c r="B29" s="708">
        <v>33457723</v>
      </c>
      <c r="C29" s="207">
        <v>11044200</v>
      </c>
      <c r="D29" s="207">
        <v>0</v>
      </c>
      <c r="E29" s="207"/>
      <c r="F29" s="207">
        <f t="shared" si="2"/>
        <v>22413523</v>
      </c>
      <c r="G29" s="710">
        <v>1104200</v>
      </c>
      <c r="H29" s="507"/>
      <c r="I29" s="734">
        <f>SUM(F29:G29)</f>
        <v>23517723</v>
      </c>
      <c r="J29" s="672">
        <f>'Support &amp; Exec Detail'!F133</f>
        <v>2187527.3969999999</v>
      </c>
      <c r="K29" s="370">
        <f>SUM('FINAL-Distributed E&amp;G Budget'!B55,'FINAL-Distributed E&amp;G Budget'!J55,'FINAL-Distributed E&amp;G Budget'!L55,'FINAL-Distributed E&amp;G Budget'!M55,'FINAL-Distributed E&amp;G Budget'!N55,'FINAL-Distributed E&amp;G Budget'!O55)</f>
        <v>11397606</v>
      </c>
      <c r="L29" s="370">
        <f>+'FINAL-Distributed E&amp;G Budget'!AC55</f>
        <v>0</v>
      </c>
      <c r="M29" s="370"/>
      <c r="N29" s="747">
        <f t="shared" si="0"/>
        <v>37102856.397</v>
      </c>
      <c r="O29" s="506"/>
      <c r="P29" s="511" t="str">
        <f>IF(N29=SUM('FINAL-Distributed E&amp;G Budget'!B55,'FINAL-Distributed E&amp;G Budget'!J55,'FINAL-Distributed E&amp;G Budget'!L55:O55,'FINAL-Distributed E&amp;G Budget'!U55,'FINAL-Distributed E&amp;G Budget'!AC55),"","Check")</f>
        <v/>
      </c>
      <c r="Q29" s="503"/>
      <c r="R29" s="370"/>
      <c r="S29" s="370"/>
      <c r="T29" s="370"/>
      <c r="U29" s="370"/>
      <c r="V29" s="370"/>
      <c r="W29" s="370"/>
      <c r="X29" s="370"/>
      <c r="Y29" s="1039"/>
      <c r="Z29" s="1039"/>
      <c r="AA29" s="494"/>
      <c r="AB29" s="494"/>
      <c r="AC29" s="494"/>
    </row>
    <row r="30" spans="1:29" ht="14.25" customHeight="1" thickBot="1">
      <c r="A30" s="444"/>
      <c r="B30" s="445">
        <f>SUM(B9:B29)</f>
        <v>220821431</v>
      </c>
      <c r="C30" s="510">
        <f t="shared" ref="C30:G30" si="3">SUM(C9:C29)</f>
        <v>34814497</v>
      </c>
      <c r="D30" s="510">
        <f t="shared" si="3"/>
        <v>15100</v>
      </c>
      <c r="E30" s="510">
        <f t="shared" si="3"/>
        <v>0</v>
      </c>
      <c r="F30" s="510">
        <f>SUM(F9:F29)</f>
        <v>185991834</v>
      </c>
      <c r="G30" s="510">
        <f t="shared" si="3"/>
        <v>2064500</v>
      </c>
      <c r="H30" s="743"/>
      <c r="I30" s="757">
        <f>SUM(I9:I29)</f>
        <v>188056334</v>
      </c>
      <c r="J30" s="757">
        <f t="shared" ref="J30:M30" si="4">SUM(J9:J29)</f>
        <v>10755081.525999999</v>
      </c>
      <c r="K30" s="757">
        <f t="shared" si="4"/>
        <v>35609636</v>
      </c>
      <c r="L30" s="757">
        <f t="shared" si="4"/>
        <v>29000</v>
      </c>
      <c r="M30" s="757">
        <f t="shared" si="4"/>
        <v>0</v>
      </c>
      <c r="N30" s="757">
        <f>SUM(N9:N29)</f>
        <v>234450051.52600002</v>
      </c>
      <c r="R30" s="757"/>
      <c r="S30" s="757"/>
      <c r="T30" s="757"/>
      <c r="U30" s="757"/>
      <c r="V30" s="757"/>
      <c r="W30" s="757"/>
      <c r="X30" s="757"/>
      <c r="Y30" s="503"/>
      <c r="AA30" s="494"/>
      <c r="AB30" s="494"/>
    </row>
    <row r="31" spans="1:29" ht="14.25" customHeight="1" thickTop="1">
      <c r="B31" s="216" t="s">
        <v>625</v>
      </c>
      <c r="C31" s="216" t="s">
        <v>625</v>
      </c>
      <c r="D31" s="216" t="s">
        <v>625</v>
      </c>
      <c r="E31" s="503" t="s">
        <v>625</v>
      </c>
      <c r="F31" s="216"/>
      <c r="G31" s="216"/>
      <c r="H31" s="504"/>
      <c r="J31" s="503"/>
      <c r="K31" s="503"/>
      <c r="L31" s="363"/>
      <c r="N31" s="177"/>
      <c r="T31" s="512"/>
      <c r="W31" s="512"/>
      <c r="X31" s="512"/>
      <c r="Y31" s="503"/>
    </row>
    <row r="32" spans="1:29" ht="14.25" customHeight="1">
      <c r="A32" s="641" t="s">
        <v>604</v>
      </c>
      <c r="B32" s="472" t="s">
        <v>456</v>
      </c>
      <c r="C32" s="472" t="s">
        <v>456</v>
      </c>
      <c r="D32" s="472" t="s">
        <v>456</v>
      </c>
      <c r="E32" s="511" t="s">
        <v>456</v>
      </c>
      <c r="F32" s="472" t="s">
        <v>458</v>
      </c>
      <c r="G32" s="472" t="s">
        <v>456</v>
      </c>
      <c r="H32" s="492"/>
      <c r="I32" s="741" t="s">
        <v>458</v>
      </c>
      <c r="J32" s="471"/>
      <c r="K32" s="471"/>
      <c r="L32" s="471" t="s">
        <v>458</v>
      </c>
      <c r="M32" s="471" t="s">
        <v>458</v>
      </c>
      <c r="N32" s="364"/>
      <c r="R32" s="511" t="s">
        <v>456</v>
      </c>
      <c r="S32" s="511" t="s">
        <v>456</v>
      </c>
      <c r="T32" s="511" t="s">
        <v>456</v>
      </c>
      <c r="U32" s="511" t="s">
        <v>456</v>
      </c>
      <c r="V32" s="511" t="s">
        <v>456</v>
      </c>
      <c r="W32" s="471" t="s">
        <v>458</v>
      </c>
      <c r="X32" s="471" t="s">
        <v>458</v>
      </c>
    </row>
    <row r="33" spans="2:24" ht="14.25" customHeight="1">
      <c r="B33" s="216"/>
      <c r="C33" s="503"/>
      <c r="D33" s="503"/>
      <c r="E33" s="503"/>
      <c r="F33" s="503"/>
      <c r="G33" s="216"/>
      <c r="H33" s="514"/>
      <c r="I33" s="742"/>
      <c r="J33" s="738" t="s">
        <v>616</v>
      </c>
      <c r="K33" s="1241" t="s">
        <v>615</v>
      </c>
      <c r="L33" s="1241"/>
      <c r="M33" s="1241"/>
      <c r="N33" s="364"/>
      <c r="R33" s="506"/>
      <c r="S33" s="506"/>
      <c r="T33" s="506"/>
      <c r="U33" s="506"/>
      <c r="V33" s="506"/>
      <c r="W33" s="506"/>
      <c r="X33" s="506"/>
    </row>
    <row r="34" spans="2:24" ht="14.25" customHeight="1">
      <c r="B34" s="216">
        <v>220821431</v>
      </c>
      <c r="C34" s="216">
        <v>34814497</v>
      </c>
      <c r="D34" s="216">
        <v>15100</v>
      </c>
      <c r="E34" s="503"/>
      <c r="F34" s="216"/>
      <c r="G34" s="216"/>
      <c r="H34" s="514"/>
      <c r="I34" s="509"/>
      <c r="J34" s="509"/>
      <c r="K34" s="509"/>
      <c r="L34" s="509"/>
      <c r="M34" s="509"/>
      <c r="N34" s="558"/>
      <c r="R34" s="506"/>
      <c r="S34" s="506"/>
      <c r="T34" s="506"/>
      <c r="U34" s="506"/>
      <c r="V34" s="494"/>
      <c r="W34" s="506"/>
    </row>
    <row r="35" spans="2:24" ht="26.25" customHeight="1">
      <c r="B35" s="216"/>
      <c r="C35" s="503"/>
      <c r="D35" s="503"/>
      <c r="E35" s="503"/>
      <c r="F35" s="503"/>
      <c r="G35" s="216"/>
      <c r="H35" s="514"/>
      <c r="J35" s="503"/>
      <c r="K35" s="503"/>
      <c r="L35" s="503"/>
      <c r="M35" s="503"/>
      <c r="N35" s="503"/>
    </row>
    <row r="36" spans="2:24" ht="14.25" customHeight="1">
      <c r="B36" s="216"/>
      <c r="C36" s="503"/>
      <c r="D36" s="503"/>
      <c r="E36" s="503"/>
      <c r="F36" s="503"/>
      <c r="G36" s="216"/>
      <c r="H36" s="514"/>
      <c r="J36" s="503"/>
      <c r="K36" s="503"/>
      <c r="L36" s="503"/>
      <c r="M36" s="503"/>
      <c r="N36" s="503"/>
    </row>
    <row r="37" spans="2:24" ht="14.25" customHeight="1">
      <c r="B37" s="503"/>
      <c r="C37" s="503"/>
      <c r="D37" s="503"/>
      <c r="E37" s="503"/>
      <c r="F37" s="503"/>
      <c r="H37" s="514"/>
      <c r="J37" s="503"/>
      <c r="K37" s="503"/>
      <c r="L37" s="503"/>
      <c r="M37" s="503"/>
      <c r="N37" s="503"/>
    </row>
    <row r="38" spans="2:24" ht="14.25" customHeight="1">
      <c r="C38" s="183"/>
      <c r="E38" s="487"/>
      <c r="H38" s="492"/>
      <c r="I38" s="509"/>
      <c r="J38" s="270"/>
      <c r="K38" s="270"/>
      <c r="L38" s="270"/>
      <c r="M38" s="270"/>
    </row>
    <row r="39" spans="2:24" ht="14.25" customHeight="1">
      <c r="C39" s="183"/>
      <c r="E39" s="487"/>
      <c r="H39" s="492"/>
      <c r="I39" s="509"/>
      <c r="J39" s="625"/>
      <c r="K39" s="625"/>
      <c r="L39" s="365"/>
      <c r="M39" s="470"/>
      <c r="N39" s="363"/>
    </row>
    <row r="40" spans="2:24" ht="14.25" customHeight="1">
      <c r="C40" s="183"/>
      <c r="E40" s="487"/>
      <c r="H40" s="492"/>
      <c r="I40" s="509"/>
      <c r="J40" s="269"/>
      <c r="K40" s="625"/>
      <c r="L40" s="365"/>
      <c r="M40" s="470"/>
    </row>
    <row r="41" spans="2:24">
      <c r="E41" s="487"/>
      <c r="H41" s="492"/>
      <c r="I41" s="509"/>
      <c r="J41" s="269"/>
      <c r="K41" s="269"/>
      <c r="L41" s="365"/>
      <c r="M41" s="269"/>
      <c r="O41" s="492"/>
    </row>
    <row r="42" spans="2:24">
      <c r="E42" s="487"/>
      <c r="H42" s="492"/>
      <c r="I42" s="509"/>
      <c r="J42" s="269"/>
      <c r="K42" s="269"/>
      <c r="L42" s="365"/>
      <c r="M42" s="269"/>
    </row>
    <row r="43" spans="2:24">
      <c r="E43" s="487"/>
      <c r="H43" s="492"/>
      <c r="I43" s="509"/>
      <c r="J43" s="269"/>
      <c r="K43" s="269"/>
      <c r="L43" s="365"/>
      <c r="M43" s="269"/>
    </row>
    <row r="44" spans="2:24">
      <c r="E44" s="487"/>
      <c r="H44" s="490"/>
      <c r="L44" s="365"/>
    </row>
    <row r="45" spans="2:24">
      <c r="E45" s="487"/>
      <c r="H45" s="490"/>
      <c r="L45" s="365"/>
    </row>
    <row r="46" spans="2:24">
      <c r="E46" s="487"/>
      <c r="H46" s="490"/>
      <c r="L46" s="365"/>
    </row>
    <row r="47" spans="2:24">
      <c r="E47" s="487"/>
      <c r="H47" s="490"/>
      <c r="L47" s="365"/>
    </row>
    <row r="48" spans="2:24">
      <c r="E48" s="487"/>
      <c r="H48" s="490"/>
      <c r="L48" s="365"/>
    </row>
    <row r="49" spans="5:14">
      <c r="E49" s="487"/>
      <c r="H49" s="490"/>
      <c r="L49" s="365"/>
      <c r="N49" s="439"/>
    </row>
    <row r="50" spans="5:14">
      <c r="E50" s="487"/>
      <c r="H50" s="490"/>
      <c r="L50" s="365"/>
    </row>
    <row r="51" spans="5:14">
      <c r="E51" s="487"/>
      <c r="H51" s="490"/>
      <c r="L51" s="365"/>
    </row>
    <row r="52" spans="5:14">
      <c r="E52" s="487"/>
      <c r="H52" s="490"/>
      <c r="L52" s="365"/>
    </row>
    <row r="53" spans="5:14">
      <c r="E53" s="487"/>
      <c r="H53" s="490"/>
      <c r="L53" s="365"/>
    </row>
    <row r="54" spans="5:14">
      <c r="E54" s="487"/>
      <c r="H54" s="490"/>
      <c r="L54" s="365"/>
    </row>
    <row r="55" spans="5:14">
      <c r="E55" s="487"/>
      <c r="H55" s="490"/>
      <c r="L55" s="365"/>
    </row>
    <row r="56" spans="5:14">
      <c r="E56" s="487"/>
      <c r="H56" s="490"/>
      <c r="L56" s="365"/>
    </row>
    <row r="57" spans="5:14">
      <c r="E57" s="487"/>
      <c r="H57" s="490"/>
      <c r="L57" s="365"/>
    </row>
    <row r="58" spans="5:14">
      <c r="E58" s="487"/>
      <c r="H58" s="490"/>
      <c r="L58" s="365"/>
    </row>
    <row r="59" spans="5:14">
      <c r="E59" s="487"/>
      <c r="H59" s="490"/>
      <c r="L59" s="365"/>
    </row>
    <row r="60" spans="5:14">
      <c r="E60" s="487"/>
      <c r="H60" s="490"/>
      <c r="L60" s="365"/>
    </row>
    <row r="61" spans="5:14">
      <c r="E61" s="487"/>
      <c r="H61" s="490"/>
      <c r="L61" s="365"/>
    </row>
    <row r="62" spans="5:14">
      <c r="E62" s="487"/>
      <c r="H62" s="490"/>
    </row>
    <row r="63" spans="5:14">
      <c r="E63" s="487"/>
      <c r="H63" s="490"/>
    </row>
    <row r="64" spans="5:14">
      <c r="E64" s="487"/>
      <c r="H64" s="490"/>
    </row>
    <row r="65" spans="5:23">
      <c r="E65" s="487"/>
      <c r="H65" s="490"/>
      <c r="W65" s="503"/>
    </row>
    <row r="66" spans="5:23" ht="15">
      <c r="E66" s="487"/>
      <c r="H66" s="490"/>
      <c r="P66" s="605"/>
      <c r="Q66" s="1037"/>
      <c r="R66" s="605"/>
      <c r="S66" s="605"/>
      <c r="T66" s="638"/>
      <c r="U66" s="605"/>
      <c r="V66" s="1037"/>
      <c r="W66" s="605"/>
    </row>
    <row r="67" spans="5:23" ht="15">
      <c r="E67" s="487"/>
      <c r="H67" s="490"/>
      <c r="P67" s="605"/>
      <c r="Q67" s="1037"/>
      <c r="R67" s="605"/>
      <c r="S67" s="605"/>
      <c r="T67" s="638"/>
      <c r="U67" s="605"/>
      <c r="V67" s="1037"/>
      <c r="W67" s="605"/>
    </row>
    <row r="68" spans="5:23" ht="15">
      <c r="E68" s="487"/>
      <c r="H68" s="490"/>
      <c r="P68" s="605"/>
      <c r="Q68" s="1037"/>
      <c r="R68" s="605"/>
      <c r="S68" s="605"/>
      <c r="T68" s="638"/>
      <c r="U68" s="605"/>
      <c r="V68" s="1037"/>
      <c r="W68" s="605"/>
    </row>
    <row r="69" spans="5:23" ht="15">
      <c r="E69" s="487"/>
      <c r="H69" s="490"/>
      <c r="P69" s="605"/>
      <c r="Q69" s="1037"/>
      <c r="R69" s="605"/>
      <c r="S69" s="605"/>
      <c r="T69" s="638"/>
      <c r="U69" s="605"/>
      <c r="V69" s="1037"/>
      <c r="W69" s="605"/>
    </row>
    <row r="70" spans="5:23" ht="15">
      <c r="E70" s="487"/>
      <c r="H70" s="490"/>
      <c r="P70" s="605"/>
      <c r="Q70" s="1037"/>
      <c r="R70" s="605"/>
      <c r="S70" s="605"/>
      <c r="T70" s="638"/>
      <c r="U70" s="605"/>
      <c r="V70" s="1037"/>
      <c r="W70" s="605"/>
    </row>
    <row r="71" spans="5:23" ht="15">
      <c r="E71" s="487"/>
      <c r="H71" s="490"/>
      <c r="P71" s="605"/>
      <c r="Q71" s="1037"/>
      <c r="R71" s="605"/>
      <c r="S71" s="605"/>
      <c r="T71" s="638"/>
      <c r="U71" s="605"/>
      <c r="V71" s="1037"/>
      <c r="W71" s="605"/>
    </row>
    <row r="72" spans="5:23" ht="15">
      <c r="E72" s="487"/>
      <c r="H72" s="490"/>
      <c r="P72" s="605"/>
      <c r="Q72" s="1037"/>
      <c r="R72" s="605"/>
      <c r="S72" s="605"/>
      <c r="T72" s="638"/>
      <c r="U72" s="605"/>
      <c r="V72" s="1037"/>
      <c r="W72" s="605"/>
    </row>
    <row r="73" spans="5:23" ht="15">
      <c r="E73" s="487"/>
      <c r="H73" s="490"/>
      <c r="P73" s="605"/>
      <c r="Q73" s="1037"/>
      <c r="R73" s="605"/>
      <c r="S73" s="605"/>
      <c r="T73" s="638"/>
      <c r="U73" s="605"/>
      <c r="V73" s="1037"/>
      <c r="W73" s="605"/>
    </row>
    <row r="74" spans="5:23" ht="15">
      <c r="E74" s="487"/>
      <c r="H74" s="490"/>
      <c r="P74" s="605"/>
      <c r="Q74" s="1037"/>
      <c r="R74" s="605"/>
      <c r="S74" s="605"/>
      <c r="T74" s="638"/>
      <c r="U74" s="605"/>
      <c r="V74" s="1037"/>
      <c r="W74" s="605"/>
    </row>
    <row r="75" spans="5:23">
      <c r="E75" s="487"/>
      <c r="H75" s="490"/>
    </row>
    <row r="76" spans="5:23">
      <c r="E76" s="487"/>
      <c r="H76" s="490"/>
      <c r="R76" s="216"/>
      <c r="T76" s="503"/>
      <c r="U76" s="177"/>
      <c r="V76" s="490"/>
      <c r="W76" s="366"/>
    </row>
    <row r="77" spans="5:23">
      <c r="E77" s="487"/>
      <c r="H77" s="490"/>
      <c r="R77" s="177"/>
    </row>
    <row r="78" spans="5:23">
      <c r="E78" s="487"/>
      <c r="H78" s="490"/>
      <c r="R78" s="177"/>
    </row>
    <row r="79" spans="5:23">
      <c r="E79" s="487"/>
      <c r="H79" s="490"/>
      <c r="R79" s="177"/>
    </row>
    <row r="80" spans="5:23">
      <c r="E80" s="487"/>
      <c r="H80" s="490"/>
      <c r="R80" s="177"/>
    </row>
    <row r="81" spans="5:18">
      <c r="E81" s="487"/>
      <c r="H81" s="490"/>
      <c r="R81" s="177"/>
    </row>
    <row r="82" spans="5:18">
      <c r="E82" s="487"/>
      <c r="H82" s="490"/>
    </row>
    <row r="83" spans="5:18">
      <c r="E83" s="487"/>
      <c r="H83" s="490"/>
    </row>
    <row r="84" spans="5:18">
      <c r="E84" s="487"/>
      <c r="H84" s="490"/>
    </row>
    <row r="85" spans="5:18" ht="15">
      <c r="E85" s="487"/>
      <c r="H85" s="490"/>
      <c r="N85" s="150"/>
      <c r="O85" s="484"/>
    </row>
    <row r="86" spans="5:18" ht="15">
      <c r="E86" s="487"/>
      <c r="H86" s="490"/>
      <c r="M86" s="150"/>
      <c r="N86" s="150"/>
      <c r="O86" s="484"/>
    </row>
    <row r="87" spans="5:18" ht="15">
      <c r="E87" s="487"/>
      <c r="H87" s="490"/>
      <c r="M87" s="150"/>
      <c r="N87" s="150"/>
      <c r="O87" s="484"/>
    </row>
    <row r="88" spans="5:18" ht="15">
      <c r="E88" s="487"/>
      <c r="H88" s="490"/>
      <c r="M88" s="150"/>
      <c r="N88" s="150"/>
      <c r="O88" s="484"/>
    </row>
    <row r="89" spans="5:18" ht="15">
      <c r="E89" s="487"/>
      <c r="H89" s="490"/>
      <c r="M89" s="150"/>
    </row>
    <row r="90" spans="5:18">
      <c r="E90" s="487"/>
      <c r="H90" s="490"/>
    </row>
    <row r="94" spans="5:18" ht="15">
      <c r="P94" s="367"/>
      <c r="Q94" s="367"/>
    </row>
    <row r="95" spans="5:18" ht="15">
      <c r="P95" s="150"/>
      <c r="Q95" s="484"/>
    </row>
    <row r="96" spans="5:18" ht="15">
      <c r="P96" s="150"/>
      <c r="Q96" s="484"/>
    </row>
    <row r="97" spans="16:17" ht="15">
      <c r="P97" s="150"/>
      <c r="Q97" s="484"/>
    </row>
  </sheetData>
  <mergeCells count="4">
    <mergeCell ref="B6:G6"/>
    <mergeCell ref="I6:N6"/>
    <mergeCell ref="K33:M33"/>
    <mergeCell ref="R6:W6"/>
  </mergeCell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Process</vt:lpstr>
      <vt:lpstr>Change Log</vt:lpstr>
      <vt:lpstr>Dashboard</vt:lpstr>
      <vt:lpstr>Step 0 Revenue Detail</vt:lpstr>
      <vt:lpstr>FINAL-Distributed E&amp;G Budget</vt:lpstr>
      <vt:lpstr>Change Summary</vt:lpstr>
      <vt:lpstr>Productivity Split</vt:lpstr>
      <vt:lpstr>IM</vt:lpstr>
      <vt:lpstr>Service Support &amp; Mgmt</vt:lpstr>
      <vt:lpstr>Support &amp; Exec Detail</vt:lpstr>
      <vt:lpstr>Productivity Calc</vt:lpstr>
      <vt:lpstr>Differential</vt:lpstr>
      <vt:lpstr>Ecampus</vt:lpstr>
      <vt:lpstr>Summer</vt:lpstr>
      <vt:lpstr>Research</vt:lpstr>
      <vt:lpstr>Data-Credit &amp; Degree</vt:lpstr>
      <vt:lpstr>Vet Med &amp; Pharm</vt:lpstr>
      <vt:lpstr>Weights</vt:lpstr>
      <vt:lpstr>TECH CHANGE</vt:lpstr>
      <vt:lpstr>TECH CHANGE-Grad Health</vt:lpstr>
    </vt:vector>
  </TitlesOfParts>
  <Company>Oregon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Campbell, Kayla Nicole</dc:creator>
  <cp:lastModifiedBy>Campbell, Kayla Nicole</cp:lastModifiedBy>
  <cp:lastPrinted>2019-08-28T22:54:05Z</cp:lastPrinted>
  <dcterms:created xsi:type="dcterms:W3CDTF">2019-07-17T15:34:13Z</dcterms:created>
  <dcterms:modified xsi:type="dcterms:W3CDTF">2023-01-09T18:09:16Z</dcterms:modified>
</cp:coreProperties>
</file>